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1.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2.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olivia\Documents\EPS_Models by Region\RMI\California\CA-eps\InputData\fuels\BFPaT\"/>
    </mc:Choice>
  </mc:AlternateContent>
  <xr:revisionPtr revIDLastSave="0" documentId="8_{13A07865-1734-4048-8EAA-513F2D6BBAA5}" xr6:coauthVersionLast="47" xr6:coauthVersionMax="47" xr10:uidLastSave="{00000000-0000-0000-0000-000000000000}"/>
  <bookViews>
    <workbookView xWindow="-120" yWindow="-120" windowWidth="29040" windowHeight="17640" firstSheet="54" activeTab="55" xr2:uid="{00000000-000D-0000-FFFF-FFFF00000000}"/>
  </bookViews>
  <sheets>
    <sheet name="About" sheetId="1" r:id="rId1"/>
    <sheet name="EIA SEO" sheetId="131" r:id="rId2"/>
    <sheet name="AEO 2022 Pacific region Table 3" sheetId="102" r:id="rId3"/>
    <sheet name="AEO Table 3" sheetId="114" r:id="rId4"/>
    <sheet name="AggregateSEDS" sheetId="80" r:id="rId5"/>
    <sheet name="SEDSresidential" sheetId="90" r:id="rId6"/>
    <sheet name="SEDcommercial" sheetId="92" r:id="rId7"/>
    <sheet name="SEDStransport" sheetId="91" r:id="rId8"/>
    <sheet name="SEDSindustry" sheetId="93" r:id="rId9"/>
    <sheet name="SEDSpower" sheetId="94" r:id="rId10"/>
    <sheet name="EIA Short Run" sheetId="70" r:id="rId11"/>
    <sheet name="EIA electricity" sheetId="107" r:id="rId12"/>
    <sheet name="CARB data" sheetId="84" r:id="rId13"/>
    <sheet name="Sales taxes" sheetId="112" r:id="rId14"/>
    <sheet name="Heat" sheetId="8" r:id="rId15"/>
    <sheet name="Hydrogen" sheetId="7" r:id="rId16"/>
    <sheet name="CEC electricity" sheetId="115" r:id="rId17"/>
    <sheet name="Electric. RATES Form 2.3 IPER21" sheetId="117" r:id="rId18"/>
    <sheet name="Tax-diesel" sheetId="109" r:id="rId19"/>
    <sheet name="Tax-gasoline" sheetId="108" r:id="rId20"/>
    <sheet name="Tax-jet fuel" sheetId="111" r:id="rId21"/>
    <sheet name="AFDC regional alternative fuels" sheetId="81" r:id="rId22"/>
    <sheet name="EIA gasoline 2022" sheetId="130" r:id="rId23"/>
    <sheet name="DOE EIA natural gas" sheetId="133" r:id="rId24"/>
    <sheet name="EIA natural gas" sheetId="73" r:id="rId25"/>
    <sheet name="CEC Ind NG" sheetId="118" r:id="rId26"/>
    <sheet name="CEC Comm NG" sheetId="119" r:id="rId27"/>
    <sheet name="CEC Residential NG" sheetId="120" r:id="rId28"/>
    <sheet name="IPER 2021 nat gas prices" sheetId="121" r:id="rId29"/>
    <sheet name="STATE Form 1.1" sheetId="122" r:id="rId30"/>
    <sheet name="Utility NG Form 1.1" sheetId="123" r:id="rId31"/>
    <sheet name="Crude oil" sheetId="87" r:id="rId32"/>
    <sheet name="Heavy+crude oil+" sheetId="100" r:id="rId33"/>
    <sheet name="Natural gas" sheetId="74" r:id="rId34"/>
    <sheet name="Lpgpropbut" sheetId="97" r:id="rId35"/>
    <sheet name="Jetkerosene" sheetId="98" r:id="rId36"/>
    <sheet name="Electricity" sheetId="106" r:id="rId37"/>
    <sheet name="Gasoline+diesel" sheetId="67" r:id="rId38"/>
    <sheet name="Pretax &gt;" sheetId="10" r:id="rId39"/>
    <sheet name="BFPaT-pretax-electricity" sheetId="11" r:id="rId40"/>
    <sheet name="BFPaT-pretax-coal" sheetId="12" r:id="rId41"/>
    <sheet name="BFPaT-pretax-natgas" sheetId="13" r:id="rId42"/>
    <sheet name="BFPaT-pretax-nuclear" sheetId="113" r:id="rId43"/>
    <sheet name="BFPaT-pretax-hydro" sheetId="15" r:id="rId44"/>
    <sheet name="BFPaT-pretax-wind" sheetId="16" r:id="rId45"/>
    <sheet name="BFPaT-pretax-solar" sheetId="17" r:id="rId46"/>
    <sheet name="BFPaT-pretax-biomass" sheetId="18" r:id="rId47"/>
    <sheet name="BFPaT-pretax-petgas" sheetId="19" r:id="rId48"/>
    <sheet name="BFPaT-pretax-petdies" sheetId="20" r:id="rId49"/>
    <sheet name="BFPaT-pretax-biogas" sheetId="21" r:id="rId50"/>
    <sheet name="BFPaT-pretax-biodies" sheetId="22" r:id="rId51"/>
    <sheet name="BFPaT-pretax-jetkerosene" sheetId="23" r:id="rId52"/>
    <sheet name="BFPaT-pretax-heat" sheetId="24" r:id="rId53"/>
    <sheet name="BFPaT-pretax-geothermal" sheetId="25" r:id="rId54"/>
    <sheet name="BFPaT-pretax-lignite" sheetId="26" r:id="rId55"/>
    <sheet name="BFPaT-pretax-crude" sheetId="27" r:id="rId56"/>
    <sheet name="BFPaT-pretax-heavyfueloil" sheetId="28" r:id="rId57"/>
    <sheet name="BFPaT-pretax-lpgpropbut" sheetId="29" r:id="rId58"/>
    <sheet name="BFPaT-pretax-msw" sheetId="30" r:id="rId59"/>
    <sheet name="BFPaT-pretax-hydrogen" sheetId="31" r:id="rId60"/>
    <sheet name="Fuel Tax &gt;" sheetId="32" r:id="rId61"/>
    <sheet name="BFPaT-fueltax-electricity" sheetId="33" r:id="rId62"/>
    <sheet name="BFPaT-fueltax-coal" sheetId="34" r:id="rId63"/>
    <sheet name="BFPaT-fueltax-natgas" sheetId="35" r:id="rId64"/>
    <sheet name="BFPaT-fueltax-nuclear" sheetId="36" r:id="rId65"/>
    <sheet name="BFPaT-fueltax-hydro" sheetId="37" r:id="rId66"/>
    <sheet name="BFPaT-fueltax-wind" sheetId="38" r:id="rId67"/>
    <sheet name="BFPaT-fueltax-solar" sheetId="39" r:id="rId68"/>
    <sheet name="BFPaT-fueltax-biomass" sheetId="40" r:id="rId69"/>
    <sheet name="BFPaT-fueltax-petgas" sheetId="41" r:id="rId70"/>
    <sheet name="BFPaT-fueltax-petdies" sheetId="43" r:id="rId71"/>
    <sheet name="BFPaT-fueltax-biodies" sheetId="42" r:id="rId72"/>
    <sheet name="BFPaT-fueltax-biogas" sheetId="44" r:id="rId73"/>
    <sheet name="BFPaT-fueltax-jetkerosene" sheetId="45" r:id="rId74"/>
    <sheet name="BFPaT-fueltax-heat" sheetId="46" r:id="rId75"/>
    <sheet name="BFPaT-fueltax-geothermal" sheetId="47" r:id="rId76"/>
    <sheet name="BFPaT-fueltax-lignite" sheetId="48" r:id="rId77"/>
    <sheet name="BFPaT-fueltax-crude" sheetId="49" r:id="rId78"/>
    <sheet name="BFPaT-fueltax-heavyfueloil" sheetId="50" r:id="rId79"/>
    <sheet name="BFPaT-fueltax-lpgpropbut" sheetId="51" r:id="rId80"/>
    <sheet name="BFPaT-fueltax-msw" sheetId="52" r:id="rId81"/>
    <sheet name="BFPaT-fueltax-hydrogen" sheetId="53" r:id="rId82"/>
  </sheets>
  <externalReferences>
    <externalReference r:id="rId83"/>
    <externalReference r:id="rId84"/>
    <externalReference r:id="rId85"/>
    <externalReference r:id="rId86"/>
    <externalReference r:id="rId87"/>
    <externalReference r:id="rId88"/>
  </externalReferences>
  <definedNames>
    <definedName name="\a">#REF!</definedName>
    <definedName name="\b">#REF!</definedName>
    <definedName name="\c">#REF!</definedName>
    <definedName name="\d">#REF!</definedName>
    <definedName name="\e">#REF!</definedName>
    <definedName name="\f">#REF!</definedName>
    <definedName name="\g">#REF!</definedName>
    <definedName name="\p">#REF!</definedName>
    <definedName name="\y">#REF!</definedName>
    <definedName name="_1_1030CYSTOCKS">#REF!</definedName>
    <definedName name="Avoided_costs">[1]CC_Energy_Calc!$F$99:$F$113</definedName>
    <definedName name="Capture_point_sources">[1]CC_Energy_Calc!$C$78:$C$92</definedName>
    <definedName name="ColumnTitleRegion1.A24.F42.1">#REF!</definedName>
    <definedName name="ColumnTitleRegion1.A4.F22.1">#REF!</definedName>
    <definedName name="CRF">'[2]General Inputs'!$C$2</definedName>
    <definedName name="Cst_CAPEX_per_OPEX">[1]Admin!$E$70</definedName>
    <definedName name="Cst_ct_per_dollar">[1]Admin!$F$33</definedName>
    <definedName name="Cst_kWh_per_MMBtu">[1]Admin!$F$44</definedName>
    <definedName name="Cst_kWh_per_MWh">[1]Admin!$F$42</definedName>
    <definedName name="Cst_lbs_per_kg">[1]Admin!$F$34</definedName>
    <definedName name="Cst_ton_to_tonne">[1]Admin!$F$28</definedName>
    <definedName name="DATA">#REF!</definedName>
    <definedName name="dollar_conversion18to20">[3]Constants!#REF!</definedName>
    <definedName name="dollars_2019_2012">About!$A$208</definedName>
    <definedName name="dollars_2020_2012" localSheetId="3">[4]About!$A$103</definedName>
    <definedName name="dollars_2020_2012" localSheetId="42">[4]About!$A$103</definedName>
    <definedName name="dollars_2020_2012">[5]About!$A$103</definedName>
    <definedName name="Emis_Sources_Data">[1]Merge_Emis_Sources!$G$15:$S$88</definedName>
    <definedName name="Emis_Sources_Labels">[1]Merge_Emis_Sources!$G$13:$S$13</definedName>
    <definedName name="Emissions___Fuels____Emitting_Activities__Fuel_and_Emissions">#REF!</definedName>
    <definedName name="Eno_TM">'[6]1997  Table 1a Modified'!#REF!</definedName>
    <definedName name="Eno_Tons">'[6]1997  Table 1a Modified'!#REF!</definedName>
    <definedName name="Facilities_Coal_Coke_Clinker_and_FeeReg_only">#REF!</definedName>
    <definedName name="Facilities_Total_net_MWh">#REF!</definedName>
    <definedName name="Facility_summary_2008">#REF!</definedName>
    <definedName name="Facility_summary_2009">#REF!</definedName>
    <definedName name="Facility_summary_2010">#REF!</definedName>
    <definedName name="Feedstock_Use">[1]Enthal_Calc!$J$70:$J$79</definedName>
    <definedName name="gas_CI_tCO2_MWh">'[2]NAS Report'!$E$16</definedName>
    <definedName name="H2_kg_to_MMBtu">[3]Constants!$D$7</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kWh_to_Btu">[3]Constants!$D$4</definedName>
    <definedName name="lignite_multiplier" localSheetId="3">#REF!</definedName>
    <definedName name="lignite_multiplier" localSheetId="42">#REF!</definedName>
    <definedName name="lignite_multiplier">#REF!</definedName>
    <definedName name="MACROS">#REF!</definedName>
    <definedName name="MWhperGJ">'[2]DAC Cost and Energy Requirement'!$D$2</definedName>
    <definedName name="natural_gas_emissions_intensity">[3]Constants!$D$17</definedName>
    <definedName name="Net_Generation_by_State__Type_1">#REF!</definedName>
    <definedName name="Net_Generation_by_State__Type_of_Producer__Energy_Source">#REF!</definedName>
    <definedName name="nonlignite_multiplier" localSheetId="3">#REF!</definedName>
    <definedName name="nonlignite_multiplier" localSheetId="42">#REF!</definedName>
    <definedName name="nonlignite_multiplier">#REF!</definedName>
    <definedName name="Print_Area_MI">#REF!</definedName>
    <definedName name="Reactant_Type">[1]Enthal_Calc!$C$70:$C$79</definedName>
    <definedName name="Sum_T2">'[6]1997  Table 1a Modified'!#REF!</definedName>
    <definedName name="Sum_TTM">'[6]1997  Table 1a Modified'!#REF!</definedName>
    <definedName name="SupCalc_Data">[1]Sup_Calc!$A:$R</definedName>
    <definedName name="SupCalc_Product">[1]Sup_Calc!$A:$A</definedName>
    <definedName name="SupCalc_Type">[1]Sup_Calc!$A$1:$R$1</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34" l="1"/>
  <c r="D3" i="34"/>
  <c r="E3" i="34"/>
  <c r="F3" i="34"/>
  <c r="G3" i="34"/>
  <c r="H3" i="34"/>
  <c r="I3" i="34"/>
  <c r="J3" i="34"/>
  <c r="K3" i="34"/>
  <c r="L3" i="34"/>
  <c r="M3" i="34"/>
  <c r="N3" i="34"/>
  <c r="O3" i="34"/>
  <c r="P3" i="34"/>
  <c r="Q3" i="34"/>
  <c r="R3" i="34"/>
  <c r="S3" i="34"/>
  <c r="T3" i="34"/>
  <c r="U3" i="34"/>
  <c r="V3" i="34"/>
  <c r="W3" i="34"/>
  <c r="X3" i="34"/>
  <c r="Y3" i="34"/>
  <c r="Z3" i="34"/>
  <c r="AA3" i="34"/>
  <c r="AB3" i="34"/>
  <c r="AC3" i="34"/>
  <c r="AD3" i="34"/>
  <c r="AE3" i="34"/>
  <c r="AF3" i="34"/>
  <c r="B3" i="34"/>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B3" i="12"/>
  <c r="B2" i="23"/>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B3"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B4"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B5"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B6"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B2" i="45"/>
  <c r="C2" i="45"/>
  <c r="D2" i="45"/>
  <c r="E2" i="45"/>
  <c r="F2" i="45"/>
  <c r="G2" i="45"/>
  <c r="H2" i="45"/>
  <c r="I2" i="45"/>
  <c r="J2" i="45"/>
  <c r="K2" i="45"/>
  <c r="L2" i="45"/>
  <c r="M2" i="45"/>
  <c r="N2" i="45"/>
  <c r="O2" i="45"/>
  <c r="P2" i="45"/>
  <c r="Q2" i="45"/>
  <c r="R2" i="45"/>
  <c r="S2" i="45"/>
  <c r="T2" i="45"/>
  <c r="U2" i="45"/>
  <c r="V2" i="45"/>
  <c r="W2" i="45"/>
  <c r="X2" i="45"/>
  <c r="Y2" i="45"/>
  <c r="Z2" i="45"/>
  <c r="AA2" i="45"/>
  <c r="AB2" i="45"/>
  <c r="AC2" i="45"/>
  <c r="AD2" i="45"/>
  <c r="AE2" i="45"/>
  <c r="AF2" i="45"/>
  <c r="B3" i="45"/>
  <c r="C3" i="45"/>
  <c r="D3" i="45"/>
  <c r="E3" i="45"/>
  <c r="F3" i="45"/>
  <c r="G3" i="45"/>
  <c r="H3" i="45"/>
  <c r="I3" i="45"/>
  <c r="J3" i="45"/>
  <c r="K3" i="45"/>
  <c r="L3" i="45"/>
  <c r="M3" i="45"/>
  <c r="N3" i="45"/>
  <c r="O3" i="45"/>
  <c r="P3" i="45"/>
  <c r="Q3" i="45"/>
  <c r="R3" i="45"/>
  <c r="S3" i="45"/>
  <c r="T3" i="45"/>
  <c r="U3" i="45"/>
  <c r="V3" i="45"/>
  <c r="W3" i="45"/>
  <c r="X3" i="45"/>
  <c r="Y3" i="45"/>
  <c r="Z3" i="45"/>
  <c r="AA3" i="45"/>
  <c r="AB3" i="45"/>
  <c r="AC3" i="45"/>
  <c r="AD3" i="45"/>
  <c r="AE3" i="45"/>
  <c r="AF3" i="45"/>
  <c r="B4" i="45"/>
  <c r="C4" i="45"/>
  <c r="D4" i="45"/>
  <c r="E4" i="45"/>
  <c r="F4" i="45"/>
  <c r="G4" i="45"/>
  <c r="H4" i="45"/>
  <c r="I4" i="45"/>
  <c r="J4" i="45"/>
  <c r="K4" i="45"/>
  <c r="L4" i="45"/>
  <c r="M4" i="45"/>
  <c r="N4" i="45"/>
  <c r="O4" i="45"/>
  <c r="P4" i="45"/>
  <c r="Q4" i="45"/>
  <c r="R4" i="45"/>
  <c r="S4" i="45"/>
  <c r="T4" i="45"/>
  <c r="U4" i="45"/>
  <c r="V4" i="45"/>
  <c r="W4" i="45"/>
  <c r="X4" i="45"/>
  <c r="Y4" i="45"/>
  <c r="Z4" i="45"/>
  <c r="AA4" i="45"/>
  <c r="AB4" i="45"/>
  <c r="AC4" i="45"/>
  <c r="AD4" i="45"/>
  <c r="AE4" i="45"/>
  <c r="AF4" i="45"/>
  <c r="B5" i="45"/>
  <c r="C5" i="45"/>
  <c r="D5" i="45"/>
  <c r="E5" i="45"/>
  <c r="F5" i="45"/>
  <c r="G5" i="45"/>
  <c r="H5" i="45"/>
  <c r="I5" i="45"/>
  <c r="J5" i="45"/>
  <c r="K5" i="45"/>
  <c r="L5" i="45"/>
  <c r="M5" i="45"/>
  <c r="N5" i="45"/>
  <c r="O5" i="45"/>
  <c r="P5" i="45"/>
  <c r="Q5" i="45"/>
  <c r="R5" i="45"/>
  <c r="S5" i="45"/>
  <c r="T5" i="45"/>
  <c r="U5" i="45"/>
  <c r="V5" i="45"/>
  <c r="W5" i="45"/>
  <c r="X5" i="45"/>
  <c r="Y5" i="45"/>
  <c r="Z5" i="45"/>
  <c r="AA5" i="45"/>
  <c r="AB5" i="45"/>
  <c r="AC5" i="45"/>
  <c r="AD5" i="45"/>
  <c r="AE5" i="45"/>
  <c r="AF5" i="45"/>
  <c r="B6" i="45"/>
  <c r="C6" i="45"/>
  <c r="D6" i="45"/>
  <c r="E6" i="45"/>
  <c r="F6" i="45"/>
  <c r="G6" i="45"/>
  <c r="H6" i="45"/>
  <c r="I6" i="45"/>
  <c r="J6" i="45"/>
  <c r="K6" i="45"/>
  <c r="L6" i="45"/>
  <c r="M6" i="45"/>
  <c r="N6" i="45"/>
  <c r="O6" i="45"/>
  <c r="P6" i="45"/>
  <c r="Q6" i="45"/>
  <c r="R6" i="45"/>
  <c r="S6" i="45"/>
  <c r="T6" i="45"/>
  <c r="U6" i="45"/>
  <c r="V6" i="45"/>
  <c r="W6" i="45"/>
  <c r="X6" i="45"/>
  <c r="Y6" i="45"/>
  <c r="Z6" i="45"/>
  <c r="AA6" i="45"/>
  <c r="AB6" i="45"/>
  <c r="AC6" i="45"/>
  <c r="AD6" i="45"/>
  <c r="AE6" i="45"/>
  <c r="AF6" i="45"/>
  <c r="Y7" i="42"/>
  <c r="Z7" i="42"/>
  <c r="AA7" i="42"/>
  <c r="AB7" i="42"/>
  <c r="AC7" i="42"/>
  <c r="AD7" i="42"/>
  <c r="AE7" i="42"/>
  <c r="AF7" i="42"/>
  <c r="Y9" i="42"/>
  <c r="Z9" i="42"/>
  <c r="AA9" i="42"/>
  <c r="AB9" i="42"/>
  <c r="AC9" i="42"/>
  <c r="AD9" i="42"/>
  <c r="AE9" i="42"/>
  <c r="AF9" i="42"/>
  <c r="Y9" i="44"/>
  <c r="Z9" i="44"/>
  <c r="AA9" i="44"/>
  <c r="AB9" i="44"/>
  <c r="AC9" i="44"/>
  <c r="AD9" i="44"/>
  <c r="AE9" i="44"/>
  <c r="AF9" i="44"/>
  <c r="Y7" i="44"/>
  <c r="Z7" i="44"/>
  <c r="AA7" i="44"/>
  <c r="AB7" i="44"/>
  <c r="AC7" i="44"/>
  <c r="AD7" i="44"/>
  <c r="AE7" i="44"/>
  <c r="AF7" i="44"/>
  <c r="B2" i="13"/>
  <c r="C2" i="13"/>
  <c r="D2" i="13"/>
  <c r="E2" i="13"/>
  <c r="F2" i="13"/>
  <c r="G2" i="13"/>
  <c r="H2" i="13"/>
  <c r="I2" i="13"/>
  <c r="J2" i="13"/>
  <c r="K2" i="13"/>
  <c r="L2" i="13"/>
  <c r="M2" i="13"/>
  <c r="N2" i="13"/>
  <c r="O2" i="13"/>
  <c r="P2" i="13"/>
  <c r="Q2" i="13"/>
  <c r="R2" i="13"/>
  <c r="S2" i="13"/>
  <c r="T2" i="13"/>
  <c r="U2" i="13"/>
  <c r="V2" i="13"/>
  <c r="W2" i="13"/>
  <c r="X2" i="13"/>
  <c r="Y2" i="13"/>
  <c r="Z2" i="13"/>
  <c r="AA2" i="13"/>
  <c r="AB2" i="13"/>
  <c r="AC2" i="13"/>
  <c r="AD2" i="13"/>
  <c r="AE2" i="13"/>
  <c r="AF2" i="13"/>
  <c r="B3" i="1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AF3" i="13"/>
  <c r="B4" i="13"/>
  <c r="C4" i="13"/>
  <c r="D4" i="13"/>
  <c r="E4" i="13"/>
  <c r="F4" i="13"/>
  <c r="G4" i="13"/>
  <c r="H4" i="13"/>
  <c r="I4" i="13"/>
  <c r="J4" i="13"/>
  <c r="K4" i="13"/>
  <c r="L4" i="13"/>
  <c r="M4" i="13"/>
  <c r="N4" i="13"/>
  <c r="O4" i="13"/>
  <c r="P4" i="13"/>
  <c r="Q4" i="13"/>
  <c r="R4" i="13"/>
  <c r="S4" i="13"/>
  <c r="T4" i="13"/>
  <c r="U4" i="13"/>
  <c r="V4" i="13"/>
  <c r="W4" i="13"/>
  <c r="X4" i="13"/>
  <c r="Y4" i="13"/>
  <c r="Z4" i="13"/>
  <c r="AA4" i="13"/>
  <c r="AB4" i="13"/>
  <c r="AC4" i="13"/>
  <c r="AD4" i="13"/>
  <c r="AE4" i="13"/>
  <c r="AF4" i="13"/>
  <c r="B5" i="13"/>
  <c r="C5" i="13"/>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B6"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AF6" i="13"/>
  <c r="Q36" i="74"/>
  <c r="R36" i="74"/>
  <c r="S36" i="74"/>
  <c r="T36" i="74"/>
  <c r="U36" i="74"/>
  <c r="V36" i="74"/>
  <c r="W36" i="74"/>
  <c r="X36" i="74"/>
  <c r="Y36" i="74"/>
  <c r="Z36" i="74"/>
  <c r="AA36" i="74"/>
  <c r="AB36" i="74"/>
  <c r="AC36" i="74"/>
  <c r="AD36" i="74"/>
  <c r="P36" i="74"/>
  <c r="B18" i="74"/>
  <c r="B40" i="74" l="1"/>
  <c r="B37" i="74" s="1"/>
  <c r="C40" i="74"/>
  <c r="C37" i="74" s="1"/>
  <c r="D40" i="74"/>
  <c r="D37" i="74" s="1"/>
  <c r="E40" i="74"/>
  <c r="E37" i="74" s="1"/>
  <c r="F40" i="74"/>
  <c r="F37" i="74" s="1"/>
  <c r="G40" i="74"/>
  <c r="G37" i="74" s="1"/>
  <c r="H40" i="74"/>
  <c r="H37" i="74" s="1"/>
  <c r="I40" i="74"/>
  <c r="I37" i="74" s="1"/>
  <c r="J40" i="74"/>
  <c r="J37" i="74" s="1"/>
  <c r="K40" i="74"/>
  <c r="K37" i="74" s="1"/>
  <c r="L40" i="74"/>
  <c r="L37" i="74" s="1"/>
  <c r="M40" i="74"/>
  <c r="M37" i="74" s="1"/>
  <c r="N40" i="74"/>
  <c r="N37" i="74" s="1"/>
  <c r="O40" i="74"/>
  <c r="O37" i="74" s="1"/>
  <c r="B39" i="74"/>
  <c r="C39" i="74"/>
  <c r="D39" i="74"/>
  <c r="E39" i="74"/>
  <c r="F39" i="74"/>
  <c r="G39" i="74"/>
  <c r="H39" i="74"/>
  <c r="I39" i="74"/>
  <c r="J39" i="74"/>
  <c r="K39" i="74"/>
  <c r="L39" i="74"/>
  <c r="M39" i="74"/>
  <c r="N39" i="74"/>
  <c r="O39" i="74"/>
  <c r="B36" i="74"/>
  <c r="C36" i="74"/>
  <c r="D36" i="74"/>
  <c r="E36" i="74"/>
  <c r="F36" i="74"/>
  <c r="G36" i="74"/>
  <c r="H36" i="74"/>
  <c r="I36" i="74"/>
  <c r="J36" i="74"/>
  <c r="K36" i="74"/>
  <c r="L36" i="74"/>
  <c r="M36" i="74"/>
  <c r="N36" i="74"/>
  <c r="O36" i="74"/>
  <c r="B38" i="74"/>
  <c r="C38" i="74"/>
  <c r="D38" i="74"/>
  <c r="E38" i="74"/>
  <c r="F38" i="74"/>
  <c r="G38" i="74"/>
  <c r="H38" i="74"/>
  <c r="I38" i="74"/>
  <c r="J38" i="74"/>
  <c r="K38" i="74"/>
  <c r="L38" i="74"/>
  <c r="M38" i="74"/>
  <c r="N38" i="74"/>
  <c r="O38" i="74"/>
  <c r="Q51" i="120"/>
  <c r="P51" i="120"/>
  <c r="O51" i="120"/>
  <c r="N51" i="120"/>
  <c r="M51" i="120"/>
  <c r="L51" i="120"/>
  <c r="K51" i="120"/>
  <c r="J51" i="120"/>
  <c r="I51" i="120"/>
  <c r="H51" i="120"/>
  <c r="G51" i="120"/>
  <c r="F51" i="120"/>
  <c r="E51" i="120"/>
  <c r="D51" i="120"/>
  <c r="E51" i="119"/>
  <c r="F51" i="119"/>
  <c r="G51" i="119"/>
  <c r="H51" i="119"/>
  <c r="I51" i="119"/>
  <c r="J51" i="119"/>
  <c r="K51" i="119"/>
  <c r="L51" i="119"/>
  <c r="M51" i="119"/>
  <c r="N51" i="119"/>
  <c r="O51" i="119"/>
  <c r="P51" i="119"/>
  <c r="Q51" i="119"/>
  <c r="D51" i="119"/>
  <c r="B28" i="74"/>
  <c r="B21" i="74" s="1"/>
  <c r="C28" i="74"/>
  <c r="C21" i="74" s="1"/>
  <c r="A29" i="74"/>
  <c r="A22" i="74" s="1"/>
  <c r="B29" i="74"/>
  <c r="B22" i="74" s="1"/>
  <c r="B13" i="74" s="1"/>
  <c r="B4" i="74" s="1"/>
  <c r="C29" i="74"/>
  <c r="C22" i="74" s="1"/>
  <c r="C13" i="74" s="1"/>
  <c r="C4" i="74" s="1"/>
  <c r="A30" i="74"/>
  <c r="A23" i="74" s="1"/>
  <c r="B30" i="74"/>
  <c r="B23" i="74" s="1"/>
  <c r="B14" i="74" s="1"/>
  <c r="B5" i="74" s="1"/>
  <c r="C30" i="74"/>
  <c r="C23" i="74" s="1"/>
  <c r="C14" i="74" s="1"/>
  <c r="C5" i="74" s="1"/>
  <c r="A31" i="74"/>
  <c r="A24" i="74" s="1"/>
  <c r="B31" i="74"/>
  <c r="B24" i="74" s="1"/>
  <c r="B15" i="74" s="1"/>
  <c r="C31" i="74"/>
  <c r="C24" i="74" s="1"/>
  <c r="C15" i="74" s="1"/>
  <c r="C6" i="74" s="1"/>
  <c r="A32" i="74"/>
  <c r="A25" i="74" s="1"/>
  <c r="B32" i="74"/>
  <c r="B25" i="74" s="1"/>
  <c r="B16" i="74" s="1"/>
  <c r="B7" i="74" s="1"/>
  <c r="C32" i="74"/>
  <c r="C25" i="74" s="1"/>
  <c r="C16" i="74" s="1"/>
  <c r="C7" i="74" s="1"/>
  <c r="R52" i="118"/>
  <c r="F52" i="118"/>
  <c r="G52" i="118"/>
  <c r="H52" i="118"/>
  <c r="I52" i="118"/>
  <c r="J52" i="118"/>
  <c r="K52" i="118"/>
  <c r="L52" i="118"/>
  <c r="M52" i="118"/>
  <c r="N52" i="118"/>
  <c r="O52" i="118"/>
  <c r="P52" i="118"/>
  <c r="Q52" i="118"/>
  <c r="E52" i="118"/>
  <c r="C89" i="133"/>
  <c r="C90" i="133"/>
  <c r="C91" i="133"/>
  <c r="B89" i="133"/>
  <c r="B90" i="133"/>
  <c r="B91" i="133"/>
  <c r="C88" i="133"/>
  <c r="B88" i="133"/>
  <c r="B93" i="133"/>
  <c r="B98" i="133"/>
  <c r="B97" i="133"/>
  <c r="B99" i="133"/>
  <c r="C99" i="133"/>
  <c r="C96" i="133"/>
  <c r="A93" i="133"/>
  <c r="G84" i="133"/>
  <c r="C97" i="133" s="1"/>
  <c r="M87" i="133"/>
  <c r="I84" i="133" s="1"/>
  <c r="C98" i="133" s="1"/>
  <c r="O87" i="133"/>
  <c r="B4" i="133"/>
  <c r="C4" i="133"/>
  <c r="B3" i="133"/>
  <c r="C3" i="133"/>
  <c r="J32" i="118"/>
  <c r="H32" i="118"/>
  <c r="H34" i="118"/>
  <c r="H14" i="74" l="1"/>
  <c r="H5" i="74" s="1"/>
  <c r="P14" i="74"/>
  <c r="P5" i="74" s="1"/>
  <c r="G14" i="74"/>
  <c r="G5" i="74" s="1"/>
  <c r="I14" i="74"/>
  <c r="I5" i="74" s="1"/>
  <c r="Q14" i="74"/>
  <c r="Q5" i="74" s="1"/>
  <c r="J14" i="74"/>
  <c r="J5" i="74" s="1"/>
  <c r="K14" i="74"/>
  <c r="K5" i="74" s="1"/>
  <c r="D14" i="74"/>
  <c r="D5" i="74" s="1"/>
  <c r="O14" i="74"/>
  <c r="O5" i="74" s="1"/>
  <c r="L14" i="74"/>
  <c r="L5" i="74" s="1"/>
  <c r="E14" i="74"/>
  <c r="E5" i="74" s="1"/>
  <c r="M14" i="74"/>
  <c r="M5" i="74" s="1"/>
  <c r="F14" i="74"/>
  <c r="F5" i="74" s="1"/>
  <c r="N14" i="74"/>
  <c r="N5" i="74" s="1"/>
  <c r="L13" i="74"/>
  <c r="L4" i="74" s="1"/>
  <c r="E13" i="74"/>
  <c r="E4" i="74" s="1"/>
  <c r="M13" i="74"/>
  <c r="M4" i="74" s="1"/>
  <c r="F13" i="74"/>
  <c r="F4" i="74" s="1"/>
  <c r="N13" i="74"/>
  <c r="N4" i="74" s="1"/>
  <c r="G13" i="74"/>
  <c r="G4" i="74" s="1"/>
  <c r="O13" i="74"/>
  <c r="O4" i="74" s="1"/>
  <c r="H13" i="74"/>
  <c r="H4" i="74" s="1"/>
  <c r="P13" i="74"/>
  <c r="P4" i="74" s="1"/>
  <c r="D13" i="74"/>
  <c r="D4" i="74" s="1"/>
  <c r="I13" i="74"/>
  <c r="I4" i="74" s="1"/>
  <c r="Q13" i="74"/>
  <c r="Q4" i="74" s="1"/>
  <c r="K13" i="74"/>
  <c r="K4" i="74" s="1"/>
  <c r="J13" i="74"/>
  <c r="J4" i="74" s="1"/>
  <c r="H16" i="74"/>
  <c r="H7" i="74" s="1"/>
  <c r="P16" i="74"/>
  <c r="P7" i="74" s="1"/>
  <c r="O16" i="74"/>
  <c r="O7" i="74" s="1"/>
  <c r="I16" i="74"/>
  <c r="I7" i="74" s="1"/>
  <c r="Q16" i="74"/>
  <c r="Q7" i="74" s="1"/>
  <c r="D16" i="74"/>
  <c r="D7" i="74" s="1"/>
  <c r="J16" i="74"/>
  <c r="J7" i="74" s="1"/>
  <c r="K16" i="74"/>
  <c r="K7" i="74" s="1"/>
  <c r="L16" i="74"/>
  <c r="L7" i="74" s="1"/>
  <c r="G16" i="74"/>
  <c r="G7" i="74" s="1"/>
  <c r="E16" i="74"/>
  <c r="E7" i="74" s="1"/>
  <c r="M16" i="74"/>
  <c r="M7" i="74" s="1"/>
  <c r="F16" i="74"/>
  <c r="F7" i="74" s="1"/>
  <c r="N16" i="74"/>
  <c r="N7" i="74" s="1"/>
  <c r="C12" i="74"/>
  <c r="C3" i="74" s="1"/>
  <c r="L15" i="74"/>
  <c r="L6" i="74" s="1"/>
  <c r="E15" i="74"/>
  <c r="E6" i="74" s="1"/>
  <c r="M15" i="74"/>
  <c r="M6" i="74" s="1"/>
  <c r="F15" i="74"/>
  <c r="F6" i="74" s="1"/>
  <c r="N15" i="74"/>
  <c r="N6" i="74" s="1"/>
  <c r="D15" i="74"/>
  <c r="D6" i="74" s="1"/>
  <c r="K15" i="74"/>
  <c r="K6" i="74" s="1"/>
  <c r="G15" i="74"/>
  <c r="G6" i="74" s="1"/>
  <c r="O15" i="74"/>
  <c r="O6" i="74" s="1"/>
  <c r="H15" i="74"/>
  <c r="H6" i="74" s="1"/>
  <c r="P15" i="74"/>
  <c r="P6" i="74" s="1"/>
  <c r="I15" i="74"/>
  <c r="I6" i="74" s="1"/>
  <c r="Q15" i="74"/>
  <c r="Q6" i="74" s="1"/>
  <c r="J15" i="74"/>
  <c r="J6" i="74" s="1"/>
  <c r="B12" i="74"/>
  <c r="B3" i="74" s="1"/>
  <c r="B6" i="74"/>
  <c r="H12" i="74" l="1"/>
  <c r="H3" i="74" s="1"/>
  <c r="P12" i="74"/>
  <c r="P3" i="74" s="1"/>
  <c r="G12" i="74"/>
  <c r="G3" i="74" s="1"/>
  <c r="I12" i="74"/>
  <c r="I3" i="74" s="1"/>
  <c r="Q12" i="74"/>
  <c r="Q3" i="74" s="1"/>
  <c r="J12" i="74"/>
  <c r="J3" i="74" s="1"/>
  <c r="O12" i="74"/>
  <c r="O3" i="74" s="1"/>
  <c r="K12" i="74"/>
  <c r="K3" i="74" s="1"/>
  <c r="L12" i="74"/>
  <c r="L3" i="74" s="1"/>
  <c r="E12" i="74"/>
  <c r="E3" i="74" s="1"/>
  <c r="M12" i="74"/>
  <c r="M3" i="74" s="1"/>
  <c r="D12" i="74"/>
  <c r="D3" i="74" s="1"/>
  <c r="F12" i="74"/>
  <c r="F3" i="74" s="1"/>
  <c r="N12" i="74"/>
  <c r="N3" i="74" s="1"/>
  <c r="H33" i="118" l="1"/>
  <c r="B6" i="34"/>
  <c r="C6" i="34"/>
  <c r="D6" i="34"/>
  <c r="E6" i="34"/>
  <c r="F6" i="34"/>
  <c r="G6" i="34"/>
  <c r="H6" i="34"/>
  <c r="I6" i="34"/>
  <c r="J6" i="34"/>
  <c r="K6" i="34"/>
  <c r="L6" i="34"/>
  <c r="M6" i="34"/>
  <c r="N6" i="34"/>
  <c r="O6" i="34"/>
  <c r="P6" i="34"/>
  <c r="Q6" i="34"/>
  <c r="R6" i="34"/>
  <c r="S6" i="34"/>
  <c r="T6" i="34"/>
  <c r="U6" i="34"/>
  <c r="V6" i="34"/>
  <c r="W6" i="34"/>
  <c r="X6" i="34"/>
  <c r="Y6" i="34"/>
  <c r="Z6" i="34"/>
  <c r="AA6" i="34"/>
  <c r="AB6" i="34"/>
  <c r="AC6" i="34"/>
  <c r="AD6" i="34"/>
  <c r="AE6" i="34"/>
  <c r="AF6" i="34"/>
  <c r="B7" i="34"/>
  <c r="C7" i="34"/>
  <c r="D7" i="34"/>
  <c r="E7" i="34"/>
  <c r="F7" i="34"/>
  <c r="G7" i="34"/>
  <c r="H7" i="34"/>
  <c r="I7" i="34"/>
  <c r="J7" i="34"/>
  <c r="K7" i="34"/>
  <c r="L7" i="34"/>
  <c r="M7" i="34"/>
  <c r="N7" i="34"/>
  <c r="O7" i="34"/>
  <c r="P7" i="34"/>
  <c r="Q7" i="34"/>
  <c r="R7" i="34"/>
  <c r="S7" i="34"/>
  <c r="T7" i="34"/>
  <c r="U7" i="34"/>
  <c r="V7" i="34"/>
  <c r="W7" i="34"/>
  <c r="X7" i="34"/>
  <c r="Y7" i="34"/>
  <c r="Z7" i="34"/>
  <c r="AA7" i="34"/>
  <c r="AB7" i="34"/>
  <c r="AC7" i="34"/>
  <c r="AD7" i="34"/>
  <c r="AE7" i="34"/>
  <c r="AF7" i="34"/>
  <c r="B8" i="34"/>
  <c r="C8" i="34"/>
  <c r="D8" i="34"/>
  <c r="E8" i="34"/>
  <c r="F8" i="34"/>
  <c r="G8" i="34"/>
  <c r="H8" i="34"/>
  <c r="I8" i="34"/>
  <c r="J8" i="34"/>
  <c r="K8" i="34"/>
  <c r="L8" i="34"/>
  <c r="M8" i="34"/>
  <c r="N8" i="34"/>
  <c r="O8" i="34"/>
  <c r="P8" i="34"/>
  <c r="Q8" i="34"/>
  <c r="R8" i="34"/>
  <c r="S8" i="34"/>
  <c r="T8" i="34"/>
  <c r="U8" i="34"/>
  <c r="V8" i="34"/>
  <c r="W8" i="34"/>
  <c r="X8" i="34"/>
  <c r="Y8" i="34"/>
  <c r="Z8" i="34"/>
  <c r="AA8" i="34"/>
  <c r="AB8" i="34"/>
  <c r="AC8" i="34"/>
  <c r="AD8" i="34"/>
  <c r="AE8" i="34"/>
  <c r="AF8" i="34"/>
  <c r="B9" i="34"/>
  <c r="C9" i="34"/>
  <c r="D9" i="34"/>
  <c r="E9" i="34"/>
  <c r="F9" i="34"/>
  <c r="G9" i="34"/>
  <c r="H9" i="34"/>
  <c r="I9" i="34"/>
  <c r="J9" i="34"/>
  <c r="K9" i="34"/>
  <c r="L9" i="34"/>
  <c r="M9" i="34"/>
  <c r="N9" i="34"/>
  <c r="O9" i="34"/>
  <c r="P9" i="34"/>
  <c r="Q9" i="34"/>
  <c r="R9" i="34"/>
  <c r="S9" i="34"/>
  <c r="T9" i="34"/>
  <c r="U9" i="34"/>
  <c r="V9" i="34"/>
  <c r="W9" i="34"/>
  <c r="X9" i="34"/>
  <c r="Y9" i="34"/>
  <c r="Z9" i="34"/>
  <c r="AA9" i="34"/>
  <c r="AB9" i="34"/>
  <c r="AC9" i="34"/>
  <c r="AD9" i="34"/>
  <c r="AE9" i="34"/>
  <c r="AF9" i="34"/>
  <c r="C4" i="27"/>
  <c r="D4" i="27"/>
  <c r="E4" i="27"/>
  <c r="F4" i="27"/>
  <c r="G4" i="27"/>
  <c r="H4" i="27"/>
  <c r="I4" i="27"/>
  <c r="J4" i="27"/>
  <c r="K4" i="27"/>
  <c r="L4" i="27"/>
  <c r="M4" i="27"/>
  <c r="N4" i="27"/>
  <c r="O4" i="27"/>
  <c r="P4" i="27"/>
  <c r="Q4" i="27"/>
  <c r="R4" i="27"/>
  <c r="S4" i="27"/>
  <c r="T4" i="27"/>
  <c r="U4" i="27"/>
  <c r="V4" i="27"/>
  <c r="W4" i="27"/>
  <c r="X4" i="27"/>
  <c r="Y4" i="27"/>
  <c r="Z4" i="27"/>
  <c r="AA4" i="27"/>
  <c r="AB4" i="27"/>
  <c r="AC4" i="27"/>
  <c r="AD4" i="27"/>
  <c r="AE4" i="27"/>
  <c r="AF4" i="27"/>
  <c r="C5" i="27"/>
  <c r="D5" i="27"/>
  <c r="E5" i="27"/>
  <c r="F5" i="27"/>
  <c r="G5" i="27"/>
  <c r="H5" i="27"/>
  <c r="I5" i="27"/>
  <c r="J5" i="27"/>
  <c r="K5" i="27"/>
  <c r="L5" i="27"/>
  <c r="M5" i="27"/>
  <c r="N5" i="27"/>
  <c r="O5" i="27"/>
  <c r="P5" i="27"/>
  <c r="Q5" i="27"/>
  <c r="R5" i="27"/>
  <c r="S5" i="27"/>
  <c r="T5" i="27"/>
  <c r="U5" i="27"/>
  <c r="V5" i="27"/>
  <c r="W5" i="27"/>
  <c r="X5" i="27"/>
  <c r="Y5" i="27"/>
  <c r="Z5" i="27"/>
  <c r="AA5" i="27"/>
  <c r="AB5" i="27"/>
  <c r="AC5" i="27"/>
  <c r="AD5" i="27"/>
  <c r="AE5" i="27"/>
  <c r="AF5" i="27"/>
  <c r="B5" i="27"/>
  <c r="B4" i="27"/>
  <c r="C2" i="27"/>
  <c r="D2" i="27"/>
  <c r="E2" i="27"/>
  <c r="F2" i="27"/>
  <c r="G2" i="27"/>
  <c r="H2" i="27"/>
  <c r="I2" i="27"/>
  <c r="J2" i="27"/>
  <c r="K2" i="27"/>
  <c r="L2" i="27"/>
  <c r="M2" i="27"/>
  <c r="N2" i="27"/>
  <c r="O2" i="27"/>
  <c r="P2" i="27"/>
  <c r="Q2" i="27"/>
  <c r="R2" i="27"/>
  <c r="S2" i="27"/>
  <c r="T2" i="27"/>
  <c r="U2" i="27"/>
  <c r="V2" i="27"/>
  <c r="W2" i="27"/>
  <c r="X2" i="27"/>
  <c r="Y2" i="27"/>
  <c r="Z2" i="27"/>
  <c r="AA2" i="27"/>
  <c r="AB2" i="27"/>
  <c r="AC2" i="27"/>
  <c r="AD2" i="27"/>
  <c r="AE2" i="27"/>
  <c r="AF2" i="27"/>
  <c r="B2" i="27"/>
  <c r="Y9" i="22"/>
  <c r="Z9" i="22"/>
  <c r="AA9" i="22"/>
  <c r="AB9" i="22"/>
  <c r="AC9" i="22"/>
  <c r="AD9" i="22"/>
  <c r="AE9" i="22"/>
  <c r="AF9" i="22"/>
  <c r="B8"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AF8" i="11"/>
  <c r="C15" i="67"/>
  <c r="D15" i="67"/>
  <c r="E15" i="67"/>
  <c r="F15" i="67"/>
  <c r="G15" i="67"/>
  <c r="H15" i="67"/>
  <c r="I15" i="67"/>
  <c r="J15" i="67"/>
  <c r="K15" i="67"/>
  <c r="L15" i="67"/>
  <c r="M15" i="67"/>
  <c r="N15" i="67"/>
  <c r="O15" i="67"/>
  <c r="P15" i="67"/>
  <c r="Q15" i="67"/>
  <c r="R15" i="67"/>
  <c r="S15" i="67"/>
  <c r="T15" i="67"/>
  <c r="U15" i="67"/>
  <c r="V15" i="67"/>
  <c r="W15" i="67"/>
  <c r="X15" i="67"/>
  <c r="Y15" i="67"/>
  <c r="Z15" i="67"/>
  <c r="AA15" i="67"/>
  <c r="AB15" i="67"/>
  <c r="AC15" i="67"/>
  <c r="AD15" i="67"/>
  <c r="AE15" i="67"/>
  <c r="AF15" i="67"/>
  <c r="C3" i="67"/>
  <c r="D3" i="67"/>
  <c r="E3" i="67"/>
  <c r="F3" i="67"/>
  <c r="G3" i="67"/>
  <c r="H3" i="67"/>
  <c r="I3" i="67"/>
  <c r="J3" i="67"/>
  <c r="K3" i="67"/>
  <c r="L3" i="67"/>
  <c r="M3" i="67"/>
  <c r="N3" i="67"/>
  <c r="O3" i="67"/>
  <c r="P3" i="67"/>
  <c r="Q3" i="67"/>
  <c r="R3" i="67"/>
  <c r="S3" i="67"/>
  <c r="T3" i="67"/>
  <c r="U3" i="67"/>
  <c r="V3" i="67"/>
  <c r="W3" i="67"/>
  <c r="X3" i="67"/>
  <c r="Y3" i="67"/>
  <c r="Z3" i="67"/>
  <c r="AA3" i="67"/>
  <c r="AB3" i="67"/>
  <c r="AC3" i="67"/>
  <c r="AD3" i="67"/>
  <c r="AE3" i="67"/>
  <c r="AF3" i="67"/>
  <c r="B3" i="67"/>
  <c r="B15" i="67"/>
  <c r="C22" i="67"/>
  <c r="D22" i="67"/>
  <c r="E22" i="67"/>
  <c r="F22" i="67"/>
  <c r="G22" i="67"/>
  <c r="H22" i="67"/>
  <c r="I22" i="67"/>
  <c r="J22" i="67"/>
  <c r="K22" i="67"/>
  <c r="L22" i="67"/>
  <c r="M22" i="67"/>
  <c r="N22" i="67"/>
  <c r="O22" i="67"/>
  <c r="P22" i="67"/>
  <c r="Q22" i="67"/>
  <c r="R22" i="67"/>
  <c r="S22" i="67"/>
  <c r="T22" i="67"/>
  <c r="U22" i="67"/>
  <c r="V22" i="67"/>
  <c r="W22" i="67"/>
  <c r="X22" i="67"/>
  <c r="Y22" i="67"/>
  <c r="Z22" i="67"/>
  <c r="AA22" i="67"/>
  <c r="AB22" i="67"/>
  <c r="AC22" i="67"/>
  <c r="AD22" i="67"/>
  <c r="AE22" i="67"/>
  <c r="AF22" i="67"/>
  <c r="C23" i="67"/>
  <c r="D23" i="67"/>
  <c r="E23" i="67"/>
  <c r="F23" i="67"/>
  <c r="G23" i="67"/>
  <c r="H23" i="67"/>
  <c r="I23" i="67"/>
  <c r="J23" i="67"/>
  <c r="K23" i="67"/>
  <c r="L23" i="67"/>
  <c r="M23" i="67"/>
  <c r="N23" i="67"/>
  <c r="O23" i="67"/>
  <c r="P23" i="67"/>
  <c r="Q23" i="67"/>
  <c r="R23" i="67"/>
  <c r="S23" i="67"/>
  <c r="T23" i="67"/>
  <c r="U23" i="67"/>
  <c r="V23" i="67"/>
  <c r="W23" i="67"/>
  <c r="X23" i="67"/>
  <c r="Y23" i="67"/>
  <c r="Z23" i="67"/>
  <c r="AA23" i="67"/>
  <c r="AB23" i="67"/>
  <c r="AC23" i="67"/>
  <c r="AD23" i="67"/>
  <c r="AE23" i="67"/>
  <c r="AF23" i="67"/>
  <c r="B22" i="67"/>
  <c r="B23" i="67"/>
  <c r="F81" i="100"/>
  <c r="G81" i="100" s="1"/>
  <c r="H81" i="100" s="1"/>
  <c r="I81" i="100" s="1"/>
  <c r="J81" i="100" s="1"/>
  <c r="K81" i="100" s="1"/>
  <c r="L81" i="100" s="1"/>
  <c r="M81" i="100" s="1"/>
  <c r="N81" i="100" s="1"/>
  <c r="O81" i="100" s="1"/>
  <c r="P81" i="100" s="1"/>
  <c r="Q81" i="100" s="1"/>
  <c r="R81" i="100" s="1"/>
  <c r="S81" i="100" s="1"/>
  <c r="T81" i="100" s="1"/>
  <c r="U81" i="100" s="1"/>
  <c r="V81" i="100" s="1"/>
  <c r="W81" i="100" s="1"/>
  <c r="X81" i="100" s="1"/>
  <c r="Y81" i="100" s="1"/>
  <c r="Z81" i="100" s="1"/>
  <c r="AA81" i="100" s="1"/>
  <c r="AB81" i="100" s="1"/>
  <c r="AC81" i="100" s="1"/>
  <c r="AD81" i="100" s="1"/>
  <c r="AE81" i="100" s="1"/>
  <c r="AF81" i="100" s="1"/>
  <c r="E81" i="100"/>
  <c r="D81" i="100"/>
  <c r="H49" i="87"/>
  <c r="I49" i="87"/>
  <c r="J49" i="87"/>
  <c r="K49" i="87"/>
  <c r="L49" i="87"/>
  <c r="M49" i="87"/>
  <c r="N49" i="87"/>
  <c r="O49" i="87"/>
  <c r="P49" i="87"/>
  <c r="Q49" i="87"/>
  <c r="R49" i="87"/>
  <c r="S49" i="87"/>
  <c r="T49" i="87"/>
  <c r="U49" i="87"/>
  <c r="V49" i="87"/>
  <c r="W49" i="87"/>
  <c r="X49" i="87"/>
  <c r="Y49" i="87"/>
  <c r="Z49" i="87"/>
  <c r="AA49" i="87"/>
  <c r="AB49" i="87"/>
  <c r="AC49" i="87"/>
  <c r="AD49" i="87"/>
  <c r="AE49" i="87"/>
  <c r="AF49" i="87"/>
  <c r="AG49" i="87"/>
  <c r="AH49" i="87"/>
  <c r="AI49" i="87"/>
  <c r="G49" i="87"/>
  <c r="A28" i="67" l="1"/>
  <c r="A27" i="67"/>
  <c r="A26" i="67"/>
  <c r="B26" i="67"/>
  <c r="C26" i="67"/>
  <c r="D26" i="67"/>
  <c r="B31" i="67"/>
  <c r="C31" i="67"/>
  <c r="D31" i="67"/>
  <c r="E40" i="87"/>
  <c r="C82" i="100" s="1"/>
  <c r="E80" i="100" s="1"/>
  <c r="E78" i="100" s="1"/>
  <c r="D40" i="87"/>
  <c r="D39" i="87"/>
  <c r="B19" i="98"/>
  <c r="F18" i="97"/>
  <c r="G18" i="97"/>
  <c r="H18" i="97" s="1"/>
  <c r="I18" i="97" s="1"/>
  <c r="J18" i="97" s="1"/>
  <c r="K18" i="97" s="1"/>
  <c r="L18" i="97" s="1"/>
  <c r="M18" i="97" s="1"/>
  <c r="N18" i="97" s="1"/>
  <c r="O18" i="97" s="1"/>
  <c r="P18" i="97" s="1"/>
  <c r="Q18" i="97" s="1"/>
  <c r="R18" i="97" s="1"/>
  <c r="S18" i="97" s="1"/>
  <c r="T18" i="97" s="1"/>
  <c r="U18" i="97" s="1"/>
  <c r="V18" i="97" s="1"/>
  <c r="W18" i="97" s="1"/>
  <c r="X18" i="97" s="1"/>
  <c r="Y18" i="97" s="1"/>
  <c r="Z18" i="97" s="1"/>
  <c r="AA18" i="97" s="1"/>
  <c r="AB18" i="97" s="1"/>
  <c r="AC18" i="97" s="1"/>
  <c r="AD18" i="97" s="1"/>
  <c r="AE18" i="97" s="1"/>
  <c r="AF18" i="97" s="1"/>
  <c r="AG18" i="97" s="1"/>
  <c r="G19" i="97"/>
  <c r="F20" i="97"/>
  <c r="G20" i="97"/>
  <c r="H20" i="97" s="1"/>
  <c r="I20" i="97" s="1"/>
  <c r="J20" i="97" s="1"/>
  <c r="K20" i="97" s="1"/>
  <c r="L20" i="97" s="1"/>
  <c r="M20" i="97" s="1"/>
  <c r="N20" i="97" s="1"/>
  <c r="O20" i="97" s="1"/>
  <c r="P20" i="97" s="1"/>
  <c r="Q20" i="97" s="1"/>
  <c r="R20" i="97" s="1"/>
  <c r="S20" i="97" s="1"/>
  <c r="T20" i="97" s="1"/>
  <c r="U20" i="97" s="1"/>
  <c r="V20" i="97" s="1"/>
  <c r="W20" i="97" s="1"/>
  <c r="X20" i="97" s="1"/>
  <c r="Y20" i="97" s="1"/>
  <c r="Z20" i="97" s="1"/>
  <c r="AA20" i="97" s="1"/>
  <c r="AB20" i="97" s="1"/>
  <c r="AC20" i="97" s="1"/>
  <c r="AD20" i="97" s="1"/>
  <c r="AE20" i="97" s="1"/>
  <c r="AF20" i="97" s="1"/>
  <c r="AG20" i="97" s="1"/>
  <c r="F21" i="97"/>
  <c r="G21" i="97"/>
  <c r="H21" i="97" s="1"/>
  <c r="I21" i="97" s="1"/>
  <c r="J21" i="97" s="1"/>
  <c r="K21" i="97" s="1"/>
  <c r="L21" i="97" s="1"/>
  <c r="M21" i="97" s="1"/>
  <c r="N21" i="97" s="1"/>
  <c r="O21" i="97" s="1"/>
  <c r="P21" i="97" s="1"/>
  <c r="Q21" i="97" s="1"/>
  <c r="R21" i="97" s="1"/>
  <c r="S21" i="97" s="1"/>
  <c r="T21" i="97" s="1"/>
  <c r="U21" i="97" s="1"/>
  <c r="V21" i="97" s="1"/>
  <c r="W21" i="97" s="1"/>
  <c r="X21" i="97" s="1"/>
  <c r="Y21" i="97" s="1"/>
  <c r="Z21" i="97" s="1"/>
  <c r="AA21" i="97" s="1"/>
  <c r="AB21" i="97" s="1"/>
  <c r="AC21" i="97" s="1"/>
  <c r="AD21" i="97" s="1"/>
  <c r="AE21" i="97" s="1"/>
  <c r="AF21" i="97" s="1"/>
  <c r="AG21" i="97" s="1"/>
  <c r="F22" i="97"/>
  <c r="F19" i="97" s="1"/>
  <c r="G22" i="97"/>
  <c r="H22" i="97" s="1"/>
  <c r="E19" i="97"/>
  <c r="D19" i="97"/>
  <c r="E21" i="97"/>
  <c r="E20" i="97"/>
  <c r="E22" i="97"/>
  <c r="E18" i="97"/>
  <c r="C18" i="97"/>
  <c r="D18" i="97"/>
  <c r="C20" i="97"/>
  <c r="D20" i="97"/>
  <c r="C21" i="97"/>
  <c r="D21" i="97"/>
  <c r="C22" i="97"/>
  <c r="C19" i="97" s="1"/>
  <c r="D22" i="97"/>
  <c r="B19" i="97"/>
  <c r="D31" i="97"/>
  <c r="E31" i="97"/>
  <c r="D32" i="97"/>
  <c r="E32" i="97"/>
  <c r="D33" i="97"/>
  <c r="E33" i="97"/>
  <c r="E29" i="97"/>
  <c r="D29" i="97"/>
  <c r="B34" i="130"/>
  <c r="B33" i="130"/>
  <c r="B35" i="97"/>
  <c r="B36" i="97"/>
  <c r="B38" i="97"/>
  <c r="B39" i="97"/>
  <c r="B40" i="97"/>
  <c r="B37" i="98"/>
  <c r="C37" i="98"/>
  <c r="C25" i="81"/>
  <c r="B25" i="81"/>
  <c r="H4" i="111"/>
  <c r="H5" i="111"/>
  <c r="H6" i="111"/>
  <c r="H7" i="111"/>
  <c r="H8" i="111"/>
  <c r="H3" i="111"/>
  <c r="F4" i="111"/>
  <c r="F6" i="111"/>
  <c r="F8" i="111"/>
  <c r="E3" i="111"/>
  <c r="F3" i="111" s="1"/>
  <c r="E5" i="111"/>
  <c r="F5" i="111" s="1"/>
  <c r="E7" i="111"/>
  <c r="F7" i="111" s="1"/>
  <c r="C30" i="98"/>
  <c r="D30" i="98"/>
  <c r="E30" i="98"/>
  <c r="F30" i="98"/>
  <c r="G30" i="98"/>
  <c r="H30" i="98"/>
  <c r="I30" i="98"/>
  <c r="J30" i="98"/>
  <c r="K30" i="98"/>
  <c r="L30" i="98"/>
  <c r="M30" i="98"/>
  <c r="N30" i="98"/>
  <c r="O30" i="98"/>
  <c r="P30" i="98"/>
  <c r="Q30" i="98"/>
  <c r="R30" i="98"/>
  <c r="S30" i="98"/>
  <c r="T30" i="98"/>
  <c r="U30" i="98"/>
  <c r="V30" i="98"/>
  <c r="W30" i="98"/>
  <c r="X30" i="98"/>
  <c r="Y30" i="98"/>
  <c r="Z30" i="98"/>
  <c r="AA30" i="98"/>
  <c r="AB30" i="98"/>
  <c r="AC30" i="98"/>
  <c r="AD30" i="98"/>
  <c r="C31" i="98"/>
  <c r="D31" i="98"/>
  <c r="E31" i="98"/>
  <c r="F31" i="98"/>
  <c r="G31" i="98"/>
  <c r="H31" i="98"/>
  <c r="I31" i="98"/>
  <c r="J31" i="98"/>
  <c r="K31" i="98"/>
  <c r="L31" i="98"/>
  <c r="M31" i="98"/>
  <c r="N31" i="98"/>
  <c r="O31" i="98"/>
  <c r="P31" i="98"/>
  <c r="Q31" i="98"/>
  <c r="R31" i="98"/>
  <c r="S31" i="98"/>
  <c r="T31" i="98"/>
  <c r="U31" i="98"/>
  <c r="V31" i="98"/>
  <c r="W31" i="98"/>
  <c r="X31" i="98"/>
  <c r="Y31" i="98"/>
  <c r="Z31" i="98"/>
  <c r="AA31" i="98"/>
  <c r="AB31" i="98"/>
  <c r="AC31" i="98"/>
  <c r="AD31" i="98"/>
  <c r="C32" i="98"/>
  <c r="D32" i="98"/>
  <c r="E32" i="98"/>
  <c r="F32" i="98"/>
  <c r="G32" i="98"/>
  <c r="H32" i="98"/>
  <c r="I32" i="98"/>
  <c r="J32" i="98"/>
  <c r="K32" i="98"/>
  <c r="L32" i="98"/>
  <c r="M32" i="98"/>
  <c r="N32" i="98"/>
  <c r="O32" i="98"/>
  <c r="P32" i="98"/>
  <c r="Q32" i="98"/>
  <c r="R32" i="98"/>
  <c r="S32" i="98"/>
  <c r="T32" i="98"/>
  <c r="U32" i="98"/>
  <c r="V32" i="98"/>
  <c r="W32" i="98"/>
  <c r="X32" i="98"/>
  <c r="Y32" i="98"/>
  <c r="Z32" i="98"/>
  <c r="AA32" i="98"/>
  <c r="AB32" i="98"/>
  <c r="AC32" i="98"/>
  <c r="AD32" i="98"/>
  <c r="C33" i="98"/>
  <c r="D33" i="98"/>
  <c r="E33" i="98"/>
  <c r="F33" i="98"/>
  <c r="G33" i="98"/>
  <c r="H33" i="98"/>
  <c r="I33" i="98"/>
  <c r="J33" i="98"/>
  <c r="K33" i="98"/>
  <c r="L33" i="98"/>
  <c r="M33" i="98"/>
  <c r="N33" i="98"/>
  <c r="O33" i="98"/>
  <c r="P33" i="98"/>
  <c r="Q33" i="98"/>
  <c r="R33" i="98"/>
  <c r="S33" i="98"/>
  <c r="T33" i="98"/>
  <c r="U33" i="98"/>
  <c r="V33" i="98"/>
  <c r="W33" i="98"/>
  <c r="X33" i="98"/>
  <c r="Y33" i="98"/>
  <c r="Z33" i="98"/>
  <c r="AA33" i="98"/>
  <c r="AB33" i="98"/>
  <c r="AC33" i="98"/>
  <c r="AD33" i="98"/>
  <c r="C34" i="98"/>
  <c r="D34" i="98"/>
  <c r="E34" i="98"/>
  <c r="F34" i="98"/>
  <c r="G34" i="98"/>
  <c r="H34" i="98"/>
  <c r="I34" i="98"/>
  <c r="J34" i="98"/>
  <c r="K34" i="98"/>
  <c r="L34" i="98"/>
  <c r="M34" i="98"/>
  <c r="N34" i="98"/>
  <c r="O34" i="98"/>
  <c r="P34" i="98"/>
  <c r="Q34" i="98"/>
  <c r="R34" i="98"/>
  <c r="S34" i="98"/>
  <c r="T34" i="98"/>
  <c r="U34" i="98"/>
  <c r="V34" i="98"/>
  <c r="W34" i="98"/>
  <c r="X34" i="98"/>
  <c r="Y34" i="98"/>
  <c r="Z34" i="98"/>
  <c r="AA34" i="98"/>
  <c r="AB34" i="98"/>
  <c r="AC34" i="98"/>
  <c r="AD34" i="98"/>
  <c r="B34" i="98"/>
  <c r="B33" i="98"/>
  <c r="B32" i="98"/>
  <c r="B31" i="98"/>
  <c r="B30" i="98"/>
  <c r="A19" i="67"/>
  <c r="E73" i="100" l="1"/>
  <c r="E74" i="100" s="1"/>
  <c r="C78" i="100"/>
  <c r="D80" i="100"/>
  <c r="D78" i="100" s="1"/>
  <c r="I22" i="97"/>
  <c r="H19" i="97"/>
  <c r="I5" i="109"/>
  <c r="D5" i="109" s="1"/>
  <c r="I7" i="109"/>
  <c r="D7" i="109" s="1"/>
  <c r="I5" i="108"/>
  <c r="D5" i="108" s="1"/>
  <c r="I7" i="108"/>
  <c r="D7" i="108" s="1"/>
  <c r="E49" i="67"/>
  <c r="F49" i="67"/>
  <c r="G49" i="67"/>
  <c r="H49" i="67"/>
  <c r="I49" i="67"/>
  <c r="J49" i="67"/>
  <c r="K49" i="67"/>
  <c r="L49" i="67"/>
  <c r="M49" i="67"/>
  <c r="N49" i="67"/>
  <c r="O49" i="67"/>
  <c r="P49" i="67"/>
  <c r="Q49" i="67"/>
  <c r="R49" i="67"/>
  <c r="S49" i="67"/>
  <c r="T49" i="67"/>
  <c r="U49" i="67"/>
  <c r="V49" i="67"/>
  <c r="W49" i="67"/>
  <c r="X49" i="67"/>
  <c r="Y49" i="67"/>
  <c r="Z49" i="67"/>
  <c r="AA49" i="67"/>
  <c r="AB49" i="67"/>
  <c r="AC49" i="67"/>
  <c r="AD49" i="67"/>
  <c r="AE49" i="67"/>
  <c r="AF49" i="67"/>
  <c r="D49" i="67"/>
  <c r="D45" i="67"/>
  <c r="E45" i="67"/>
  <c r="F45" i="67"/>
  <c r="G45" i="67"/>
  <c r="H45" i="67"/>
  <c r="I45" i="67"/>
  <c r="J45" i="67"/>
  <c r="K45" i="67"/>
  <c r="L45" i="67"/>
  <c r="M45" i="67"/>
  <c r="N45" i="67"/>
  <c r="O45" i="67"/>
  <c r="P45" i="67"/>
  <c r="Q45" i="67"/>
  <c r="R45" i="67"/>
  <c r="S45" i="67"/>
  <c r="T45" i="67"/>
  <c r="U45" i="67"/>
  <c r="V45" i="67"/>
  <c r="W45" i="67"/>
  <c r="X45" i="67"/>
  <c r="Y45" i="67"/>
  <c r="Z45" i="67"/>
  <c r="AA45" i="67"/>
  <c r="AB45" i="67"/>
  <c r="AC45" i="67"/>
  <c r="AD45" i="67"/>
  <c r="AE45" i="67"/>
  <c r="AF45" i="67"/>
  <c r="C48" i="67"/>
  <c r="C41" i="67" s="1"/>
  <c r="B48" i="67"/>
  <c r="B41" i="67" s="1"/>
  <c r="C44" i="67"/>
  <c r="C40" i="67" s="1"/>
  <c r="B44" i="67"/>
  <c r="B40" i="67" s="1"/>
  <c r="C186" i="1"/>
  <c r="B217" i="1"/>
  <c r="D73" i="100" l="1"/>
  <c r="D74" i="100" s="1"/>
  <c r="C73" i="100"/>
  <c r="C74" i="100" s="1"/>
  <c r="J22" i="97"/>
  <c r="I19" i="97"/>
  <c r="D41" i="67"/>
  <c r="E41" i="67" s="1"/>
  <c r="F41" i="67" s="1"/>
  <c r="G41" i="67" s="1"/>
  <c r="H41" i="67" s="1"/>
  <c r="I41" i="67" s="1"/>
  <c r="J41" i="67" s="1"/>
  <c r="K41" i="67" s="1"/>
  <c r="L41" i="67" s="1"/>
  <c r="M41" i="67" s="1"/>
  <c r="N41" i="67" s="1"/>
  <c r="O41" i="67" s="1"/>
  <c r="P41" i="67" s="1"/>
  <c r="Q41" i="67" s="1"/>
  <c r="R41" i="67" s="1"/>
  <c r="S41" i="67" s="1"/>
  <c r="T41" i="67" s="1"/>
  <c r="U41" i="67" s="1"/>
  <c r="V41" i="67" s="1"/>
  <c r="W41" i="67" s="1"/>
  <c r="X41" i="67" s="1"/>
  <c r="Y41" i="67" s="1"/>
  <c r="Z41" i="67" s="1"/>
  <c r="AA41" i="67" s="1"/>
  <c r="AB41" i="67" s="1"/>
  <c r="AC41" i="67" s="1"/>
  <c r="AD41" i="67" s="1"/>
  <c r="AE41" i="67" s="1"/>
  <c r="AF41" i="67" s="1"/>
  <c r="D40" i="67"/>
  <c r="E40" i="67" s="1"/>
  <c r="F40" i="67" s="1"/>
  <c r="G40" i="67" s="1"/>
  <c r="H40" i="67" s="1"/>
  <c r="I40" i="67" s="1"/>
  <c r="J40" i="67" s="1"/>
  <c r="K40" i="67" s="1"/>
  <c r="L40" i="67" s="1"/>
  <c r="M40" i="67" s="1"/>
  <c r="N40" i="67" s="1"/>
  <c r="O40" i="67" s="1"/>
  <c r="P40" i="67" s="1"/>
  <c r="Q40" i="67" s="1"/>
  <c r="R40" i="67" s="1"/>
  <c r="S40" i="67" s="1"/>
  <c r="T40" i="67" s="1"/>
  <c r="U40" i="67" s="1"/>
  <c r="V40" i="67" s="1"/>
  <c r="W40" i="67" s="1"/>
  <c r="X40" i="67" s="1"/>
  <c r="Y40" i="67" s="1"/>
  <c r="Z40" i="67" s="1"/>
  <c r="AA40" i="67" s="1"/>
  <c r="AB40" i="67" s="1"/>
  <c r="AC40" i="67" s="1"/>
  <c r="AD40" i="67" s="1"/>
  <c r="AE40" i="67" s="1"/>
  <c r="AF40" i="67" s="1"/>
  <c r="C11" i="106"/>
  <c r="D11" i="106"/>
  <c r="E11" i="106"/>
  <c r="F11" i="106"/>
  <c r="G11" i="106"/>
  <c r="H11" i="106"/>
  <c r="I11" i="106"/>
  <c r="I4" i="106" s="1"/>
  <c r="J11" i="106"/>
  <c r="J4" i="106" s="1"/>
  <c r="K11" i="106"/>
  <c r="L11" i="106"/>
  <c r="M11" i="106"/>
  <c r="N11" i="106"/>
  <c r="O11" i="106"/>
  <c r="P11" i="106"/>
  <c r="Q11" i="106"/>
  <c r="Q4" i="106" s="1"/>
  <c r="C4" i="106"/>
  <c r="D4" i="106"/>
  <c r="E4" i="106"/>
  <c r="F4" i="106"/>
  <c r="G4" i="106"/>
  <c r="H4" i="106"/>
  <c r="K4" i="106"/>
  <c r="L4" i="106"/>
  <c r="M4" i="106"/>
  <c r="N4" i="106"/>
  <c r="O4" i="106"/>
  <c r="P4" i="106"/>
  <c r="B4" i="106"/>
  <c r="B11" i="106"/>
  <c r="B3" i="106"/>
  <c r="J19" i="97" l="1"/>
  <c r="K22" i="97"/>
  <c r="K19" i="97" l="1"/>
  <c r="L22" i="97"/>
  <c r="L19" i="97" l="1"/>
  <c r="M22" i="97"/>
  <c r="N22" i="97" l="1"/>
  <c r="M19" i="97"/>
  <c r="H3" i="118"/>
  <c r="H4" i="118"/>
  <c r="D4" i="118" s="1"/>
  <c r="H5" i="118"/>
  <c r="F5" i="118" s="1"/>
  <c r="H6" i="118"/>
  <c r="H7" i="118"/>
  <c r="H8" i="118"/>
  <c r="H9" i="118"/>
  <c r="H10" i="118"/>
  <c r="B10" i="118" s="1"/>
  <c r="H11" i="118"/>
  <c r="H12" i="118"/>
  <c r="D12" i="118" s="1"/>
  <c r="H13" i="118"/>
  <c r="F13" i="118" s="1"/>
  <c r="H14" i="118"/>
  <c r="H15" i="118"/>
  <c r="H16" i="118"/>
  <c r="H17" i="118"/>
  <c r="H18" i="118"/>
  <c r="B18" i="118" s="1"/>
  <c r="H19" i="118"/>
  <c r="H20" i="118"/>
  <c r="D20" i="118" s="1"/>
  <c r="H21" i="118"/>
  <c r="F21" i="118" s="1"/>
  <c r="H22" i="118"/>
  <c r="H23" i="118"/>
  <c r="H24" i="118"/>
  <c r="H25" i="118"/>
  <c r="H26" i="118"/>
  <c r="B26" i="118" s="1"/>
  <c r="H27" i="118"/>
  <c r="H28" i="118"/>
  <c r="D28" i="118" s="1"/>
  <c r="H29" i="118"/>
  <c r="F29" i="118" s="1"/>
  <c r="H30" i="118"/>
  <c r="H31" i="118"/>
  <c r="B16" i="118"/>
  <c r="B24" i="118"/>
  <c r="H2" i="118"/>
  <c r="B2" i="118" s="1"/>
  <c r="B34" i="118"/>
  <c r="H35" i="118"/>
  <c r="C35" i="118" s="1"/>
  <c r="H36" i="118"/>
  <c r="D36" i="118" s="1"/>
  <c r="H37" i="118"/>
  <c r="E37" i="118" s="1"/>
  <c r="H38" i="118"/>
  <c r="E38" i="118" s="1"/>
  <c r="H39" i="118"/>
  <c r="B39" i="118" s="1"/>
  <c r="H40" i="118"/>
  <c r="E40" i="118" s="1"/>
  <c r="H41" i="118"/>
  <c r="E41" i="118" s="1"/>
  <c r="H42" i="118"/>
  <c r="E42" i="118" s="1"/>
  <c r="H43" i="118"/>
  <c r="B43" i="118" s="1"/>
  <c r="H44" i="118"/>
  <c r="B44" i="118" s="1"/>
  <c r="H45" i="118"/>
  <c r="E45" i="118" s="1"/>
  <c r="H46" i="118"/>
  <c r="E46" i="118" s="1"/>
  <c r="H47" i="118"/>
  <c r="E47" i="118" s="1"/>
  <c r="E33" i="118"/>
  <c r="F17" i="118"/>
  <c r="B32" i="118"/>
  <c r="B33" i="118"/>
  <c r="A2" i="120"/>
  <c r="H2" i="120"/>
  <c r="C2" i="120" s="1"/>
  <c r="A3" i="120"/>
  <c r="H3" i="120"/>
  <c r="B3" i="120" s="1"/>
  <c r="A4" i="120"/>
  <c r="H4" i="120"/>
  <c r="D4" i="120" s="1"/>
  <c r="A5" i="120"/>
  <c r="H5" i="120"/>
  <c r="D5" i="120" s="1"/>
  <c r="A6" i="120"/>
  <c r="C6" i="120"/>
  <c r="H6" i="120"/>
  <c r="F6" i="120" s="1"/>
  <c r="A7" i="120"/>
  <c r="H7" i="120"/>
  <c r="B7" i="120" s="1"/>
  <c r="A8" i="120"/>
  <c r="H8" i="120"/>
  <c r="B8" i="120" s="1"/>
  <c r="A9" i="120"/>
  <c r="H9" i="120"/>
  <c r="A10" i="120"/>
  <c r="H10" i="120"/>
  <c r="B10" i="120" s="1"/>
  <c r="A11" i="120"/>
  <c r="H11" i="120"/>
  <c r="B11" i="120" s="1"/>
  <c r="A12" i="120"/>
  <c r="H12" i="120"/>
  <c r="C12" i="120" s="1"/>
  <c r="A13" i="120"/>
  <c r="F13" i="120"/>
  <c r="H13" i="120"/>
  <c r="D13" i="120" s="1"/>
  <c r="A14" i="120"/>
  <c r="H14" i="120"/>
  <c r="F14" i="120" s="1"/>
  <c r="A15" i="120"/>
  <c r="H15" i="120"/>
  <c r="B15" i="120" s="1"/>
  <c r="A16" i="120"/>
  <c r="H16" i="120"/>
  <c r="B16" i="120" s="1"/>
  <c r="A17" i="120"/>
  <c r="H17" i="120"/>
  <c r="A18" i="120"/>
  <c r="H18" i="120"/>
  <c r="B18" i="120" s="1"/>
  <c r="A19" i="120"/>
  <c r="D19" i="120"/>
  <c r="H19" i="120"/>
  <c r="B19" i="120" s="1"/>
  <c r="A20" i="120"/>
  <c r="H20" i="120"/>
  <c r="C20" i="120" s="1"/>
  <c r="A21" i="120"/>
  <c r="H21" i="120"/>
  <c r="D21" i="120" s="1"/>
  <c r="A22" i="120"/>
  <c r="B22" i="120"/>
  <c r="H22" i="120"/>
  <c r="F22" i="120" s="1"/>
  <c r="A23" i="120"/>
  <c r="H23" i="120"/>
  <c r="B23" i="120" s="1"/>
  <c r="A24" i="120"/>
  <c r="H24" i="120"/>
  <c r="B24" i="120" s="1"/>
  <c r="A25" i="120"/>
  <c r="H25" i="120"/>
  <c r="A26" i="120"/>
  <c r="H26" i="120"/>
  <c r="B26" i="120" s="1"/>
  <c r="A27" i="120"/>
  <c r="H27" i="120"/>
  <c r="B27" i="120" s="1"/>
  <c r="A28" i="120"/>
  <c r="H28" i="120"/>
  <c r="C28" i="120" s="1"/>
  <c r="A29" i="120"/>
  <c r="H29" i="120"/>
  <c r="D29" i="120" s="1"/>
  <c r="A30" i="120"/>
  <c r="H30" i="120"/>
  <c r="F30" i="120" s="1"/>
  <c r="A31" i="120"/>
  <c r="H31" i="120"/>
  <c r="B31" i="120" s="1"/>
  <c r="A32" i="120"/>
  <c r="H32" i="120"/>
  <c r="A33" i="120"/>
  <c r="H33" i="120"/>
  <c r="A34" i="120"/>
  <c r="H34" i="120"/>
  <c r="B34" i="120" s="1"/>
  <c r="A35" i="120"/>
  <c r="H35" i="120"/>
  <c r="F35" i="120" s="1"/>
  <c r="A36" i="120"/>
  <c r="H36" i="120"/>
  <c r="C36" i="120" s="1"/>
  <c r="A37" i="120"/>
  <c r="H37" i="120"/>
  <c r="D37" i="120" s="1"/>
  <c r="A38" i="120"/>
  <c r="H38" i="120"/>
  <c r="F38" i="120" s="1"/>
  <c r="A39" i="120"/>
  <c r="H39" i="120"/>
  <c r="B39" i="120" s="1"/>
  <c r="A40" i="120"/>
  <c r="H40" i="120"/>
  <c r="B40" i="120" s="1"/>
  <c r="A41" i="120"/>
  <c r="H41" i="120"/>
  <c r="A42" i="120"/>
  <c r="H42" i="120"/>
  <c r="B42" i="120" s="1"/>
  <c r="A43" i="120"/>
  <c r="H43" i="120"/>
  <c r="F43" i="120" s="1"/>
  <c r="A44" i="120"/>
  <c r="H44" i="120"/>
  <c r="C44" i="120" s="1"/>
  <c r="A45" i="120"/>
  <c r="H45" i="120"/>
  <c r="D45" i="120" s="1"/>
  <c r="A46" i="120"/>
  <c r="H46" i="120"/>
  <c r="F46" i="120" s="1"/>
  <c r="A47" i="120"/>
  <c r="H47" i="120"/>
  <c r="B47" i="120" s="1"/>
  <c r="A2" i="119"/>
  <c r="G2" i="119"/>
  <c r="A3" i="119"/>
  <c r="G3" i="119"/>
  <c r="A4" i="119"/>
  <c r="G4" i="119"/>
  <c r="B4" i="119" s="1"/>
  <c r="A5" i="119"/>
  <c r="C5" i="119"/>
  <c r="G5" i="119"/>
  <c r="B5" i="119" s="1"/>
  <c r="A6" i="119"/>
  <c r="B6" i="119"/>
  <c r="D6" i="119"/>
  <c r="G6" i="119"/>
  <c r="C6" i="119" s="1"/>
  <c r="A7" i="119"/>
  <c r="C7" i="119"/>
  <c r="G7" i="119"/>
  <c r="D7" i="119" s="1"/>
  <c r="A8" i="119"/>
  <c r="G8" i="119"/>
  <c r="F8" i="119" s="1"/>
  <c r="A9" i="119"/>
  <c r="G9" i="119"/>
  <c r="B9" i="119" s="1"/>
  <c r="A10" i="119"/>
  <c r="G10" i="119"/>
  <c r="F10" i="119" s="1"/>
  <c r="A11" i="119"/>
  <c r="G11" i="119"/>
  <c r="A12" i="119"/>
  <c r="G12" i="119"/>
  <c r="B12" i="119" s="1"/>
  <c r="A13" i="119"/>
  <c r="B13" i="119"/>
  <c r="G13" i="119"/>
  <c r="F13" i="119" s="1"/>
  <c r="A14" i="119"/>
  <c r="G14" i="119"/>
  <c r="C14" i="119" s="1"/>
  <c r="A15" i="119"/>
  <c r="G15" i="119"/>
  <c r="D15" i="119" s="1"/>
  <c r="A16" i="119"/>
  <c r="C16" i="119"/>
  <c r="G16" i="119"/>
  <c r="F16" i="119" s="1"/>
  <c r="A17" i="119"/>
  <c r="F17" i="119"/>
  <c r="G17" i="119"/>
  <c r="B17" i="119" s="1"/>
  <c r="A18" i="119"/>
  <c r="G18" i="119"/>
  <c r="F18" i="119" s="1"/>
  <c r="A19" i="119"/>
  <c r="G19" i="119"/>
  <c r="A20" i="119"/>
  <c r="G20" i="119"/>
  <c r="A21" i="119"/>
  <c r="D21" i="119"/>
  <c r="G21" i="119"/>
  <c r="C21" i="119" s="1"/>
  <c r="A22" i="119"/>
  <c r="B22" i="119"/>
  <c r="G22" i="119"/>
  <c r="C22" i="119" s="1"/>
  <c r="A23" i="119"/>
  <c r="G23" i="119"/>
  <c r="B23" i="119" s="1"/>
  <c r="A24" i="119"/>
  <c r="G24" i="119"/>
  <c r="F24" i="119" s="1"/>
  <c r="A25" i="119"/>
  <c r="D25" i="119"/>
  <c r="G25" i="119"/>
  <c r="B25" i="119" s="1"/>
  <c r="A26" i="119"/>
  <c r="G26" i="119"/>
  <c r="D26" i="119" s="1"/>
  <c r="A27" i="119"/>
  <c r="G27" i="119"/>
  <c r="F27" i="119" s="1"/>
  <c r="A28" i="119"/>
  <c r="G28" i="119"/>
  <c r="C28" i="119" s="1"/>
  <c r="A29" i="119"/>
  <c r="G29" i="119"/>
  <c r="B29" i="119" s="1"/>
  <c r="A30" i="119"/>
  <c r="G30" i="119"/>
  <c r="C30" i="119" s="1"/>
  <c r="A31" i="119"/>
  <c r="G31" i="119"/>
  <c r="D31" i="119" s="1"/>
  <c r="A32" i="119"/>
  <c r="G32" i="119"/>
  <c r="F32" i="119" s="1"/>
  <c r="A33" i="119"/>
  <c r="G33" i="119"/>
  <c r="B33" i="119" s="1"/>
  <c r="A34" i="119"/>
  <c r="G34" i="119"/>
  <c r="D34" i="119" s="1"/>
  <c r="A35" i="119"/>
  <c r="G35" i="119"/>
  <c r="D35" i="119" s="1"/>
  <c r="A36" i="119"/>
  <c r="G36" i="119"/>
  <c r="F36" i="119" s="1"/>
  <c r="A37" i="119"/>
  <c r="G37" i="119"/>
  <c r="F37" i="119" s="1"/>
  <c r="A38" i="119"/>
  <c r="G38" i="119"/>
  <c r="C38" i="119" s="1"/>
  <c r="A39" i="119"/>
  <c r="G39" i="119"/>
  <c r="D39" i="119" s="1"/>
  <c r="A40" i="119"/>
  <c r="G40" i="119"/>
  <c r="F40" i="119" s="1"/>
  <c r="A41" i="119"/>
  <c r="G41" i="119"/>
  <c r="B41" i="119" s="1"/>
  <c r="A42" i="119"/>
  <c r="F42" i="119"/>
  <c r="G42" i="119"/>
  <c r="C42" i="119" s="1"/>
  <c r="A43" i="119"/>
  <c r="G43" i="119"/>
  <c r="D43" i="119" s="1"/>
  <c r="A44" i="119"/>
  <c r="G44" i="119"/>
  <c r="F44" i="119" s="1"/>
  <c r="A45" i="119"/>
  <c r="B45" i="119"/>
  <c r="D45" i="119"/>
  <c r="G45" i="119"/>
  <c r="C45" i="119" s="1"/>
  <c r="A46" i="119"/>
  <c r="D46" i="119"/>
  <c r="G46" i="119"/>
  <c r="C46" i="119" s="1"/>
  <c r="A47" i="119"/>
  <c r="C47" i="119"/>
  <c r="G47" i="119"/>
  <c r="D47" i="119" s="1"/>
  <c r="A2" i="118"/>
  <c r="A3" i="118"/>
  <c r="B3" i="118"/>
  <c r="F3" i="118"/>
  <c r="C3" i="118"/>
  <c r="A4" i="118"/>
  <c r="A5" i="118"/>
  <c r="A6" i="118"/>
  <c r="B6" i="118"/>
  <c r="A7" i="118"/>
  <c r="B7" i="118"/>
  <c r="A8" i="118"/>
  <c r="A9" i="118"/>
  <c r="A10" i="118"/>
  <c r="A11" i="118"/>
  <c r="B11" i="118"/>
  <c r="F11" i="118"/>
  <c r="C11" i="118"/>
  <c r="A12" i="118"/>
  <c r="A13" i="118"/>
  <c r="D13" i="118"/>
  <c r="A14" i="118"/>
  <c r="B14" i="118"/>
  <c r="A15" i="118"/>
  <c r="B15" i="118"/>
  <c r="A16" i="118"/>
  <c r="A17" i="118"/>
  <c r="A18" i="118"/>
  <c r="A19" i="118"/>
  <c r="B19" i="118"/>
  <c r="C19" i="118"/>
  <c r="A20" i="118"/>
  <c r="A21" i="118"/>
  <c r="A22" i="118"/>
  <c r="B22" i="118"/>
  <c r="A23" i="118"/>
  <c r="B23" i="118"/>
  <c r="A24" i="118"/>
  <c r="A25" i="118"/>
  <c r="A26" i="118"/>
  <c r="A27" i="118"/>
  <c r="C27" i="118"/>
  <c r="A28" i="118"/>
  <c r="A29" i="118"/>
  <c r="A30" i="118"/>
  <c r="B30" i="118"/>
  <c r="A31" i="118"/>
  <c r="B31" i="118"/>
  <c r="A32" i="118"/>
  <c r="A33" i="118"/>
  <c r="A34" i="118"/>
  <c r="A35" i="118"/>
  <c r="A36" i="118"/>
  <c r="C36" i="118"/>
  <c r="A37" i="118"/>
  <c r="C37" i="118"/>
  <c r="F37" i="118"/>
  <c r="A38" i="118"/>
  <c r="D38" i="118"/>
  <c r="B38" i="118"/>
  <c r="A39" i="118"/>
  <c r="A40" i="118"/>
  <c r="A41" i="118"/>
  <c r="B41" i="118"/>
  <c r="A42" i="118"/>
  <c r="A43" i="118"/>
  <c r="A44" i="118"/>
  <c r="A45" i="118"/>
  <c r="B45" i="118"/>
  <c r="A46" i="118"/>
  <c r="B46" i="118"/>
  <c r="A47" i="118"/>
  <c r="C17" i="106"/>
  <c r="D17" i="106"/>
  <c r="E17" i="106"/>
  <c r="F17" i="106"/>
  <c r="G17" i="106"/>
  <c r="H17" i="106"/>
  <c r="I17" i="106"/>
  <c r="J17" i="106"/>
  <c r="K17" i="106"/>
  <c r="L17" i="106"/>
  <c r="M17" i="106"/>
  <c r="N17" i="106"/>
  <c r="O17" i="106"/>
  <c r="P17" i="106"/>
  <c r="Q17" i="106"/>
  <c r="C18" i="106"/>
  <c r="D18" i="106"/>
  <c r="E18" i="106"/>
  <c r="F18" i="106"/>
  <c r="G18" i="106"/>
  <c r="H18" i="106"/>
  <c r="I18" i="106"/>
  <c r="J18" i="106"/>
  <c r="K18" i="106"/>
  <c r="L18" i="106"/>
  <c r="M18" i="106"/>
  <c r="N18" i="106"/>
  <c r="O18" i="106"/>
  <c r="P18" i="106"/>
  <c r="Q18" i="106"/>
  <c r="C19" i="106"/>
  <c r="D19" i="106"/>
  <c r="E19" i="106"/>
  <c r="F19" i="106"/>
  <c r="G19" i="106"/>
  <c r="H19" i="106"/>
  <c r="I19" i="106"/>
  <c r="J19" i="106"/>
  <c r="K19" i="106"/>
  <c r="L19" i="106"/>
  <c r="M19" i="106"/>
  <c r="N19" i="106"/>
  <c r="O19" i="106"/>
  <c r="P19" i="106"/>
  <c r="Q19" i="106"/>
  <c r="C20" i="106"/>
  <c r="D20" i="106"/>
  <c r="E20" i="106"/>
  <c r="F20" i="106"/>
  <c r="G20" i="106"/>
  <c r="H20" i="106"/>
  <c r="I20" i="106"/>
  <c r="J20" i="106"/>
  <c r="K20" i="106"/>
  <c r="L20" i="106"/>
  <c r="M20" i="106"/>
  <c r="N20" i="106"/>
  <c r="O20" i="106"/>
  <c r="P20" i="106"/>
  <c r="Q20" i="106"/>
  <c r="C21" i="106"/>
  <c r="D21" i="106"/>
  <c r="E21" i="106"/>
  <c r="F21" i="106"/>
  <c r="G21" i="106"/>
  <c r="H21" i="106"/>
  <c r="I21" i="106"/>
  <c r="J21" i="106"/>
  <c r="K21" i="106"/>
  <c r="L21" i="106"/>
  <c r="M21" i="106"/>
  <c r="N21" i="106"/>
  <c r="O21" i="106"/>
  <c r="P21" i="106"/>
  <c r="Q21" i="106"/>
  <c r="B21" i="106"/>
  <c r="B20" i="106"/>
  <c r="B19" i="106"/>
  <c r="B18" i="106"/>
  <c r="B17" i="106"/>
  <c r="C7" i="28"/>
  <c r="D7" i="28"/>
  <c r="E7" i="28"/>
  <c r="F7" i="28"/>
  <c r="G7" i="28"/>
  <c r="H7" i="28"/>
  <c r="I7" i="28"/>
  <c r="J7" i="28"/>
  <c r="K7" i="28"/>
  <c r="L7" i="28"/>
  <c r="M7" i="28"/>
  <c r="N7" i="28"/>
  <c r="O7" i="28"/>
  <c r="P7" i="28"/>
  <c r="Q7" i="28"/>
  <c r="R7" i="28"/>
  <c r="S7" i="28"/>
  <c r="T7" i="28"/>
  <c r="U7" i="28"/>
  <c r="V7" i="28"/>
  <c r="W7" i="28"/>
  <c r="X7" i="28"/>
  <c r="Y7" i="28"/>
  <c r="Z7" i="28"/>
  <c r="AA7" i="28"/>
  <c r="AB7" i="28"/>
  <c r="AC7" i="28"/>
  <c r="AD7" i="28"/>
  <c r="AE7" i="28"/>
  <c r="AF7" i="28"/>
  <c r="B7" i="28"/>
  <c r="AF9" i="113"/>
  <c r="AE9" i="113"/>
  <c r="AD9" i="113"/>
  <c r="AC9" i="113"/>
  <c r="AB9" i="113"/>
  <c r="AA9" i="113"/>
  <c r="Z9" i="113"/>
  <c r="Y9" i="113"/>
  <c r="X9" i="113"/>
  <c r="W9" i="113"/>
  <c r="V9" i="113"/>
  <c r="U9" i="113"/>
  <c r="T9" i="113"/>
  <c r="S9" i="113"/>
  <c r="R9" i="113"/>
  <c r="Q9" i="113"/>
  <c r="P9" i="113"/>
  <c r="O9" i="113"/>
  <c r="N9" i="113"/>
  <c r="M9" i="113"/>
  <c r="L9" i="113"/>
  <c r="K9" i="113"/>
  <c r="J9" i="113"/>
  <c r="I9" i="113"/>
  <c r="H9" i="113"/>
  <c r="G9" i="113"/>
  <c r="F9" i="113"/>
  <c r="E9" i="113"/>
  <c r="D9" i="113"/>
  <c r="C9" i="113"/>
  <c r="B9" i="113"/>
  <c r="C21" i="120" l="1"/>
  <c r="F7" i="120"/>
  <c r="B36" i="119"/>
  <c r="C25" i="119"/>
  <c r="F22" i="119"/>
  <c r="C13" i="119"/>
  <c r="F5" i="119"/>
  <c r="I5" i="119" s="1"/>
  <c r="J5" i="119" s="1"/>
  <c r="K5" i="119" s="1"/>
  <c r="C37" i="120"/>
  <c r="C43" i="120"/>
  <c r="F27" i="120"/>
  <c r="C24" i="119"/>
  <c r="B43" i="120"/>
  <c r="D27" i="120"/>
  <c r="D7" i="120"/>
  <c r="J27" i="120"/>
  <c r="K27" i="120" s="1"/>
  <c r="L27" i="120" s="1"/>
  <c r="C27" i="120"/>
  <c r="C40" i="119"/>
  <c r="D8" i="119"/>
  <c r="D35" i="120"/>
  <c r="F29" i="120"/>
  <c r="B40" i="119"/>
  <c r="D17" i="119"/>
  <c r="B8" i="119"/>
  <c r="C35" i="120"/>
  <c r="J35" i="120" s="1"/>
  <c r="K35" i="120" s="1"/>
  <c r="L35" i="120" s="1"/>
  <c r="C30" i="120"/>
  <c r="F45" i="119"/>
  <c r="C36" i="119"/>
  <c r="B35" i="120"/>
  <c r="D12" i="120"/>
  <c r="C31" i="119"/>
  <c r="B21" i="119"/>
  <c r="I21" i="119" s="1"/>
  <c r="J21" i="119" s="1"/>
  <c r="K21" i="119" s="1"/>
  <c r="D13" i="119"/>
  <c r="I13" i="119" s="1"/>
  <c r="J13" i="119" s="1"/>
  <c r="K13" i="119" s="1"/>
  <c r="D43" i="120"/>
  <c r="E43" i="118"/>
  <c r="E35" i="118"/>
  <c r="E34" i="118"/>
  <c r="C4" i="120"/>
  <c r="B47" i="119"/>
  <c r="F30" i="119"/>
  <c r="F14" i="119"/>
  <c r="B7" i="119"/>
  <c r="D5" i="119"/>
  <c r="F44" i="120"/>
  <c r="F39" i="120"/>
  <c r="C29" i="120"/>
  <c r="D30" i="119"/>
  <c r="B14" i="119"/>
  <c r="D44" i="120"/>
  <c r="D39" i="120"/>
  <c r="B29" i="120"/>
  <c r="D14" i="120"/>
  <c r="E39" i="118"/>
  <c r="B30" i="119"/>
  <c r="F21" i="119"/>
  <c r="D16" i="119"/>
  <c r="B44" i="120"/>
  <c r="J44" i="120" s="1"/>
  <c r="K44" i="120" s="1"/>
  <c r="L44" i="120" s="1"/>
  <c r="C39" i="120"/>
  <c r="F36" i="120"/>
  <c r="D30" i="120"/>
  <c r="J30" i="120" s="1"/>
  <c r="K30" i="120" s="1"/>
  <c r="L30" i="120" s="1"/>
  <c r="C14" i="120"/>
  <c r="B12" i="120"/>
  <c r="B14" i="120"/>
  <c r="D44" i="119"/>
  <c r="D38" i="119"/>
  <c r="B30" i="120"/>
  <c r="C22" i="120"/>
  <c r="F16" i="120"/>
  <c r="F5" i="120"/>
  <c r="E44" i="118"/>
  <c r="E36" i="118"/>
  <c r="O22" i="97"/>
  <c r="N19" i="97"/>
  <c r="F32" i="120"/>
  <c r="D32" i="120"/>
  <c r="C32" i="120"/>
  <c r="B32" i="120"/>
  <c r="D46" i="120"/>
  <c r="F40" i="120"/>
  <c r="D38" i="120"/>
  <c r="B20" i="120"/>
  <c r="F15" i="120"/>
  <c r="B4" i="120"/>
  <c r="D2" i="120"/>
  <c r="C46" i="120"/>
  <c r="J43" i="120"/>
  <c r="K43" i="120" s="1"/>
  <c r="L43" i="120" s="1"/>
  <c r="C38" i="120"/>
  <c r="B28" i="120"/>
  <c r="F23" i="120"/>
  <c r="D15" i="120"/>
  <c r="D10" i="120"/>
  <c r="B2" i="120"/>
  <c r="B46" i="120"/>
  <c r="B38" i="120"/>
  <c r="D36" i="120"/>
  <c r="F31" i="120"/>
  <c r="D23" i="120"/>
  <c r="C15" i="120"/>
  <c r="F47" i="120"/>
  <c r="B36" i="120"/>
  <c r="D31" i="120"/>
  <c r="C23" i="120"/>
  <c r="J23" i="120" s="1"/>
  <c r="K23" i="120" s="1"/>
  <c r="L23" i="120" s="1"/>
  <c r="F21" i="120"/>
  <c r="F19" i="120"/>
  <c r="C13" i="120"/>
  <c r="F11" i="120"/>
  <c r="C7" i="120"/>
  <c r="J7" i="120" s="1"/>
  <c r="K7" i="120" s="1"/>
  <c r="L7" i="120" s="1"/>
  <c r="B5" i="120"/>
  <c r="F3" i="120"/>
  <c r="D47" i="120"/>
  <c r="C31" i="120"/>
  <c r="B13" i="120"/>
  <c r="D11" i="120"/>
  <c r="D3" i="120"/>
  <c r="C47" i="120"/>
  <c r="C45" i="120"/>
  <c r="B21" i="120"/>
  <c r="C19" i="120"/>
  <c r="J19" i="120" s="1"/>
  <c r="K19" i="120" s="1"/>
  <c r="L19" i="120" s="1"/>
  <c r="C11" i="120"/>
  <c r="C3" i="120"/>
  <c r="B45" i="120"/>
  <c r="B37" i="120"/>
  <c r="J29" i="120"/>
  <c r="K29" i="120" s="1"/>
  <c r="L29" i="120" s="1"/>
  <c r="F24" i="120"/>
  <c r="D22" i="120"/>
  <c r="J22" i="120" s="1"/>
  <c r="K22" i="120" s="1"/>
  <c r="L22" i="120" s="1"/>
  <c r="F8" i="120"/>
  <c r="D6" i="120"/>
  <c r="F4" i="120"/>
  <c r="C10" i="118"/>
  <c r="C12" i="119"/>
  <c r="F29" i="119"/>
  <c r="C44" i="119"/>
  <c r="D42" i="119"/>
  <c r="D40" i="119"/>
  <c r="I40" i="119" s="1"/>
  <c r="J40" i="119" s="1"/>
  <c r="K40" i="119" s="1"/>
  <c r="D36" i="119"/>
  <c r="I36" i="119" s="1"/>
  <c r="J36" i="119" s="1"/>
  <c r="K36" i="119" s="1"/>
  <c r="F25" i="119"/>
  <c r="I25" i="119" s="1"/>
  <c r="J25" i="119" s="1"/>
  <c r="K25" i="119" s="1"/>
  <c r="B24" i="119"/>
  <c r="D22" i="119"/>
  <c r="I22" i="119" s="1"/>
  <c r="J22" i="119" s="1"/>
  <c r="K22" i="119" s="1"/>
  <c r="B16" i="119"/>
  <c r="D14" i="119"/>
  <c r="C8" i="119"/>
  <c r="F6" i="119"/>
  <c r="I6" i="119" s="1"/>
  <c r="J6" i="119" s="1"/>
  <c r="K6" i="119" s="1"/>
  <c r="F33" i="119"/>
  <c r="I45" i="119"/>
  <c r="J45" i="119" s="1"/>
  <c r="K45" i="119" s="1"/>
  <c r="C43" i="119"/>
  <c r="F41" i="119"/>
  <c r="D37" i="119"/>
  <c r="D33" i="119"/>
  <c r="D29" i="119"/>
  <c r="B27" i="119"/>
  <c r="C23" i="119"/>
  <c r="C17" i="119"/>
  <c r="I17" i="119" s="1"/>
  <c r="J17" i="119" s="1"/>
  <c r="K17" i="119" s="1"/>
  <c r="C15" i="119"/>
  <c r="D9" i="119"/>
  <c r="B43" i="119"/>
  <c r="D41" i="119"/>
  <c r="C37" i="119"/>
  <c r="C33" i="119"/>
  <c r="C29" i="119"/>
  <c r="B15" i="119"/>
  <c r="C9" i="119"/>
  <c r="F9" i="119"/>
  <c r="F46" i="119"/>
  <c r="C41" i="119"/>
  <c r="B37" i="119"/>
  <c r="D24" i="119"/>
  <c r="B47" i="118"/>
  <c r="F9" i="118"/>
  <c r="B40" i="118"/>
  <c r="F33" i="118"/>
  <c r="D33" i="118"/>
  <c r="F25" i="118"/>
  <c r="B8" i="118"/>
  <c r="D25" i="118"/>
  <c r="C25" i="118"/>
  <c r="B25" i="118"/>
  <c r="B42" i="118"/>
  <c r="F10" i="118"/>
  <c r="D10" i="118"/>
  <c r="F38" i="118"/>
  <c r="F36" i="118"/>
  <c r="D11" i="118"/>
  <c r="D3" i="118"/>
  <c r="B36" i="118"/>
  <c r="C33" i="118"/>
  <c r="C13" i="118"/>
  <c r="D5" i="118"/>
  <c r="D19" i="118"/>
  <c r="D37" i="118"/>
  <c r="F2" i="118"/>
  <c r="B28" i="118"/>
  <c r="F30" i="118"/>
  <c r="F22" i="118"/>
  <c r="D17" i="118"/>
  <c r="D30" i="118"/>
  <c r="F26" i="118"/>
  <c r="D22" i="118"/>
  <c r="F14" i="118"/>
  <c r="F12" i="118"/>
  <c r="D9" i="118"/>
  <c r="F4" i="118"/>
  <c r="D34" i="118"/>
  <c r="D26" i="118"/>
  <c r="B20" i="118"/>
  <c r="F18" i="118"/>
  <c r="B17" i="118"/>
  <c r="D14" i="118"/>
  <c r="C12" i="118"/>
  <c r="C9" i="118"/>
  <c r="F6" i="118"/>
  <c r="C4" i="118"/>
  <c r="F34" i="118"/>
  <c r="C26" i="118"/>
  <c r="D18" i="118"/>
  <c r="B12" i="118"/>
  <c r="B9" i="118"/>
  <c r="D6" i="118"/>
  <c r="B4" i="118"/>
  <c r="C20" i="118"/>
  <c r="C34" i="118"/>
  <c r="F35" i="118"/>
  <c r="D29" i="118"/>
  <c r="F27" i="118"/>
  <c r="D21" i="118"/>
  <c r="C18" i="118"/>
  <c r="D2" i="118"/>
  <c r="C28" i="118"/>
  <c r="D35" i="118"/>
  <c r="C29" i="118"/>
  <c r="D27" i="118"/>
  <c r="C21" i="118"/>
  <c r="F19" i="118"/>
  <c r="C2" i="118"/>
  <c r="F20" i="118"/>
  <c r="C17" i="118"/>
  <c r="B35" i="118"/>
  <c r="J35" i="118" s="1"/>
  <c r="K35" i="118" s="1"/>
  <c r="L35" i="118" s="1"/>
  <c r="B27" i="118"/>
  <c r="F31" i="118"/>
  <c r="F15" i="118"/>
  <c r="F7" i="118"/>
  <c r="C5" i="118"/>
  <c r="B38" i="119"/>
  <c r="B31" i="119"/>
  <c r="F26" i="119"/>
  <c r="B2" i="119"/>
  <c r="C2" i="119"/>
  <c r="D2" i="119"/>
  <c r="B41" i="120"/>
  <c r="C41" i="120"/>
  <c r="D41" i="120"/>
  <c r="F41" i="120"/>
  <c r="F47" i="118"/>
  <c r="F46" i="118"/>
  <c r="F45" i="118"/>
  <c r="F44" i="118"/>
  <c r="F43" i="118"/>
  <c r="F42" i="118"/>
  <c r="F41" i="118"/>
  <c r="F40" i="118"/>
  <c r="D39" i="118"/>
  <c r="C38" i="118"/>
  <c r="J38" i="118" s="1"/>
  <c r="K38" i="118" s="1"/>
  <c r="L38" i="118" s="1"/>
  <c r="B37" i="118"/>
  <c r="F32" i="118"/>
  <c r="D31" i="118"/>
  <c r="C30" i="118"/>
  <c r="B29" i="118"/>
  <c r="F24" i="118"/>
  <c r="D23" i="118"/>
  <c r="C22" i="118"/>
  <c r="B21" i="118"/>
  <c r="F16" i="118"/>
  <c r="D15" i="118"/>
  <c r="C14" i="118"/>
  <c r="B13" i="118"/>
  <c r="F8" i="118"/>
  <c r="D7" i="118"/>
  <c r="C6" i="118"/>
  <c r="B5" i="118"/>
  <c r="B46" i="119"/>
  <c r="B42" i="119"/>
  <c r="F39" i="119"/>
  <c r="F35" i="119"/>
  <c r="D32" i="119"/>
  <c r="B19" i="119"/>
  <c r="C19" i="119"/>
  <c r="D19" i="119"/>
  <c r="F19" i="119"/>
  <c r="F2" i="119"/>
  <c r="F23" i="118"/>
  <c r="D40" i="118"/>
  <c r="C39" i="118"/>
  <c r="D32" i="118"/>
  <c r="C31" i="118"/>
  <c r="D24" i="118"/>
  <c r="C23" i="118"/>
  <c r="D16" i="118"/>
  <c r="C15" i="118"/>
  <c r="D8" i="118"/>
  <c r="C7" i="118"/>
  <c r="F47" i="119"/>
  <c r="I47" i="119" s="1"/>
  <c r="J47" i="119" s="1"/>
  <c r="K47" i="119" s="1"/>
  <c r="F43" i="119"/>
  <c r="C39" i="119"/>
  <c r="C35" i="119"/>
  <c r="C32" i="119"/>
  <c r="B33" i="120"/>
  <c r="C33" i="120"/>
  <c r="D33" i="120"/>
  <c r="F33" i="120"/>
  <c r="F39" i="118"/>
  <c r="D47" i="118"/>
  <c r="D46" i="118"/>
  <c r="D45" i="118"/>
  <c r="D44" i="118"/>
  <c r="D43" i="118"/>
  <c r="D42" i="118"/>
  <c r="D41" i="118"/>
  <c r="C40" i="118"/>
  <c r="C32" i="118"/>
  <c r="C24" i="118"/>
  <c r="C16" i="118"/>
  <c r="C8" i="118"/>
  <c r="B39" i="119"/>
  <c r="B35" i="119"/>
  <c r="B32" i="119"/>
  <c r="C27" i="119"/>
  <c r="D27" i="119"/>
  <c r="B18" i="119"/>
  <c r="C18" i="119"/>
  <c r="D18" i="119"/>
  <c r="B25" i="120"/>
  <c r="C25" i="120"/>
  <c r="D25" i="120"/>
  <c r="F25" i="120"/>
  <c r="B26" i="119"/>
  <c r="C26" i="119"/>
  <c r="C47" i="118"/>
  <c r="C46" i="118"/>
  <c r="C45" i="118"/>
  <c r="J45" i="118" s="1"/>
  <c r="K45" i="118" s="1"/>
  <c r="L45" i="118" s="1"/>
  <c r="C44" i="118"/>
  <c r="J44" i="118" s="1"/>
  <c r="K44" i="118" s="1"/>
  <c r="L44" i="118" s="1"/>
  <c r="C43" i="118"/>
  <c r="C42" i="118"/>
  <c r="C41" i="118"/>
  <c r="B11" i="119"/>
  <c r="C11" i="119"/>
  <c r="D11" i="119"/>
  <c r="F11" i="119"/>
  <c r="B17" i="120"/>
  <c r="C17" i="120"/>
  <c r="D17" i="120"/>
  <c r="F17" i="120"/>
  <c r="F28" i="118"/>
  <c r="B34" i="119"/>
  <c r="C34" i="119"/>
  <c r="B28" i="119"/>
  <c r="D28" i="119"/>
  <c r="F28" i="119"/>
  <c r="B9" i="120"/>
  <c r="C9" i="120"/>
  <c r="D9" i="120"/>
  <c r="F9" i="120"/>
  <c r="B44" i="119"/>
  <c r="F38" i="119"/>
  <c r="F34" i="119"/>
  <c r="F31" i="119"/>
  <c r="D23" i="119"/>
  <c r="F23" i="119"/>
  <c r="B20" i="119"/>
  <c r="C20" i="119"/>
  <c r="D20" i="119"/>
  <c r="F20" i="119"/>
  <c r="B10" i="119"/>
  <c r="C10" i="119"/>
  <c r="D10" i="119"/>
  <c r="B3" i="119"/>
  <c r="C3" i="119"/>
  <c r="D3" i="119"/>
  <c r="F3" i="119"/>
  <c r="C5" i="120"/>
  <c r="D40" i="120"/>
  <c r="D24" i="120"/>
  <c r="D16" i="120"/>
  <c r="D8" i="120"/>
  <c r="B6" i="120"/>
  <c r="J6" i="120" s="1"/>
  <c r="K6" i="120" s="1"/>
  <c r="L6" i="120" s="1"/>
  <c r="F12" i="119"/>
  <c r="F4" i="119"/>
  <c r="F42" i="120"/>
  <c r="C40" i="120"/>
  <c r="F34" i="120"/>
  <c r="F26" i="120"/>
  <c r="C24" i="120"/>
  <c r="F18" i="120"/>
  <c r="C16" i="120"/>
  <c r="F10" i="120"/>
  <c r="C8" i="120"/>
  <c r="F2" i="120"/>
  <c r="D12" i="119"/>
  <c r="D4" i="119"/>
  <c r="D42" i="120"/>
  <c r="D34" i="120"/>
  <c r="D26" i="120"/>
  <c r="D18" i="120"/>
  <c r="C4" i="119"/>
  <c r="C42" i="120"/>
  <c r="C34" i="120"/>
  <c r="F28" i="120"/>
  <c r="C26" i="120"/>
  <c r="F20" i="120"/>
  <c r="C18" i="120"/>
  <c r="F12" i="120"/>
  <c r="J12" i="120" s="1"/>
  <c r="K12" i="120" s="1"/>
  <c r="L12" i="120" s="1"/>
  <c r="C10" i="120"/>
  <c r="J10" i="120" s="1"/>
  <c r="K10" i="120" s="1"/>
  <c r="L10" i="120" s="1"/>
  <c r="F15" i="119"/>
  <c r="F7" i="119"/>
  <c r="I7" i="119" s="1"/>
  <c r="J7" i="119" s="1"/>
  <c r="K7" i="119" s="1"/>
  <c r="F45" i="120"/>
  <c r="F37" i="120"/>
  <c r="D28" i="120"/>
  <c r="D20" i="120"/>
  <c r="G147" i="1"/>
  <c r="G148" i="1"/>
  <c r="G149" i="1"/>
  <c r="G150" i="1"/>
  <c r="G151" i="1"/>
  <c r="G152" i="1"/>
  <c r="G153" i="1"/>
  <c r="G154" i="1"/>
  <c r="G155" i="1"/>
  <c r="G156" i="1"/>
  <c r="G157" i="1"/>
  <c r="G158" i="1"/>
  <c r="G159" i="1"/>
  <c r="G160" i="1"/>
  <c r="G161" i="1"/>
  <c r="G162" i="1"/>
  <c r="G163" i="1"/>
  <c r="G164" i="1"/>
  <c r="G165" i="1"/>
  <c r="G166" i="1"/>
  <c r="G167" i="1"/>
  <c r="G168" i="1"/>
  <c r="G169" i="1"/>
  <c r="B182" i="1" s="1"/>
  <c r="G170" i="1"/>
  <c r="G171" i="1"/>
  <c r="G172" i="1"/>
  <c r="G173" i="1"/>
  <c r="G174" i="1"/>
  <c r="G175" i="1"/>
  <c r="G176" i="1"/>
  <c r="B189" i="1"/>
  <c r="B181" i="1" s="1"/>
  <c r="E32" i="118" l="1"/>
  <c r="K32" i="118" s="1"/>
  <c r="L32" i="118" s="1"/>
  <c r="J36" i="118"/>
  <c r="K36" i="118" s="1"/>
  <c r="L36" i="118" s="1"/>
  <c r="I9" i="119"/>
  <c r="J9" i="119" s="1"/>
  <c r="K9" i="119" s="1"/>
  <c r="I8" i="119"/>
  <c r="J8" i="119" s="1"/>
  <c r="K8" i="119" s="1"/>
  <c r="J33" i="118"/>
  <c r="K33" i="118" s="1"/>
  <c r="L33" i="118" s="1"/>
  <c r="I14" i="119"/>
  <c r="J14" i="119" s="1"/>
  <c r="K14" i="119" s="1"/>
  <c r="I16" i="119"/>
  <c r="J16" i="119" s="1"/>
  <c r="K16" i="119" s="1"/>
  <c r="J37" i="118"/>
  <c r="K37" i="118" s="1"/>
  <c r="L37" i="118" s="1"/>
  <c r="I23" i="119"/>
  <c r="J23" i="119" s="1"/>
  <c r="K23" i="119" s="1"/>
  <c r="J9" i="120"/>
  <c r="K9" i="120" s="1"/>
  <c r="L9" i="120" s="1"/>
  <c r="J42" i="120"/>
  <c r="K42" i="120" s="1"/>
  <c r="L42" i="120" s="1"/>
  <c r="J40" i="120"/>
  <c r="K40" i="120" s="1"/>
  <c r="L40" i="120" s="1"/>
  <c r="J39" i="118"/>
  <c r="K39" i="118" s="1"/>
  <c r="L39" i="118" s="1"/>
  <c r="J34" i="118"/>
  <c r="K34" i="118" s="1"/>
  <c r="L34" i="118" s="1"/>
  <c r="J11" i="120"/>
  <c r="K11" i="120" s="1"/>
  <c r="L11" i="120" s="1"/>
  <c r="J46" i="118"/>
  <c r="K46" i="118" s="1"/>
  <c r="L46" i="118" s="1"/>
  <c r="J34" i="120"/>
  <c r="K34" i="120" s="1"/>
  <c r="L34" i="120" s="1"/>
  <c r="J8" i="120"/>
  <c r="K8" i="120" s="1"/>
  <c r="L8" i="120" s="1"/>
  <c r="I44" i="119"/>
  <c r="J44" i="119" s="1"/>
  <c r="K44" i="119" s="1"/>
  <c r="J21" i="120"/>
  <c r="K21" i="120" s="1"/>
  <c r="L21" i="120" s="1"/>
  <c r="J39" i="120"/>
  <c r="K39" i="120" s="1"/>
  <c r="L39" i="120" s="1"/>
  <c r="J26" i="120"/>
  <c r="K26" i="120" s="1"/>
  <c r="L26" i="120" s="1"/>
  <c r="J24" i="120"/>
  <c r="K24" i="120" s="1"/>
  <c r="L24" i="120" s="1"/>
  <c r="J41" i="118"/>
  <c r="K41" i="118" s="1"/>
  <c r="L41" i="118" s="1"/>
  <c r="I41" i="119"/>
  <c r="J41" i="119" s="1"/>
  <c r="K41" i="119" s="1"/>
  <c r="I37" i="119"/>
  <c r="J37" i="119" s="1"/>
  <c r="K37" i="119" s="1"/>
  <c r="I29" i="119"/>
  <c r="J29" i="119" s="1"/>
  <c r="K29" i="119" s="1"/>
  <c r="J31" i="120"/>
  <c r="K31" i="120" s="1"/>
  <c r="L31" i="120" s="1"/>
  <c r="J36" i="120"/>
  <c r="K36" i="120" s="1"/>
  <c r="L36" i="120" s="1"/>
  <c r="J25" i="120"/>
  <c r="K25" i="120" s="1"/>
  <c r="L25" i="120" s="1"/>
  <c r="J43" i="118"/>
  <c r="K43" i="118" s="1"/>
  <c r="L43" i="118" s="1"/>
  <c r="I24" i="119"/>
  <c r="J24" i="119" s="1"/>
  <c r="K24" i="119" s="1"/>
  <c r="J47" i="120"/>
  <c r="K47" i="120" s="1"/>
  <c r="L47" i="120" s="1"/>
  <c r="J33" i="120"/>
  <c r="K33" i="120" s="1"/>
  <c r="L33" i="120" s="1"/>
  <c r="J32" i="120"/>
  <c r="K32" i="120" s="1"/>
  <c r="L32" i="120" s="1"/>
  <c r="J14" i="120"/>
  <c r="K14" i="120" s="1"/>
  <c r="L14" i="120" s="1"/>
  <c r="J18" i="120"/>
  <c r="K18" i="120" s="1"/>
  <c r="L18" i="120" s="1"/>
  <c r="J16" i="120"/>
  <c r="K16" i="120" s="1"/>
  <c r="L16" i="120" s="1"/>
  <c r="I34" i="119"/>
  <c r="J34" i="119" s="1"/>
  <c r="K34" i="119" s="1"/>
  <c r="J15" i="120"/>
  <c r="K15" i="120" s="1"/>
  <c r="L15" i="120" s="1"/>
  <c r="I30" i="119"/>
  <c r="J30" i="119" s="1"/>
  <c r="K30" i="119" s="1"/>
  <c r="J3" i="120"/>
  <c r="K3" i="120" s="1"/>
  <c r="L3" i="120" s="1"/>
  <c r="J13" i="120"/>
  <c r="K13" i="120" s="1"/>
  <c r="L13" i="120" s="1"/>
  <c r="O19" i="97"/>
  <c r="P22" i="97"/>
  <c r="J37" i="120"/>
  <c r="K37" i="120" s="1"/>
  <c r="L37" i="120" s="1"/>
  <c r="J41" i="120"/>
  <c r="K41" i="120" s="1"/>
  <c r="L41" i="120" s="1"/>
  <c r="J45" i="120"/>
  <c r="K45" i="120" s="1"/>
  <c r="L45" i="120" s="1"/>
  <c r="J5" i="120"/>
  <c r="K5" i="120" s="1"/>
  <c r="L5" i="120" s="1"/>
  <c r="J20" i="120"/>
  <c r="K20" i="120" s="1"/>
  <c r="L20" i="120" s="1"/>
  <c r="J38" i="120"/>
  <c r="K38" i="120" s="1"/>
  <c r="L38" i="120" s="1"/>
  <c r="J28" i="120"/>
  <c r="K28" i="120" s="1"/>
  <c r="L28" i="120" s="1"/>
  <c r="J4" i="120"/>
  <c r="K4" i="120" s="1"/>
  <c r="L4" i="120" s="1"/>
  <c r="J46" i="120"/>
  <c r="K46" i="120" s="1"/>
  <c r="L46" i="120" s="1"/>
  <c r="J17" i="120"/>
  <c r="K17" i="120" s="1"/>
  <c r="L17" i="120" s="1"/>
  <c r="J2" i="120"/>
  <c r="K2" i="120" s="1"/>
  <c r="L2" i="120" s="1"/>
  <c r="I27" i="119"/>
  <c r="J27" i="119" s="1"/>
  <c r="K27" i="119" s="1"/>
  <c r="I12" i="119"/>
  <c r="J12" i="119" s="1"/>
  <c r="K12" i="119" s="1"/>
  <c r="I3" i="119"/>
  <c r="J3" i="119" s="1"/>
  <c r="K3" i="119" s="1"/>
  <c r="I20" i="119"/>
  <c r="J20" i="119" s="1"/>
  <c r="K20" i="119" s="1"/>
  <c r="I35" i="119"/>
  <c r="J35" i="119" s="1"/>
  <c r="K35" i="119" s="1"/>
  <c r="I43" i="119"/>
  <c r="J43" i="119" s="1"/>
  <c r="K43" i="119" s="1"/>
  <c r="I42" i="119"/>
  <c r="J42" i="119" s="1"/>
  <c r="K42" i="119" s="1"/>
  <c r="I15" i="119"/>
  <c r="J15" i="119" s="1"/>
  <c r="K15" i="119" s="1"/>
  <c r="I39" i="119"/>
  <c r="J39" i="119" s="1"/>
  <c r="K39" i="119" s="1"/>
  <c r="I46" i="119"/>
  <c r="J46" i="119" s="1"/>
  <c r="K46" i="119" s="1"/>
  <c r="I10" i="119"/>
  <c r="J10" i="119" s="1"/>
  <c r="K10" i="119" s="1"/>
  <c r="I26" i="119"/>
  <c r="J26" i="119" s="1"/>
  <c r="K26" i="119" s="1"/>
  <c r="I18" i="119"/>
  <c r="J18" i="119" s="1"/>
  <c r="K18" i="119" s="1"/>
  <c r="I4" i="119"/>
  <c r="J4" i="119" s="1"/>
  <c r="K4" i="119" s="1"/>
  <c r="I19" i="119"/>
  <c r="J19" i="119" s="1"/>
  <c r="K19" i="119" s="1"/>
  <c r="I2" i="119"/>
  <c r="J2" i="119" s="1"/>
  <c r="K2" i="119" s="1"/>
  <c r="I33" i="119"/>
  <c r="J33" i="119" s="1"/>
  <c r="K33" i="119" s="1"/>
  <c r="J42" i="118"/>
  <c r="K42" i="118" s="1"/>
  <c r="L42" i="118" s="1"/>
  <c r="J40" i="118"/>
  <c r="K40" i="118" s="1"/>
  <c r="L40" i="118" s="1"/>
  <c r="J47" i="118"/>
  <c r="K47" i="118" s="1"/>
  <c r="L47" i="118" s="1"/>
  <c r="I32" i="119"/>
  <c r="J32" i="119" s="1"/>
  <c r="K32" i="119" s="1"/>
  <c r="I31" i="119"/>
  <c r="J31" i="119" s="1"/>
  <c r="K31" i="119" s="1"/>
  <c r="I38" i="119"/>
  <c r="J38" i="119" s="1"/>
  <c r="K38" i="119" s="1"/>
  <c r="I28" i="119"/>
  <c r="J28" i="119" s="1"/>
  <c r="K28" i="119" s="1"/>
  <c r="I11" i="119"/>
  <c r="J11" i="119" s="1"/>
  <c r="K11" i="119" s="1"/>
  <c r="D178" i="1"/>
  <c r="C185" i="1"/>
  <c r="B44" i="112"/>
  <c r="C44" i="112"/>
  <c r="D44" i="112"/>
  <c r="E44" i="112"/>
  <c r="F44" i="112"/>
  <c r="G44" i="112"/>
  <c r="H44" i="112"/>
  <c r="I44" i="112"/>
  <c r="J44" i="112"/>
  <c r="K44" i="112"/>
  <c r="L44" i="112"/>
  <c r="M44" i="112"/>
  <c r="N44" i="112"/>
  <c r="O44" i="112"/>
  <c r="P44" i="112"/>
  <c r="Q44" i="112"/>
  <c r="R44" i="112"/>
  <c r="S44" i="112"/>
  <c r="T44" i="112"/>
  <c r="U44" i="112"/>
  <c r="V44" i="112"/>
  <c r="W44" i="112"/>
  <c r="X44" i="112"/>
  <c r="Y44" i="112"/>
  <c r="Z44" i="112"/>
  <c r="AA44" i="112"/>
  <c r="AB44" i="112"/>
  <c r="AC44" i="112"/>
  <c r="AD44" i="112"/>
  <c r="AE44" i="112"/>
  <c r="AF44" i="112"/>
  <c r="AG44" i="112"/>
  <c r="B45" i="112"/>
  <c r="C45" i="112"/>
  <c r="D45" i="112"/>
  <c r="E45" i="112"/>
  <c r="F45" i="112"/>
  <c r="G45" i="112"/>
  <c r="H45" i="112"/>
  <c r="I45" i="112"/>
  <c r="J45" i="112"/>
  <c r="K45" i="112"/>
  <c r="L45" i="112"/>
  <c r="M45" i="112"/>
  <c r="N45" i="112"/>
  <c r="O45" i="112"/>
  <c r="P45" i="112"/>
  <c r="Q45" i="112"/>
  <c r="R45" i="112"/>
  <c r="S45" i="112"/>
  <c r="T45" i="112"/>
  <c r="U45" i="112"/>
  <c r="V45" i="112"/>
  <c r="W45" i="112"/>
  <c r="X45" i="112"/>
  <c r="Y45" i="112"/>
  <c r="Z45" i="112"/>
  <c r="AA45" i="112"/>
  <c r="AB45" i="112"/>
  <c r="AC45" i="112"/>
  <c r="AD45" i="112"/>
  <c r="AE45" i="112"/>
  <c r="AF45" i="112"/>
  <c r="AG45" i="112"/>
  <c r="B46" i="112"/>
  <c r="C46" i="112"/>
  <c r="D46" i="112"/>
  <c r="E46" i="112"/>
  <c r="F46" i="112"/>
  <c r="G46" i="112"/>
  <c r="H46" i="112"/>
  <c r="I46" i="112"/>
  <c r="J46" i="112"/>
  <c r="K46" i="112"/>
  <c r="L46" i="112"/>
  <c r="M46" i="112"/>
  <c r="N46" i="112"/>
  <c r="O46" i="112"/>
  <c r="P46" i="112"/>
  <c r="Q46" i="112"/>
  <c r="R46" i="112"/>
  <c r="S46" i="112"/>
  <c r="T46" i="112"/>
  <c r="U46" i="112"/>
  <c r="V46" i="112"/>
  <c r="W46" i="112"/>
  <c r="X46" i="112"/>
  <c r="Y46" i="112"/>
  <c r="Z46" i="112"/>
  <c r="AA46" i="112"/>
  <c r="AB46" i="112"/>
  <c r="AC46" i="112"/>
  <c r="AD46" i="112"/>
  <c r="AE46" i="112"/>
  <c r="AF46" i="112"/>
  <c r="AG46" i="112"/>
  <c r="B47" i="112"/>
  <c r="C47" i="112"/>
  <c r="D47" i="112"/>
  <c r="E47" i="112"/>
  <c r="F47" i="112"/>
  <c r="G47" i="112"/>
  <c r="H47" i="112"/>
  <c r="I47" i="112"/>
  <c r="J47" i="112"/>
  <c r="K47" i="112"/>
  <c r="L47" i="112"/>
  <c r="M47" i="112"/>
  <c r="N47" i="112"/>
  <c r="O47" i="112"/>
  <c r="P47" i="112"/>
  <c r="Q47" i="112"/>
  <c r="R47" i="112"/>
  <c r="S47" i="112"/>
  <c r="T47" i="112"/>
  <c r="U47" i="112"/>
  <c r="V47" i="112"/>
  <c r="W47" i="112"/>
  <c r="X47" i="112"/>
  <c r="Y47" i="112"/>
  <c r="Z47" i="112"/>
  <c r="AA47" i="112"/>
  <c r="AB47" i="112"/>
  <c r="AC47" i="112"/>
  <c r="AD47" i="112"/>
  <c r="AE47" i="112"/>
  <c r="AF47" i="112"/>
  <c r="AG47" i="112"/>
  <c r="B51" i="112"/>
  <c r="C51" i="112"/>
  <c r="D51" i="112"/>
  <c r="E51" i="112"/>
  <c r="F51" i="112"/>
  <c r="G51" i="112"/>
  <c r="H51" i="112"/>
  <c r="I51" i="112"/>
  <c r="J51" i="112"/>
  <c r="K51" i="112"/>
  <c r="L51" i="112"/>
  <c r="M51" i="112"/>
  <c r="N51" i="112"/>
  <c r="O51" i="112"/>
  <c r="P51" i="112"/>
  <c r="Q51" i="112"/>
  <c r="R51" i="112"/>
  <c r="S51" i="112"/>
  <c r="T51" i="112"/>
  <c r="U51" i="112"/>
  <c r="V51" i="112"/>
  <c r="W51" i="112"/>
  <c r="X51" i="112"/>
  <c r="Y51" i="112"/>
  <c r="Z51" i="112"/>
  <c r="AA51" i="112"/>
  <c r="AB51" i="112"/>
  <c r="AC51" i="112"/>
  <c r="AD51" i="112"/>
  <c r="AE51" i="112"/>
  <c r="AF51" i="112"/>
  <c r="AG51" i="112"/>
  <c r="B57" i="112"/>
  <c r="C57" i="112"/>
  <c r="D57" i="112"/>
  <c r="E57" i="112"/>
  <c r="F57" i="112"/>
  <c r="G57" i="112"/>
  <c r="H57" i="112"/>
  <c r="I57" i="112"/>
  <c r="J57" i="112"/>
  <c r="K57" i="112"/>
  <c r="L57" i="112"/>
  <c r="M57" i="112"/>
  <c r="N57" i="112"/>
  <c r="O57" i="112"/>
  <c r="P57" i="112"/>
  <c r="Q57" i="112"/>
  <c r="R57" i="112"/>
  <c r="S57" i="112"/>
  <c r="T57" i="112"/>
  <c r="U57" i="112"/>
  <c r="V57" i="112"/>
  <c r="W57" i="112"/>
  <c r="X57" i="112"/>
  <c r="Y57" i="112"/>
  <c r="Z57" i="112"/>
  <c r="AA57" i="112"/>
  <c r="AB57" i="112"/>
  <c r="AC57" i="112"/>
  <c r="AD57" i="112"/>
  <c r="AE57" i="112"/>
  <c r="AF57" i="112"/>
  <c r="AG57" i="112"/>
  <c r="B59" i="112"/>
  <c r="C59" i="112"/>
  <c r="D59" i="112"/>
  <c r="E59" i="112"/>
  <c r="F59" i="112"/>
  <c r="G59" i="112"/>
  <c r="H59" i="112"/>
  <c r="I59" i="112"/>
  <c r="J59" i="112"/>
  <c r="K59" i="112"/>
  <c r="L59" i="112"/>
  <c r="M59" i="112"/>
  <c r="N59" i="112"/>
  <c r="O59" i="112"/>
  <c r="P59" i="112"/>
  <c r="Q59" i="112"/>
  <c r="R59" i="112"/>
  <c r="S59" i="112"/>
  <c r="T59" i="112"/>
  <c r="U59" i="112"/>
  <c r="V59" i="112"/>
  <c r="W59" i="112"/>
  <c r="X59" i="112"/>
  <c r="Y59" i="112"/>
  <c r="Z59" i="112"/>
  <c r="AA59" i="112"/>
  <c r="AB59" i="112"/>
  <c r="AC59" i="112"/>
  <c r="AD59" i="112"/>
  <c r="AE59" i="112"/>
  <c r="AF59" i="112"/>
  <c r="AG59" i="112"/>
  <c r="B62" i="112"/>
  <c r="C62" i="112"/>
  <c r="D62" i="112"/>
  <c r="E62" i="112"/>
  <c r="F62" i="112"/>
  <c r="G62" i="112"/>
  <c r="H62" i="112"/>
  <c r="I62" i="112"/>
  <c r="J62" i="112"/>
  <c r="K62" i="112"/>
  <c r="L62" i="112"/>
  <c r="M62" i="112"/>
  <c r="N62" i="112"/>
  <c r="O62" i="112"/>
  <c r="P62" i="112"/>
  <c r="Q62" i="112"/>
  <c r="R62" i="112"/>
  <c r="S62" i="112"/>
  <c r="T62" i="112"/>
  <c r="U62" i="112"/>
  <c r="V62" i="112"/>
  <c r="W62" i="112"/>
  <c r="X62" i="112"/>
  <c r="Y62" i="112"/>
  <c r="Z62" i="112"/>
  <c r="AA62" i="112"/>
  <c r="AB62" i="112"/>
  <c r="AC62" i="112"/>
  <c r="AD62" i="112"/>
  <c r="AE62" i="112"/>
  <c r="AF62" i="112"/>
  <c r="AG62" i="112"/>
  <c r="B64" i="112"/>
  <c r="C64" i="112"/>
  <c r="D64" i="112"/>
  <c r="E64" i="112"/>
  <c r="F64" i="112"/>
  <c r="G64" i="112"/>
  <c r="H64" i="112"/>
  <c r="I64" i="112"/>
  <c r="J64" i="112"/>
  <c r="K64" i="112"/>
  <c r="L64" i="112"/>
  <c r="M64" i="112"/>
  <c r="N64" i="112"/>
  <c r="O64" i="112"/>
  <c r="P64" i="112"/>
  <c r="Q64" i="112"/>
  <c r="R64" i="112"/>
  <c r="S64" i="112"/>
  <c r="T64" i="112"/>
  <c r="U64" i="112"/>
  <c r="V64" i="112"/>
  <c r="W64" i="112"/>
  <c r="X64" i="112"/>
  <c r="Y64" i="112"/>
  <c r="Z64" i="112"/>
  <c r="AA64" i="112"/>
  <c r="AB64" i="112"/>
  <c r="AC64" i="112"/>
  <c r="AD64" i="112"/>
  <c r="AE64" i="112"/>
  <c r="AF64" i="112"/>
  <c r="AG64" i="112"/>
  <c r="B127" i="1"/>
  <c r="B128" i="1"/>
  <c r="B2" i="40"/>
  <c r="B2" i="18"/>
  <c r="C5" i="34"/>
  <c r="C2" i="34" s="1"/>
  <c r="D5" i="34"/>
  <c r="D4" i="34" s="1"/>
  <c r="E5" i="34"/>
  <c r="F5" i="34"/>
  <c r="F2" i="34" s="1"/>
  <c r="G5" i="34"/>
  <c r="G4" i="34" s="1"/>
  <c r="H5" i="34"/>
  <c r="H4" i="34" s="1"/>
  <c r="I5" i="34"/>
  <c r="J5" i="34"/>
  <c r="J4" i="34" s="1"/>
  <c r="K5" i="34"/>
  <c r="K2" i="34" s="1"/>
  <c r="L5" i="34"/>
  <c r="L4" i="34" s="1"/>
  <c r="M5" i="34"/>
  <c r="N5" i="34"/>
  <c r="N2" i="34" s="1"/>
  <c r="O5" i="34"/>
  <c r="O4" i="34" s="1"/>
  <c r="P5" i="34"/>
  <c r="P4" i="34" s="1"/>
  <c r="Q5" i="34"/>
  <c r="R5" i="34"/>
  <c r="R4" i="34" s="1"/>
  <c r="S5" i="34"/>
  <c r="S2" i="34" s="1"/>
  <c r="T5" i="34"/>
  <c r="T4" i="34" s="1"/>
  <c r="U5" i="34"/>
  <c r="V5" i="34"/>
  <c r="V2" i="34" s="1"/>
  <c r="W5" i="34"/>
  <c r="W4" i="34" s="1"/>
  <c r="X5" i="34"/>
  <c r="X4" i="34" s="1"/>
  <c r="Y5" i="34"/>
  <c r="Z5" i="34"/>
  <c r="Z4" i="34" s="1"/>
  <c r="AA5" i="34"/>
  <c r="AA2" i="34" s="1"/>
  <c r="AB5" i="34"/>
  <c r="AB4" i="34" s="1"/>
  <c r="AC5" i="34"/>
  <c r="AD5" i="34"/>
  <c r="AD2" i="34" s="1"/>
  <c r="AE5" i="34"/>
  <c r="AE4" i="34" s="1"/>
  <c r="AF5" i="34"/>
  <c r="AF4" i="34" s="1"/>
  <c r="B5" i="34"/>
  <c r="C5" i="12"/>
  <c r="C8" i="12" s="1"/>
  <c r="D5" i="12"/>
  <c r="D8" i="12" s="1"/>
  <c r="E5" i="12"/>
  <c r="E7" i="12" s="1"/>
  <c r="F5" i="12"/>
  <c r="F7" i="12" s="1"/>
  <c r="G5" i="12"/>
  <c r="G8" i="12" s="1"/>
  <c r="H5" i="12"/>
  <c r="H8" i="12" s="1"/>
  <c r="I5" i="12"/>
  <c r="I7" i="12" s="1"/>
  <c r="J5" i="12"/>
  <c r="J7" i="12" s="1"/>
  <c r="K5" i="12"/>
  <c r="K8" i="12" s="1"/>
  <c r="L5" i="12"/>
  <c r="L8" i="12" s="1"/>
  <c r="M5" i="12"/>
  <c r="M7" i="12" s="1"/>
  <c r="N5" i="12"/>
  <c r="N7" i="12" s="1"/>
  <c r="O5" i="12"/>
  <c r="O8" i="12" s="1"/>
  <c r="P5" i="12"/>
  <c r="P8" i="12" s="1"/>
  <c r="Q5" i="12"/>
  <c r="Q7" i="12" s="1"/>
  <c r="R5" i="12"/>
  <c r="R7" i="12" s="1"/>
  <c r="S5" i="12"/>
  <c r="S8" i="12" s="1"/>
  <c r="T5" i="12"/>
  <c r="T8" i="12" s="1"/>
  <c r="U5" i="12"/>
  <c r="U7" i="12" s="1"/>
  <c r="V5" i="12"/>
  <c r="V8" i="12" s="1"/>
  <c r="W5" i="12"/>
  <c r="W8" i="12" s="1"/>
  <c r="X5" i="12"/>
  <c r="X8" i="12" s="1"/>
  <c r="Y5" i="12"/>
  <c r="Y7" i="12" s="1"/>
  <c r="Z5" i="12"/>
  <c r="Z8" i="12" s="1"/>
  <c r="AA5" i="12"/>
  <c r="AA8" i="12" s="1"/>
  <c r="AB5" i="12"/>
  <c r="AB8" i="12" s="1"/>
  <c r="AC5" i="12"/>
  <c r="AC7" i="12" s="1"/>
  <c r="AD5" i="12"/>
  <c r="AD8" i="12" s="1"/>
  <c r="AE5" i="12"/>
  <c r="AE8" i="12" s="1"/>
  <c r="AF5" i="12"/>
  <c r="AF8" i="12" s="1"/>
  <c r="Z7" i="12"/>
  <c r="B5" i="12"/>
  <c r="J2" i="12" s="1"/>
  <c r="B3" i="33"/>
  <c r="C3" i="33"/>
  <c r="D3" i="33"/>
  <c r="E3" i="33"/>
  <c r="F3" i="33"/>
  <c r="G3" i="33"/>
  <c r="H3" i="33"/>
  <c r="I3" i="33"/>
  <c r="J3" i="33"/>
  <c r="K3" i="33"/>
  <c r="L3" i="33"/>
  <c r="M3" i="33"/>
  <c r="N3" i="33"/>
  <c r="O3" i="33"/>
  <c r="P3" i="33"/>
  <c r="Q3" i="33"/>
  <c r="B35" i="100"/>
  <c r="D12" i="100"/>
  <c r="D2" i="18" s="1"/>
  <c r="E12" i="100"/>
  <c r="E2" i="18" s="1"/>
  <c r="F12" i="100"/>
  <c r="F2" i="18" s="1"/>
  <c r="G12" i="100"/>
  <c r="G2" i="18" s="1"/>
  <c r="H12" i="100"/>
  <c r="H2" i="18" s="1"/>
  <c r="I12" i="100"/>
  <c r="I2" i="18" s="1"/>
  <c r="J12" i="100"/>
  <c r="J2" i="18" s="1"/>
  <c r="K12" i="100"/>
  <c r="K2" i="18" s="1"/>
  <c r="L12" i="100"/>
  <c r="L2" i="18" s="1"/>
  <c r="M12" i="100"/>
  <c r="M2" i="18" s="1"/>
  <c r="N12" i="100"/>
  <c r="N2" i="18" s="1"/>
  <c r="O12" i="100"/>
  <c r="O2" i="18" s="1"/>
  <c r="P12" i="100"/>
  <c r="P2" i="18" s="1"/>
  <c r="Q12" i="100"/>
  <c r="Q2" i="18" s="1"/>
  <c r="R12" i="100"/>
  <c r="R2" i="18" s="1"/>
  <c r="S12" i="100"/>
  <c r="S2" i="18" s="1"/>
  <c r="T12" i="100"/>
  <c r="T2" i="18" s="1"/>
  <c r="U12" i="100"/>
  <c r="U2" i="18" s="1"/>
  <c r="V12" i="100"/>
  <c r="V2" i="18" s="1"/>
  <c r="W12" i="100"/>
  <c r="W2" i="18" s="1"/>
  <c r="X12" i="100"/>
  <c r="X2" i="18" s="1"/>
  <c r="Y12" i="100"/>
  <c r="Y2" i="18" s="1"/>
  <c r="Z12" i="100"/>
  <c r="Z2" i="18" s="1"/>
  <c r="AA12" i="100"/>
  <c r="AA2" i="18" s="1"/>
  <c r="AB12" i="100"/>
  <c r="AB2" i="18" s="1"/>
  <c r="AC12" i="100"/>
  <c r="AC2" i="18" s="1"/>
  <c r="AD12" i="100"/>
  <c r="AD2" i="18" s="1"/>
  <c r="AE12" i="100"/>
  <c r="AE2" i="18" s="1"/>
  <c r="AF12" i="100"/>
  <c r="AF2" i="18" s="1"/>
  <c r="C12" i="100"/>
  <c r="C2" i="18" s="1"/>
  <c r="C19" i="100"/>
  <c r="D19" i="100" s="1"/>
  <c r="E19" i="100" s="1"/>
  <c r="F19" i="100" s="1"/>
  <c r="G19" i="100" s="1"/>
  <c r="H19" i="100" s="1"/>
  <c r="I19" i="100" s="1"/>
  <c r="J19" i="100" s="1"/>
  <c r="K19" i="100" s="1"/>
  <c r="L19" i="100" s="1"/>
  <c r="M19" i="100" s="1"/>
  <c r="N19" i="100" s="1"/>
  <c r="O19" i="100" s="1"/>
  <c r="P19" i="100" s="1"/>
  <c r="Q19" i="100" s="1"/>
  <c r="R19" i="100" s="1"/>
  <c r="S19" i="100" s="1"/>
  <c r="T19" i="100" s="1"/>
  <c r="U19" i="100" s="1"/>
  <c r="V19" i="100" s="1"/>
  <c r="W19" i="100" s="1"/>
  <c r="X19" i="100" s="1"/>
  <c r="Y19" i="100" s="1"/>
  <c r="Z19" i="100" s="1"/>
  <c r="AA19" i="100" s="1"/>
  <c r="AB19" i="100" s="1"/>
  <c r="AC19" i="100" s="1"/>
  <c r="AD19" i="100" s="1"/>
  <c r="AE19" i="100" s="1"/>
  <c r="AF19" i="100" s="1"/>
  <c r="AF2" i="40" s="1"/>
  <c r="AG32" i="112"/>
  <c r="AF32" i="112"/>
  <c r="AE32" i="112"/>
  <c r="AD32" i="112"/>
  <c r="AC32" i="112"/>
  <c r="AB32" i="112"/>
  <c r="AA32" i="112"/>
  <c r="Z32" i="112"/>
  <c r="Y32" i="112"/>
  <c r="X32" i="112"/>
  <c r="W32" i="112"/>
  <c r="V32" i="112"/>
  <c r="U32" i="112"/>
  <c r="T32" i="112"/>
  <c r="S32" i="112"/>
  <c r="R32" i="112"/>
  <c r="Q32" i="112"/>
  <c r="P32" i="112"/>
  <c r="O32" i="112"/>
  <c r="N32" i="112"/>
  <c r="M32" i="112"/>
  <c r="L32" i="112"/>
  <c r="K32" i="112"/>
  <c r="J32" i="112"/>
  <c r="I32" i="112"/>
  <c r="H32" i="112"/>
  <c r="G32" i="112"/>
  <c r="F32" i="112"/>
  <c r="E32" i="112"/>
  <c r="D32" i="112"/>
  <c r="C32" i="112"/>
  <c r="B32" i="112"/>
  <c r="AG30" i="112"/>
  <c r="AF30" i="112"/>
  <c r="AE30" i="112"/>
  <c r="AD30" i="112"/>
  <c r="AC30" i="112"/>
  <c r="AB30" i="112"/>
  <c r="AA30" i="112"/>
  <c r="Z30" i="112"/>
  <c r="Y30" i="112"/>
  <c r="X30" i="112"/>
  <c r="W30" i="112"/>
  <c r="V30" i="112"/>
  <c r="U30" i="112"/>
  <c r="T30" i="112"/>
  <c r="S30" i="112"/>
  <c r="R30" i="112"/>
  <c r="Q30" i="112"/>
  <c r="P30" i="112"/>
  <c r="O30" i="112"/>
  <c r="N30" i="112"/>
  <c r="M30" i="112"/>
  <c r="L30" i="112"/>
  <c r="K30" i="112"/>
  <c r="J30" i="112"/>
  <c r="I30" i="112"/>
  <c r="H30" i="112"/>
  <c r="G30" i="112"/>
  <c r="F30" i="112"/>
  <c r="E30" i="112"/>
  <c r="D30" i="112"/>
  <c r="C30" i="112"/>
  <c r="B30" i="112"/>
  <c r="AG27" i="112"/>
  <c r="AF27" i="112"/>
  <c r="AE27" i="112"/>
  <c r="AD27" i="112"/>
  <c r="AC27" i="112"/>
  <c r="AB27" i="112"/>
  <c r="AA27" i="112"/>
  <c r="Z27" i="112"/>
  <c r="Y27" i="112"/>
  <c r="X27" i="112"/>
  <c r="W27" i="112"/>
  <c r="V27" i="112"/>
  <c r="U27" i="112"/>
  <c r="T27" i="112"/>
  <c r="S27" i="112"/>
  <c r="R27" i="112"/>
  <c r="Q27" i="112"/>
  <c r="P27" i="112"/>
  <c r="O27" i="112"/>
  <c r="N27" i="112"/>
  <c r="M27" i="112"/>
  <c r="L27" i="112"/>
  <c r="K27" i="112"/>
  <c r="J27" i="112"/>
  <c r="I27" i="112"/>
  <c r="H27" i="112"/>
  <c r="G27" i="112"/>
  <c r="F27" i="112"/>
  <c r="E27" i="112"/>
  <c r="D27" i="112"/>
  <c r="C27" i="112"/>
  <c r="B27" i="112"/>
  <c r="AG25" i="112"/>
  <c r="AF25" i="112"/>
  <c r="AE25" i="112"/>
  <c r="AD25" i="112"/>
  <c r="AC25" i="112"/>
  <c r="AB25" i="112"/>
  <c r="AA25" i="112"/>
  <c r="Z25" i="112"/>
  <c r="Y25" i="112"/>
  <c r="X25" i="112"/>
  <c r="W25" i="112"/>
  <c r="V25" i="112"/>
  <c r="U25" i="112"/>
  <c r="T25" i="112"/>
  <c r="S25" i="112"/>
  <c r="R25" i="112"/>
  <c r="Q25" i="112"/>
  <c r="P25" i="112"/>
  <c r="O25" i="112"/>
  <c r="N25" i="112"/>
  <c r="M25" i="112"/>
  <c r="L25" i="112"/>
  <c r="K25" i="112"/>
  <c r="J25" i="112"/>
  <c r="I25" i="112"/>
  <c r="H25" i="112"/>
  <c r="G25" i="112"/>
  <c r="F25" i="112"/>
  <c r="E25" i="112"/>
  <c r="D25" i="112"/>
  <c r="C25" i="112"/>
  <c r="B25" i="112"/>
  <c r="AG19" i="112"/>
  <c r="AF19" i="112"/>
  <c r="AE19" i="112"/>
  <c r="AD19" i="112"/>
  <c r="AC19" i="112"/>
  <c r="AB19" i="112"/>
  <c r="AA19" i="112"/>
  <c r="Z19" i="112"/>
  <c r="Y19" i="112"/>
  <c r="X19" i="112"/>
  <c r="W19" i="112"/>
  <c r="V19" i="112"/>
  <c r="U19" i="112"/>
  <c r="T19" i="112"/>
  <c r="S19" i="112"/>
  <c r="R19" i="112"/>
  <c r="Q19" i="112"/>
  <c r="P19" i="112"/>
  <c r="O19" i="112"/>
  <c r="N19" i="112"/>
  <c r="M19" i="112"/>
  <c r="L19" i="112"/>
  <c r="K19" i="112"/>
  <c r="J19" i="112"/>
  <c r="I19" i="112"/>
  <c r="H19" i="112"/>
  <c r="G19" i="112"/>
  <c r="F19" i="112"/>
  <c r="E19" i="112"/>
  <c r="D19" i="112"/>
  <c r="C19" i="112"/>
  <c r="B19" i="112"/>
  <c r="AG15" i="112"/>
  <c r="AF15" i="112"/>
  <c r="AE15" i="112"/>
  <c r="AD15" i="112"/>
  <c r="AC15" i="112"/>
  <c r="AB15" i="112"/>
  <c r="AA15" i="112"/>
  <c r="Z15" i="112"/>
  <c r="Y15" i="112"/>
  <c r="X15" i="112"/>
  <c r="W15" i="112"/>
  <c r="V15" i="112"/>
  <c r="U15" i="112"/>
  <c r="T15" i="112"/>
  <c r="S15" i="112"/>
  <c r="R15" i="112"/>
  <c r="Q15" i="112"/>
  <c r="P15" i="112"/>
  <c r="O15" i="112"/>
  <c r="N15" i="112"/>
  <c r="M15" i="112"/>
  <c r="L15" i="112"/>
  <c r="K15" i="112"/>
  <c r="J15" i="112"/>
  <c r="I15" i="112"/>
  <c r="H15" i="112"/>
  <c r="G15" i="112"/>
  <c r="F15" i="112"/>
  <c r="E15" i="112"/>
  <c r="D15" i="112"/>
  <c r="C15" i="112"/>
  <c r="B15" i="112"/>
  <c r="AG14" i="112"/>
  <c r="AF14" i="112"/>
  <c r="AE14" i="112"/>
  <c r="AD14" i="112"/>
  <c r="AC14" i="112"/>
  <c r="AB14" i="112"/>
  <c r="AA14" i="112"/>
  <c r="Z14" i="112"/>
  <c r="Y14" i="112"/>
  <c r="X14" i="112"/>
  <c r="W14" i="112"/>
  <c r="V14" i="112"/>
  <c r="U14" i="112"/>
  <c r="T14" i="112"/>
  <c r="S14" i="112"/>
  <c r="R14" i="112"/>
  <c r="Q14" i="112"/>
  <c r="P14" i="112"/>
  <c r="O14" i="112"/>
  <c r="N14" i="112"/>
  <c r="M14" i="112"/>
  <c r="L14" i="112"/>
  <c r="K14" i="112"/>
  <c r="J14" i="112"/>
  <c r="I14" i="112"/>
  <c r="H14" i="112"/>
  <c r="G14" i="112"/>
  <c r="F14" i="112"/>
  <c r="E14" i="112"/>
  <c r="D14" i="112"/>
  <c r="C14" i="112"/>
  <c r="B14" i="112"/>
  <c r="AG13" i="112"/>
  <c r="AF13" i="112"/>
  <c r="AE13" i="112"/>
  <c r="AD13" i="112"/>
  <c r="AC13" i="112"/>
  <c r="AB13" i="112"/>
  <c r="AA13" i="112"/>
  <c r="Z13" i="112"/>
  <c r="Y13" i="112"/>
  <c r="X13" i="112"/>
  <c r="W13" i="112"/>
  <c r="V13" i="112"/>
  <c r="U13" i="112"/>
  <c r="T13" i="112"/>
  <c r="S13" i="112"/>
  <c r="R13" i="112"/>
  <c r="Q13" i="112"/>
  <c r="P13" i="112"/>
  <c r="O13" i="112"/>
  <c r="N13" i="112"/>
  <c r="M13" i="112"/>
  <c r="L13" i="112"/>
  <c r="K13" i="112"/>
  <c r="J13" i="112"/>
  <c r="I13" i="112"/>
  <c r="H13" i="112"/>
  <c r="G13" i="112"/>
  <c r="F13" i="112"/>
  <c r="E13" i="112"/>
  <c r="D13" i="112"/>
  <c r="C13" i="112"/>
  <c r="B13" i="112"/>
  <c r="AG12" i="112"/>
  <c r="AF12" i="112"/>
  <c r="AE12" i="112"/>
  <c r="AD12" i="112"/>
  <c r="AC12" i="112"/>
  <c r="AB12" i="112"/>
  <c r="AA12" i="112"/>
  <c r="Z12" i="112"/>
  <c r="Y12" i="112"/>
  <c r="X12" i="112"/>
  <c r="W12" i="112"/>
  <c r="V12" i="112"/>
  <c r="U12" i="112"/>
  <c r="T12" i="112"/>
  <c r="S12" i="112"/>
  <c r="R12" i="112"/>
  <c r="Q12" i="112"/>
  <c r="P12" i="112"/>
  <c r="O12" i="112"/>
  <c r="N12" i="112"/>
  <c r="M12" i="112"/>
  <c r="L12" i="112"/>
  <c r="K12" i="112"/>
  <c r="J12" i="112"/>
  <c r="I12" i="112"/>
  <c r="H12" i="112"/>
  <c r="G12" i="112"/>
  <c r="F12" i="112"/>
  <c r="E12" i="112"/>
  <c r="D12" i="112"/>
  <c r="C12" i="112"/>
  <c r="B12" i="112"/>
  <c r="E5" i="109"/>
  <c r="F5" i="109"/>
  <c r="F7" i="109"/>
  <c r="E7" i="109"/>
  <c r="F3" i="109"/>
  <c r="E3" i="109"/>
  <c r="F5" i="108"/>
  <c r="E5" i="108"/>
  <c r="F7" i="108"/>
  <c r="F3" i="108"/>
  <c r="E7" i="108"/>
  <c r="E3" i="108"/>
  <c r="N8" i="12" l="1"/>
  <c r="F8" i="12"/>
  <c r="V7" i="12"/>
  <c r="G7" i="108"/>
  <c r="J7" i="108" s="1"/>
  <c r="G5" i="108"/>
  <c r="J5" i="108" s="1"/>
  <c r="G7" i="109"/>
  <c r="J7" i="109" s="1"/>
  <c r="G5" i="109"/>
  <c r="J5" i="109" s="1"/>
  <c r="J9" i="109" s="1"/>
  <c r="AD7" i="12"/>
  <c r="K7" i="12"/>
  <c r="R8" i="12"/>
  <c r="E2" i="40"/>
  <c r="C7" i="12"/>
  <c r="Y8" i="12"/>
  <c r="S7" i="12"/>
  <c r="G2" i="40"/>
  <c r="F2" i="40"/>
  <c r="AA7" i="12"/>
  <c r="AC2" i="40"/>
  <c r="U2" i="40"/>
  <c r="M2" i="40"/>
  <c r="Q8" i="12"/>
  <c r="AB2" i="40"/>
  <c r="T2" i="40"/>
  <c r="L2" i="40"/>
  <c r="D2" i="40"/>
  <c r="AA2" i="40"/>
  <c r="S2" i="40"/>
  <c r="K2" i="40"/>
  <c r="C2" i="40"/>
  <c r="J8" i="12"/>
  <c r="Z2" i="40"/>
  <c r="R2" i="40"/>
  <c r="J2" i="40"/>
  <c r="B8" i="12"/>
  <c r="I8" i="12"/>
  <c r="Y2" i="40"/>
  <c r="Q2" i="40"/>
  <c r="I2" i="40"/>
  <c r="X2" i="40"/>
  <c r="P2" i="40"/>
  <c r="H2" i="40"/>
  <c r="AE2" i="40"/>
  <c r="W2" i="40"/>
  <c r="O2" i="40"/>
  <c r="AD2" i="40"/>
  <c r="V2" i="40"/>
  <c r="N2" i="40"/>
  <c r="B4" i="12"/>
  <c r="L7" i="12"/>
  <c r="B2" i="12"/>
  <c r="AB7" i="12"/>
  <c r="AE2" i="12"/>
  <c r="D7" i="12"/>
  <c r="AA4" i="12"/>
  <c r="W2" i="12"/>
  <c r="T7" i="12"/>
  <c r="S4" i="12"/>
  <c r="O2" i="12"/>
  <c r="K4" i="12"/>
  <c r="G2" i="12"/>
  <c r="C4" i="12"/>
  <c r="AC4" i="12"/>
  <c r="U4" i="12"/>
  <c r="M4" i="12"/>
  <c r="E4" i="12"/>
  <c r="Y2" i="12"/>
  <c r="Q2" i="12"/>
  <c r="I2" i="12"/>
  <c r="B7" i="12"/>
  <c r="U8" i="12"/>
  <c r="AB4" i="12"/>
  <c r="T4" i="12"/>
  <c r="L4" i="12"/>
  <c r="D4" i="12"/>
  <c r="AF2" i="12"/>
  <c r="X2" i="12"/>
  <c r="P2" i="12"/>
  <c r="H2" i="12"/>
  <c r="E8" i="12"/>
  <c r="Z4" i="12"/>
  <c r="R4" i="12"/>
  <c r="J4" i="12"/>
  <c r="AD2" i="12"/>
  <c r="V2" i="12"/>
  <c r="N2" i="12"/>
  <c r="F2" i="12"/>
  <c r="AC8" i="12"/>
  <c r="Y4" i="12"/>
  <c r="Q4" i="12"/>
  <c r="I4" i="12"/>
  <c r="AC2" i="12"/>
  <c r="U2" i="12"/>
  <c r="M2" i="12"/>
  <c r="E2" i="12"/>
  <c r="AF4" i="12"/>
  <c r="X4" i="12"/>
  <c r="P4" i="12"/>
  <c r="H4" i="12"/>
  <c r="AB2" i="12"/>
  <c r="T2" i="12"/>
  <c r="L2" i="12"/>
  <c r="D2" i="12"/>
  <c r="M8" i="12"/>
  <c r="AE4" i="12"/>
  <c r="W4" i="12"/>
  <c r="O4" i="12"/>
  <c r="G4" i="12"/>
  <c r="AA2" i="12"/>
  <c r="S2" i="12"/>
  <c r="K2" i="12"/>
  <c r="C2" i="12"/>
  <c r="AD4" i="12"/>
  <c r="V4" i="12"/>
  <c r="N4" i="12"/>
  <c r="F4" i="12"/>
  <c r="Z2" i="12"/>
  <c r="R2" i="12"/>
  <c r="Q22" i="97"/>
  <c r="P19" i="97"/>
  <c r="J8" i="114"/>
  <c r="R8" i="114"/>
  <c r="Z8" i="114"/>
  <c r="C8" i="114"/>
  <c r="K8" i="114"/>
  <c r="K9" i="114" s="1"/>
  <c r="S8" i="114"/>
  <c r="S9" i="114" s="1"/>
  <c r="AA8" i="114"/>
  <c r="AA9" i="114" s="1"/>
  <c r="E8" i="114"/>
  <c r="M8" i="114"/>
  <c r="U8" i="114"/>
  <c r="AC8" i="114"/>
  <c r="F8" i="114"/>
  <c r="N8" i="114"/>
  <c r="V8" i="114"/>
  <c r="AD8" i="114"/>
  <c r="O8" i="114"/>
  <c r="Q8" i="114"/>
  <c r="D8" i="114"/>
  <c r="D9" i="114" s="1"/>
  <c r="T8" i="114"/>
  <c r="T9" i="114" s="1"/>
  <c r="G8" i="114"/>
  <c r="W8" i="114"/>
  <c r="AF8" i="114"/>
  <c r="H8" i="114"/>
  <c r="X8" i="114"/>
  <c r="AB8" i="114"/>
  <c r="AB9" i="114" s="1"/>
  <c r="I8" i="114"/>
  <c r="Y8" i="114"/>
  <c r="L8" i="114"/>
  <c r="L9" i="114" s="1"/>
  <c r="AE8" i="114"/>
  <c r="P8" i="114"/>
  <c r="AG8" i="114"/>
  <c r="Z2" i="34"/>
  <c r="Q4" i="34"/>
  <c r="I4" i="34"/>
  <c r="F4" i="34"/>
  <c r="U2" i="34"/>
  <c r="V4" i="34"/>
  <c r="J2" i="34"/>
  <c r="AD4" i="34"/>
  <c r="R2" i="34"/>
  <c r="B4" i="34"/>
  <c r="T2" i="34"/>
  <c r="B2" i="34"/>
  <c r="Y4" i="34"/>
  <c r="M2" i="34"/>
  <c r="L2" i="34"/>
  <c r="AC2" i="34"/>
  <c r="N4" i="34"/>
  <c r="AB2" i="34"/>
  <c r="E2" i="34"/>
  <c r="D2" i="34"/>
  <c r="AC4" i="34"/>
  <c r="U4" i="34"/>
  <c r="M4" i="34"/>
  <c r="E4" i="34"/>
  <c r="Y2" i="34"/>
  <c r="Q2" i="34"/>
  <c r="I2" i="34"/>
  <c r="AF2" i="34"/>
  <c r="X2" i="34"/>
  <c r="P2" i="34"/>
  <c r="H2" i="34"/>
  <c r="AA4" i="34"/>
  <c r="S4" i="34"/>
  <c r="K4" i="34"/>
  <c r="C4" i="34"/>
  <c r="AE2" i="34"/>
  <c r="W2" i="34"/>
  <c r="O2" i="34"/>
  <c r="G2" i="34"/>
  <c r="AF7" i="12"/>
  <c r="X7" i="12"/>
  <c r="P7" i="12"/>
  <c r="H7" i="12"/>
  <c r="AE7" i="12"/>
  <c r="W7" i="12"/>
  <c r="O7" i="12"/>
  <c r="G7" i="12"/>
  <c r="I9" i="108" l="1"/>
  <c r="R22" i="97"/>
  <c r="Q19" i="97"/>
  <c r="F9" i="114"/>
  <c r="E3" i="113" s="1"/>
  <c r="D10" i="114"/>
  <c r="C3" i="36" s="1"/>
  <c r="C3" i="113"/>
  <c r="M9" i="114"/>
  <c r="L3" i="113" s="1"/>
  <c r="X9" i="114"/>
  <c r="W3" i="113" s="1"/>
  <c r="E9" i="114"/>
  <c r="D3" i="113" s="1"/>
  <c r="AG9" i="114"/>
  <c r="AF3" i="113" s="1"/>
  <c r="H9" i="114"/>
  <c r="G3" i="113" s="1"/>
  <c r="AD9" i="114"/>
  <c r="AC3" i="113" s="1"/>
  <c r="AA10" i="114"/>
  <c r="Z3" i="36" s="1"/>
  <c r="Z3" i="113"/>
  <c r="G9" i="114"/>
  <c r="F3" i="113" s="1"/>
  <c r="Y9" i="114"/>
  <c r="X3" i="113" s="1"/>
  <c r="Z9" i="114"/>
  <c r="Y3" i="113" s="1"/>
  <c r="I9" i="114"/>
  <c r="H3" i="113" s="1"/>
  <c r="R9" i="114"/>
  <c r="Q3" i="113" s="1"/>
  <c r="Q9" i="114"/>
  <c r="P3" i="113" s="1"/>
  <c r="P9" i="114"/>
  <c r="O3" i="113" s="1"/>
  <c r="AF9" i="114"/>
  <c r="AE3" i="113" s="1"/>
  <c r="V9" i="114"/>
  <c r="U3" i="113" s="1"/>
  <c r="S10" i="114"/>
  <c r="R3" i="36" s="1"/>
  <c r="R3" i="113"/>
  <c r="L10" i="114"/>
  <c r="K3" i="36" s="1"/>
  <c r="K3" i="113"/>
  <c r="AC9" i="114"/>
  <c r="AB3" i="113" s="1"/>
  <c r="U9" i="114"/>
  <c r="T3" i="113" s="1"/>
  <c r="AB10" i="114"/>
  <c r="AA3" i="36" s="1"/>
  <c r="AA3" i="113"/>
  <c r="J9" i="114"/>
  <c r="I3" i="113" s="1"/>
  <c r="O9" i="114"/>
  <c r="N3" i="113" s="1"/>
  <c r="AE9" i="114"/>
  <c r="AD3" i="113" s="1"/>
  <c r="W9" i="114"/>
  <c r="V3" i="113" s="1"/>
  <c r="N9" i="114"/>
  <c r="M3" i="113" s="1"/>
  <c r="K10" i="114"/>
  <c r="J3" i="36" s="1"/>
  <c r="J3" i="113"/>
  <c r="C9" i="114"/>
  <c r="B3" i="113" s="1"/>
  <c r="T10" i="114"/>
  <c r="S3" i="36" s="1"/>
  <c r="S3" i="113"/>
  <c r="R19" i="97" l="1"/>
  <c r="S22" i="97"/>
  <c r="Y10" i="114"/>
  <c r="X3" i="36" s="1"/>
  <c r="Q10" i="114"/>
  <c r="P3" i="36" s="1"/>
  <c r="J10" i="114"/>
  <c r="I3" i="36" s="1"/>
  <c r="AG10" i="114"/>
  <c r="AF3" i="36" s="1"/>
  <c r="R10" i="114"/>
  <c r="Q3" i="36" s="1"/>
  <c r="C10" i="114"/>
  <c r="B3" i="36" s="1"/>
  <c r="V10" i="114"/>
  <c r="U3" i="36" s="1"/>
  <c r="AD10" i="114"/>
  <c r="AC3" i="36" s="1"/>
  <c r="W10" i="114"/>
  <c r="V3" i="36" s="1"/>
  <c r="AE10" i="114"/>
  <c r="AD3" i="36" s="1"/>
  <c r="U10" i="114"/>
  <c r="T3" i="36" s="1"/>
  <c r="H10" i="114"/>
  <c r="G3" i="36" s="1"/>
  <c r="M10" i="114"/>
  <c r="L3" i="36" s="1"/>
  <c r="G10" i="114"/>
  <c r="F3" i="36" s="1"/>
  <c r="O10" i="114"/>
  <c r="N3" i="36" s="1"/>
  <c r="AC10" i="114"/>
  <c r="AB3" i="36" s="1"/>
  <c r="AF10" i="114"/>
  <c r="AE3" i="36" s="1"/>
  <c r="I10" i="114"/>
  <c r="H3" i="36" s="1"/>
  <c r="F10" i="114"/>
  <c r="E3" i="36" s="1"/>
  <c r="X10" i="114"/>
  <c r="W3" i="36" s="1"/>
  <c r="N10" i="114"/>
  <c r="M3" i="36" s="1"/>
  <c r="P10" i="114"/>
  <c r="O3" i="36" s="1"/>
  <c r="Z10" i="114"/>
  <c r="Y3" i="36" s="1"/>
  <c r="E10" i="114"/>
  <c r="D3" i="36" s="1"/>
  <c r="C1" i="106"/>
  <c r="D1" i="106" s="1"/>
  <c r="E1" i="106" s="1"/>
  <c r="F1" i="106" s="1"/>
  <c r="G1" i="106" s="1"/>
  <c r="H1" i="106" s="1"/>
  <c r="I1" i="106" s="1"/>
  <c r="J1" i="106" s="1"/>
  <c r="K1" i="106" s="1"/>
  <c r="L1" i="106" s="1"/>
  <c r="M1" i="106" s="1"/>
  <c r="N1" i="106" s="1"/>
  <c r="O1" i="106" s="1"/>
  <c r="P1" i="106" s="1"/>
  <c r="Q1" i="106" s="1"/>
  <c r="R1" i="106" s="1"/>
  <c r="S1" i="106" s="1"/>
  <c r="T1" i="106" s="1"/>
  <c r="U1" i="106" s="1"/>
  <c r="V1" i="106" s="1"/>
  <c r="W1" i="106" s="1"/>
  <c r="X1" i="106" s="1"/>
  <c r="Y1" i="106" s="1"/>
  <c r="Z1" i="106" s="1"/>
  <c r="AA1" i="106" s="1"/>
  <c r="AB1" i="106" s="1"/>
  <c r="AC1" i="106" s="1"/>
  <c r="AD1" i="106" s="1"/>
  <c r="AE1" i="106" s="1"/>
  <c r="AF1" i="106" s="1"/>
  <c r="A17" i="106"/>
  <c r="A18" i="106"/>
  <c r="A19" i="106"/>
  <c r="A20" i="106"/>
  <c r="A21" i="106"/>
  <c r="H25" i="107"/>
  <c r="I25" i="107"/>
  <c r="J25" i="107"/>
  <c r="K25" i="107"/>
  <c r="L25" i="107"/>
  <c r="M25" i="107"/>
  <c r="N25" i="107"/>
  <c r="O25" i="107"/>
  <c r="P25" i="107"/>
  <c r="Q25" i="107"/>
  <c r="R25" i="107"/>
  <c r="S25" i="107"/>
  <c r="T25" i="107"/>
  <c r="U25" i="107"/>
  <c r="V25" i="107"/>
  <c r="W25" i="107"/>
  <c r="H26" i="107"/>
  <c r="I26" i="107"/>
  <c r="J26" i="107"/>
  <c r="K26" i="107"/>
  <c r="L26" i="107"/>
  <c r="M26" i="107"/>
  <c r="N26" i="107"/>
  <c r="O26" i="107"/>
  <c r="P26" i="107"/>
  <c r="Q26" i="107"/>
  <c r="R26" i="107"/>
  <c r="S26" i="107"/>
  <c r="T26" i="107"/>
  <c r="U26" i="107"/>
  <c r="V26" i="107"/>
  <c r="W26" i="107"/>
  <c r="H27" i="107"/>
  <c r="I27" i="107"/>
  <c r="J27" i="107"/>
  <c r="K27" i="107"/>
  <c r="L27" i="107"/>
  <c r="M27" i="107"/>
  <c r="N27" i="107"/>
  <c r="O27" i="107"/>
  <c r="P27" i="107"/>
  <c r="Q27" i="107"/>
  <c r="R27" i="107"/>
  <c r="S27" i="107"/>
  <c r="T27" i="107"/>
  <c r="U27" i="107"/>
  <c r="V27" i="107"/>
  <c r="W27" i="107"/>
  <c r="H28" i="107"/>
  <c r="I28" i="107"/>
  <c r="J28" i="107"/>
  <c r="K28" i="107"/>
  <c r="L28" i="107"/>
  <c r="M28" i="107"/>
  <c r="N28" i="107"/>
  <c r="O28" i="107"/>
  <c r="P28" i="107"/>
  <c r="Q28" i="107"/>
  <c r="R28" i="107"/>
  <c r="S28" i="107"/>
  <c r="T28" i="107"/>
  <c r="U28" i="107"/>
  <c r="V28" i="107"/>
  <c r="W28" i="107"/>
  <c r="H29" i="107"/>
  <c r="I29" i="107"/>
  <c r="J29" i="107"/>
  <c r="K29" i="107"/>
  <c r="L29" i="107"/>
  <c r="M29" i="107"/>
  <c r="N29" i="107"/>
  <c r="O29" i="107"/>
  <c r="P29" i="107"/>
  <c r="Q29" i="107"/>
  <c r="R29" i="107"/>
  <c r="S29" i="107"/>
  <c r="T29" i="107"/>
  <c r="U29" i="107"/>
  <c r="V29" i="107"/>
  <c r="W29" i="107"/>
  <c r="G29" i="107"/>
  <c r="G28" i="107"/>
  <c r="G27" i="107"/>
  <c r="G25" i="107"/>
  <c r="G26" i="107"/>
  <c r="W23" i="107"/>
  <c r="V23" i="107"/>
  <c r="U23" i="107"/>
  <c r="T23" i="107"/>
  <c r="S23" i="107"/>
  <c r="R23" i="107"/>
  <c r="Q23" i="107"/>
  <c r="P23" i="107"/>
  <c r="O23" i="107"/>
  <c r="N23" i="107"/>
  <c r="M23" i="107"/>
  <c r="L23" i="107"/>
  <c r="K23" i="107"/>
  <c r="J23" i="107"/>
  <c r="I23" i="107"/>
  <c r="H23" i="107"/>
  <c r="G23" i="107"/>
  <c r="F23" i="107"/>
  <c r="E23" i="107"/>
  <c r="S19" i="97" l="1"/>
  <c r="T22" i="97"/>
  <c r="B14" i="106"/>
  <c r="B6" i="11" s="1"/>
  <c r="B10" i="106"/>
  <c r="B2" i="11" s="1"/>
  <c r="B3" i="11"/>
  <c r="B13" i="106"/>
  <c r="B5" i="11" s="1"/>
  <c r="B12" i="106"/>
  <c r="B4" i="11" s="1"/>
  <c r="T19" i="97" l="1"/>
  <c r="U22" i="97"/>
  <c r="B5" i="106"/>
  <c r="B4" i="33" s="1"/>
  <c r="B9" i="11"/>
  <c r="B7" i="11"/>
  <c r="C12" i="106"/>
  <c r="C10" i="106"/>
  <c r="C2" i="11" s="1"/>
  <c r="C13" i="106"/>
  <c r="B7" i="106"/>
  <c r="B6" i="33" s="1"/>
  <c r="B6" i="106"/>
  <c r="B5" i="33" s="1"/>
  <c r="C14" i="106"/>
  <c r="C6" i="11" s="1"/>
  <c r="D66" i="100"/>
  <c r="B66" i="100"/>
  <c r="C66" i="100"/>
  <c r="B67" i="100"/>
  <c r="C67" i="100"/>
  <c r="G3" i="102"/>
  <c r="G4" i="102"/>
  <c r="G5" i="102"/>
  <c r="G6" i="102"/>
  <c r="G8" i="102"/>
  <c r="G9" i="102"/>
  <c r="G10" i="102"/>
  <c r="G11" i="102"/>
  <c r="G12" i="102"/>
  <c r="G14" i="102"/>
  <c r="G15" i="102"/>
  <c r="G16" i="102"/>
  <c r="G17" i="102"/>
  <c r="G19" i="102"/>
  <c r="G21" i="102"/>
  <c r="G23" i="102"/>
  <c r="G24" i="102"/>
  <c r="G25" i="102"/>
  <c r="G26" i="102"/>
  <c r="G27" i="102"/>
  <c r="G28" i="102"/>
  <c r="G29" i="102"/>
  <c r="G30" i="102"/>
  <c r="G32" i="102"/>
  <c r="G33" i="102"/>
  <c r="G34" i="102"/>
  <c r="G35" i="102"/>
  <c r="G36" i="102"/>
  <c r="G38" i="102"/>
  <c r="G39" i="102"/>
  <c r="G40" i="102"/>
  <c r="G41" i="102"/>
  <c r="G42" i="102"/>
  <c r="G43" i="102"/>
  <c r="G44" i="102"/>
  <c r="G46" i="102"/>
  <c r="G48" i="102"/>
  <c r="E49" i="100"/>
  <c r="C27" i="100"/>
  <c r="V22" i="97" l="1"/>
  <c r="U19" i="97"/>
  <c r="C7" i="106"/>
  <c r="C6" i="33" s="1"/>
  <c r="B2" i="33"/>
  <c r="C9" i="11"/>
  <c r="C7" i="11"/>
  <c r="C3" i="106"/>
  <c r="C2" i="33" s="1"/>
  <c r="D14" i="106"/>
  <c r="D10" i="106"/>
  <c r="D12" i="106"/>
  <c r="C6" i="106"/>
  <c r="C5" i="33" s="1"/>
  <c r="C5" i="11"/>
  <c r="C3" i="11"/>
  <c r="C5" i="106"/>
  <c r="C4" i="33" s="1"/>
  <c r="C4" i="11"/>
  <c r="D13" i="106"/>
  <c r="D3" i="11"/>
  <c r="B76" i="100"/>
  <c r="B72" i="100" s="1"/>
  <c r="B58" i="100"/>
  <c r="E66" i="100"/>
  <c r="C35" i="100"/>
  <c r="F49" i="100"/>
  <c r="D35" i="100" s="1"/>
  <c r="W22" i="97" l="1"/>
  <c r="V19" i="97"/>
  <c r="D3" i="106"/>
  <c r="D2" i="33" s="1"/>
  <c r="D2" i="11"/>
  <c r="D5" i="106"/>
  <c r="D4" i="33" s="1"/>
  <c r="D4" i="11"/>
  <c r="D7" i="106"/>
  <c r="D6" i="33" s="1"/>
  <c r="D6" i="11"/>
  <c r="D6" i="106"/>
  <c r="D5" i="33" s="1"/>
  <c r="D5" i="11"/>
  <c r="C76" i="100"/>
  <c r="C72" i="100" s="1"/>
  <c r="C58" i="100"/>
  <c r="G49" i="100"/>
  <c r="E35" i="100" s="1"/>
  <c r="F66" i="100"/>
  <c r="C35" i="74"/>
  <c r="D35" i="74"/>
  <c r="E35" i="74"/>
  <c r="F35" i="74"/>
  <c r="G35" i="74"/>
  <c r="H35" i="74"/>
  <c r="I35" i="74"/>
  <c r="J35" i="74"/>
  <c r="K35" i="74"/>
  <c r="L35" i="74"/>
  <c r="M35" i="74"/>
  <c r="N35" i="74"/>
  <c r="O35" i="74"/>
  <c r="P35" i="74"/>
  <c r="Q35" i="74"/>
  <c r="R35" i="74"/>
  <c r="S35" i="74"/>
  <c r="T35" i="74"/>
  <c r="U35" i="74"/>
  <c r="V35" i="74"/>
  <c r="W35" i="74"/>
  <c r="X35" i="74"/>
  <c r="Y35" i="74"/>
  <c r="Z35" i="74"/>
  <c r="AA35" i="74"/>
  <c r="AB35" i="74"/>
  <c r="AC35" i="74"/>
  <c r="AD35" i="74"/>
  <c r="D29" i="98"/>
  <c r="E29" i="98"/>
  <c r="F29" i="98"/>
  <c r="G29" i="98"/>
  <c r="H29" i="98"/>
  <c r="I29" i="98"/>
  <c r="J29" i="98"/>
  <c r="K29" i="98"/>
  <c r="L29" i="98"/>
  <c r="M29" i="98"/>
  <c r="N29" i="98"/>
  <c r="O29" i="98"/>
  <c r="P29" i="98"/>
  <c r="Q29" i="98"/>
  <c r="R29" i="98"/>
  <c r="S29" i="98"/>
  <c r="T29" i="98"/>
  <c r="U29" i="98"/>
  <c r="V29" i="98"/>
  <c r="W29" i="98"/>
  <c r="X29" i="98"/>
  <c r="Y29" i="98"/>
  <c r="Z29" i="98"/>
  <c r="AA29" i="98"/>
  <c r="AB29" i="98"/>
  <c r="AC29" i="98"/>
  <c r="AD29" i="98"/>
  <c r="C29" i="98"/>
  <c r="C35" i="97"/>
  <c r="D35" i="97"/>
  <c r="E35" i="97"/>
  <c r="F35" i="97"/>
  <c r="G35" i="97"/>
  <c r="H35" i="97"/>
  <c r="I35" i="97"/>
  <c r="J35" i="97"/>
  <c r="K35" i="97"/>
  <c r="L35" i="97"/>
  <c r="M35" i="97"/>
  <c r="N35" i="97"/>
  <c r="O35" i="97"/>
  <c r="P35" i="97"/>
  <c r="Q35" i="97"/>
  <c r="R35" i="97"/>
  <c r="S35" i="97"/>
  <c r="T35" i="97"/>
  <c r="U35" i="97"/>
  <c r="V35" i="97"/>
  <c r="W35" i="97"/>
  <c r="X35" i="97"/>
  <c r="Y35" i="97"/>
  <c r="Z35" i="97"/>
  <c r="AA35" i="97"/>
  <c r="AB35" i="97"/>
  <c r="AC35" i="97"/>
  <c r="AD35" i="97"/>
  <c r="AH3" i="102"/>
  <c r="AC38" i="97" s="1"/>
  <c r="AI3" i="102"/>
  <c r="AD38" i="97" s="1"/>
  <c r="AH4" i="102"/>
  <c r="AI4" i="102"/>
  <c r="AH5" i="102"/>
  <c r="AI5" i="102"/>
  <c r="AH6" i="102"/>
  <c r="AI6" i="102"/>
  <c r="AH8" i="102"/>
  <c r="AC39" i="97" s="1"/>
  <c r="AI8" i="102"/>
  <c r="AD39" i="97" s="1"/>
  <c r="AH9" i="102"/>
  <c r="AI9" i="102"/>
  <c r="AH10" i="102"/>
  <c r="AI10" i="102"/>
  <c r="AH11" i="102"/>
  <c r="AI11" i="102"/>
  <c r="AH12" i="102"/>
  <c r="AI12" i="102"/>
  <c r="AH14" i="102"/>
  <c r="AC40" i="97" s="1"/>
  <c r="AI14" i="102"/>
  <c r="AD40" i="97" s="1"/>
  <c r="AH15" i="102"/>
  <c r="AI15" i="102"/>
  <c r="AH16" i="102"/>
  <c r="AI16" i="102"/>
  <c r="AH17" i="102"/>
  <c r="AI17" i="102"/>
  <c r="AH19" i="102"/>
  <c r="AI19" i="102"/>
  <c r="AH21" i="102"/>
  <c r="AI21" i="102"/>
  <c r="AH23" i="102"/>
  <c r="AC36" i="97" s="1"/>
  <c r="AI23" i="102"/>
  <c r="AD36" i="97" s="1"/>
  <c r="AH24" i="102"/>
  <c r="AI24" i="102"/>
  <c r="AH25" i="102"/>
  <c r="AI25" i="102"/>
  <c r="AH26" i="102"/>
  <c r="AI26" i="102"/>
  <c r="AH27" i="102"/>
  <c r="AI27" i="102"/>
  <c r="AH28" i="102"/>
  <c r="AI28" i="102"/>
  <c r="AH29" i="102"/>
  <c r="AE12" i="74" s="1"/>
  <c r="AE3" i="74" s="1"/>
  <c r="AI29" i="102"/>
  <c r="AF12" i="74" s="1"/>
  <c r="AF3" i="74" s="1"/>
  <c r="AH30" i="102"/>
  <c r="AI30" i="102"/>
  <c r="AH32" i="102"/>
  <c r="AI32" i="102"/>
  <c r="AH33" i="102"/>
  <c r="AI33" i="102"/>
  <c r="AH34" i="102"/>
  <c r="AC37" i="74" s="1"/>
  <c r="AE13" i="74" s="1"/>
  <c r="AE4" i="74" s="1"/>
  <c r="AI34" i="102"/>
  <c r="AD37" i="74" s="1"/>
  <c r="AF13" i="74" s="1"/>
  <c r="AF4" i="74" s="1"/>
  <c r="AH35" i="102"/>
  <c r="AI35" i="102"/>
  <c r="AH36" i="102"/>
  <c r="AI36" i="102"/>
  <c r="AH38" i="102"/>
  <c r="AI38" i="102"/>
  <c r="AH39" i="102"/>
  <c r="AI39" i="102"/>
  <c r="AH40" i="102"/>
  <c r="AI40" i="102"/>
  <c r="AH41" i="102"/>
  <c r="AI41" i="102"/>
  <c r="AH42" i="102"/>
  <c r="AI42" i="102"/>
  <c r="AH43" i="102"/>
  <c r="AI43" i="102"/>
  <c r="AH44" i="102"/>
  <c r="AI44" i="102"/>
  <c r="AH46" i="102"/>
  <c r="AI46" i="102"/>
  <c r="AH48" i="102"/>
  <c r="AI48" i="102"/>
  <c r="I3" i="102"/>
  <c r="D38" i="97" s="1"/>
  <c r="J3" i="102"/>
  <c r="E38" i="97" s="1"/>
  <c r="K3" i="102"/>
  <c r="F38" i="97" s="1"/>
  <c r="L3" i="102"/>
  <c r="G38" i="97" s="1"/>
  <c r="M3" i="102"/>
  <c r="H38" i="97" s="1"/>
  <c r="N3" i="102"/>
  <c r="I38" i="97" s="1"/>
  <c r="O3" i="102"/>
  <c r="J38" i="97" s="1"/>
  <c r="P3" i="102"/>
  <c r="K38" i="97" s="1"/>
  <c r="Q3" i="102"/>
  <c r="L38" i="97" s="1"/>
  <c r="R3" i="102"/>
  <c r="M38" i="97" s="1"/>
  <c r="S3" i="102"/>
  <c r="N38" i="97" s="1"/>
  <c r="T3" i="102"/>
  <c r="O38" i="97" s="1"/>
  <c r="U3" i="102"/>
  <c r="V3" i="102"/>
  <c r="Q38" i="97" s="1"/>
  <c r="W3" i="102"/>
  <c r="R38" i="97" s="1"/>
  <c r="X3" i="102"/>
  <c r="S38" i="97" s="1"/>
  <c r="Y3" i="102"/>
  <c r="T38" i="97" s="1"/>
  <c r="Z3" i="102"/>
  <c r="U38" i="97" s="1"/>
  <c r="AA3" i="102"/>
  <c r="V38" i="97" s="1"/>
  <c r="AB3" i="102"/>
  <c r="W38" i="97" s="1"/>
  <c r="AC3" i="102"/>
  <c r="X38" i="97" s="1"/>
  <c r="AD3" i="102"/>
  <c r="Y38" i="97" s="1"/>
  <c r="AE3" i="102"/>
  <c r="Z38" i="97" s="1"/>
  <c r="AF3" i="102"/>
  <c r="AA38" i="97" s="1"/>
  <c r="AG3" i="102"/>
  <c r="AB38" i="97" s="1"/>
  <c r="I4" i="102"/>
  <c r="J4" i="102"/>
  <c r="K4" i="102"/>
  <c r="L4" i="102"/>
  <c r="M4" i="102"/>
  <c r="N4" i="102"/>
  <c r="O4" i="102"/>
  <c r="P4" i="102"/>
  <c r="Q4" i="102"/>
  <c r="R4" i="102"/>
  <c r="S4" i="102"/>
  <c r="T4" i="102"/>
  <c r="U4" i="102"/>
  <c r="V4" i="102"/>
  <c r="W4" i="102"/>
  <c r="X4" i="102"/>
  <c r="Y4" i="102"/>
  <c r="Z4" i="102"/>
  <c r="AA4" i="102"/>
  <c r="AB4" i="102"/>
  <c r="AC4" i="102"/>
  <c r="AD4" i="102"/>
  <c r="AE4" i="102"/>
  <c r="AF4" i="102"/>
  <c r="AG4" i="102"/>
  <c r="I5" i="102"/>
  <c r="J5" i="102"/>
  <c r="K5" i="102"/>
  <c r="L5" i="102"/>
  <c r="M5" i="102"/>
  <c r="N5" i="102"/>
  <c r="O5" i="102"/>
  <c r="P5" i="102"/>
  <c r="Q5" i="102"/>
  <c r="R5" i="102"/>
  <c r="S5" i="102"/>
  <c r="T5" i="102"/>
  <c r="U5" i="102"/>
  <c r="V5" i="102"/>
  <c r="W5" i="102"/>
  <c r="X5" i="102"/>
  <c r="Y5" i="102"/>
  <c r="Z5" i="102"/>
  <c r="AA5" i="102"/>
  <c r="AB5" i="102"/>
  <c r="AC5" i="102"/>
  <c r="AD5" i="102"/>
  <c r="AE5" i="102"/>
  <c r="AF5" i="102"/>
  <c r="AG5" i="102"/>
  <c r="I6" i="102"/>
  <c r="J6" i="102"/>
  <c r="K6" i="102"/>
  <c r="L6" i="102"/>
  <c r="M6" i="102"/>
  <c r="N6" i="102"/>
  <c r="O6" i="102"/>
  <c r="P6" i="102"/>
  <c r="Q6" i="102"/>
  <c r="R6" i="102"/>
  <c r="S6" i="102"/>
  <c r="T6" i="102"/>
  <c r="U6" i="102"/>
  <c r="V6" i="102"/>
  <c r="W6" i="102"/>
  <c r="X6" i="102"/>
  <c r="Y6" i="102"/>
  <c r="Z6" i="102"/>
  <c r="AA6" i="102"/>
  <c r="AB6" i="102"/>
  <c r="AC6" i="102"/>
  <c r="AD6" i="102"/>
  <c r="AE6" i="102"/>
  <c r="AF6" i="102"/>
  <c r="AG6" i="102"/>
  <c r="I8" i="102"/>
  <c r="D39" i="97" s="1"/>
  <c r="J8" i="102"/>
  <c r="E39" i="97" s="1"/>
  <c r="K8" i="102"/>
  <c r="F39" i="97" s="1"/>
  <c r="L8" i="102"/>
  <c r="G39" i="97" s="1"/>
  <c r="M8" i="102"/>
  <c r="H39" i="97" s="1"/>
  <c r="N8" i="102"/>
  <c r="I39" i="97" s="1"/>
  <c r="O8" i="102"/>
  <c r="J39" i="97" s="1"/>
  <c r="P8" i="102"/>
  <c r="K39" i="97" s="1"/>
  <c r="Q8" i="102"/>
  <c r="L39" i="97" s="1"/>
  <c r="R8" i="102"/>
  <c r="M39" i="97" s="1"/>
  <c r="S8" i="102"/>
  <c r="N39" i="97" s="1"/>
  <c r="T8" i="102"/>
  <c r="O39" i="97" s="1"/>
  <c r="U8" i="102"/>
  <c r="P39" i="97" s="1"/>
  <c r="V8" i="102"/>
  <c r="Q39" i="97" s="1"/>
  <c r="W8" i="102"/>
  <c r="R39" i="97" s="1"/>
  <c r="X8" i="102"/>
  <c r="S39" i="97" s="1"/>
  <c r="Y8" i="102"/>
  <c r="T39" i="97" s="1"/>
  <c r="Z8" i="102"/>
  <c r="U39" i="97" s="1"/>
  <c r="AA8" i="102"/>
  <c r="V39" i="97" s="1"/>
  <c r="AB8" i="102"/>
  <c r="W39" i="97" s="1"/>
  <c r="AC8" i="102"/>
  <c r="X39" i="97" s="1"/>
  <c r="AD8" i="102"/>
  <c r="Y39" i="97" s="1"/>
  <c r="AE8" i="102"/>
  <c r="Z39" i="97" s="1"/>
  <c r="AF8" i="102"/>
  <c r="AA39" i="97" s="1"/>
  <c r="AG8" i="102"/>
  <c r="AB39" i="97" s="1"/>
  <c r="I9" i="102"/>
  <c r="J9" i="102"/>
  <c r="K9" i="102"/>
  <c r="L9" i="102"/>
  <c r="M9" i="102"/>
  <c r="N9" i="102"/>
  <c r="O9" i="102"/>
  <c r="P9" i="102"/>
  <c r="Q9" i="102"/>
  <c r="R9" i="102"/>
  <c r="S9" i="102"/>
  <c r="T9" i="102"/>
  <c r="U9" i="102"/>
  <c r="V9" i="102"/>
  <c r="W9" i="102"/>
  <c r="X9" i="102"/>
  <c r="Y9" i="102"/>
  <c r="Z9" i="102"/>
  <c r="AA9" i="102"/>
  <c r="AB9" i="102"/>
  <c r="AC9" i="102"/>
  <c r="AD9" i="102"/>
  <c r="AE9" i="102"/>
  <c r="AF9" i="102"/>
  <c r="AG9" i="102"/>
  <c r="I10" i="102"/>
  <c r="J10" i="102"/>
  <c r="K10" i="102"/>
  <c r="L10" i="102"/>
  <c r="M10" i="102"/>
  <c r="N10" i="102"/>
  <c r="O10" i="102"/>
  <c r="P10" i="102"/>
  <c r="Q10" i="102"/>
  <c r="R10" i="102"/>
  <c r="S10" i="102"/>
  <c r="T10" i="102"/>
  <c r="U10" i="102"/>
  <c r="V10" i="102"/>
  <c r="W10" i="102"/>
  <c r="X10" i="102"/>
  <c r="Y10" i="102"/>
  <c r="Z10" i="102"/>
  <c r="AA10" i="102"/>
  <c r="AB10" i="102"/>
  <c r="AC10" i="102"/>
  <c r="AD10" i="102"/>
  <c r="AE10" i="102"/>
  <c r="AF10" i="102"/>
  <c r="AG10" i="102"/>
  <c r="I11" i="102"/>
  <c r="J11" i="102"/>
  <c r="K11" i="102"/>
  <c r="L11" i="102"/>
  <c r="M11" i="102"/>
  <c r="N11" i="102"/>
  <c r="O11" i="102"/>
  <c r="P11" i="102"/>
  <c r="Q11" i="102"/>
  <c r="R11" i="102"/>
  <c r="S11" i="102"/>
  <c r="T11" i="102"/>
  <c r="U11" i="102"/>
  <c r="V11" i="102"/>
  <c r="W11" i="102"/>
  <c r="X11" i="102"/>
  <c r="Y11" i="102"/>
  <c r="Z11" i="102"/>
  <c r="AA11" i="102"/>
  <c r="AB11" i="102"/>
  <c r="AC11" i="102"/>
  <c r="AD11" i="102"/>
  <c r="AE11" i="102"/>
  <c r="AF11" i="102"/>
  <c r="AG11" i="102"/>
  <c r="I12" i="102"/>
  <c r="J12" i="102"/>
  <c r="K12" i="102"/>
  <c r="L12" i="102"/>
  <c r="M12" i="102"/>
  <c r="N12" i="102"/>
  <c r="O12" i="102"/>
  <c r="P12" i="102"/>
  <c r="Q12" i="102"/>
  <c r="R12" i="102"/>
  <c r="S12" i="102"/>
  <c r="T12" i="102"/>
  <c r="U12" i="102"/>
  <c r="R20" i="106" s="1"/>
  <c r="S20" i="106" s="1"/>
  <c r="T20" i="106" s="1"/>
  <c r="U20" i="106" s="1"/>
  <c r="V12" i="102"/>
  <c r="W12" i="102"/>
  <c r="X12" i="102"/>
  <c r="Y12" i="102"/>
  <c r="Z12" i="102"/>
  <c r="AA12" i="102"/>
  <c r="AB12" i="102"/>
  <c r="AC12" i="102"/>
  <c r="AD12" i="102"/>
  <c r="AE12" i="102"/>
  <c r="AF12" i="102"/>
  <c r="AG12" i="102"/>
  <c r="I14" i="102"/>
  <c r="D40" i="97" s="1"/>
  <c r="J14" i="102"/>
  <c r="E40" i="97" s="1"/>
  <c r="K14" i="102"/>
  <c r="F40" i="97" s="1"/>
  <c r="L14" i="102"/>
  <c r="G40" i="97" s="1"/>
  <c r="M14" i="102"/>
  <c r="H40" i="97" s="1"/>
  <c r="N14" i="102"/>
  <c r="I40" i="97" s="1"/>
  <c r="O14" i="102"/>
  <c r="J40" i="97" s="1"/>
  <c r="P14" i="102"/>
  <c r="K40" i="97" s="1"/>
  <c r="Q14" i="102"/>
  <c r="L40" i="97" s="1"/>
  <c r="R14" i="102"/>
  <c r="M40" i="97" s="1"/>
  <c r="S14" i="102"/>
  <c r="N40" i="97" s="1"/>
  <c r="T14" i="102"/>
  <c r="O40" i="97" s="1"/>
  <c r="U14" i="102"/>
  <c r="P40" i="97" s="1"/>
  <c r="V14" i="102"/>
  <c r="Q40" i="97" s="1"/>
  <c r="W14" i="102"/>
  <c r="R40" i="97" s="1"/>
  <c r="X14" i="102"/>
  <c r="S40" i="97" s="1"/>
  <c r="Y14" i="102"/>
  <c r="T40" i="97" s="1"/>
  <c r="Z14" i="102"/>
  <c r="U40" i="97" s="1"/>
  <c r="AA14" i="102"/>
  <c r="V40" i="97" s="1"/>
  <c r="AB14" i="102"/>
  <c r="W40" i="97" s="1"/>
  <c r="AC14" i="102"/>
  <c r="X40" i="97" s="1"/>
  <c r="AD14" i="102"/>
  <c r="Y40" i="97" s="1"/>
  <c r="AE14" i="102"/>
  <c r="Z40" i="97" s="1"/>
  <c r="AF14" i="102"/>
  <c r="AA40" i="97" s="1"/>
  <c r="AG14" i="102"/>
  <c r="AB40" i="97" s="1"/>
  <c r="I15" i="102"/>
  <c r="J15" i="102"/>
  <c r="K15" i="102"/>
  <c r="L15" i="102"/>
  <c r="M15" i="102"/>
  <c r="N15" i="102"/>
  <c r="O15" i="102"/>
  <c r="P15" i="102"/>
  <c r="Q15" i="102"/>
  <c r="R15" i="102"/>
  <c r="S15" i="102"/>
  <c r="T15" i="102"/>
  <c r="U15" i="102"/>
  <c r="V15" i="102"/>
  <c r="W15" i="102"/>
  <c r="X15" i="102"/>
  <c r="Y15" i="102"/>
  <c r="Z15" i="102"/>
  <c r="AA15" i="102"/>
  <c r="AB15" i="102"/>
  <c r="AC15" i="102"/>
  <c r="AD15" i="102"/>
  <c r="AE15" i="102"/>
  <c r="AF15" i="102"/>
  <c r="AG15" i="102"/>
  <c r="I16" i="102"/>
  <c r="J16" i="102"/>
  <c r="K16" i="102"/>
  <c r="L16" i="102"/>
  <c r="M16" i="102"/>
  <c r="N16" i="102"/>
  <c r="O16" i="102"/>
  <c r="P16" i="102"/>
  <c r="Q16" i="102"/>
  <c r="R16" i="102"/>
  <c r="S16" i="102"/>
  <c r="T16" i="102"/>
  <c r="U16" i="102"/>
  <c r="V16" i="102"/>
  <c r="W16" i="102"/>
  <c r="X16" i="102"/>
  <c r="Y16" i="102"/>
  <c r="Z16" i="102"/>
  <c r="AA16" i="102"/>
  <c r="AB16" i="102"/>
  <c r="AC16" i="102"/>
  <c r="AD16" i="102"/>
  <c r="AE16" i="102"/>
  <c r="AF16" i="102"/>
  <c r="AG16" i="102"/>
  <c r="I17" i="102"/>
  <c r="J17" i="102"/>
  <c r="K17" i="102"/>
  <c r="L17" i="102"/>
  <c r="M17" i="102"/>
  <c r="N17" i="102"/>
  <c r="O17" i="102"/>
  <c r="P17" i="102"/>
  <c r="Q17" i="102"/>
  <c r="R17" i="102"/>
  <c r="S17" i="102"/>
  <c r="T17" i="102"/>
  <c r="U17" i="102"/>
  <c r="V17" i="102"/>
  <c r="W17" i="102"/>
  <c r="X17" i="102"/>
  <c r="Y17" i="102"/>
  <c r="Z17" i="102"/>
  <c r="AA17" i="102"/>
  <c r="AB17" i="102"/>
  <c r="AC17" i="102"/>
  <c r="AD17" i="102"/>
  <c r="AE17" i="102"/>
  <c r="AF17" i="102"/>
  <c r="AG17" i="102"/>
  <c r="I19" i="102"/>
  <c r="J19" i="102"/>
  <c r="K19" i="102"/>
  <c r="L19" i="102"/>
  <c r="M19" i="102"/>
  <c r="N19" i="102"/>
  <c r="O19" i="102"/>
  <c r="P19" i="102"/>
  <c r="Q19" i="102"/>
  <c r="R19" i="102"/>
  <c r="S19" i="102"/>
  <c r="T19" i="102"/>
  <c r="U19" i="102"/>
  <c r="V19" i="102"/>
  <c r="W19" i="102"/>
  <c r="X19" i="102"/>
  <c r="Y19" i="102"/>
  <c r="Z19" i="102"/>
  <c r="AA19" i="102"/>
  <c r="AB19" i="102"/>
  <c r="AC19" i="102"/>
  <c r="AD19" i="102"/>
  <c r="AE19" i="102"/>
  <c r="AF19" i="102"/>
  <c r="AG19" i="102"/>
  <c r="I21" i="102"/>
  <c r="J21" i="102"/>
  <c r="K21" i="102"/>
  <c r="L21" i="102"/>
  <c r="M21" i="102"/>
  <c r="N21" i="102"/>
  <c r="O21" i="102"/>
  <c r="P21" i="102"/>
  <c r="Q21" i="102"/>
  <c r="R21" i="102"/>
  <c r="S21" i="102"/>
  <c r="T21" i="102"/>
  <c r="U21" i="102"/>
  <c r="V21" i="102"/>
  <c r="W21" i="102"/>
  <c r="X21" i="102"/>
  <c r="Y21" i="102"/>
  <c r="Z21" i="102"/>
  <c r="AA21" i="102"/>
  <c r="AB21" i="102"/>
  <c r="AC21" i="102"/>
  <c r="AD21" i="102"/>
  <c r="AE21" i="102"/>
  <c r="AF21" i="102"/>
  <c r="AG21" i="102"/>
  <c r="I23" i="102"/>
  <c r="D36" i="97" s="1"/>
  <c r="J23" i="102"/>
  <c r="E36" i="97" s="1"/>
  <c r="K23" i="102"/>
  <c r="F36" i="97" s="1"/>
  <c r="L23" i="102"/>
  <c r="G36" i="97" s="1"/>
  <c r="M23" i="102"/>
  <c r="H36" i="97" s="1"/>
  <c r="N23" i="102"/>
  <c r="I36" i="97" s="1"/>
  <c r="O23" i="102"/>
  <c r="J36" i="97" s="1"/>
  <c r="P23" i="102"/>
  <c r="K36" i="97" s="1"/>
  <c r="Q23" i="102"/>
  <c r="L36" i="97" s="1"/>
  <c r="R23" i="102"/>
  <c r="M36" i="97" s="1"/>
  <c r="S23" i="102"/>
  <c r="N36" i="97" s="1"/>
  <c r="T23" i="102"/>
  <c r="O36" i="97" s="1"/>
  <c r="U23" i="102"/>
  <c r="P36" i="97" s="1"/>
  <c r="V23" i="102"/>
  <c r="Q36" i="97" s="1"/>
  <c r="W23" i="102"/>
  <c r="R36" i="97" s="1"/>
  <c r="X23" i="102"/>
  <c r="S36" i="97" s="1"/>
  <c r="Y23" i="102"/>
  <c r="T36" i="97" s="1"/>
  <c r="Z23" i="102"/>
  <c r="U36" i="97" s="1"/>
  <c r="AA23" i="102"/>
  <c r="V36" i="97" s="1"/>
  <c r="AB23" i="102"/>
  <c r="W36" i="97" s="1"/>
  <c r="AC23" i="102"/>
  <c r="X36" i="97" s="1"/>
  <c r="AD23" i="102"/>
  <c r="Y36" i="97" s="1"/>
  <c r="AE23" i="102"/>
  <c r="Z36" i="97" s="1"/>
  <c r="AF23" i="102"/>
  <c r="AA36" i="97" s="1"/>
  <c r="AG23" i="102"/>
  <c r="AB36" i="97" s="1"/>
  <c r="I24" i="102"/>
  <c r="J24" i="102"/>
  <c r="K24" i="102"/>
  <c r="L24" i="102"/>
  <c r="M24" i="102"/>
  <c r="N24" i="102"/>
  <c r="O24" i="102"/>
  <c r="P24" i="102"/>
  <c r="Q24" i="102"/>
  <c r="R24" i="102"/>
  <c r="S24" i="102"/>
  <c r="T24" i="102"/>
  <c r="U24" i="102"/>
  <c r="V24" i="102"/>
  <c r="W24" i="102"/>
  <c r="X24" i="102"/>
  <c r="Y24" i="102"/>
  <c r="Z24" i="102"/>
  <c r="AA24" i="102"/>
  <c r="AB24" i="102"/>
  <c r="AC24" i="102"/>
  <c r="AD24" i="102"/>
  <c r="AE24" i="102"/>
  <c r="AF24" i="102"/>
  <c r="AG24" i="102"/>
  <c r="I25" i="102"/>
  <c r="J25" i="102"/>
  <c r="K25" i="102"/>
  <c r="L25" i="102"/>
  <c r="M25" i="102"/>
  <c r="N25" i="102"/>
  <c r="O25" i="102"/>
  <c r="P25" i="102"/>
  <c r="Q25" i="102"/>
  <c r="R25" i="102"/>
  <c r="S25" i="102"/>
  <c r="T25" i="102"/>
  <c r="U25" i="102"/>
  <c r="V25" i="102"/>
  <c r="W25" i="102"/>
  <c r="X25" i="102"/>
  <c r="Y25" i="102"/>
  <c r="Z25" i="102"/>
  <c r="AA25" i="102"/>
  <c r="AB25" i="102"/>
  <c r="AC25" i="102"/>
  <c r="AD25" i="102"/>
  <c r="AE25" i="102"/>
  <c r="AF25" i="102"/>
  <c r="AG25" i="102"/>
  <c r="I26" i="102"/>
  <c r="J26" i="102"/>
  <c r="K26" i="102"/>
  <c r="L26" i="102"/>
  <c r="M26" i="102"/>
  <c r="N26" i="102"/>
  <c r="O26" i="102"/>
  <c r="P26" i="102"/>
  <c r="Q26" i="102"/>
  <c r="R26" i="102"/>
  <c r="S26" i="102"/>
  <c r="T26" i="102"/>
  <c r="U26" i="102"/>
  <c r="V26" i="102"/>
  <c r="W26" i="102"/>
  <c r="X26" i="102"/>
  <c r="Y26" i="102"/>
  <c r="Z26" i="102"/>
  <c r="AA26" i="102"/>
  <c r="AB26" i="102"/>
  <c r="AC26" i="102"/>
  <c r="AD26" i="102"/>
  <c r="AE26" i="102"/>
  <c r="AF26" i="102"/>
  <c r="AG26" i="102"/>
  <c r="I27" i="102"/>
  <c r="J27" i="102"/>
  <c r="K27" i="102"/>
  <c r="L27" i="102"/>
  <c r="M27" i="102"/>
  <c r="N27" i="102"/>
  <c r="O27" i="102"/>
  <c r="P27" i="102"/>
  <c r="Q27" i="102"/>
  <c r="R27" i="102"/>
  <c r="S27" i="102"/>
  <c r="T27" i="102"/>
  <c r="U27" i="102"/>
  <c r="V27" i="102"/>
  <c r="W27" i="102"/>
  <c r="X27" i="102"/>
  <c r="Y27" i="102"/>
  <c r="Z27" i="102"/>
  <c r="AA27" i="102"/>
  <c r="AB27" i="102"/>
  <c r="AC27" i="102"/>
  <c r="AD27" i="102"/>
  <c r="AE27" i="102"/>
  <c r="AF27" i="102"/>
  <c r="AG27" i="102"/>
  <c r="I28" i="102"/>
  <c r="J28" i="102"/>
  <c r="K28" i="102"/>
  <c r="L28" i="102"/>
  <c r="M28" i="102"/>
  <c r="N28" i="102"/>
  <c r="O28" i="102"/>
  <c r="P28" i="102"/>
  <c r="Q28" i="102"/>
  <c r="R28" i="102"/>
  <c r="S28" i="102"/>
  <c r="T28" i="102"/>
  <c r="U28" i="102"/>
  <c r="V28" i="102"/>
  <c r="W28" i="102"/>
  <c r="X28" i="102"/>
  <c r="Y28" i="102"/>
  <c r="Z28" i="102"/>
  <c r="AA28" i="102"/>
  <c r="AB28" i="102"/>
  <c r="AC28" i="102"/>
  <c r="AD28" i="102"/>
  <c r="AE28" i="102"/>
  <c r="AF28" i="102"/>
  <c r="AG28" i="102"/>
  <c r="I29" i="102"/>
  <c r="J29" i="102"/>
  <c r="K29" i="102"/>
  <c r="L29" i="102"/>
  <c r="M29" i="102"/>
  <c r="N29" i="102"/>
  <c r="O29" i="102"/>
  <c r="P29" i="102"/>
  <c r="Q29" i="102"/>
  <c r="R29" i="102"/>
  <c r="S29" i="102"/>
  <c r="T29" i="102"/>
  <c r="U29" i="102"/>
  <c r="R12" i="74" s="1"/>
  <c r="R3" i="74" s="1"/>
  <c r="V29" i="102"/>
  <c r="S12" i="74" s="1"/>
  <c r="S3" i="74" s="1"/>
  <c r="W29" i="102"/>
  <c r="T12" i="74" s="1"/>
  <c r="T3" i="74" s="1"/>
  <c r="X29" i="102"/>
  <c r="U12" i="74" s="1"/>
  <c r="U3" i="74" s="1"/>
  <c r="Y29" i="102"/>
  <c r="V12" i="74" s="1"/>
  <c r="V3" i="74" s="1"/>
  <c r="Z29" i="102"/>
  <c r="W12" i="74" s="1"/>
  <c r="W3" i="74" s="1"/>
  <c r="AA29" i="102"/>
  <c r="X12" i="74" s="1"/>
  <c r="X3" i="74" s="1"/>
  <c r="AB29" i="102"/>
  <c r="Y12" i="74" s="1"/>
  <c r="Y3" i="74" s="1"/>
  <c r="AC29" i="102"/>
  <c r="Z12" i="74" s="1"/>
  <c r="Z3" i="74" s="1"/>
  <c r="AD29" i="102"/>
  <c r="AA12" i="74" s="1"/>
  <c r="AA3" i="74" s="1"/>
  <c r="AE29" i="102"/>
  <c r="AB12" i="74" s="1"/>
  <c r="AB3" i="74" s="1"/>
  <c r="AF29" i="102"/>
  <c r="AC12" i="74" s="1"/>
  <c r="AC3" i="74" s="1"/>
  <c r="AG29" i="102"/>
  <c r="AD12" i="74" s="1"/>
  <c r="AD3" i="74" s="1"/>
  <c r="I30" i="102"/>
  <c r="J30" i="102"/>
  <c r="K30" i="102"/>
  <c r="L30" i="102"/>
  <c r="M30" i="102"/>
  <c r="N30" i="102"/>
  <c r="O30" i="102"/>
  <c r="P30" i="102"/>
  <c r="Q30" i="102"/>
  <c r="R30" i="102"/>
  <c r="S30" i="102"/>
  <c r="T30" i="102"/>
  <c r="U30" i="102"/>
  <c r="V30" i="102"/>
  <c r="W30" i="102"/>
  <c r="X30" i="102"/>
  <c r="Y30" i="102"/>
  <c r="Z30" i="102"/>
  <c r="AA30" i="102"/>
  <c r="AB30" i="102"/>
  <c r="AC30" i="102"/>
  <c r="AD30" i="102"/>
  <c r="AE30" i="102"/>
  <c r="AF30" i="102"/>
  <c r="AG30" i="102"/>
  <c r="I32" i="102"/>
  <c r="J32" i="102"/>
  <c r="K32" i="102"/>
  <c r="L32" i="102"/>
  <c r="M32" i="102"/>
  <c r="N32" i="102"/>
  <c r="O32" i="102"/>
  <c r="P32" i="102"/>
  <c r="Q32" i="102"/>
  <c r="R32" i="102"/>
  <c r="S32" i="102"/>
  <c r="T32" i="102"/>
  <c r="U32" i="102"/>
  <c r="V32" i="102"/>
  <c r="W32" i="102"/>
  <c r="X32" i="102"/>
  <c r="Y32" i="102"/>
  <c r="Z32" i="102"/>
  <c r="AA32" i="102"/>
  <c r="AB32" i="102"/>
  <c r="AC32" i="102"/>
  <c r="AD32" i="102"/>
  <c r="AE32" i="102"/>
  <c r="AF32" i="102"/>
  <c r="AG32" i="102"/>
  <c r="I33" i="102"/>
  <c r="J33" i="102"/>
  <c r="K33" i="102"/>
  <c r="L33" i="102"/>
  <c r="M33" i="102"/>
  <c r="N33" i="102"/>
  <c r="O33" i="102"/>
  <c r="P33" i="102"/>
  <c r="Q33" i="102"/>
  <c r="R33" i="102"/>
  <c r="S33" i="102"/>
  <c r="T33" i="102"/>
  <c r="U33" i="102"/>
  <c r="V33" i="102"/>
  <c r="W33" i="102"/>
  <c r="X33" i="102"/>
  <c r="Y33" i="102"/>
  <c r="Z33" i="102"/>
  <c r="AA33" i="102"/>
  <c r="AB33" i="102"/>
  <c r="AC33" i="102"/>
  <c r="AD33" i="102"/>
  <c r="AE33" i="102"/>
  <c r="AF33" i="102"/>
  <c r="AG33" i="102"/>
  <c r="I34" i="102"/>
  <c r="J34" i="102"/>
  <c r="K34" i="102"/>
  <c r="L34" i="102"/>
  <c r="M34" i="102"/>
  <c r="N34" i="102"/>
  <c r="O34" i="102"/>
  <c r="P34" i="102"/>
  <c r="Q34" i="102"/>
  <c r="R34" i="102"/>
  <c r="S34" i="102"/>
  <c r="T34" i="102"/>
  <c r="U34" i="102"/>
  <c r="P37" i="74" s="1"/>
  <c r="R13" i="74" s="1"/>
  <c r="R4" i="74" s="1"/>
  <c r="V34" i="102"/>
  <c r="Q37" i="74" s="1"/>
  <c r="S13" i="74" s="1"/>
  <c r="S4" i="74" s="1"/>
  <c r="W34" i="102"/>
  <c r="R37" i="74" s="1"/>
  <c r="T13" i="74" s="1"/>
  <c r="T4" i="74" s="1"/>
  <c r="X34" i="102"/>
  <c r="S37" i="74" s="1"/>
  <c r="U13" i="74" s="1"/>
  <c r="U4" i="74" s="1"/>
  <c r="Y34" i="102"/>
  <c r="T37" i="74" s="1"/>
  <c r="V13" i="74" s="1"/>
  <c r="V4" i="74" s="1"/>
  <c r="Z34" i="102"/>
  <c r="U37" i="74" s="1"/>
  <c r="W13" i="74" s="1"/>
  <c r="W4" i="74" s="1"/>
  <c r="AA34" i="102"/>
  <c r="V37" i="74" s="1"/>
  <c r="X13" i="74" s="1"/>
  <c r="X4" i="74" s="1"/>
  <c r="AB34" i="102"/>
  <c r="W37" i="74" s="1"/>
  <c r="Y13" i="74" s="1"/>
  <c r="Y4" i="74" s="1"/>
  <c r="AC34" i="102"/>
  <c r="X37" i="74" s="1"/>
  <c r="Z13" i="74" s="1"/>
  <c r="Z4" i="74" s="1"/>
  <c r="AD34" i="102"/>
  <c r="Y37" i="74" s="1"/>
  <c r="AA13" i="74" s="1"/>
  <c r="AA4" i="74" s="1"/>
  <c r="AE34" i="102"/>
  <c r="Z37" i="74" s="1"/>
  <c r="AB13" i="74" s="1"/>
  <c r="AB4" i="74" s="1"/>
  <c r="AF34" i="102"/>
  <c r="AA37" i="74" s="1"/>
  <c r="AC13" i="74" s="1"/>
  <c r="AC4" i="74" s="1"/>
  <c r="AG34" i="102"/>
  <c r="AB37" i="74" s="1"/>
  <c r="AD13" i="74" s="1"/>
  <c r="AD4" i="74" s="1"/>
  <c r="I35" i="102"/>
  <c r="J35" i="102"/>
  <c r="K35" i="102"/>
  <c r="L35" i="102"/>
  <c r="M35" i="102"/>
  <c r="N35" i="102"/>
  <c r="O35" i="102"/>
  <c r="P35" i="102"/>
  <c r="Q35" i="102"/>
  <c r="R35" i="102"/>
  <c r="S35" i="102"/>
  <c r="T35" i="102"/>
  <c r="U35" i="102"/>
  <c r="V35" i="102"/>
  <c r="W35" i="102"/>
  <c r="X35" i="102"/>
  <c r="Y35" i="102"/>
  <c r="Z35" i="102"/>
  <c r="AA35" i="102"/>
  <c r="AB35" i="102"/>
  <c r="AC35" i="102"/>
  <c r="AD35" i="102"/>
  <c r="AE35" i="102"/>
  <c r="AF35" i="102"/>
  <c r="AG35" i="102"/>
  <c r="I36" i="102"/>
  <c r="J36" i="102"/>
  <c r="K36" i="102"/>
  <c r="L36" i="102"/>
  <c r="M36" i="102"/>
  <c r="N36" i="102"/>
  <c r="O36" i="102"/>
  <c r="P36" i="102"/>
  <c r="Q36" i="102"/>
  <c r="R36" i="102"/>
  <c r="S36" i="102"/>
  <c r="T36" i="102"/>
  <c r="U36" i="102"/>
  <c r="V36" i="102"/>
  <c r="W36" i="102"/>
  <c r="X36" i="102"/>
  <c r="Y36" i="102"/>
  <c r="Z36" i="102"/>
  <c r="AA36" i="102"/>
  <c r="AB36" i="102"/>
  <c r="AC36" i="102"/>
  <c r="AD36" i="102"/>
  <c r="AE36" i="102"/>
  <c r="AF36" i="102"/>
  <c r="AG36" i="102"/>
  <c r="I38" i="102"/>
  <c r="J38" i="102"/>
  <c r="K38" i="102"/>
  <c r="L38" i="102"/>
  <c r="M38" i="102"/>
  <c r="N38" i="102"/>
  <c r="O38" i="102"/>
  <c r="P38" i="102"/>
  <c r="Q38" i="102"/>
  <c r="R38" i="102"/>
  <c r="S38" i="102"/>
  <c r="T38" i="102"/>
  <c r="U38" i="102"/>
  <c r="V38" i="102"/>
  <c r="W38" i="102"/>
  <c r="X38" i="102"/>
  <c r="Y38" i="102"/>
  <c r="Z38" i="102"/>
  <c r="AA38" i="102"/>
  <c r="AB38" i="102"/>
  <c r="AC38" i="102"/>
  <c r="AD38" i="102"/>
  <c r="AE38" i="102"/>
  <c r="AF38" i="102"/>
  <c r="AG38" i="102"/>
  <c r="I39" i="102"/>
  <c r="J39" i="102"/>
  <c r="K39" i="102"/>
  <c r="L39" i="102"/>
  <c r="M39" i="102"/>
  <c r="N39" i="102"/>
  <c r="O39" i="102"/>
  <c r="P39" i="102"/>
  <c r="Q39" i="102"/>
  <c r="R39" i="102"/>
  <c r="S39" i="102"/>
  <c r="T39" i="102"/>
  <c r="U39" i="102"/>
  <c r="V39" i="102"/>
  <c r="W39" i="102"/>
  <c r="X39" i="102"/>
  <c r="Y39" i="102"/>
  <c r="Z39" i="102"/>
  <c r="AA39" i="102"/>
  <c r="AB39" i="102"/>
  <c r="AC39" i="102"/>
  <c r="AD39" i="102"/>
  <c r="AE39" i="102"/>
  <c r="AF39" i="102"/>
  <c r="AG39" i="102"/>
  <c r="I40" i="102"/>
  <c r="J40" i="102"/>
  <c r="K40" i="102"/>
  <c r="L40" i="102"/>
  <c r="M40" i="102"/>
  <c r="N40" i="102"/>
  <c r="O40" i="102"/>
  <c r="P40" i="102"/>
  <c r="Q40" i="102"/>
  <c r="R40" i="102"/>
  <c r="S40" i="102"/>
  <c r="T40" i="102"/>
  <c r="U40" i="102"/>
  <c r="V40" i="102"/>
  <c r="W40" i="102"/>
  <c r="X40" i="102"/>
  <c r="Y40" i="102"/>
  <c r="Z40" i="102"/>
  <c r="AA40" i="102"/>
  <c r="AB40" i="102"/>
  <c r="AC40" i="102"/>
  <c r="AD40" i="102"/>
  <c r="AE40" i="102"/>
  <c r="AF40" i="102"/>
  <c r="AG40" i="102"/>
  <c r="I41" i="102"/>
  <c r="J41" i="102"/>
  <c r="K41" i="102"/>
  <c r="L41" i="102"/>
  <c r="M41" i="102"/>
  <c r="N41" i="102"/>
  <c r="O41" i="102"/>
  <c r="P41" i="102"/>
  <c r="Q41" i="102"/>
  <c r="R41" i="102"/>
  <c r="S41" i="102"/>
  <c r="T41" i="102"/>
  <c r="U41" i="102"/>
  <c r="V41" i="102"/>
  <c r="W41" i="102"/>
  <c r="X41" i="102"/>
  <c r="Y41" i="102"/>
  <c r="Z41" i="102"/>
  <c r="AA41" i="102"/>
  <c r="AB41" i="102"/>
  <c r="AC41" i="102"/>
  <c r="AD41" i="102"/>
  <c r="AE41" i="102"/>
  <c r="AF41" i="102"/>
  <c r="AG41" i="102"/>
  <c r="I42" i="102"/>
  <c r="J42" i="102"/>
  <c r="K42" i="102"/>
  <c r="L42" i="102"/>
  <c r="M42" i="102"/>
  <c r="N42" i="102"/>
  <c r="O42" i="102"/>
  <c r="P42" i="102"/>
  <c r="Q42" i="102"/>
  <c r="R42" i="102"/>
  <c r="S42" i="102"/>
  <c r="T42" i="102"/>
  <c r="U42" i="102"/>
  <c r="V42" i="102"/>
  <c r="W42" i="102"/>
  <c r="X42" i="102"/>
  <c r="Y42" i="102"/>
  <c r="Z42" i="102"/>
  <c r="AA42" i="102"/>
  <c r="AB42" i="102"/>
  <c r="AC42" i="102"/>
  <c r="AD42" i="102"/>
  <c r="AE42" i="102"/>
  <c r="AF42" i="102"/>
  <c r="AG42" i="102"/>
  <c r="I43" i="102"/>
  <c r="J43" i="102"/>
  <c r="K43" i="102"/>
  <c r="L43" i="102"/>
  <c r="M43" i="102"/>
  <c r="N43" i="102"/>
  <c r="O43" i="102"/>
  <c r="P43" i="102"/>
  <c r="Q43" i="102"/>
  <c r="R43" i="102"/>
  <c r="S43" i="102"/>
  <c r="T43" i="102"/>
  <c r="U43" i="102"/>
  <c r="V43" i="102"/>
  <c r="W43" i="102"/>
  <c r="X43" i="102"/>
  <c r="Y43" i="102"/>
  <c r="Z43" i="102"/>
  <c r="AA43" i="102"/>
  <c r="AB43" i="102"/>
  <c r="AC43" i="102"/>
  <c r="AD43" i="102"/>
  <c r="AE43" i="102"/>
  <c r="AF43" i="102"/>
  <c r="AG43" i="102"/>
  <c r="I44" i="102"/>
  <c r="J44" i="102"/>
  <c r="K44" i="102"/>
  <c r="L44" i="102"/>
  <c r="M44" i="102"/>
  <c r="N44" i="102"/>
  <c r="O44" i="102"/>
  <c r="P44" i="102"/>
  <c r="Q44" i="102"/>
  <c r="R44" i="102"/>
  <c r="S44" i="102"/>
  <c r="T44" i="102"/>
  <c r="U44" i="102"/>
  <c r="V44" i="102"/>
  <c r="W44" i="102"/>
  <c r="X44" i="102"/>
  <c r="Y44" i="102"/>
  <c r="Z44" i="102"/>
  <c r="AA44" i="102"/>
  <c r="AB44" i="102"/>
  <c r="AC44" i="102"/>
  <c r="AD44" i="102"/>
  <c r="AE44" i="102"/>
  <c r="AF44" i="102"/>
  <c r="AG44" i="102"/>
  <c r="I46" i="102"/>
  <c r="J46" i="102"/>
  <c r="K46" i="102"/>
  <c r="L46" i="102"/>
  <c r="M46" i="102"/>
  <c r="N46" i="102"/>
  <c r="O46" i="102"/>
  <c r="P46" i="102"/>
  <c r="Q46" i="102"/>
  <c r="R46" i="102"/>
  <c r="S46" i="102"/>
  <c r="T46" i="102"/>
  <c r="U46" i="102"/>
  <c r="V46" i="102"/>
  <c r="W46" i="102"/>
  <c r="X46" i="102"/>
  <c r="Y46" i="102"/>
  <c r="Z46" i="102"/>
  <c r="AA46" i="102"/>
  <c r="AB46" i="102"/>
  <c r="AC46" i="102"/>
  <c r="AD46" i="102"/>
  <c r="AE46" i="102"/>
  <c r="AF46" i="102"/>
  <c r="AG46" i="102"/>
  <c r="I48" i="102"/>
  <c r="J48" i="102"/>
  <c r="K48" i="102"/>
  <c r="L48" i="102"/>
  <c r="M48" i="102"/>
  <c r="N48" i="102"/>
  <c r="O48" i="102"/>
  <c r="P48" i="102"/>
  <c r="Q48" i="102"/>
  <c r="R48" i="102"/>
  <c r="S48" i="102"/>
  <c r="T48" i="102"/>
  <c r="U48" i="102"/>
  <c r="V48" i="102"/>
  <c r="W48" i="102"/>
  <c r="X48" i="102"/>
  <c r="Y48" i="102"/>
  <c r="Z48" i="102"/>
  <c r="AA48" i="102"/>
  <c r="AB48" i="102"/>
  <c r="AC48" i="102"/>
  <c r="AD48" i="102"/>
  <c r="AE48" i="102"/>
  <c r="AF48" i="102"/>
  <c r="AG48" i="102"/>
  <c r="H4" i="102"/>
  <c r="H5" i="102"/>
  <c r="H6" i="102"/>
  <c r="H8" i="102"/>
  <c r="C39" i="97" s="1"/>
  <c r="H9" i="102"/>
  <c r="H10" i="102"/>
  <c r="H11" i="102"/>
  <c r="H12" i="102"/>
  <c r="H14" i="102"/>
  <c r="C40" i="97" s="1"/>
  <c r="H15" i="102"/>
  <c r="H16" i="102"/>
  <c r="H17" i="102"/>
  <c r="H19" i="102"/>
  <c r="H21" i="102"/>
  <c r="H23" i="102"/>
  <c r="C36" i="97" s="1"/>
  <c r="H24" i="102"/>
  <c r="H25" i="102"/>
  <c r="H26" i="102"/>
  <c r="H27" i="102"/>
  <c r="H28" i="102"/>
  <c r="H29" i="102"/>
  <c r="H30" i="102"/>
  <c r="H32" i="102"/>
  <c r="H33" i="102"/>
  <c r="H34" i="102"/>
  <c r="H35" i="102"/>
  <c r="H36" i="102"/>
  <c r="H38" i="102"/>
  <c r="H39" i="102"/>
  <c r="H40" i="102"/>
  <c r="H41" i="102"/>
  <c r="H42" i="102"/>
  <c r="H43" i="102"/>
  <c r="H44" i="102"/>
  <c r="H46" i="102"/>
  <c r="H48" i="102"/>
  <c r="H3" i="102"/>
  <c r="A2" i="102"/>
  <c r="B3" i="102"/>
  <c r="B4" i="102"/>
  <c r="B5" i="102"/>
  <c r="B6" i="102"/>
  <c r="A7" i="102"/>
  <c r="B8" i="102"/>
  <c r="B9" i="102"/>
  <c r="B10" i="102"/>
  <c r="B11" i="102"/>
  <c r="B12" i="102"/>
  <c r="A13" i="102"/>
  <c r="B14" i="102"/>
  <c r="B15" i="102"/>
  <c r="B16" i="102"/>
  <c r="B17" i="102"/>
  <c r="B18" i="102"/>
  <c r="B19" i="102"/>
  <c r="B20" i="102"/>
  <c r="B21" i="102"/>
  <c r="A22" i="102"/>
  <c r="B23" i="102"/>
  <c r="B24" i="102"/>
  <c r="B25" i="102"/>
  <c r="B26" i="102"/>
  <c r="B27" i="102"/>
  <c r="B28" i="102"/>
  <c r="B29" i="102"/>
  <c r="B30" i="102"/>
  <c r="A31" i="102"/>
  <c r="B32" i="102"/>
  <c r="B33" i="102"/>
  <c r="B34" i="102"/>
  <c r="B35" i="102"/>
  <c r="B36" i="102"/>
  <c r="A37" i="102"/>
  <c r="B38" i="102"/>
  <c r="B39" i="102"/>
  <c r="B40" i="102"/>
  <c r="B41" i="102"/>
  <c r="B42" i="102"/>
  <c r="B43" i="102"/>
  <c r="B44" i="102"/>
  <c r="B45" i="102"/>
  <c r="B46" i="102"/>
  <c r="B47" i="102"/>
  <c r="B48" i="102"/>
  <c r="B54" i="100"/>
  <c r="B52" i="100"/>
  <c r="A50" i="100"/>
  <c r="A26" i="100"/>
  <c r="B9" i="98"/>
  <c r="C9" i="98" s="1"/>
  <c r="D9" i="98" s="1"/>
  <c r="E9" i="98" s="1"/>
  <c r="F9" i="98" s="1"/>
  <c r="G9" i="98" s="1"/>
  <c r="H9" i="98" s="1"/>
  <c r="I9" i="98" s="1"/>
  <c r="J9" i="98" s="1"/>
  <c r="K9" i="98" s="1"/>
  <c r="L9" i="98" s="1"/>
  <c r="M9" i="98" s="1"/>
  <c r="N9" i="98" s="1"/>
  <c r="O9" i="98" s="1"/>
  <c r="P9" i="98" s="1"/>
  <c r="Q9" i="98" s="1"/>
  <c r="R9" i="98" s="1"/>
  <c r="S9" i="98" s="1"/>
  <c r="T9" i="98" s="1"/>
  <c r="U9" i="98" s="1"/>
  <c r="V9" i="98" s="1"/>
  <c r="W9" i="98" s="1"/>
  <c r="X9" i="98" s="1"/>
  <c r="Y9" i="98" s="1"/>
  <c r="Z9" i="98" s="1"/>
  <c r="AA9" i="98" s="1"/>
  <c r="AB9" i="98" s="1"/>
  <c r="AC9" i="98" s="1"/>
  <c r="AD9" i="98" s="1"/>
  <c r="AE9" i="98" s="1"/>
  <c r="AF9" i="98" s="1"/>
  <c r="AG9" i="98" s="1"/>
  <c r="A10" i="98"/>
  <c r="A11" i="98"/>
  <c r="A12" i="98"/>
  <c r="A13" i="98"/>
  <c r="A14" i="98"/>
  <c r="E26" i="98"/>
  <c r="D26" i="98"/>
  <c r="E25" i="98"/>
  <c r="D25" i="98"/>
  <c r="A18" i="98"/>
  <c r="A9" i="98" s="1"/>
  <c r="F16" i="97"/>
  <c r="G16" i="97" s="1"/>
  <c r="H16" i="97" s="1"/>
  <c r="I16" i="97" s="1"/>
  <c r="J16" i="97" s="1"/>
  <c r="K16" i="97" s="1"/>
  <c r="L16" i="97" s="1"/>
  <c r="M16" i="97" s="1"/>
  <c r="N16" i="97" s="1"/>
  <c r="O16" i="97" s="1"/>
  <c r="P16" i="97" s="1"/>
  <c r="Q16" i="97" s="1"/>
  <c r="R16" i="97" s="1"/>
  <c r="S16" i="97" s="1"/>
  <c r="T16" i="97" s="1"/>
  <c r="U16" i="97" s="1"/>
  <c r="V16" i="97" s="1"/>
  <c r="W16" i="97" s="1"/>
  <c r="X16" i="97" s="1"/>
  <c r="Y16" i="97" s="1"/>
  <c r="Z16" i="97" s="1"/>
  <c r="AA16" i="97" s="1"/>
  <c r="AB16" i="97" s="1"/>
  <c r="AC16" i="97" s="1"/>
  <c r="AD16" i="97" s="1"/>
  <c r="AE16" i="97" s="1"/>
  <c r="AF16" i="97" s="1"/>
  <c r="AG16" i="97" s="1"/>
  <c r="D16" i="97"/>
  <c r="B16" i="97"/>
  <c r="F32" i="81"/>
  <c r="B32" i="81"/>
  <c r="C31" i="81"/>
  <c r="D31" i="81" s="1"/>
  <c r="E31" i="81" s="1"/>
  <c r="AE45" i="84"/>
  <c r="X22" i="97" l="1"/>
  <c r="W19" i="97"/>
  <c r="P38" i="97"/>
  <c r="R19" i="106"/>
  <c r="S19" i="106" s="1"/>
  <c r="T19" i="106" s="1"/>
  <c r="U19" i="106" s="1"/>
  <c r="R17" i="106"/>
  <c r="S17" i="106" s="1"/>
  <c r="T17" i="106" s="1"/>
  <c r="U17" i="106" s="1"/>
  <c r="D9" i="11"/>
  <c r="D7" i="11"/>
  <c r="U39" i="74"/>
  <c r="W15" i="74" s="1"/>
  <c r="W6" i="74" s="1"/>
  <c r="W40" i="74"/>
  <c r="Y16" i="74" s="1"/>
  <c r="Y7" i="74" s="1"/>
  <c r="AB39" i="74"/>
  <c r="AD15" i="74" s="1"/>
  <c r="AD6" i="74" s="1"/>
  <c r="T39" i="74"/>
  <c r="V15" i="74" s="1"/>
  <c r="V6" i="74" s="1"/>
  <c r="Y38" i="74"/>
  <c r="AA14" i="74" s="1"/>
  <c r="AA5" i="74" s="1"/>
  <c r="Q38" i="74"/>
  <c r="S14" i="74" s="1"/>
  <c r="S5" i="74" s="1"/>
  <c r="AD40" i="74"/>
  <c r="AF16" i="74" s="1"/>
  <c r="AF7" i="74" s="1"/>
  <c r="R38" i="74"/>
  <c r="T14" i="74" s="1"/>
  <c r="T5" i="74" s="1"/>
  <c r="V40" i="74"/>
  <c r="X16" i="74" s="1"/>
  <c r="X7" i="74" s="1"/>
  <c r="AA39" i="74"/>
  <c r="AC15" i="74" s="1"/>
  <c r="AC6" i="74" s="1"/>
  <c r="S39" i="74"/>
  <c r="U15" i="74" s="1"/>
  <c r="U6" i="74" s="1"/>
  <c r="X38" i="74"/>
  <c r="Z14" i="74" s="1"/>
  <c r="Z5" i="74" s="1"/>
  <c r="P38" i="74"/>
  <c r="R14" i="74" s="1"/>
  <c r="R5" i="74" s="1"/>
  <c r="AC40" i="74"/>
  <c r="AE16" i="74" s="1"/>
  <c r="AE7" i="74" s="1"/>
  <c r="AA38" i="74"/>
  <c r="AC14" i="74" s="1"/>
  <c r="AC5" i="74" s="1"/>
  <c r="Z38" i="74"/>
  <c r="AB14" i="74" s="1"/>
  <c r="AB5" i="74" s="1"/>
  <c r="U40" i="74"/>
  <c r="W16" i="74" s="1"/>
  <c r="W7" i="74" s="1"/>
  <c r="Z39" i="74"/>
  <c r="AB15" i="74" s="1"/>
  <c r="AB6" i="74" s="1"/>
  <c r="R39" i="74"/>
  <c r="T15" i="74" s="1"/>
  <c r="T6" i="74" s="1"/>
  <c r="W38" i="74"/>
  <c r="Y14" i="74" s="1"/>
  <c r="Y5" i="74" s="1"/>
  <c r="AD39" i="74"/>
  <c r="AF15" i="74" s="1"/>
  <c r="AF6" i="74" s="1"/>
  <c r="S38" i="74"/>
  <c r="U14" i="74" s="1"/>
  <c r="U5" i="74" s="1"/>
  <c r="AB40" i="74"/>
  <c r="AD16" i="74" s="1"/>
  <c r="AD7" i="74" s="1"/>
  <c r="T40" i="74"/>
  <c r="V16" i="74" s="1"/>
  <c r="V7" i="74" s="1"/>
  <c r="Y39" i="74"/>
  <c r="AA15" i="74" s="1"/>
  <c r="AA6" i="74" s="1"/>
  <c r="Q39" i="74"/>
  <c r="S15" i="74" s="1"/>
  <c r="S6" i="74" s="1"/>
  <c r="V38" i="74"/>
  <c r="X14" i="74" s="1"/>
  <c r="X5" i="74" s="1"/>
  <c r="AC39" i="74"/>
  <c r="AE15" i="74" s="1"/>
  <c r="AE6" i="74" s="1"/>
  <c r="AA40" i="74"/>
  <c r="AC16" i="74" s="1"/>
  <c r="AC7" i="74" s="1"/>
  <c r="X40" i="74"/>
  <c r="Z16" i="74" s="1"/>
  <c r="Z7" i="74" s="1"/>
  <c r="X39" i="74"/>
  <c r="Z15" i="74" s="1"/>
  <c r="Z6" i="74" s="1"/>
  <c r="P39" i="74"/>
  <c r="R15" i="74" s="1"/>
  <c r="R6" i="74" s="1"/>
  <c r="U38" i="74"/>
  <c r="W14" i="74" s="1"/>
  <c r="W5" i="74" s="1"/>
  <c r="AD38" i="74"/>
  <c r="AF14" i="74" s="1"/>
  <c r="AF5" i="74" s="1"/>
  <c r="S40" i="74"/>
  <c r="U16" i="74" s="1"/>
  <c r="U7" i="74" s="1"/>
  <c r="P40" i="74"/>
  <c r="R16" i="74" s="1"/>
  <c r="R7" i="74" s="1"/>
  <c r="Z40" i="74"/>
  <c r="AB16" i="74" s="1"/>
  <c r="AB7" i="74" s="1"/>
  <c r="R40" i="74"/>
  <c r="T16" i="74" s="1"/>
  <c r="T7" i="74" s="1"/>
  <c r="AB38" i="74"/>
  <c r="AD14" i="74" s="1"/>
  <c r="AD5" i="74" s="1"/>
  <c r="T38" i="74"/>
  <c r="V14" i="74" s="1"/>
  <c r="V5" i="74" s="1"/>
  <c r="AC38" i="74"/>
  <c r="AE14" i="74" s="1"/>
  <c r="AE5" i="74" s="1"/>
  <c r="C38" i="97"/>
  <c r="Y40" i="74"/>
  <c r="AA16" i="74" s="1"/>
  <c r="AA7" i="74" s="1"/>
  <c r="Q40" i="74"/>
  <c r="S16" i="74" s="1"/>
  <c r="S7" i="74" s="1"/>
  <c r="V39" i="74"/>
  <c r="X15" i="74" s="1"/>
  <c r="X6" i="74" s="1"/>
  <c r="W39" i="74"/>
  <c r="Y15" i="74" s="1"/>
  <c r="Y6" i="74" s="1"/>
  <c r="E3" i="11"/>
  <c r="D76" i="100"/>
  <c r="D72" i="100" s="1"/>
  <c r="D58" i="100"/>
  <c r="H49" i="100"/>
  <c r="F35" i="100" s="1"/>
  <c r="G66" i="100"/>
  <c r="B27" i="97"/>
  <c r="B28" i="97"/>
  <c r="A29" i="97"/>
  <c r="A30" i="97"/>
  <c r="B30" i="97"/>
  <c r="A31" i="97"/>
  <c r="A32" i="97"/>
  <c r="A33" i="97"/>
  <c r="I7" i="80"/>
  <c r="B68" i="100" s="1"/>
  <c r="C68" i="100" s="1"/>
  <c r="D68" i="100" s="1"/>
  <c r="C30" i="81"/>
  <c r="D30" i="81" s="1"/>
  <c r="Y22" i="97" l="1"/>
  <c r="X19" i="97"/>
  <c r="R21" i="106"/>
  <c r="E10" i="106"/>
  <c r="E2" i="11" s="1"/>
  <c r="E13" i="106"/>
  <c r="E14" i="106"/>
  <c r="E12" i="106"/>
  <c r="F3" i="11"/>
  <c r="E68" i="100"/>
  <c r="B60" i="100"/>
  <c r="E76" i="100"/>
  <c r="E72" i="100" s="1"/>
  <c r="E58" i="100"/>
  <c r="I49" i="100"/>
  <c r="G35" i="100" s="1"/>
  <c r="H66" i="100"/>
  <c r="E30" i="81"/>
  <c r="C4" i="80"/>
  <c r="D4" i="80"/>
  <c r="F4" i="80"/>
  <c r="G4" i="80"/>
  <c r="B28" i="100" s="1"/>
  <c r="C28" i="100" s="1"/>
  <c r="C3" i="80"/>
  <c r="D3" i="80"/>
  <c r="E3" i="80"/>
  <c r="B29" i="97" s="1"/>
  <c r="C29" i="97" s="1"/>
  <c r="B18" i="97" s="1"/>
  <c r="F3" i="80"/>
  <c r="C19" i="98" s="1"/>
  <c r="B10" i="98" s="1"/>
  <c r="G3" i="80"/>
  <c r="H3" i="80"/>
  <c r="B51" i="100" s="1"/>
  <c r="C51" i="100" s="1"/>
  <c r="D51" i="100" s="1"/>
  <c r="C7" i="80"/>
  <c r="D7" i="80"/>
  <c r="E7" i="80"/>
  <c r="B33" i="97" s="1"/>
  <c r="C33" i="97" s="1"/>
  <c r="B22" i="97" s="1"/>
  <c r="F7" i="80"/>
  <c r="B23" i="98" s="1"/>
  <c r="G7" i="80"/>
  <c r="B31" i="100" s="1"/>
  <c r="C31" i="100" s="1"/>
  <c r="H7" i="80"/>
  <c r="B55" i="100" s="1"/>
  <c r="C55" i="100" s="1"/>
  <c r="D55" i="100" s="1"/>
  <c r="C6" i="80"/>
  <c r="D6" i="80"/>
  <c r="E6" i="80"/>
  <c r="B32" i="97" s="1"/>
  <c r="C32" i="97" s="1"/>
  <c r="B21" i="97" s="1"/>
  <c r="F6" i="80"/>
  <c r="B22" i="98" s="1"/>
  <c r="C22" i="98" s="1"/>
  <c r="B13" i="98" s="1"/>
  <c r="G6" i="80"/>
  <c r="B30" i="100" s="1"/>
  <c r="C30" i="100" s="1"/>
  <c r="C5" i="80"/>
  <c r="D5" i="80"/>
  <c r="E5" i="80"/>
  <c r="B31" i="97" s="1"/>
  <c r="C31" i="97" s="1"/>
  <c r="B20" i="97" s="1"/>
  <c r="F5" i="80"/>
  <c r="B21" i="98" s="1"/>
  <c r="C21" i="98" s="1"/>
  <c r="B12" i="98" s="1"/>
  <c r="G5" i="80"/>
  <c r="B29" i="100" s="1"/>
  <c r="C29" i="100" s="1"/>
  <c r="H5" i="80"/>
  <c r="B53" i="100" s="1"/>
  <c r="E3" i="94"/>
  <c r="F3" i="94"/>
  <c r="B3" i="94"/>
  <c r="A3" i="94"/>
  <c r="D3" i="94"/>
  <c r="C3" i="94"/>
  <c r="E2" i="94"/>
  <c r="D2" i="94"/>
  <c r="C2" i="94"/>
  <c r="B2" i="94"/>
  <c r="A2" i="94"/>
  <c r="E1" i="94"/>
  <c r="D1" i="94"/>
  <c r="C1" i="94"/>
  <c r="B1" i="94"/>
  <c r="A1" i="94"/>
  <c r="E3" i="93"/>
  <c r="F3" i="93"/>
  <c r="A3" i="93"/>
  <c r="D3" i="93"/>
  <c r="C3" i="93"/>
  <c r="B3" i="93"/>
  <c r="E2" i="93"/>
  <c r="D2" i="93"/>
  <c r="C2" i="93"/>
  <c r="B2" i="93"/>
  <c r="A2" i="93"/>
  <c r="E1" i="93"/>
  <c r="D1" i="93"/>
  <c r="C1" i="93"/>
  <c r="B1" i="93"/>
  <c r="A1" i="93"/>
  <c r="C1" i="91"/>
  <c r="F3" i="91"/>
  <c r="D3" i="91"/>
  <c r="C3" i="91"/>
  <c r="B3" i="91"/>
  <c r="A3" i="91"/>
  <c r="E2" i="91"/>
  <c r="D2" i="91"/>
  <c r="C2" i="91"/>
  <c r="B2" i="91"/>
  <c r="A2" i="91"/>
  <c r="E1" i="91"/>
  <c r="D1" i="91"/>
  <c r="B1" i="91"/>
  <c r="A1" i="91"/>
  <c r="F3" i="92"/>
  <c r="E3" i="92"/>
  <c r="D3" i="92"/>
  <c r="C3" i="92"/>
  <c r="B3" i="92"/>
  <c r="A3" i="92"/>
  <c r="B3" i="90"/>
  <c r="C3" i="90"/>
  <c r="D3" i="90"/>
  <c r="A3" i="90"/>
  <c r="E3" i="90"/>
  <c r="A1" i="92"/>
  <c r="B1" i="92"/>
  <c r="C1" i="92"/>
  <c r="D1" i="92"/>
  <c r="E1" i="92"/>
  <c r="A2" i="92"/>
  <c r="B2" i="92"/>
  <c r="C2" i="92"/>
  <c r="D2" i="92"/>
  <c r="E2" i="92"/>
  <c r="AE14" i="70"/>
  <c r="AF14" i="70"/>
  <c r="AD14" i="70"/>
  <c r="E37" i="87"/>
  <c r="E38" i="87"/>
  <c r="E39" i="87"/>
  <c r="B82" i="100" s="1"/>
  <c r="B78" i="100" s="1"/>
  <c r="AE15" i="70"/>
  <c r="AF15" i="70"/>
  <c r="AD15" i="70"/>
  <c r="AE35" i="84"/>
  <c r="A54" i="84"/>
  <c r="B44" i="84" s="1"/>
  <c r="B73" i="100" l="1"/>
  <c r="B74" i="100" s="1"/>
  <c r="K8" i="111"/>
  <c r="D8" i="111" s="1"/>
  <c r="I8" i="111" s="1"/>
  <c r="J8" i="111" s="1"/>
  <c r="Z22" i="97"/>
  <c r="Y19" i="97"/>
  <c r="C23" i="98"/>
  <c r="B14" i="98" s="1"/>
  <c r="B20" i="98"/>
  <c r="R18" i="106"/>
  <c r="R11" i="106" s="1"/>
  <c r="R4" i="106" s="1"/>
  <c r="R3" i="33" s="1"/>
  <c r="S21" i="106"/>
  <c r="E3" i="106"/>
  <c r="E2" i="33" s="1"/>
  <c r="B7" i="97"/>
  <c r="B14" i="97" s="1"/>
  <c r="C13" i="98"/>
  <c r="C12" i="98"/>
  <c r="B64" i="100"/>
  <c r="B3" i="48" s="1"/>
  <c r="B6" i="12"/>
  <c r="E7" i="106"/>
  <c r="E6" i="33" s="1"/>
  <c r="E6" i="11"/>
  <c r="B3" i="97"/>
  <c r="B2" i="29" s="1"/>
  <c r="F14" i="106"/>
  <c r="F10" i="106"/>
  <c r="F2" i="11" s="1"/>
  <c r="C5" i="97"/>
  <c r="B5" i="97"/>
  <c r="B4" i="29" s="1"/>
  <c r="E5" i="11"/>
  <c r="E6" i="106"/>
  <c r="E5" i="33" s="1"/>
  <c r="F12" i="106"/>
  <c r="F4" i="11" s="1"/>
  <c r="F13" i="106"/>
  <c r="B6" i="97"/>
  <c r="B5" i="29" s="1"/>
  <c r="E5" i="106"/>
  <c r="E4" i="33" s="1"/>
  <c r="E4" i="11"/>
  <c r="G3" i="11"/>
  <c r="F76" i="100"/>
  <c r="F72" i="100" s="1"/>
  <c r="F58" i="100"/>
  <c r="F68" i="100"/>
  <c r="C60" i="100"/>
  <c r="E55" i="100"/>
  <c r="B40" i="100"/>
  <c r="B47" i="100" s="1"/>
  <c r="B6" i="50" s="1"/>
  <c r="E51" i="100"/>
  <c r="B36" i="100"/>
  <c r="B43" i="100" s="1"/>
  <c r="B2" i="50" s="1"/>
  <c r="B16" i="100"/>
  <c r="B14" i="100"/>
  <c r="B15" i="100"/>
  <c r="B13" i="100"/>
  <c r="C10" i="98"/>
  <c r="J49" i="100"/>
  <c r="H35" i="100" s="1"/>
  <c r="I66" i="100"/>
  <c r="D10" i="98" l="1"/>
  <c r="K7" i="111"/>
  <c r="D7" i="111" s="1"/>
  <c r="I7" i="111" s="1"/>
  <c r="J7" i="111" s="1"/>
  <c r="D12" i="98"/>
  <c r="D13" i="98"/>
  <c r="Z19" i="97"/>
  <c r="AA22" i="97"/>
  <c r="C20" i="98"/>
  <c r="B11" i="98" s="1"/>
  <c r="T21" i="106"/>
  <c r="S18" i="106"/>
  <c r="F5" i="106"/>
  <c r="F4" i="33" s="1"/>
  <c r="C7" i="97"/>
  <c r="C4" i="97" s="1"/>
  <c r="C3" i="29" s="1"/>
  <c r="B6" i="49"/>
  <c r="B3" i="49" s="1"/>
  <c r="B3" i="27"/>
  <c r="B6" i="27" s="1"/>
  <c r="B7" i="50"/>
  <c r="B4" i="50"/>
  <c r="B5" i="50"/>
  <c r="B3" i="50"/>
  <c r="B9" i="12"/>
  <c r="B3" i="26"/>
  <c r="B11" i="97"/>
  <c r="B3" i="51" s="1"/>
  <c r="B6" i="51"/>
  <c r="B6" i="29"/>
  <c r="B9" i="29" s="1"/>
  <c r="B4" i="97"/>
  <c r="B3" i="29" s="1"/>
  <c r="D5" i="97"/>
  <c r="D4" i="29" s="1"/>
  <c r="B12" i="97"/>
  <c r="B4" i="51" s="1"/>
  <c r="B10" i="97"/>
  <c r="B2" i="51" s="1"/>
  <c r="C15" i="100"/>
  <c r="B5" i="18"/>
  <c r="C14" i="100"/>
  <c r="B4" i="18"/>
  <c r="C16" i="100"/>
  <c r="B6" i="18"/>
  <c r="AA9" i="18" s="1"/>
  <c r="C13" i="100"/>
  <c r="B3" i="18"/>
  <c r="F7" i="18" s="1"/>
  <c r="C64" i="100"/>
  <c r="C3" i="48" s="1"/>
  <c r="C6" i="12"/>
  <c r="D6" i="97"/>
  <c r="D5" i="29" s="1"/>
  <c r="F7" i="106"/>
  <c r="F6" i="33" s="1"/>
  <c r="F6" i="11"/>
  <c r="F6" i="106"/>
  <c r="F5" i="33" s="1"/>
  <c r="F5" i="11"/>
  <c r="F3" i="106"/>
  <c r="F2" i="33" s="1"/>
  <c r="G13" i="106"/>
  <c r="G14" i="106"/>
  <c r="G6" i="11" s="1"/>
  <c r="D7" i="97"/>
  <c r="D14" i="97" s="1"/>
  <c r="C12" i="97"/>
  <c r="C4" i="51" s="1"/>
  <c r="C4" i="29"/>
  <c r="C3" i="97"/>
  <c r="C2" i="29" s="1"/>
  <c r="B13" i="97"/>
  <c r="B5" i="51" s="1"/>
  <c r="G10" i="106"/>
  <c r="E7" i="11"/>
  <c r="E9" i="11"/>
  <c r="C6" i="97"/>
  <c r="C5" i="29" s="1"/>
  <c r="G12" i="106"/>
  <c r="G4" i="11" s="1"/>
  <c r="H3" i="11"/>
  <c r="G76" i="100"/>
  <c r="G72" i="100" s="1"/>
  <c r="G58" i="100"/>
  <c r="G68" i="100"/>
  <c r="D60" i="100"/>
  <c r="F51" i="100"/>
  <c r="C36" i="100"/>
  <c r="C43" i="100" s="1"/>
  <c r="C2" i="50" s="1"/>
  <c r="B22" i="100"/>
  <c r="F55" i="100"/>
  <c r="C40" i="100"/>
  <c r="C47" i="100" s="1"/>
  <c r="C6" i="50" s="1"/>
  <c r="B20" i="100"/>
  <c r="B21" i="100"/>
  <c r="B23" i="100"/>
  <c r="E6" i="97"/>
  <c r="K49" i="100"/>
  <c r="I35" i="100" s="1"/>
  <c r="J66" i="100"/>
  <c r="AP31" i="84"/>
  <c r="AO31" i="84"/>
  <c r="AN31" i="84"/>
  <c r="AM31" i="84"/>
  <c r="AL31" i="84"/>
  <c r="AK31" i="84"/>
  <c r="AJ31" i="84"/>
  <c r="AI31" i="84"/>
  <c r="AH31" i="84"/>
  <c r="AG31" i="84"/>
  <c r="AF31" i="84"/>
  <c r="AE31" i="84"/>
  <c r="AD31" i="84"/>
  <c r="AC31" i="84"/>
  <c r="AB31" i="84"/>
  <c r="AA31" i="84"/>
  <c r="Z31" i="84"/>
  <c r="Y31" i="84"/>
  <c r="X31" i="84"/>
  <c r="W31" i="84"/>
  <c r="V31" i="84"/>
  <c r="U31" i="84"/>
  <c r="T31" i="84"/>
  <c r="S31" i="84"/>
  <c r="R31" i="84"/>
  <c r="Q31" i="84"/>
  <c r="P31" i="84"/>
  <c r="O31" i="84"/>
  <c r="N31" i="84"/>
  <c r="M31" i="84"/>
  <c r="L31" i="84"/>
  <c r="K31" i="84"/>
  <c r="J31" i="84"/>
  <c r="I31" i="84"/>
  <c r="H31" i="84"/>
  <c r="G31" i="84"/>
  <c r="F31" i="84"/>
  <c r="E31" i="84"/>
  <c r="D31" i="84"/>
  <c r="C31" i="84"/>
  <c r="AP30" i="84"/>
  <c r="AO30" i="84"/>
  <c r="AN30" i="84"/>
  <c r="AM30" i="84"/>
  <c r="AL30" i="84"/>
  <c r="AK30" i="84"/>
  <c r="AJ30" i="84"/>
  <c r="AI30" i="84"/>
  <c r="AH30" i="84"/>
  <c r="AG30" i="84"/>
  <c r="AF30" i="84"/>
  <c r="AE30" i="84"/>
  <c r="AD30" i="84"/>
  <c r="AC30" i="84"/>
  <c r="AB30" i="84"/>
  <c r="AA30" i="84"/>
  <c r="Z30" i="84"/>
  <c r="Y30" i="84"/>
  <c r="X30" i="84"/>
  <c r="W30" i="84"/>
  <c r="V30" i="84"/>
  <c r="U30" i="84"/>
  <c r="T30" i="84"/>
  <c r="S30" i="84"/>
  <c r="R30" i="84"/>
  <c r="Q30" i="84"/>
  <c r="P30" i="84"/>
  <c r="O30" i="84"/>
  <c r="N30" i="84"/>
  <c r="M30" i="84"/>
  <c r="L30" i="84"/>
  <c r="K30" i="84"/>
  <c r="J30" i="84"/>
  <c r="I30" i="84"/>
  <c r="H30" i="84"/>
  <c r="G30" i="84"/>
  <c r="F30" i="84"/>
  <c r="E30" i="84"/>
  <c r="D30" i="84"/>
  <c r="C30" i="84"/>
  <c r="AP29" i="84"/>
  <c r="AO29" i="84"/>
  <c r="AN29" i="84"/>
  <c r="AM29" i="84"/>
  <c r="AL29" i="84"/>
  <c r="AK29" i="84"/>
  <c r="AJ29" i="84"/>
  <c r="AI29" i="84"/>
  <c r="AH29" i="84"/>
  <c r="AG29" i="84"/>
  <c r="AF29" i="84"/>
  <c r="AE29" i="84"/>
  <c r="AD29" i="84"/>
  <c r="AC29" i="84"/>
  <c r="AB29" i="84"/>
  <c r="AA29" i="84"/>
  <c r="Z29" i="84"/>
  <c r="Y29" i="84"/>
  <c r="X29" i="84"/>
  <c r="W29" i="84"/>
  <c r="V29" i="84"/>
  <c r="U29" i="84"/>
  <c r="T29" i="84"/>
  <c r="S29" i="84"/>
  <c r="R29" i="84"/>
  <c r="Q29" i="84"/>
  <c r="P29" i="84"/>
  <c r="O29" i="84"/>
  <c r="N29" i="84"/>
  <c r="M29" i="84"/>
  <c r="L29" i="84"/>
  <c r="K29" i="84"/>
  <c r="J29" i="84"/>
  <c r="I29" i="84"/>
  <c r="H29" i="84"/>
  <c r="G29" i="84"/>
  <c r="F29" i="84"/>
  <c r="E29" i="84"/>
  <c r="D29" i="84"/>
  <c r="C29" i="84"/>
  <c r="AP28" i="84"/>
  <c r="AO28" i="84"/>
  <c r="AN28" i="84"/>
  <c r="AM28" i="84"/>
  <c r="AL28" i="84"/>
  <c r="AK28" i="84"/>
  <c r="AJ28" i="84"/>
  <c r="AI28" i="84"/>
  <c r="AH28" i="84"/>
  <c r="AG28" i="84"/>
  <c r="AF28" i="84"/>
  <c r="AE28" i="84"/>
  <c r="AD28" i="84"/>
  <c r="AC28" i="84"/>
  <c r="AB28" i="84"/>
  <c r="AA28" i="84"/>
  <c r="Z28" i="84"/>
  <c r="Y28" i="84"/>
  <c r="X28" i="84"/>
  <c r="W28" i="84"/>
  <c r="V28" i="84"/>
  <c r="U28" i="84"/>
  <c r="T28" i="84"/>
  <c r="S28" i="84"/>
  <c r="R28" i="84"/>
  <c r="Q28" i="84"/>
  <c r="P28" i="84"/>
  <c r="O28" i="84"/>
  <c r="N28" i="84"/>
  <c r="M28" i="84"/>
  <c r="L28" i="84"/>
  <c r="K28" i="84"/>
  <c r="J28" i="84"/>
  <c r="I28" i="84"/>
  <c r="H28" i="84"/>
  <c r="G28" i="84"/>
  <c r="F28" i="84"/>
  <c r="E28" i="84"/>
  <c r="D28" i="84"/>
  <c r="C28" i="84"/>
  <c r="AP27" i="84"/>
  <c r="AO27" i="84"/>
  <c r="AN27" i="84"/>
  <c r="AM27" i="84"/>
  <c r="AL27" i="84"/>
  <c r="AK27" i="84"/>
  <c r="AJ27" i="84"/>
  <c r="AI27" i="84"/>
  <c r="AH27" i="84"/>
  <c r="AG27" i="84"/>
  <c r="AF27" i="84"/>
  <c r="AE27" i="84"/>
  <c r="AD27" i="84"/>
  <c r="AC27" i="84"/>
  <c r="AB27" i="84"/>
  <c r="AA27" i="84"/>
  <c r="Z27" i="84"/>
  <c r="Y27" i="84"/>
  <c r="X27" i="84"/>
  <c r="W27" i="84"/>
  <c r="V27" i="84"/>
  <c r="U27" i="84"/>
  <c r="T27" i="84"/>
  <c r="S27" i="84"/>
  <c r="R27" i="84"/>
  <c r="Q27" i="84"/>
  <c r="P27" i="84"/>
  <c r="O27" i="84"/>
  <c r="N27" i="84"/>
  <c r="M27" i="84"/>
  <c r="L27" i="84"/>
  <c r="K27" i="84"/>
  <c r="J27" i="84"/>
  <c r="I27" i="84"/>
  <c r="H27" i="84"/>
  <c r="G27" i="84"/>
  <c r="F27" i="84"/>
  <c r="E27" i="84"/>
  <c r="D27" i="84"/>
  <c r="C27" i="84"/>
  <c r="AP26" i="84"/>
  <c r="AO26" i="84"/>
  <c r="AN26" i="84"/>
  <c r="AM26" i="84"/>
  <c r="AL26" i="84"/>
  <c r="AK26" i="84"/>
  <c r="AJ26" i="84"/>
  <c r="AI26" i="84"/>
  <c r="AH26" i="84"/>
  <c r="AG26" i="84"/>
  <c r="AF26" i="84"/>
  <c r="AE26" i="84"/>
  <c r="AD26" i="84"/>
  <c r="AC26" i="84"/>
  <c r="AB26" i="84"/>
  <c r="AA26" i="84"/>
  <c r="Z26" i="84"/>
  <c r="Y26" i="84"/>
  <c r="X26" i="84"/>
  <c r="W26" i="84"/>
  <c r="V26" i="84"/>
  <c r="U26" i="84"/>
  <c r="T26" i="84"/>
  <c r="S26" i="84"/>
  <c r="R26" i="84"/>
  <c r="Q26" i="84"/>
  <c r="P26" i="84"/>
  <c r="O26" i="84"/>
  <c r="N26" i="84"/>
  <c r="M26" i="84"/>
  <c r="L26" i="84"/>
  <c r="K26" i="84"/>
  <c r="J26" i="84"/>
  <c r="I26" i="84"/>
  <c r="H26" i="84"/>
  <c r="G26" i="84"/>
  <c r="F26" i="84"/>
  <c r="E26" i="84"/>
  <c r="D26" i="84"/>
  <c r="C26" i="84"/>
  <c r="AP25" i="84"/>
  <c r="AO25" i="84"/>
  <c r="AN25" i="84"/>
  <c r="AM25" i="84"/>
  <c r="AE34" i="84" s="1"/>
  <c r="B5" i="84" s="1"/>
  <c r="AL25" i="84"/>
  <c r="AK25" i="84"/>
  <c r="AJ25" i="84"/>
  <c r="AI25" i="84"/>
  <c r="AH25" i="84"/>
  <c r="AG25" i="84"/>
  <c r="AF25" i="84"/>
  <c r="AE25" i="84"/>
  <c r="AD25" i="84"/>
  <c r="AC25" i="84"/>
  <c r="AB25" i="84"/>
  <c r="AA25" i="84"/>
  <c r="Z25" i="84"/>
  <c r="Y25" i="84"/>
  <c r="X25" i="84"/>
  <c r="W25" i="84"/>
  <c r="V25" i="84"/>
  <c r="U25" i="84"/>
  <c r="T25" i="84"/>
  <c r="S25" i="84"/>
  <c r="R25" i="84"/>
  <c r="Q25" i="84"/>
  <c r="P25" i="84"/>
  <c r="O25" i="84"/>
  <c r="N25" i="84"/>
  <c r="M25" i="84"/>
  <c r="L25" i="84"/>
  <c r="K25" i="84"/>
  <c r="J25" i="84"/>
  <c r="I25" i="84"/>
  <c r="H25" i="84"/>
  <c r="G25" i="84"/>
  <c r="F25" i="84"/>
  <c r="E25" i="84"/>
  <c r="D25" i="84"/>
  <c r="C25" i="84"/>
  <c r="E12" i="98" l="1"/>
  <c r="J10" i="111"/>
  <c r="D3" i="98"/>
  <c r="E10" i="98"/>
  <c r="E13" i="98"/>
  <c r="AA19" i="97"/>
  <c r="AB22" i="97"/>
  <c r="C14" i="98"/>
  <c r="S11" i="106"/>
  <c r="S4" i="106" s="1"/>
  <c r="S3" i="33" s="1"/>
  <c r="U21" i="106"/>
  <c r="U18" i="106" s="1"/>
  <c r="T18" i="106"/>
  <c r="C6" i="29"/>
  <c r="C9" i="29" s="1"/>
  <c r="C14" i="97"/>
  <c r="C11" i="97" s="1"/>
  <c r="C3" i="51" s="1"/>
  <c r="C6" i="49"/>
  <c r="C3" i="49" s="1"/>
  <c r="C3" i="27"/>
  <c r="C6" i="27" s="1"/>
  <c r="C3" i="50"/>
  <c r="C7" i="50"/>
  <c r="C5" i="50"/>
  <c r="C4" i="50"/>
  <c r="E5" i="97"/>
  <c r="E4" i="29" s="1"/>
  <c r="C9" i="12"/>
  <c r="C3" i="26"/>
  <c r="N7" i="18"/>
  <c r="S9" i="18"/>
  <c r="U9" i="18"/>
  <c r="Q9" i="18"/>
  <c r="Z9" i="18"/>
  <c r="X9" i="18"/>
  <c r="Y9" i="18"/>
  <c r="AC9" i="18"/>
  <c r="K9" i="18"/>
  <c r="I9" i="18"/>
  <c r="L9" i="18"/>
  <c r="N9" i="18"/>
  <c r="R9" i="18"/>
  <c r="O9" i="18"/>
  <c r="S7" i="18"/>
  <c r="R7" i="18"/>
  <c r="C9" i="18"/>
  <c r="J9" i="18"/>
  <c r="D7" i="18"/>
  <c r="AD9" i="18"/>
  <c r="H9" i="18"/>
  <c r="M9" i="18"/>
  <c r="B9" i="18"/>
  <c r="W9" i="18"/>
  <c r="AE9" i="18"/>
  <c r="AF9" i="18"/>
  <c r="T9" i="18"/>
  <c r="V9" i="18"/>
  <c r="E9" i="18"/>
  <c r="G9" i="18"/>
  <c r="P9" i="18"/>
  <c r="F9" i="18"/>
  <c r="AB9" i="18"/>
  <c r="D9" i="18"/>
  <c r="D13" i="97"/>
  <c r="D5" i="51" s="1"/>
  <c r="M7" i="18"/>
  <c r="X7" i="18"/>
  <c r="I7" i="18"/>
  <c r="D13" i="100"/>
  <c r="C3" i="18"/>
  <c r="H7" i="18"/>
  <c r="AB7" i="18"/>
  <c r="O7" i="18"/>
  <c r="U7" i="18"/>
  <c r="C23" i="100"/>
  <c r="B6" i="40"/>
  <c r="B9" i="40" s="1"/>
  <c r="D64" i="100"/>
  <c r="D3" i="48" s="1"/>
  <c r="D6" i="12"/>
  <c r="C13" i="97"/>
  <c r="C5" i="51" s="1"/>
  <c r="AE7" i="18"/>
  <c r="AA7" i="18"/>
  <c r="G7" i="18"/>
  <c r="V7" i="18"/>
  <c r="C21" i="100"/>
  <c r="B4" i="40"/>
  <c r="D16" i="100"/>
  <c r="C6" i="18"/>
  <c r="W7" i="18"/>
  <c r="B7" i="18"/>
  <c r="C7" i="18"/>
  <c r="K7" i="18"/>
  <c r="C20" i="100"/>
  <c r="B3" i="40"/>
  <c r="B7" i="40" s="1"/>
  <c r="AD7" i="18"/>
  <c r="J7" i="18"/>
  <c r="E7" i="18"/>
  <c r="Z7" i="18"/>
  <c r="D14" i="100"/>
  <c r="C4" i="18"/>
  <c r="L7" i="18"/>
  <c r="Q7" i="18"/>
  <c r="T7" i="18"/>
  <c r="Y7" i="18"/>
  <c r="AF7" i="18"/>
  <c r="AC7" i="18"/>
  <c r="P7" i="18"/>
  <c r="C22" i="100"/>
  <c r="B5" i="40"/>
  <c r="D15" i="100"/>
  <c r="C5" i="18"/>
  <c r="H12" i="106"/>
  <c r="G3" i="106"/>
  <c r="G2" i="33" s="1"/>
  <c r="G2" i="11"/>
  <c r="D3" i="97"/>
  <c r="D2" i="29" s="1"/>
  <c r="G5" i="106"/>
  <c r="G4" i="33" s="1"/>
  <c r="H10" i="106"/>
  <c r="G9" i="11"/>
  <c r="G7" i="11"/>
  <c r="D12" i="97"/>
  <c r="D4" i="51" s="1"/>
  <c r="H14" i="106"/>
  <c r="F7" i="11"/>
  <c r="F9" i="11"/>
  <c r="D11" i="97"/>
  <c r="D3" i="51" s="1"/>
  <c r="D6" i="51"/>
  <c r="E7" i="97"/>
  <c r="E14" i="97" s="1"/>
  <c r="D6" i="29"/>
  <c r="D9" i="29" s="1"/>
  <c r="D4" i="97"/>
  <c r="D3" i="29" s="1"/>
  <c r="H13" i="106"/>
  <c r="E13" i="97"/>
  <c r="E5" i="51" s="1"/>
  <c r="E5" i="29"/>
  <c r="C10" i="97"/>
  <c r="C2" i="51" s="1"/>
  <c r="G5" i="11"/>
  <c r="G6" i="106"/>
  <c r="G5" i="33" s="1"/>
  <c r="G7" i="106"/>
  <c r="G6" i="33" s="1"/>
  <c r="I3" i="11"/>
  <c r="H76" i="100"/>
  <c r="H72" i="100" s="1"/>
  <c r="H58" i="100"/>
  <c r="H68" i="100"/>
  <c r="E60" i="100"/>
  <c r="G55" i="100"/>
  <c r="D40" i="100"/>
  <c r="D47" i="100" s="1"/>
  <c r="D6" i="50" s="1"/>
  <c r="G51" i="100"/>
  <c r="D36" i="100"/>
  <c r="D43" i="100" s="1"/>
  <c r="D2" i="50" s="1"/>
  <c r="L49" i="100"/>
  <c r="J35" i="100" s="1"/>
  <c r="K66" i="100"/>
  <c r="C11" i="98" l="1"/>
  <c r="C7" i="98"/>
  <c r="E3" i="98"/>
  <c r="F10" i="98"/>
  <c r="B5" i="98"/>
  <c r="B3" i="98"/>
  <c r="B6" i="98"/>
  <c r="B7" i="98"/>
  <c r="C5" i="98"/>
  <c r="C6" i="98"/>
  <c r="C3" i="98"/>
  <c r="E6" i="98"/>
  <c r="F13" i="98"/>
  <c r="F12" i="98"/>
  <c r="E5" i="98"/>
  <c r="D6" i="98"/>
  <c r="D5" i="98"/>
  <c r="B4" i="98"/>
  <c r="AB19" i="97"/>
  <c r="AC22" i="97"/>
  <c r="D14" i="98"/>
  <c r="T11" i="106"/>
  <c r="T4" i="106" s="1"/>
  <c r="T3" i="33" s="1"/>
  <c r="U11" i="106"/>
  <c r="U4" i="106" s="1"/>
  <c r="U3" i="33" s="1"/>
  <c r="C6" i="51"/>
  <c r="D6" i="49"/>
  <c r="D3" i="49" s="1"/>
  <c r="D3" i="27"/>
  <c r="D6" i="27" s="1"/>
  <c r="D3" i="50"/>
  <c r="D7" i="50"/>
  <c r="D4" i="50"/>
  <c r="D5" i="50"/>
  <c r="F5" i="97"/>
  <c r="F4" i="29" s="1"/>
  <c r="D9" i="12"/>
  <c r="D3" i="26"/>
  <c r="E12" i="97"/>
  <c r="E4" i="51" s="1"/>
  <c r="D10" i="97"/>
  <c r="D2" i="51" s="1"/>
  <c r="E16" i="100"/>
  <c r="D6" i="18"/>
  <c r="E15" i="100"/>
  <c r="D5" i="18"/>
  <c r="E13" i="100"/>
  <c r="D3" i="18"/>
  <c r="D20" i="100"/>
  <c r="C3" i="40"/>
  <c r="D21" i="100"/>
  <c r="C4" i="40"/>
  <c r="D22" i="100"/>
  <c r="C5" i="40"/>
  <c r="D23" i="100"/>
  <c r="C6" i="40"/>
  <c r="E14" i="100"/>
  <c r="D4" i="18"/>
  <c r="E4" i="97"/>
  <c r="E3" i="29" s="1"/>
  <c r="E6" i="29"/>
  <c r="E9" i="29" s="1"/>
  <c r="E3" i="97"/>
  <c r="E2" i="29" s="1"/>
  <c r="H6" i="106"/>
  <c r="H5" i="33" s="1"/>
  <c r="H5" i="11"/>
  <c r="F6" i="97"/>
  <c r="F5" i="29" s="1"/>
  <c r="I13" i="106"/>
  <c r="I5" i="11" s="1"/>
  <c r="E6" i="51"/>
  <c r="E11" i="97"/>
  <c r="E3" i="51" s="1"/>
  <c r="E64" i="100"/>
  <c r="E3" i="48" s="1"/>
  <c r="E6" i="12"/>
  <c r="H7" i="106"/>
  <c r="H6" i="33" s="1"/>
  <c r="H6" i="11"/>
  <c r="H2" i="11"/>
  <c r="H3" i="106"/>
  <c r="H2" i="33" s="1"/>
  <c r="I12" i="106"/>
  <c r="I10" i="106"/>
  <c r="I2" i="11" s="1"/>
  <c r="H5" i="106"/>
  <c r="H4" i="33" s="1"/>
  <c r="H4" i="11"/>
  <c r="F7" i="97"/>
  <c r="F14" i="97" s="1"/>
  <c r="I14" i="106"/>
  <c r="J3" i="11"/>
  <c r="I68" i="100"/>
  <c r="F60" i="100"/>
  <c r="I76" i="100"/>
  <c r="I72" i="100" s="1"/>
  <c r="I58" i="100"/>
  <c r="H51" i="100"/>
  <c r="E36" i="100"/>
  <c r="E43" i="100" s="1"/>
  <c r="E2" i="50" s="1"/>
  <c r="H55" i="100"/>
  <c r="E40" i="100"/>
  <c r="E47" i="100" s="1"/>
  <c r="E6" i="50" s="1"/>
  <c r="M49" i="100"/>
  <c r="K35" i="100" s="1"/>
  <c r="L66" i="100"/>
  <c r="C20" i="81"/>
  <c r="D20" i="81"/>
  <c r="E20" i="81"/>
  <c r="F20" i="81"/>
  <c r="G20" i="81"/>
  <c r="H20" i="81"/>
  <c r="I20" i="81"/>
  <c r="J20" i="81"/>
  <c r="K20" i="81"/>
  <c r="C21" i="81"/>
  <c r="D21" i="81"/>
  <c r="E21" i="81"/>
  <c r="F21" i="81"/>
  <c r="G21" i="81"/>
  <c r="H21" i="81"/>
  <c r="I21" i="81"/>
  <c r="J21" i="81"/>
  <c r="K21" i="81"/>
  <c r="B20" i="81"/>
  <c r="B21" i="81"/>
  <c r="C19" i="81"/>
  <c r="C18" i="81" s="1"/>
  <c r="D19" i="81"/>
  <c r="D18" i="81" s="1"/>
  <c r="E19" i="81"/>
  <c r="E18" i="81" s="1"/>
  <c r="F19" i="81"/>
  <c r="G19" i="81"/>
  <c r="H19" i="81"/>
  <c r="I19" i="81"/>
  <c r="J19" i="81"/>
  <c r="K19" i="81"/>
  <c r="K18" i="81" s="1"/>
  <c r="B19" i="81"/>
  <c r="B7" i="23" l="1"/>
  <c r="G10" i="98"/>
  <c r="F3" i="98"/>
  <c r="D11" i="98"/>
  <c r="E14" i="98"/>
  <c r="D7" i="98"/>
  <c r="G13" i="98"/>
  <c r="F6" i="98"/>
  <c r="G12" i="98"/>
  <c r="F5" i="98"/>
  <c r="C4" i="98"/>
  <c r="AD22" i="97"/>
  <c r="AC19" i="97"/>
  <c r="B18" i="81"/>
  <c r="B12" i="81"/>
  <c r="E5" i="50"/>
  <c r="E3" i="50"/>
  <c r="E4" i="50"/>
  <c r="E7" i="50"/>
  <c r="E6" i="49"/>
  <c r="E3" i="49" s="1"/>
  <c r="E3" i="27"/>
  <c r="E6" i="27" s="1"/>
  <c r="G5" i="97"/>
  <c r="G4" i="29" s="1"/>
  <c r="F12" i="97"/>
  <c r="F4" i="51" s="1"/>
  <c r="E9" i="12"/>
  <c r="E3" i="26"/>
  <c r="E20" i="100"/>
  <c r="D3" i="40"/>
  <c r="E23" i="100"/>
  <c r="D6" i="40"/>
  <c r="F13" i="100"/>
  <c r="E3" i="18"/>
  <c r="F14" i="100"/>
  <c r="E4" i="18"/>
  <c r="E22" i="100"/>
  <c r="D5" i="40"/>
  <c r="F15" i="100"/>
  <c r="E5" i="18"/>
  <c r="E21" i="100"/>
  <c r="D4" i="40"/>
  <c r="F16" i="100"/>
  <c r="E6" i="18"/>
  <c r="F64" i="100"/>
  <c r="F3" i="48" s="1"/>
  <c r="F6" i="12"/>
  <c r="J10" i="106"/>
  <c r="J2" i="11" s="1"/>
  <c r="H9" i="11"/>
  <c r="H7" i="11"/>
  <c r="J13" i="106"/>
  <c r="I6" i="11"/>
  <c r="I7" i="106"/>
  <c r="I6" i="33" s="1"/>
  <c r="E10" i="97"/>
  <c r="E2" i="51" s="1"/>
  <c r="J14" i="106"/>
  <c r="J6" i="11" s="1"/>
  <c r="F6" i="51"/>
  <c r="F11" i="97"/>
  <c r="F3" i="51" s="1"/>
  <c r="F3" i="97"/>
  <c r="F2" i="29" s="1"/>
  <c r="F4" i="97"/>
  <c r="F3" i="29" s="1"/>
  <c r="F6" i="29"/>
  <c r="F9" i="29" s="1"/>
  <c r="I5" i="106"/>
  <c r="I4" i="33" s="1"/>
  <c r="I4" i="11"/>
  <c r="G7" i="97"/>
  <c r="G14" i="97" s="1"/>
  <c r="J12" i="106"/>
  <c r="G6" i="97"/>
  <c r="G5" i="29" s="1"/>
  <c r="I6" i="106"/>
  <c r="I5" i="33" s="1"/>
  <c r="F13" i="97"/>
  <c r="F5" i="51" s="1"/>
  <c r="I3" i="106"/>
  <c r="I2" i="33" s="1"/>
  <c r="K3" i="11"/>
  <c r="J68" i="100"/>
  <c r="G60" i="100"/>
  <c r="J76" i="100"/>
  <c r="J72" i="100" s="1"/>
  <c r="J58" i="100"/>
  <c r="I55" i="100"/>
  <c r="F40" i="100"/>
  <c r="F47" i="100" s="1"/>
  <c r="F6" i="50" s="1"/>
  <c r="I51" i="100"/>
  <c r="F36" i="100"/>
  <c r="F43" i="100" s="1"/>
  <c r="F2" i="50" s="1"/>
  <c r="H6" i="97"/>
  <c r="N49" i="100"/>
  <c r="L35" i="100" s="1"/>
  <c r="M66" i="100"/>
  <c r="B14" i="81"/>
  <c r="B13" i="81"/>
  <c r="C7" i="23" l="1"/>
  <c r="F14" i="98"/>
  <c r="E7" i="98"/>
  <c r="H12" i="98"/>
  <c r="G5" i="98"/>
  <c r="E11" i="98"/>
  <c r="D4" i="98"/>
  <c r="H13" i="98"/>
  <c r="G6" i="98"/>
  <c r="H10" i="98"/>
  <c r="G3" i="98"/>
  <c r="AE22" i="97"/>
  <c r="AD19" i="97"/>
  <c r="F3" i="50"/>
  <c r="F4" i="50"/>
  <c r="F7" i="50"/>
  <c r="F5" i="50"/>
  <c r="F9" i="12"/>
  <c r="F3" i="26"/>
  <c r="J7" i="106"/>
  <c r="J6" i="33" s="1"/>
  <c r="G16" i="100"/>
  <c r="F6" i="18"/>
  <c r="G14" i="100"/>
  <c r="F4" i="18"/>
  <c r="F21" i="100"/>
  <c r="E4" i="40"/>
  <c r="G13" i="100"/>
  <c r="F3" i="18"/>
  <c r="J3" i="106"/>
  <c r="J2" i="33" s="1"/>
  <c r="G15" i="100"/>
  <c r="F5" i="18"/>
  <c r="F23" i="100"/>
  <c r="E6" i="40"/>
  <c r="G13" i="97"/>
  <c r="G5" i="51" s="1"/>
  <c r="F22" i="100"/>
  <c r="E5" i="40"/>
  <c r="F20" i="100"/>
  <c r="E3" i="40"/>
  <c r="G11" i="97"/>
  <c r="G3" i="51" s="1"/>
  <c r="G6" i="51"/>
  <c r="G3" i="97"/>
  <c r="K13" i="106"/>
  <c r="K5" i="11" s="1"/>
  <c r="I9" i="11"/>
  <c r="I7" i="11"/>
  <c r="H7" i="97"/>
  <c r="J9" i="11"/>
  <c r="J7" i="11"/>
  <c r="J4" i="11"/>
  <c r="J5" i="106"/>
  <c r="J4" i="33" s="1"/>
  <c r="K10" i="106"/>
  <c r="K2" i="11" s="1"/>
  <c r="K14" i="106"/>
  <c r="K6" i="11" s="1"/>
  <c r="G64" i="100"/>
  <c r="G3" i="48" s="1"/>
  <c r="G6" i="12"/>
  <c r="K12" i="106"/>
  <c r="G12" i="97"/>
  <c r="G4" i="51" s="1"/>
  <c r="H13" i="97"/>
  <c r="H5" i="51" s="1"/>
  <c r="H5" i="29"/>
  <c r="K6" i="106"/>
  <c r="K5" i="33" s="1"/>
  <c r="G4" i="97"/>
  <c r="G3" i="29" s="1"/>
  <c r="G6" i="29"/>
  <c r="G9" i="29" s="1"/>
  <c r="F10" i="97"/>
  <c r="F2" i="51" s="1"/>
  <c r="J5" i="11"/>
  <c r="J6" i="106"/>
  <c r="J5" i="33" s="1"/>
  <c r="L3" i="11"/>
  <c r="K76" i="100"/>
  <c r="K72" i="100" s="1"/>
  <c r="K58" i="100"/>
  <c r="K68" i="100"/>
  <c r="H60" i="100"/>
  <c r="J51" i="100"/>
  <c r="G36" i="100"/>
  <c r="G43" i="100" s="1"/>
  <c r="G2" i="50" s="1"/>
  <c r="J55" i="100"/>
  <c r="G40" i="100"/>
  <c r="G47" i="100" s="1"/>
  <c r="G6" i="50" s="1"/>
  <c r="I7" i="97"/>
  <c r="O49" i="100"/>
  <c r="M35" i="100" s="1"/>
  <c r="N66" i="100"/>
  <c r="E11" i="74"/>
  <c r="F11" i="74" s="1"/>
  <c r="G11" i="74" s="1"/>
  <c r="H11" i="74" s="1"/>
  <c r="I11" i="74" s="1"/>
  <c r="J11" i="74" s="1"/>
  <c r="K11" i="74" s="1"/>
  <c r="L11" i="74" s="1"/>
  <c r="M11" i="74" s="1"/>
  <c r="N11" i="74" s="1"/>
  <c r="O11" i="74" s="1"/>
  <c r="P11" i="74" s="1"/>
  <c r="Q11" i="74" s="1"/>
  <c r="R11" i="74" s="1"/>
  <c r="S11" i="74" s="1"/>
  <c r="T11" i="74" s="1"/>
  <c r="U11" i="74" s="1"/>
  <c r="V11" i="74" s="1"/>
  <c r="W11" i="74" s="1"/>
  <c r="X11" i="74" s="1"/>
  <c r="Y11" i="74" s="1"/>
  <c r="Z11" i="74" s="1"/>
  <c r="AA11" i="74" s="1"/>
  <c r="AB11" i="74" s="1"/>
  <c r="AC11" i="74" s="1"/>
  <c r="AD11" i="74" s="1"/>
  <c r="AE11" i="74" s="1"/>
  <c r="AF11" i="74" s="1"/>
  <c r="AD9" i="70"/>
  <c r="AE9" i="70"/>
  <c r="AF9" i="70"/>
  <c r="AD10" i="70"/>
  <c r="AE10" i="70"/>
  <c r="AF10" i="70"/>
  <c r="AD11" i="70"/>
  <c r="AE11" i="70"/>
  <c r="AF11" i="70"/>
  <c r="AD12" i="70"/>
  <c r="AE12" i="70"/>
  <c r="AF12" i="70"/>
  <c r="AD18" i="70"/>
  <c r="AE18" i="70"/>
  <c r="AF18" i="70"/>
  <c r="AD19" i="70"/>
  <c r="AE19" i="70"/>
  <c r="AF19" i="70"/>
  <c r="AD20" i="70"/>
  <c r="AE20" i="70"/>
  <c r="AF20" i="70"/>
  <c r="AD21" i="70"/>
  <c r="AE21" i="70"/>
  <c r="AF21" i="70"/>
  <c r="AD26" i="70"/>
  <c r="AE26" i="70"/>
  <c r="AF26" i="70"/>
  <c r="AD27" i="70"/>
  <c r="AE27" i="70"/>
  <c r="AF27" i="70"/>
  <c r="AD28" i="70"/>
  <c r="AE28" i="70"/>
  <c r="AF28" i="70"/>
  <c r="AD31" i="70"/>
  <c r="AE31" i="70"/>
  <c r="AF31" i="70"/>
  <c r="AD32" i="70"/>
  <c r="AE32" i="70"/>
  <c r="AF32" i="70"/>
  <c r="AD33" i="70"/>
  <c r="AE33" i="70"/>
  <c r="AF33" i="70"/>
  <c r="AD34" i="70"/>
  <c r="AE34" i="70"/>
  <c r="AF34" i="70"/>
  <c r="AD36" i="70"/>
  <c r="AE36" i="70"/>
  <c r="AF36" i="70"/>
  <c r="AD37" i="70"/>
  <c r="AE37" i="70"/>
  <c r="AF37" i="70"/>
  <c r="AD38" i="70"/>
  <c r="AE38" i="70"/>
  <c r="AF38" i="70"/>
  <c r="AE6" i="70"/>
  <c r="AF6" i="70"/>
  <c r="AD6" i="70"/>
  <c r="B38" i="67"/>
  <c r="B37" i="67"/>
  <c r="B32" i="67" s="1"/>
  <c r="B27" i="67" s="1"/>
  <c r="E36" i="67"/>
  <c r="E26" i="67" s="1"/>
  <c r="D7" i="23" l="1"/>
  <c r="F79" i="100"/>
  <c r="F78" i="100" s="1"/>
  <c r="H78" i="100"/>
  <c r="F36" i="67"/>
  <c r="F26" i="67" s="1"/>
  <c r="E31" i="67"/>
  <c r="B16" i="67"/>
  <c r="B5" i="43" s="1"/>
  <c r="B33" i="67"/>
  <c r="B28" i="67" s="1"/>
  <c r="B8" i="67"/>
  <c r="B5" i="44" s="1"/>
  <c r="B4" i="67"/>
  <c r="B2" i="41" s="1"/>
  <c r="B3" i="43"/>
  <c r="B4" i="43"/>
  <c r="E4" i="98"/>
  <c r="F11" i="98"/>
  <c r="I12" i="98"/>
  <c r="H5" i="98"/>
  <c r="I10" i="98"/>
  <c r="H3" i="98"/>
  <c r="I13" i="98"/>
  <c r="H6" i="98"/>
  <c r="G14" i="98"/>
  <c r="F7" i="98"/>
  <c r="AF22" i="97"/>
  <c r="AE19" i="97"/>
  <c r="B12" i="67"/>
  <c r="H5" i="97"/>
  <c r="H4" i="29" s="1"/>
  <c r="G3" i="50"/>
  <c r="G5" i="50"/>
  <c r="G4" i="50"/>
  <c r="G7" i="50"/>
  <c r="G9" i="12"/>
  <c r="G3" i="26"/>
  <c r="K3" i="106"/>
  <c r="K2" i="33" s="1"/>
  <c r="G22" i="100"/>
  <c r="F5" i="40"/>
  <c r="H13" i="100"/>
  <c r="G3" i="18"/>
  <c r="G21" i="100"/>
  <c r="F4" i="40"/>
  <c r="H14" i="100"/>
  <c r="G4" i="18"/>
  <c r="G23" i="100"/>
  <c r="F6" i="40"/>
  <c r="H15" i="100"/>
  <c r="G5" i="18"/>
  <c r="G20" i="100"/>
  <c r="F3" i="40"/>
  <c r="H16" i="100"/>
  <c r="G6" i="18"/>
  <c r="I78" i="100"/>
  <c r="H64" i="100"/>
  <c r="H3" i="48" s="1"/>
  <c r="H6" i="12"/>
  <c r="I5" i="97"/>
  <c r="I4" i="29" s="1"/>
  <c r="H4" i="97"/>
  <c r="H3" i="29" s="1"/>
  <c r="H6" i="29"/>
  <c r="H9" i="29" s="1"/>
  <c r="L14" i="106"/>
  <c r="L6" i="11" s="1"/>
  <c r="L10" i="106"/>
  <c r="H14" i="97"/>
  <c r="I14" i="97"/>
  <c r="I6" i="29"/>
  <c r="I4" i="97"/>
  <c r="I3" i="29" s="1"/>
  <c r="L12" i="106"/>
  <c r="K7" i="106"/>
  <c r="K6" i="33" s="1"/>
  <c r="K9" i="11"/>
  <c r="K7" i="11"/>
  <c r="L13" i="106"/>
  <c r="G10" i="97"/>
  <c r="G2" i="51" s="1"/>
  <c r="G2" i="29"/>
  <c r="K5" i="106"/>
  <c r="K4" i="33" s="1"/>
  <c r="K4" i="11"/>
  <c r="I6" i="97"/>
  <c r="I5" i="29" s="1"/>
  <c r="H3" i="97"/>
  <c r="H2" i="29" s="1"/>
  <c r="M3" i="11"/>
  <c r="L76" i="100"/>
  <c r="L72" i="100" s="1"/>
  <c r="L58" i="100"/>
  <c r="L68" i="100"/>
  <c r="I60" i="100"/>
  <c r="K55" i="100"/>
  <c r="H40" i="100"/>
  <c r="H47" i="100" s="1"/>
  <c r="H6" i="50" s="1"/>
  <c r="K51" i="100"/>
  <c r="H36" i="100"/>
  <c r="H43" i="100" s="1"/>
  <c r="H2" i="50" s="1"/>
  <c r="P49" i="100"/>
  <c r="N35" i="100" s="1"/>
  <c r="O66" i="100"/>
  <c r="C38" i="67"/>
  <c r="C33" i="67" s="1"/>
  <c r="C37" i="67"/>
  <c r="C32" i="67" s="1"/>
  <c r="C27" i="67" s="1"/>
  <c r="E7" i="23" l="1"/>
  <c r="H73" i="100"/>
  <c r="H74" i="100" s="1"/>
  <c r="H6" i="49" s="1"/>
  <c r="H3" i="49" s="1"/>
  <c r="I73" i="100"/>
  <c r="I74" i="100" s="1"/>
  <c r="G78" i="100"/>
  <c r="G73" i="100" s="1"/>
  <c r="F73" i="100"/>
  <c r="F3" i="27" s="1"/>
  <c r="F6" i="27" s="1"/>
  <c r="D33" i="67"/>
  <c r="D28" i="67" s="1"/>
  <c r="E33" i="67"/>
  <c r="C28" i="67"/>
  <c r="B2" i="43"/>
  <c r="B6" i="44"/>
  <c r="B4" i="44"/>
  <c r="B6" i="43"/>
  <c r="B3" i="44"/>
  <c r="B2" i="44"/>
  <c r="B2" i="19"/>
  <c r="B9" i="19" s="1"/>
  <c r="D32" i="67"/>
  <c r="D27" i="67" s="1"/>
  <c r="E32" i="67"/>
  <c r="G36" i="67"/>
  <c r="G26" i="67" s="1"/>
  <c r="C8" i="67"/>
  <c r="C2" i="44" s="1"/>
  <c r="C4" i="67"/>
  <c r="C2" i="41" s="1"/>
  <c r="C16" i="67"/>
  <c r="J10" i="98"/>
  <c r="I3" i="98"/>
  <c r="H14" i="98"/>
  <c r="G7" i="98"/>
  <c r="J12" i="98"/>
  <c r="I5" i="98"/>
  <c r="F4" i="98"/>
  <c r="G11" i="98"/>
  <c r="J13" i="98"/>
  <c r="I6" i="98"/>
  <c r="AG22" i="97"/>
  <c r="AG19" i="97" s="1"/>
  <c r="AF19" i="97"/>
  <c r="B2" i="42"/>
  <c r="B4" i="42"/>
  <c r="B5" i="42"/>
  <c r="B6" i="42"/>
  <c r="B3" i="42"/>
  <c r="C12" i="67"/>
  <c r="C2" i="35"/>
  <c r="B2" i="35"/>
  <c r="H12" i="97"/>
  <c r="H4" i="51" s="1"/>
  <c r="H5" i="50"/>
  <c r="H7" i="50"/>
  <c r="H3" i="50"/>
  <c r="H4" i="50"/>
  <c r="H9" i="12"/>
  <c r="H3" i="26"/>
  <c r="H10" i="97"/>
  <c r="H2" i="51" s="1"/>
  <c r="L7" i="106"/>
  <c r="L6" i="33" s="1"/>
  <c r="I13" i="97"/>
  <c r="I5" i="51" s="1"/>
  <c r="H21" i="100"/>
  <c r="G4" i="40"/>
  <c r="H20" i="100"/>
  <c r="G3" i="40"/>
  <c r="I15" i="100"/>
  <c r="H5" i="18"/>
  <c r="I13" i="100"/>
  <c r="H3" i="18"/>
  <c r="I16" i="100"/>
  <c r="H6" i="18"/>
  <c r="I14" i="100"/>
  <c r="H4" i="18"/>
  <c r="H23" i="100"/>
  <c r="G6" i="40"/>
  <c r="H22" i="100"/>
  <c r="G5" i="40"/>
  <c r="J78" i="100"/>
  <c r="J73" i="100" s="1"/>
  <c r="J74" i="100" s="1"/>
  <c r="I3" i="97"/>
  <c r="I2" i="29" s="1"/>
  <c r="B7" i="41"/>
  <c r="B5" i="41"/>
  <c r="B9" i="41"/>
  <c r="B3" i="41"/>
  <c r="B6" i="41"/>
  <c r="B4" i="41"/>
  <c r="D2" i="35"/>
  <c r="L5" i="106"/>
  <c r="L4" i="33" s="1"/>
  <c r="L4" i="11"/>
  <c r="L3" i="106"/>
  <c r="L2" i="33" s="1"/>
  <c r="L2" i="11"/>
  <c r="J7" i="97"/>
  <c r="J14" i="97" s="1"/>
  <c r="L6" i="106"/>
  <c r="L5" i="33" s="1"/>
  <c r="L5" i="11"/>
  <c r="M12" i="106"/>
  <c r="M4" i="11" s="1"/>
  <c r="M10" i="106"/>
  <c r="J6" i="97"/>
  <c r="J5" i="29" s="1"/>
  <c r="M13" i="106"/>
  <c r="I12" i="97"/>
  <c r="I4" i="51" s="1"/>
  <c r="H11" i="97"/>
  <c r="H3" i="51" s="1"/>
  <c r="H6" i="51"/>
  <c r="J5" i="97"/>
  <c r="J4" i="29" s="1"/>
  <c r="M14" i="106"/>
  <c r="I64" i="100"/>
  <c r="I3" i="48" s="1"/>
  <c r="I6" i="12"/>
  <c r="I11" i="97"/>
  <c r="I3" i="51" s="1"/>
  <c r="I6" i="51"/>
  <c r="L7" i="11"/>
  <c r="L9" i="11"/>
  <c r="N3" i="11"/>
  <c r="M76" i="100"/>
  <c r="M72" i="100" s="1"/>
  <c r="M58" i="100"/>
  <c r="M68" i="100"/>
  <c r="J60" i="100"/>
  <c r="L51" i="100"/>
  <c r="I36" i="100"/>
  <c r="I43" i="100" s="1"/>
  <c r="I2" i="50" s="1"/>
  <c r="L55" i="100"/>
  <c r="I40" i="100"/>
  <c r="I47" i="100" s="1"/>
  <c r="I6" i="50" s="1"/>
  <c r="I9" i="29"/>
  <c r="K5" i="97"/>
  <c r="Q49" i="100"/>
  <c r="O35" i="100" s="1"/>
  <c r="P66" i="100"/>
  <c r="D37" i="67"/>
  <c r="D38" i="67"/>
  <c r="F7" i="23" l="1"/>
  <c r="H3" i="27"/>
  <c r="H6" i="27" s="1"/>
  <c r="F74" i="100"/>
  <c r="F6" i="49" s="1"/>
  <c r="F3" i="49" s="1"/>
  <c r="G74" i="100"/>
  <c r="G6" i="49" s="1"/>
  <c r="G3" i="49" s="1"/>
  <c r="G3" i="27"/>
  <c r="G6" i="27" s="1"/>
  <c r="E27" i="67"/>
  <c r="C2" i="19"/>
  <c r="C3" i="19" s="1"/>
  <c r="E28" i="67"/>
  <c r="H36" i="67"/>
  <c r="H26" i="67" s="1"/>
  <c r="C6" i="44"/>
  <c r="C5" i="44"/>
  <c r="C4" i="44"/>
  <c r="C3" i="44"/>
  <c r="D16" i="67"/>
  <c r="C2" i="43"/>
  <c r="C6" i="43"/>
  <c r="C3" i="43"/>
  <c r="C4" i="43"/>
  <c r="C5" i="43"/>
  <c r="D8" i="67"/>
  <c r="D3" i="44" s="1"/>
  <c r="D4" i="67"/>
  <c r="D2" i="41" s="1"/>
  <c r="K12" i="98"/>
  <c r="J5" i="98"/>
  <c r="K13" i="98"/>
  <c r="J6" i="98"/>
  <c r="I14" i="98"/>
  <c r="H7" i="98"/>
  <c r="H11" i="98"/>
  <c r="G4" i="98"/>
  <c r="K10" i="98"/>
  <c r="J3" i="98"/>
  <c r="C3" i="42"/>
  <c r="C4" i="42"/>
  <c r="C5" i="42"/>
  <c r="C6" i="42"/>
  <c r="C2" i="42"/>
  <c r="D12" i="67"/>
  <c r="C6" i="41"/>
  <c r="B11" i="67"/>
  <c r="B5" i="35"/>
  <c r="I6" i="49"/>
  <c r="I3" i="49" s="1"/>
  <c r="I3" i="27"/>
  <c r="I6" i="27" s="1"/>
  <c r="I5" i="50"/>
  <c r="I7" i="50"/>
  <c r="I4" i="50"/>
  <c r="I3" i="50"/>
  <c r="I9" i="12"/>
  <c r="I3" i="26"/>
  <c r="B7" i="19"/>
  <c r="I10" i="97"/>
  <c r="I2" i="51" s="1"/>
  <c r="M5" i="106"/>
  <c r="M4" i="33" s="1"/>
  <c r="J13" i="97"/>
  <c r="J5" i="51" s="1"/>
  <c r="J13" i="100"/>
  <c r="I3" i="18"/>
  <c r="I23" i="100"/>
  <c r="H6" i="40"/>
  <c r="I22" i="100"/>
  <c r="H5" i="40"/>
  <c r="J15" i="100"/>
  <c r="I5" i="18"/>
  <c r="J14" i="100"/>
  <c r="I4" i="18"/>
  <c r="I20" i="100"/>
  <c r="H3" i="40"/>
  <c r="J16" i="100"/>
  <c r="I6" i="18"/>
  <c r="I21" i="100"/>
  <c r="H4" i="40"/>
  <c r="B5" i="19"/>
  <c r="B3" i="19"/>
  <c r="E2" i="35"/>
  <c r="C5" i="35"/>
  <c r="K78" i="100"/>
  <c r="M6" i="106"/>
  <c r="M5" i="33" s="1"/>
  <c r="M5" i="11"/>
  <c r="J11" i="97"/>
  <c r="J3" i="51" s="1"/>
  <c r="J6" i="51"/>
  <c r="J3" i="97"/>
  <c r="B4" i="19"/>
  <c r="N14" i="106"/>
  <c r="J4" i="97"/>
  <c r="J3" i="29" s="1"/>
  <c r="J6" i="29"/>
  <c r="J9" i="29" s="1"/>
  <c r="M7" i="106"/>
  <c r="M6" i="33" s="1"/>
  <c r="M6" i="11"/>
  <c r="M2" i="11"/>
  <c r="M3" i="106"/>
  <c r="M2" i="33" s="1"/>
  <c r="K7" i="97"/>
  <c r="K12" i="97"/>
  <c r="K4" i="51" s="1"/>
  <c r="K4" i="29"/>
  <c r="C5" i="41"/>
  <c r="C9" i="41"/>
  <c r="C4" i="41"/>
  <c r="C7" i="41"/>
  <c r="C3" i="41"/>
  <c r="N10" i="106"/>
  <c r="B7" i="13"/>
  <c r="B9" i="13"/>
  <c r="K6" i="97"/>
  <c r="K5" i="29" s="1"/>
  <c r="N12" i="106"/>
  <c r="B6" i="19"/>
  <c r="J64" i="100"/>
  <c r="J3" i="48" s="1"/>
  <c r="J6" i="12"/>
  <c r="J12" i="97"/>
  <c r="J4" i="51" s="1"/>
  <c r="N13" i="106"/>
  <c r="O3" i="11"/>
  <c r="N76" i="100"/>
  <c r="N72" i="100" s="1"/>
  <c r="N58" i="100"/>
  <c r="N68" i="100"/>
  <c r="K60" i="100"/>
  <c r="M55" i="100"/>
  <c r="J40" i="100"/>
  <c r="J47" i="100" s="1"/>
  <c r="J6" i="50" s="1"/>
  <c r="M51" i="100"/>
  <c r="J36" i="100"/>
  <c r="J43" i="100" s="1"/>
  <c r="J2" i="50" s="1"/>
  <c r="R49" i="100"/>
  <c r="P35" i="100" s="1"/>
  <c r="Q66" i="100"/>
  <c r="E37" i="67"/>
  <c r="B2" i="1"/>
  <c r="G7" i="23" l="1"/>
  <c r="K73" i="100"/>
  <c r="K74" i="100" s="1"/>
  <c r="I36" i="67"/>
  <c r="I26" i="67" s="1"/>
  <c r="D2" i="19"/>
  <c r="D2" i="44"/>
  <c r="D6" i="44"/>
  <c r="D5" i="44"/>
  <c r="D4" i="44"/>
  <c r="C4" i="20"/>
  <c r="C2" i="20"/>
  <c r="C3" i="20"/>
  <c r="C6" i="20"/>
  <c r="C7" i="20"/>
  <c r="C9" i="20"/>
  <c r="C5" i="20"/>
  <c r="D2" i="43"/>
  <c r="D5" i="43"/>
  <c r="D3" i="43"/>
  <c r="D6" i="43"/>
  <c r="D4" i="43"/>
  <c r="E8" i="67"/>
  <c r="E4" i="44" s="1"/>
  <c r="E4" i="67"/>
  <c r="E2" i="41" s="1"/>
  <c r="L10" i="98"/>
  <c r="K3" i="98"/>
  <c r="L13" i="98"/>
  <c r="K6" i="98"/>
  <c r="J14" i="98"/>
  <c r="I7" i="98"/>
  <c r="I11" i="98"/>
  <c r="H4" i="98"/>
  <c r="L12" i="98"/>
  <c r="K5" i="98"/>
  <c r="B4" i="22"/>
  <c r="B5" i="22"/>
  <c r="B6" i="22"/>
  <c r="B7" i="22"/>
  <c r="B2" i="22"/>
  <c r="B3" i="22"/>
  <c r="D2" i="42"/>
  <c r="D3" i="42"/>
  <c r="D4" i="42"/>
  <c r="D5" i="42"/>
  <c r="D6" i="42"/>
  <c r="E5" i="44"/>
  <c r="C11" i="67"/>
  <c r="C4" i="35"/>
  <c r="B4" i="35"/>
  <c r="J5" i="50"/>
  <c r="J3" i="50"/>
  <c r="J7" i="50"/>
  <c r="J4" i="50"/>
  <c r="J6" i="49"/>
  <c r="J3" i="49" s="1"/>
  <c r="J3" i="27"/>
  <c r="J6" i="27" s="1"/>
  <c r="J9" i="12"/>
  <c r="J3" i="26"/>
  <c r="J21" i="100"/>
  <c r="I4" i="40"/>
  <c r="K15" i="100"/>
  <c r="J5" i="18"/>
  <c r="K16" i="100"/>
  <c r="J6" i="18"/>
  <c r="J22" i="100"/>
  <c r="I5" i="40"/>
  <c r="J20" i="100"/>
  <c r="I3" i="40"/>
  <c r="J23" i="100"/>
  <c r="I6" i="40"/>
  <c r="K14" i="100"/>
  <c r="J4" i="18"/>
  <c r="K13" i="100"/>
  <c r="J3" i="18"/>
  <c r="C4" i="19"/>
  <c r="C6" i="19"/>
  <c r="C9" i="19"/>
  <c r="L78" i="100"/>
  <c r="E5" i="35"/>
  <c r="C7" i="67"/>
  <c r="C2" i="21" s="1"/>
  <c r="C3" i="21" s="1"/>
  <c r="C4" i="21" s="1"/>
  <c r="C5" i="21" s="1"/>
  <c r="C6" i="21" s="1"/>
  <c r="D5" i="35"/>
  <c r="F2" i="35"/>
  <c r="L5" i="97"/>
  <c r="L4" i="29" s="1"/>
  <c r="C5" i="19"/>
  <c r="N4" i="11"/>
  <c r="N5" i="106"/>
  <c r="N4" i="33" s="1"/>
  <c r="K6" i="29"/>
  <c r="K9" i="29" s="1"/>
  <c r="K4" i="97"/>
  <c r="K3" i="29" s="1"/>
  <c r="K3" i="97"/>
  <c r="K2" i="29" s="1"/>
  <c r="L6" i="97"/>
  <c r="L5" i="29" s="1"/>
  <c r="O12" i="106"/>
  <c r="O4" i="11" s="1"/>
  <c r="J10" i="97"/>
  <c r="J2" i="51" s="1"/>
  <c r="J2" i="29"/>
  <c r="N6" i="106"/>
  <c r="N5" i="33" s="1"/>
  <c r="N5" i="11"/>
  <c r="K13" i="97"/>
  <c r="K5" i="51" s="1"/>
  <c r="K14" i="97"/>
  <c r="B7" i="43"/>
  <c r="B9" i="43" s="1"/>
  <c r="C7" i="19"/>
  <c r="O13" i="106"/>
  <c r="N3" i="106"/>
  <c r="N2" i="33" s="1"/>
  <c r="N2" i="11"/>
  <c r="K64" i="100"/>
  <c r="K3" i="48" s="1"/>
  <c r="K6" i="12"/>
  <c r="L7" i="97"/>
  <c r="L14" i="97" s="1"/>
  <c r="N7" i="106"/>
  <c r="N6" i="33" s="1"/>
  <c r="N6" i="11"/>
  <c r="O14" i="106"/>
  <c r="D3" i="19"/>
  <c r="C7" i="43"/>
  <c r="C9" i="43" s="1"/>
  <c r="O10" i="106"/>
  <c r="M7" i="11"/>
  <c r="M9" i="11"/>
  <c r="P3" i="11"/>
  <c r="O68" i="100"/>
  <c r="L60" i="100"/>
  <c r="O76" i="100"/>
  <c r="O72" i="100" s="1"/>
  <c r="O58" i="100"/>
  <c r="N51" i="100"/>
  <c r="K36" i="100"/>
  <c r="K43" i="100" s="1"/>
  <c r="K2" i="50" s="1"/>
  <c r="N55" i="100"/>
  <c r="K40" i="100"/>
  <c r="K47" i="100" s="1"/>
  <c r="K6" i="50" s="1"/>
  <c r="M6" i="97"/>
  <c r="S49" i="100"/>
  <c r="Q35" i="100" s="1"/>
  <c r="R66" i="100"/>
  <c r="G2" i="35"/>
  <c r="D11" i="67"/>
  <c r="F37" i="67"/>
  <c r="H7" i="23" l="1"/>
  <c r="E6" i="44"/>
  <c r="E3" i="44"/>
  <c r="E7" i="44" s="1"/>
  <c r="E2" i="44"/>
  <c r="L73" i="100"/>
  <c r="L74" i="100"/>
  <c r="E2" i="19"/>
  <c r="E4" i="19" s="1"/>
  <c r="J36" i="67"/>
  <c r="J26" i="67" s="1"/>
  <c r="F8" i="67"/>
  <c r="F2" i="44" s="1"/>
  <c r="F4" i="67"/>
  <c r="F2" i="41" s="1"/>
  <c r="D9" i="20"/>
  <c r="D2" i="20"/>
  <c r="D5" i="20"/>
  <c r="D6" i="20"/>
  <c r="D3" i="20"/>
  <c r="D7" i="20"/>
  <c r="D4" i="20"/>
  <c r="K14" i="98"/>
  <c r="J7" i="98"/>
  <c r="M13" i="98"/>
  <c r="L6" i="98"/>
  <c r="J11" i="98"/>
  <c r="I4" i="98"/>
  <c r="M12" i="98"/>
  <c r="L5" i="98"/>
  <c r="M10" i="98"/>
  <c r="L3" i="98"/>
  <c r="C3" i="22"/>
  <c r="C4" i="22"/>
  <c r="C5" i="22"/>
  <c r="C6" i="22"/>
  <c r="C9" i="22" s="1"/>
  <c r="C7" i="22"/>
  <c r="C2" i="22"/>
  <c r="D2" i="22"/>
  <c r="D3" i="22"/>
  <c r="D4" i="22"/>
  <c r="D5" i="22"/>
  <c r="D6" i="22"/>
  <c r="D9" i="22" s="1"/>
  <c r="D7" i="22"/>
  <c r="H7" i="45"/>
  <c r="K3" i="50"/>
  <c r="K7" i="50"/>
  <c r="K5" i="50"/>
  <c r="K4" i="50"/>
  <c r="K6" i="49"/>
  <c r="K3" i="49" s="1"/>
  <c r="K3" i="27"/>
  <c r="K6" i="27" s="1"/>
  <c r="K9" i="27" s="1"/>
  <c r="K9" i="12"/>
  <c r="K3" i="26"/>
  <c r="L12" i="97"/>
  <c r="L4" i="51" s="1"/>
  <c r="L13" i="100"/>
  <c r="K3" i="18"/>
  <c r="K22" i="100"/>
  <c r="J5" i="40"/>
  <c r="L14" i="100"/>
  <c r="K4" i="18"/>
  <c r="L16" i="100"/>
  <c r="K6" i="18"/>
  <c r="L13" i="97"/>
  <c r="L5" i="51" s="1"/>
  <c r="K23" i="100"/>
  <c r="J6" i="40"/>
  <c r="L15" i="100"/>
  <c r="K5" i="18"/>
  <c r="K20" i="100"/>
  <c r="J3" i="40"/>
  <c r="J7" i="40" s="1"/>
  <c r="K21" i="100"/>
  <c r="J4" i="40"/>
  <c r="D4" i="19"/>
  <c r="F5" i="35"/>
  <c r="D5" i="19"/>
  <c r="D6" i="19"/>
  <c r="D9" i="19"/>
  <c r="D4" i="35"/>
  <c r="M78" i="100"/>
  <c r="L11" i="97"/>
  <c r="L3" i="51" s="1"/>
  <c r="L6" i="51"/>
  <c r="P10" i="106"/>
  <c r="P2" i="11" s="1"/>
  <c r="P12" i="106"/>
  <c r="D7" i="67"/>
  <c r="D2" i="21" s="1"/>
  <c r="D3" i="21" s="1"/>
  <c r="D4" i="21" s="1"/>
  <c r="D5" i="21" s="1"/>
  <c r="D6" i="21" s="1"/>
  <c r="D9" i="21" s="1"/>
  <c r="D6" i="41"/>
  <c r="D7" i="41"/>
  <c r="D5" i="41"/>
  <c r="D4" i="41"/>
  <c r="D9" i="41"/>
  <c r="D3" i="41"/>
  <c r="M5" i="97"/>
  <c r="M4" i="29" s="1"/>
  <c r="D7" i="19"/>
  <c r="N7" i="11"/>
  <c r="N9" i="11"/>
  <c r="P13" i="106"/>
  <c r="K11" i="97"/>
  <c r="K3" i="51" s="1"/>
  <c r="K6" i="51"/>
  <c r="P14" i="106"/>
  <c r="L6" i="29"/>
  <c r="L9" i="29" s="1"/>
  <c r="L4" i="97"/>
  <c r="L3" i="29" s="1"/>
  <c r="O6" i="106"/>
  <c r="O5" i="33" s="1"/>
  <c r="O5" i="11"/>
  <c r="M7" i="97"/>
  <c r="M14" i="97" s="1"/>
  <c r="K10" i="97"/>
  <c r="K2" i="51" s="1"/>
  <c r="M13" i="97"/>
  <c r="M5" i="51" s="1"/>
  <c r="M5" i="29"/>
  <c r="O6" i="11"/>
  <c r="O7" i="106"/>
  <c r="O6" i="33" s="1"/>
  <c r="L3" i="97"/>
  <c r="L2" i="29" s="1"/>
  <c r="L64" i="100"/>
  <c r="L3" i="48" s="1"/>
  <c r="L6" i="12"/>
  <c r="O2" i="11"/>
  <c r="O3" i="106"/>
  <c r="O2" i="33" s="1"/>
  <c r="O5" i="106"/>
  <c r="O4" i="33" s="1"/>
  <c r="Q3" i="11"/>
  <c r="P76" i="100"/>
  <c r="P72" i="100" s="1"/>
  <c r="P58" i="100"/>
  <c r="P68" i="100"/>
  <c r="M60" i="100"/>
  <c r="O55" i="100"/>
  <c r="L40" i="100"/>
  <c r="L47" i="100" s="1"/>
  <c r="O51" i="100"/>
  <c r="L36" i="100"/>
  <c r="L43" i="100" s="1"/>
  <c r="L2" i="50" s="1"/>
  <c r="N5" i="97"/>
  <c r="T49" i="100"/>
  <c r="R35" i="100" s="1"/>
  <c r="S66" i="100"/>
  <c r="G37" i="67"/>
  <c r="V9" i="52"/>
  <c r="U9" i="52"/>
  <c r="T9" i="52"/>
  <c r="S9" i="52"/>
  <c r="R9" i="52"/>
  <c r="Q9" i="52"/>
  <c r="P9" i="52"/>
  <c r="O9" i="52"/>
  <c r="N9" i="52"/>
  <c r="M9" i="52"/>
  <c r="L9" i="52"/>
  <c r="K9" i="52"/>
  <c r="J9" i="52"/>
  <c r="I9" i="52"/>
  <c r="H9" i="52"/>
  <c r="G9" i="52"/>
  <c r="F9" i="52"/>
  <c r="E9" i="52"/>
  <c r="D9" i="52"/>
  <c r="C9" i="52"/>
  <c r="B9" i="52"/>
  <c r="K9" i="50"/>
  <c r="J9" i="50"/>
  <c r="I9" i="50"/>
  <c r="H9" i="50"/>
  <c r="G9" i="50"/>
  <c r="F9" i="50"/>
  <c r="E9" i="50"/>
  <c r="D9" i="50"/>
  <c r="C9" i="50"/>
  <c r="B9" i="50"/>
  <c r="J9" i="49"/>
  <c r="I9" i="49"/>
  <c r="H9" i="49"/>
  <c r="G9" i="49"/>
  <c r="F9" i="49"/>
  <c r="E9" i="49"/>
  <c r="D9" i="49"/>
  <c r="C9" i="49"/>
  <c r="B9" i="49"/>
  <c r="Z9" i="48"/>
  <c r="Y9" i="48"/>
  <c r="X9" i="48"/>
  <c r="W9" i="48"/>
  <c r="V9" i="48"/>
  <c r="U9" i="48"/>
  <c r="T9" i="48"/>
  <c r="S9" i="48"/>
  <c r="R9" i="48"/>
  <c r="Q9" i="48"/>
  <c r="P9" i="48"/>
  <c r="O9" i="48"/>
  <c r="N9" i="48"/>
  <c r="M9" i="48"/>
  <c r="L9" i="48"/>
  <c r="K9" i="48"/>
  <c r="J9" i="48"/>
  <c r="I9" i="48"/>
  <c r="H9" i="48"/>
  <c r="G9" i="48"/>
  <c r="F9" i="48"/>
  <c r="E9" i="48"/>
  <c r="D9" i="48"/>
  <c r="C9" i="48"/>
  <c r="B9" i="48"/>
  <c r="V9" i="47"/>
  <c r="U9" i="47"/>
  <c r="T9" i="47"/>
  <c r="S9" i="47"/>
  <c r="R9" i="47"/>
  <c r="Q9" i="47"/>
  <c r="P9" i="47"/>
  <c r="O9" i="47"/>
  <c r="N9" i="47"/>
  <c r="M9" i="47"/>
  <c r="L9" i="47"/>
  <c r="K9" i="47"/>
  <c r="J9" i="47"/>
  <c r="I9" i="47"/>
  <c r="H9" i="47"/>
  <c r="G9" i="47"/>
  <c r="F9" i="47"/>
  <c r="E9" i="47"/>
  <c r="D9" i="47"/>
  <c r="C9" i="47"/>
  <c r="B9" i="47"/>
  <c r="Z7" i="46"/>
  <c r="Y7" i="46"/>
  <c r="X7" i="46"/>
  <c r="W7" i="46"/>
  <c r="V7" i="46"/>
  <c r="U7" i="46"/>
  <c r="T7" i="46"/>
  <c r="S7" i="46"/>
  <c r="R7" i="46"/>
  <c r="Q7" i="46"/>
  <c r="P7" i="46"/>
  <c r="O7" i="46"/>
  <c r="N7" i="46"/>
  <c r="M7" i="46"/>
  <c r="L7" i="46"/>
  <c r="K7" i="46"/>
  <c r="J7" i="46"/>
  <c r="I7" i="46"/>
  <c r="H7" i="46"/>
  <c r="G7" i="46"/>
  <c r="F7" i="46"/>
  <c r="E7" i="46"/>
  <c r="D7" i="46"/>
  <c r="C7" i="46"/>
  <c r="B7" i="46"/>
  <c r="I9" i="45"/>
  <c r="H9" i="45"/>
  <c r="G9" i="45"/>
  <c r="F9" i="45"/>
  <c r="E9" i="45"/>
  <c r="D9" i="45"/>
  <c r="C9" i="45"/>
  <c r="B9" i="45"/>
  <c r="G7" i="45"/>
  <c r="F7" i="45"/>
  <c r="E7" i="45"/>
  <c r="D7" i="45"/>
  <c r="C7" i="45"/>
  <c r="B7" i="45"/>
  <c r="E9" i="44"/>
  <c r="D9" i="44"/>
  <c r="C9" i="44"/>
  <c r="B9" i="44"/>
  <c r="D7" i="44"/>
  <c r="C7" i="44"/>
  <c r="B7" i="44"/>
  <c r="D9" i="42"/>
  <c r="C9" i="42"/>
  <c r="B9" i="42"/>
  <c r="D7" i="42"/>
  <c r="C7" i="42"/>
  <c r="B7" i="42"/>
  <c r="X9" i="39"/>
  <c r="W9" i="39"/>
  <c r="V9" i="39"/>
  <c r="U9" i="39"/>
  <c r="T9" i="39"/>
  <c r="S9" i="39"/>
  <c r="R9" i="39"/>
  <c r="Q9" i="39"/>
  <c r="P9" i="39"/>
  <c r="O9" i="39"/>
  <c r="N9" i="39"/>
  <c r="M9" i="39"/>
  <c r="L9" i="39"/>
  <c r="K9" i="39"/>
  <c r="J9" i="39"/>
  <c r="I9" i="39"/>
  <c r="H9" i="39"/>
  <c r="G9" i="39"/>
  <c r="F9" i="39"/>
  <c r="E9" i="39"/>
  <c r="D9" i="39"/>
  <c r="C9" i="39"/>
  <c r="B9" i="39"/>
  <c r="X9" i="38"/>
  <c r="W9" i="38"/>
  <c r="V9" i="38"/>
  <c r="U9" i="38"/>
  <c r="T9" i="38"/>
  <c r="S9" i="38"/>
  <c r="R9" i="38"/>
  <c r="Q9" i="38"/>
  <c r="P9" i="38"/>
  <c r="O9" i="38"/>
  <c r="N9" i="38"/>
  <c r="M9" i="38"/>
  <c r="L9" i="38"/>
  <c r="K9" i="38"/>
  <c r="J9" i="38"/>
  <c r="I9" i="38"/>
  <c r="H9" i="38"/>
  <c r="G9" i="38"/>
  <c r="F9" i="38"/>
  <c r="E9" i="38"/>
  <c r="D9" i="38"/>
  <c r="C9" i="38"/>
  <c r="B9" i="38"/>
  <c r="X9" i="37"/>
  <c r="W9" i="37"/>
  <c r="V9" i="37"/>
  <c r="U9" i="37"/>
  <c r="T9" i="37"/>
  <c r="S9" i="37"/>
  <c r="R9" i="37"/>
  <c r="Q9" i="37"/>
  <c r="P9" i="37"/>
  <c r="O9" i="37"/>
  <c r="N9" i="37"/>
  <c r="M9" i="37"/>
  <c r="L9" i="37"/>
  <c r="K9" i="37"/>
  <c r="J9" i="37"/>
  <c r="I9" i="37"/>
  <c r="H9" i="37"/>
  <c r="G9" i="37"/>
  <c r="F9" i="37"/>
  <c r="E9" i="37"/>
  <c r="D9" i="37"/>
  <c r="C9" i="37"/>
  <c r="B9" i="37"/>
  <c r="AF9" i="36"/>
  <c r="AE9" i="36"/>
  <c r="AD9" i="36"/>
  <c r="AC9" i="36"/>
  <c r="AB9" i="36"/>
  <c r="AA9" i="36"/>
  <c r="Z9" i="36"/>
  <c r="Y9" i="36"/>
  <c r="X9" i="36"/>
  <c r="W9" i="36"/>
  <c r="V9" i="36"/>
  <c r="U9" i="36"/>
  <c r="T9" i="36"/>
  <c r="S9" i="36"/>
  <c r="R9" i="36"/>
  <c r="Q9" i="36"/>
  <c r="P9" i="36"/>
  <c r="O9" i="36"/>
  <c r="N9" i="36"/>
  <c r="M9" i="36"/>
  <c r="L9" i="36"/>
  <c r="K9" i="36"/>
  <c r="J9" i="36"/>
  <c r="I9" i="36"/>
  <c r="H9" i="36"/>
  <c r="G9" i="36"/>
  <c r="F9" i="36"/>
  <c r="E9" i="36"/>
  <c r="D9" i="36"/>
  <c r="C9" i="36"/>
  <c r="B9" i="36"/>
  <c r="V9" i="30"/>
  <c r="U9" i="30"/>
  <c r="T9" i="30"/>
  <c r="S9" i="30"/>
  <c r="R9" i="30"/>
  <c r="Q9" i="30"/>
  <c r="P9" i="30"/>
  <c r="O9" i="30"/>
  <c r="N9" i="30"/>
  <c r="M9" i="30"/>
  <c r="L9" i="30"/>
  <c r="K9" i="30"/>
  <c r="J9" i="30"/>
  <c r="I9" i="30"/>
  <c r="H9" i="30"/>
  <c r="G9" i="30"/>
  <c r="F9" i="30"/>
  <c r="E9" i="30"/>
  <c r="D9" i="30"/>
  <c r="C9" i="30"/>
  <c r="B9" i="30"/>
  <c r="AF4" i="28"/>
  <c r="AE4" i="28"/>
  <c r="AD4" i="28"/>
  <c r="AC4" i="28"/>
  <c r="AB4" i="28"/>
  <c r="AA4" i="28"/>
  <c r="Z4" i="28"/>
  <c r="Y4" i="28"/>
  <c r="X4" i="28"/>
  <c r="W4" i="28"/>
  <c r="V4" i="28"/>
  <c r="U4" i="28"/>
  <c r="T4" i="28"/>
  <c r="S4" i="28"/>
  <c r="R4" i="28"/>
  <c r="Q4" i="28"/>
  <c r="P4" i="28"/>
  <c r="O4" i="28"/>
  <c r="N4" i="28"/>
  <c r="M4" i="28"/>
  <c r="L4" i="28"/>
  <c r="K4" i="28"/>
  <c r="J4" i="28"/>
  <c r="I4" i="28"/>
  <c r="H4" i="28"/>
  <c r="G4" i="28"/>
  <c r="F4" i="28"/>
  <c r="E4" i="28"/>
  <c r="D4" i="28"/>
  <c r="C4" i="28"/>
  <c r="B4" i="28"/>
  <c r="J9" i="27"/>
  <c r="I9" i="27"/>
  <c r="H9" i="27"/>
  <c r="G9" i="27"/>
  <c r="F9" i="27"/>
  <c r="E9" i="27"/>
  <c r="D9" i="27"/>
  <c r="C9" i="27"/>
  <c r="B9" i="27"/>
  <c r="Z9" i="26"/>
  <c r="Y9" i="26"/>
  <c r="X9" i="26"/>
  <c r="W9" i="26"/>
  <c r="V9" i="26"/>
  <c r="U9" i="26"/>
  <c r="T9" i="26"/>
  <c r="S9" i="26"/>
  <c r="R9" i="26"/>
  <c r="Q9" i="26"/>
  <c r="P9" i="26"/>
  <c r="O9" i="26"/>
  <c r="N9" i="26"/>
  <c r="M9" i="26"/>
  <c r="L9" i="26"/>
  <c r="K9" i="26"/>
  <c r="J9" i="26"/>
  <c r="I9" i="26"/>
  <c r="H9" i="26"/>
  <c r="G9" i="26"/>
  <c r="F9" i="26"/>
  <c r="E9" i="26"/>
  <c r="D9" i="26"/>
  <c r="C9" i="26"/>
  <c r="B9" i="26"/>
  <c r="V9" i="25"/>
  <c r="U9" i="25"/>
  <c r="T9" i="25"/>
  <c r="S9" i="25"/>
  <c r="R9" i="25"/>
  <c r="Q9" i="25"/>
  <c r="P9" i="25"/>
  <c r="O9" i="25"/>
  <c r="N9" i="25"/>
  <c r="M9" i="25"/>
  <c r="L9" i="25"/>
  <c r="K9" i="25"/>
  <c r="J9" i="25"/>
  <c r="I9" i="25"/>
  <c r="H9" i="25"/>
  <c r="G9" i="25"/>
  <c r="F9" i="25"/>
  <c r="E9" i="25"/>
  <c r="D9" i="25"/>
  <c r="C9" i="25"/>
  <c r="B9" i="25"/>
  <c r="Z7" i="24"/>
  <c r="Y7" i="24"/>
  <c r="X7" i="24"/>
  <c r="W7" i="24"/>
  <c r="V7" i="24"/>
  <c r="U7" i="24"/>
  <c r="T7" i="24"/>
  <c r="S7" i="24"/>
  <c r="R7" i="24"/>
  <c r="Q7" i="24"/>
  <c r="P7" i="24"/>
  <c r="O7" i="24"/>
  <c r="N7" i="24"/>
  <c r="M7" i="24"/>
  <c r="L7" i="24"/>
  <c r="K7" i="24"/>
  <c r="J7" i="24"/>
  <c r="I7" i="24"/>
  <c r="H7" i="24"/>
  <c r="G7" i="24"/>
  <c r="F7" i="24"/>
  <c r="E7" i="24"/>
  <c r="D7" i="24"/>
  <c r="C7" i="24"/>
  <c r="B7" i="24"/>
  <c r="H9" i="23"/>
  <c r="G9" i="23"/>
  <c r="F9" i="23"/>
  <c r="E9" i="23"/>
  <c r="D9" i="23"/>
  <c r="C9" i="23"/>
  <c r="B9" i="23"/>
  <c r="B9" i="22"/>
  <c r="C9" i="21"/>
  <c r="C7" i="21"/>
  <c r="X9" i="17"/>
  <c r="W9" i="17"/>
  <c r="V9" i="17"/>
  <c r="U9" i="17"/>
  <c r="T9" i="17"/>
  <c r="S9" i="17"/>
  <c r="R9" i="17"/>
  <c r="Q9" i="17"/>
  <c r="P9" i="17"/>
  <c r="O9" i="17"/>
  <c r="N9" i="17"/>
  <c r="M9" i="17"/>
  <c r="L9" i="17"/>
  <c r="K9" i="17"/>
  <c r="J9" i="17"/>
  <c r="I9" i="17"/>
  <c r="H9" i="17"/>
  <c r="G9" i="17"/>
  <c r="F9" i="17"/>
  <c r="E9" i="17"/>
  <c r="D9" i="17"/>
  <c r="C9" i="17"/>
  <c r="B9" i="17"/>
  <c r="X9" i="16"/>
  <c r="W9" i="16"/>
  <c r="V9" i="16"/>
  <c r="U9" i="16"/>
  <c r="T9" i="16"/>
  <c r="S9" i="16"/>
  <c r="R9" i="16"/>
  <c r="Q9" i="16"/>
  <c r="P9" i="16"/>
  <c r="O9" i="16"/>
  <c r="N9" i="16"/>
  <c r="M9" i="16"/>
  <c r="L9" i="16"/>
  <c r="K9" i="16"/>
  <c r="J9" i="16"/>
  <c r="I9" i="16"/>
  <c r="H9" i="16"/>
  <c r="G9" i="16"/>
  <c r="F9" i="16"/>
  <c r="E9" i="16"/>
  <c r="D9" i="16"/>
  <c r="C9" i="16"/>
  <c r="B9" i="16"/>
  <c r="X9" i="15"/>
  <c r="W9" i="15"/>
  <c r="V9" i="15"/>
  <c r="U9" i="15"/>
  <c r="T9" i="15"/>
  <c r="S9" i="15"/>
  <c r="R9" i="15"/>
  <c r="Q9" i="15"/>
  <c r="P9" i="15"/>
  <c r="O9" i="15"/>
  <c r="N9" i="15"/>
  <c r="M9" i="15"/>
  <c r="L9" i="15"/>
  <c r="K9" i="15"/>
  <c r="J9" i="15"/>
  <c r="I9" i="15"/>
  <c r="H9" i="15"/>
  <c r="G9" i="15"/>
  <c r="F9" i="15"/>
  <c r="E9" i="15"/>
  <c r="D9" i="15"/>
  <c r="C9" i="15"/>
  <c r="B9" i="15"/>
  <c r="AH16" i="8"/>
  <c r="AF6" i="24" s="1"/>
  <c r="AF9" i="24" s="1"/>
  <c r="AG16" i="8"/>
  <c r="AE6" i="24" s="1"/>
  <c r="AE9" i="24" s="1"/>
  <c r="AF16" i="8"/>
  <c r="AD6" i="24" s="1"/>
  <c r="AD9" i="24" s="1"/>
  <c r="AE16" i="8"/>
  <c r="AC6" i="24" s="1"/>
  <c r="AC9" i="24" s="1"/>
  <c r="AD16" i="8"/>
  <c r="AC16" i="8"/>
  <c r="AB16" i="8"/>
  <c r="AA16" i="8"/>
  <c r="Z16" i="8"/>
  <c r="X4" i="24" s="1"/>
  <c r="Y16" i="8"/>
  <c r="W4" i="24" s="1"/>
  <c r="X16" i="8"/>
  <c r="V4" i="24" s="1"/>
  <c r="W16" i="8"/>
  <c r="V16" i="8"/>
  <c r="U16" i="8"/>
  <c r="T16" i="8"/>
  <c r="S16" i="8"/>
  <c r="R16" i="8"/>
  <c r="P4" i="24" s="1"/>
  <c r="Q16" i="8"/>
  <c r="O4" i="24" s="1"/>
  <c r="P16" i="8"/>
  <c r="N4" i="24" s="1"/>
  <c r="O16" i="8"/>
  <c r="M4" i="24" s="1"/>
  <c r="N16" i="8"/>
  <c r="L4" i="24" s="1"/>
  <c r="M16" i="8"/>
  <c r="L16" i="8"/>
  <c r="K16" i="8"/>
  <c r="J16" i="8"/>
  <c r="H4" i="24" s="1"/>
  <c r="I16" i="8"/>
  <c r="G4" i="24" s="1"/>
  <c r="H16" i="8"/>
  <c r="F4" i="24" s="1"/>
  <c r="G16" i="8"/>
  <c r="E4" i="24" s="1"/>
  <c r="F16" i="8"/>
  <c r="D4" i="24" s="1"/>
  <c r="E16" i="8"/>
  <c r="C4" i="24" s="1"/>
  <c r="D16" i="8"/>
  <c r="B6" i="24" s="1"/>
  <c r="B9" i="24" s="1"/>
  <c r="C16" i="8"/>
  <c r="J9" i="40"/>
  <c r="I9" i="40"/>
  <c r="H9" i="40"/>
  <c r="G9" i="40"/>
  <c r="F9" i="40"/>
  <c r="E9" i="40"/>
  <c r="D9" i="40"/>
  <c r="C9" i="40"/>
  <c r="I7" i="40"/>
  <c r="H7" i="40"/>
  <c r="G7" i="40"/>
  <c r="F7" i="40"/>
  <c r="E7" i="40"/>
  <c r="D7" i="40"/>
  <c r="C7" i="40"/>
  <c r="A11" i="8"/>
  <c r="A10" i="8"/>
  <c r="AA41" i="7"/>
  <c r="Z41" i="7"/>
  <c r="X41" i="7"/>
  <c r="W41" i="7"/>
  <c r="U41" i="7"/>
  <c r="S41" i="7"/>
  <c r="R41" i="7"/>
  <c r="P41" i="7"/>
  <c r="O41" i="7"/>
  <c r="M41" i="7"/>
  <c r="L41" i="7"/>
  <c r="K41" i="7"/>
  <c r="E41" i="7"/>
  <c r="D41" i="7"/>
  <c r="C41" i="7"/>
  <c r="B41" i="7"/>
  <c r="F37" i="7"/>
  <c r="E37" i="7"/>
  <c r="D37" i="7"/>
  <c r="G41" i="7" s="1"/>
  <c r="L24" i="7"/>
  <c r="K24" i="7"/>
  <c r="J24" i="7"/>
  <c r="I24" i="7"/>
  <c r="H24" i="7"/>
  <c r="G24" i="7"/>
  <c r="F24" i="7"/>
  <c r="E24" i="7"/>
  <c r="D24" i="7"/>
  <c r="C24" i="7"/>
  <c r="B24" i="7"/>
  <c r="I7" i="45" l="1"/>
  <c r="I7" i="23"/>
  <c r="M73" i="100"/>
  <c r="M74" i="100" s="1"/>
  <c r="F2" i="19"/>
  <c r="F6" i="44"/>
  <c r="F9" i="44" s="1"/>
  <c r="F4" i="44"/>
  <c r="F3" i="44"/>
  <c r="F7" i="44" s="1"/>
  <c r="K36" i="67"/>
  <c r="F5" i="44"/>
  <c r="D7" i="21"/>
  <c r="G8" i="67"/>
  <c r="G6" i="44" s="1"/>
  <c r="G9" i="44" s="1"/>
  <c r="G4" i="67"/>
  <c r="G2" i="41" s="1"/>
  <c r="L14" i="98"/>
  <c r="K7" i="98"/>
  <c r="K11" i="98"/>
  <c r="J4" i="98"/>
  <c r="N10" i="98"/>
  <c r="M3" i="98"/>
  <c r="N13" i="98"/>
  <c r="M6" i="98"/>
  <c r="N12" i="98"/>
  <c r="M5" i="98"/>
  <c r="I9" i="23"/>
  <c r="C3" i="35"/>
  <c r="B3" i="35"/>
  <c r="K9" i="49"/>
  <c r="L6" i="49"/>
  <c r="L3" i="27"/>
  <c r="L6" i="27" s="1"/>
  <c r="L9" i="27" s="1"/>
  <c r="L6" i="50"/>
  <c r="L9" i="12"/>
  <c r="L3" i="26"/>
  <c r="P3" i="106"/>
  <c r="P2" i="33" s="1"/>
  <c r="M16" i="100"/>
  <c r="L6" i="18"/>
  <c r="L21" i="100"/>
  <c r="K4" i="40"/>
  <c r="L20" i="100"/>
  <c r="K3" i="40"/>
  <c r="K7" i="40" s="1"/>
  <c r="M14" i="100"/>
  <c r="L4" i="18"/>
  <c r="M15" i="100"/>
  <c r="L5" i="18"/>
  <c r="L22" i="100"/>
  <c r="K5" i="40"/>
  <c r="L23" i="100"/>
  <c r="K6" i="40"/>
  <c r="K9" i="40" s="1"/>
  <c r="M13" i="100"/>
  <c r="L3" i="18"/>
  <c r="E6" i="19"/>
  <c r="E5" i="19"/>
  <c r="E7" i="19"/>
  <c r="E3" i="19"/>
  <c r="E9" i="19"/>
  <c r="D9" i="13"/>
  <c r="D7" i="13"/>
  <c r="N78" i="100"/>
  <c r="E4" i="35"/>
  <c r="E6" i="35"/>
  <c r="E9" i="35" s="1"/>
  <c r="E9" i="13"/>
  <c r="E7" i="13"/>
  <c r="M6" i="51"/>
  <c r="M9" i="51" s="1"/>
  <c r="M11" i="97"/>
  <c r="M3" i="51" s="1"/>
  <c r="E6" i="41"/>
  <c r="E5" i="41"/>
  <c r="E9" i="41"/>
  <c r="E3" i="41"/>
  <c r="E7" i="41"/>
  <c r="E4" i="41"/>
  <c r="P5" i="11"/>
  <c r="P6" i="106"/>
  <c r="P5" i="33" s="1"/>
  <c r="P5" i="106"/>
  <c r="P4" i="33" s="1"/>
  <c r="P4" i="11"/>
  <c r="N7" i="97"/>
  <c r="N14" i="97" s="1"/>
  <c r="O9" i="11"/>
  <c r="O7" i="11"/>
  <c r="Q13" i="106"/>
  <c r="Q5" i="11" s="1"/>
  <c r="Q12" i="106"/>
  <c r="M64" i="100"/>
  <c r="M3" i="48" s="1"/>
  <c r="M6" i="12"/>
  <c r="E7" i="67"/>
  <c r="E2" i="21" s="1"/>
  <c r="E3" i="21" s="1"/>
  <c r="P7" i="106"/>
  <c r="P6" i="33" s="1"/>
  <c r="P6" i="11"/>
  <c r="Q14" i="106"/>
  <c r="N12" i="97"/>
  <c r="N4" i="51" s="1"/>
  <c r="N4" i="29"/>
  <c r="M4" i="97"/>
  <c r="M3" i="29" s="1"/>
  <c r="M6" i="29"/>
  <c r="M9" i="29" s="1"/>
  <c r="Q10" i="106"/>
  <c r="N6" i="97"/>
  <c r="N5" i="29" s="1"/>
  <c r="F3" i="19"/>
  <c r="D7" i="43"/>
  <c r="D9" i="43" s="1"/>
  <c r="L10" i="97"/>
  <c r="L2" i="51" s="1"/>
  <c r="H2" i="35"/>
  <c r="M12" i="97"/>
  <c r="M4" i="51" s="1"/>
  <c r="M3" i="97"/>
  <c r="M2" i="29" s="1"/>
  <c r="G5" i="35"/>
  <c r="R3" i="11"/>
  <c r="Q68" i="100"/>
  <c r="N60" i="100"/>
  <c r="Q76" i="100"/>
  <c r="Q72" i="100" s="1"/>
  <c r="Q58" i="100"/>
  <c r="P51" i="100"/>
  <c r="M36" i="100"/>
  <c r="M43" i="100" s="1"/>
  <c r="M2" i="50" s="1"/>
  <c r="P55" i="100"/>
  <c r="M40" i="100"/>
  <c r="M47" i="100" s="1"/>
  <c r="U49" i="100"/>
  <c r="S35" i="100" s="1"/>
  <c r="T66" i="100"/>
  <c r="H37" i="67"/>
  <c r="H27" i="67" s="1"/>
  <c r="G32" i="67" s="1"/>
  <c r="F27" i="67" s="1"/>
  <c r="G27" i="67" s="1"/>
  <c r="D4" i="53"/>
  <c r="D5" i="53"/>
  <c r="D6" i="53"/>
  <c r="D9" i="53" s="1"/>
  <c r="D7" i="53"/>
  <c r="D2" i="53"/>
  <c r="D2" i="31"/>
  <c r="D4" i="31"/>
  <c r="D5" i="31"/>
  <c r="D6" i="31"/>
  <c r="D9" i="31" s="1"/>
  <c r="D7" i="31"/>
  <c r="I2" i="53"/>
  <c r="I4" i="53"/>
  <c r="I5" i="53"/>
  <c r="I6" i="53"/>
  <c r="I9" i="53" s="1"/>
  <c r="I7" i="53"/>
  <c r="I5" i="31"/>
  <c r="I6" i="31"/>
  <c r="I9" i="31" s="1"/>
  <c r="I7" i="31"/>
  <c r="I2" i="31"/>
  <c r="I4" i="31"/>
  <c r="T4" i="53"/>
  <c r="T5" i="53"/>
  <c r="T6" i="53"/>
  <c r="T9" i="53" s="1"/>
  <c r="T7" i="53"/>
  <c r="T2" i="53"/>
  <c r="T2" i="31"/>
  <c r="T4" i="31"/>
  <c r="T5" i="31"/>
  <c r="T6" i="31"/>
  <c r="T9" i="31" s="1"/>
  <c r="T7" i="31"/>
  <c r="J2" i="53"/>
  <c r="J4" i="53"/>
  <c r="J5" i="53"/>
  <c r="J6" i="53"/>
  <c r="J9" i="53" s="1"/>
  <c r="J7" i="53"/>
  <c r="J6" i="31"/>
  <c r="J9" i="31" s="1"/>
  <c r="J7" i="31"/>
  <c r="J2" i="31"/>
  <c r="J4" i="31"/>
  <c r="J5" i="31"/>
  <c r="U5" i="53"/>
  <c r="U6" i="53"/>
  <c r="U9" i="53" s="1"/>
  <c r="U7" i="53"/>
  <c r="U2" i="53"/>
  <c r="U4" i="53"/>
  <c r="U2" i="31"/>
  <c r="U4" i="31"/>
  <c r="U5" i="31"/>
  <c r="U6" i="31"/>
  <c r="U9" i="31" s="1"/>
  <c r="U7" i="31"/>
  <c r="L4" i="53"/>
  <c r="L5" i="53"/>
  <c r="L6" i="53"/>
  <c r="L9" i="53" s="1"/>
  <c r="L7" i="53"/>
  <c r="L2" i="53"/>
  <c r="L2" i="31"/>
  <c r="L4" i="31"/>
  <c r="L5" i="31"/>
  <c r="L6" i="31"/>
  <c r="L9" i="31" s="1"/>
  <c r="L7" i="31"/>
  <c r="W7" i="53"/>
  <c r="W2" i="53"/>
  <c r="W4" i="53"/>
  <c r="W5" i="53"/>
  <c r="W6" i="53"/>
  <c r="W9" i="53" s="1"/>
  <c r="W2" i="31"/>
  <c r="W4" i="31"/>
  <c r="W5" i="31"/>
  <c r="W6" i="31"/>
  <c r="W9" i="31" s="1"/>
  <c r="W7" i="31"/>
  <c r="B2" i="53"/>
  <c r="B4" i="53"/>
  <c r="B5" i="53"/>
  <c r="B6" i="53"/>
  <c r="B9" i="53" s="1"/>
  <c r="B7" i="53"/>
  <c r="B6" i="31"/>
  <c r="B9" i="31" s="1"/>
  <c r="B7" i="31"/>
  <c r="B2" i="31"/>
  <c r="B4" i="31"/>
  <c r="B5" i="31"/>
  <c r="M5" i="53"/>
  <c r="M6" i="53"/>
  <c r="M9" i="53" s="1"/>
  <c r="M7" i="53"/>
  <c r="M2" i="53"/>
  <c r="M4" i="53"/>
  <c r="M2" i="31"/>
  <c r="M4" i="31"/>
  <c r="M5" i="31"/>
  <c r="M6" i="31"/>
  <c r="M9" i="31" s="1"/>
  <c r="M7" i="31"/>
  <c r="X2" i="53"/>
  <c r="X4" i="53"/>
  <c r="X5" i="53"/>
  <c r="X6" i="53"/>
  <c r="X9" i="53" s="1"/>
  <c r="X7" i="53"/>
  <c r="X4" i="31"/>
  <c r="X5" i="31"/>
  <c r="X6" i="31"/>
  <c r="X9" i="31" s="1"/>
  <c r="X7" i="31"/>
  <c r="X2" i="31"/>
  <c r="O7" i="53"/>
  <c r="O2" i="53"/>
  <c r="O4" i="53"/>
  <c r="O5" i="53"/>
  <c r="O6" i="53"/>
  <c r="O9" i="53" s="1"/>
  <c r="O2" i="31"/>
  <c r="O4" i="31"/>
  <c r="O5" i="31"/>
  <c r="O6" i="31"/>
  <c r="O9" i="31" s="1"/>
  <c r="O7" i="31"/>
  <c r="I41" i="7"/>
  <c r="N41" i="7"/>
  <c r="F41" i="7"/>
  <c r="H41" i="7"/>
  <c r="P2" i="53"/>
  <c r="P4" i="53"/>
  <c r="P5" i="53"/>
  <c r="P6" i="53"/>
  <c r="P9" i="53" s="1"/>
  <c r="P7" i="53"/>
  <c r="P4" i="31"/>
  <c r="P5" i="31"/>
  <c r="P6" i="31"/>
  <c r="P9" i="31" s="1"/>
  <c r="P7" i="31"/>
  <c r="P2" i="31"/>
  <c r="AC41" i="7"/>
  <c r="AB41" i="7"/>
  <c r="AI41" i="7"/>
  <c r="AH41" i="7"/>
  <c r="AG41" i="7"/>
  <c r="Y41" i="7"/>
  <c r="Q41" i="7"/>
  <c r="AF41" i="7"/>
  <c r="AE41" i="7"/>
  <c r="AD41" i="7"/>
  <c r="V41" i="7"/>
  <c r="J41" i="7"/>
  <c r="T41" i="7"/>
  <c r="H2" i="53"/>
  <c r="H4" i="53"/>
  <c r="H5" i="53"/>
  <c r="H6" i="53"/>
  <c r="H9" i="53" s="1"/>
  <c r="H7" i="53"/>
  <c r="H4" i="31"/>
  <c r="H5" i="31"/>
  <c r="H6" i="31"/>
  <c r="H9" i="31" s="1"/>
  <c r="H7" i="31"/>
  <c r="H2" i="31"/>
  <c r="R2" i="53"/>
  <c r="R4" i="53"/>
  <c r="R5" i="53"/>
  <c r="R6" i="53"/>
  <c r="R9" i="53" s="1"/>
  <c r="R7" i="53"/>
  <c r="R6" i="31"/>
  <c r="R9" i="31" s="1"/>
  <c r="R7" i="31"/>
  <c r="R2" i="31"/>
  <c r="R4" i="31"/>
  <c r="R5" i="31"/>
  <c r="I4" i="46"/>
  <c r="I5" i="46"/>
  <c r="I6" i="46"/>
  <c r="I9" i="46" s="1"/>
  <c r="I4" i="24"/>
  <c r="Q4" i="46"/>
  <c r="Q5" i="46"/>
  <c r="Q6" i="46"/>
  <c r="Q9" i="46" s="1"/>
  <c r="Q4" i="24"/>
  <c r="Y4" i="46"/>
  <c r="Y5" i="46"/>
  <c r="Y6" i="46"/>
  <c r="Y9" i="46" s="1"/>
  <c r="Y4" i="24"/>
  <c r="I9" i="51"/>
  <c r="AF4" i="24"/>
  <c r="M5" i="24"/>
  <c r="W5" i="24"/>
  <c r="N6" i="24"/>
  <c r="N9" i="24" s="1"/>
  <c r="X6" i="24"/>
  <c r="X9" i="24" s="1"/>
  <c r="B4" i="46"/>
  <c r="B5" i="46"/>
  <c r="B6" i="46"/>
  <c r="B9" i="46" s="1"/>
  <c r="B4" i="24"/>
  <c r="B5" i="24"/>
  <c r="J4" i="46"/>
  <c r="J5" i="46"/>
  <c r="J6" i="46"/>
  <c r="J9" i="46" s="1"/>
  <c r="J4" i="24"/>
  <c r="J5" i="24"/>
  <c r="R4" i="46"/>
  <c r="R5" i="46"/>
  <c r="R6" i="46"/>
  <c r="R9" i="46" s="1"/>
  <c r="R4" i="24"/>
  <c r="R5" i="24"/>
  <c r="Z4" i="46"/>
  <c r="Z5" i="46"/>
  <c r="Z6" i="46"/>
  <c r="Z9" i="46" s="1"/>
  <c r="Z4" i="24"/>
  <c r="Z5" i="24"/>
  <c r="B7" i="35"/>
  <c r="B9" i="51"/>
  <c r="J9" i="51"/>
  <c r="D5" i="24"/>
  <c r="N5" i="24"/>
  <c r="X5" i="24"/>
  <c r="E6" i="24"/>
  <c r="E9" i="24" s="1"/>
  <c r="O6" i="24"/>
  <c r="O9" i="24" s="1"/>
  <c r="Y6" i="24"/>
  <c r="Y9" i="24" s="1"/>
  <c r="C4" i="46"/>
  <c r="C5" i="46"/>
  <c r="C6" i="46"/>
  <c r="C9" i="46" s="1"/>
  <c r="C5" i="24"/>
  <c r="C6" i="24"/>
  <c r="C9" i="24" s="1"/>
  <c r="K4" i="46"/>
  <c r="K5" i="46"/>
  <c r="K6" i="46"/>
  <c r="K9" i="46" s="1"/>
  <c r="K5" i="24"/>
  <c r="K6" i="24"/>
  <c r="K9" i="24" s="1"/>
  <c r="S4" i="46"/>
  <c r="S5" i="46"/>
  <c r="S6" i="46"/>
  <c r="S9" i="46" s="1"/>
  <c r="S5" i="24"/>
  <c r="S6" i="24"/>
  <c r="S9" i="24" s="1"/>
  <c r="AA4" i="46"/>
  <c r="AA5" i="46"/>
  <c r="AA6" i="46"/>
  <c r="AA9" i="46" s="1"/>
  <c r="AA5" i="24"/>
  <c r="AA6" i="24"/>
  <c r="AA9" i="24" s="1"/>
  <c r="C7" i="35"/>
  <c r="C9" i="51"/>
  <c r="K9" i="51"/>
  <c r="E5" i="24"/>
  <c r="O5" i="24"/>
  <c r="Y5" i="24"/>
  <c r="F6" i="24"/>
  <c r="F9" i="24" s="1"/>
  <c r="P6" i="24"/>
  <c r="P9" i="24" s="1"/>
  <c r="Z6" i="24"/>
  <c r="Z9" i="24" s="1"/>
  <c r="D5" i="46"/>
  <c r="D6" i="46"/>
  <c r="D9" i="46" s="1"/>
  <c r="D4" i="46"/>
  <c r="D6" i="24"/>
  <c r="D9" i="24" s="1"/>
  <c r="L5" i="46"/>
  <c r="L6" i="46"/>
  <c r="L9" i="46" s="1"/>
  <c r="L4" i="46"/>
  <c r="L6" i="24"/>
  <c r="L9" i="24" s="1"/>
  <c r="T5" i="46"/>
  <c r="T6" i="46"/>
  <c r="T9" i="46" s="1"/>
  <c r="T4" i="46"/>
  <c r="T6" i="24"/>
  <c r="T9" i="24" s="1"/>
  <c r="AB5" i="46"/>
  <c r="AB6" i="46"/>
  <c r="AB9" i="46" s="1"/>
  <c r="AB4" i="46"/>
  <c r="AB6" i="24"/>
  <c r="AB9" i="24" s="1"/>
  <c r="D9" i="51"/>
  <c r="L9" i="51"/>
  <c r="AA4" i="24"/>
  <c r="F5" i="24"/>
  <c r="P5" i="24"/>
  <c r="AB5" i="24"/>
  <c r="G6" i="24"/>
  <c r="G9" i="24" s="1"/>
  <c r="Q6" i="24"/>
  <c r="Q9" i="24" s="1"/>
  <c r="E6" i="46"/>
  <c r="E9" i="46" s="1"/>
  <c r="E4" i="46"/>
  <c r="E5" i="46"/>
  <c r="M6" i="46"/>
  <c r="M9" i="46" s="1"/>
  <c r="M4" i="46"/>
  <c r="M5" i="46"/>
  <c r="U6" i="46"/>
  <c r="U9" i="46" s="1"/>
  <c r="U4" i="46"/>
  <c r="U5" i="46"/>
  <c r="AC6" i="46"/>
  <c r="AC9" i="46" s="1"/>
  <c r="AC4" i="46"/>
  <c r="AC5" i="46"/>
  <c r="E9" i="51"/>
  <c r="AB4" i="24"/>
  <c r="G5" i="24"/>
  <c r="Q5" i="24"/>
  <c r="AC5" i="24"/>
  <c r="H6" i="24"/>
  <c r="H9" i="24" s="1"/>
  <c r="R6" i="24"/>
  <c r="R9" i="24" s="1"/>
  <c r="F4" i="46"/>
  <c r="F5" i="46"/>
  <c r="F6" i="46"/>
  <c r="F9" i="46" s="1"/>
  <c r="N4" i="46"/>
  <c r="N5" i="46"/>
  <c r="N6" i="46"/>
  <c r="N9" i="46" s="1"/>
  <c r="V4" i="46"/>
  <c r="V5" i="46"/>
  <c r="V6" i="46"/>
  <c r="V9" i="46" s="1"/>
  <c r="AD4" i="46"/>
  <c r="AD5" i="46"/>
  <c r="AD6" i="46"/>
  <c r="AD9" i="46" s="1"/>
  <c r="F9" i="51"/>
  <c r="S4" i="24"/>
  <c r="AC4" i="24"/>
  <c r="H5" i="24"/>
  <c r="T5" i="24"/>
  <c r="AD5" i="24"/>
  <c r="I6" i="24"/>
  <c r="I9" i="24" s="1"/>
  <c r="U6" i="24"/>
  <c r="U9" i="24" s="1"/>
  <c r="G4" i="46"/>
  <c r="G5" i="46"/>
  <c r="G6" i="46"/>
  <c r="G9" i="46" s="1"/>
  <c r="O4" i="46"/>
  <c r="O5" i="46"/>
  <c r="O6" i="46"/>
  <c r="O9" i="46" s="1"/>
  <c r="W4" i="46"/>
  <c r="W5" i="46"/>
  <c r="W6" i="46"/>
  <c r="W9" i="46" s="1"/>
  <c r="AE4" i="46"/>
  <c r="AE5" i="46"/>
  <c r="AE6" i="46"/>
  <c r="AE9" i="46" s="1"/>
  <c r="G9" i="51"/>
  <c r="T4" i="24"/>
  <c r="AD4" i="24"/>
  <c r="I5" i="24"/>
  <c r="U5" i="24"/>
  <c r="AE5" i="24"/>
  <c r="J6" i="24"/>
  <c r="J9" i="24" s="1"/>
  <c r="V6" i="24"/>
  <c r="V9" i="24" s="1"/>
  <c r="H4" i="46"/>
  <c r="H5" i="46"/>
  <c r="H6" i="46"/>
  <c r="H9" i="46" s="1"/>
  <c r="P4" i="46"/>
  <c r="P5" i="46"/>
  <c r="P6" i="46"/>
  <c r="P9" i="46" s="1"/>
  <c r="X4" i="46"/>
  <c r="X5" i="46"/>
  <c r="X6" i="46"/>
  <c r="X9" i="46" s="1"/>
  <c r="AF4" i="46"/>
  <c r="AF5" i="46"/>
  <c r="AF6" i="46"/>
  <c r="AF9" i="46" s="1"/>
  <c r="H9" i="51"/>
  <c r="K4" i="24"/>
  <c r="U4" i="24"/>
  <c r="AE4" i="24"/>
  <c r="L5" i="24"/>
  <c r="V5" i="24"/>
  <c r="AF5" i="24"/>
  <c r="M6" i="24"/>
  <c r="M9" i="24" s="1"/>
  <c r="W6" i="24"/>
  <c r="W9" i="24" s="1"/>
  <c r="J7" i="23" l="1"/>
  <c r="N73" i="100"/>
  <c r="N74" i="100" s="1"/>
  <c r="L36" i="67"/>
  <c r="K26" i="67"/>
  <c r="G5" i="44"/>
  <c r="G3" i="44"/>
  <c r="G7" i="44" s="1"/>
  <c r="G2" i="19"/>
  <c r="G5" i="19" s="1"/>
  <c r="H8" i="67"/>
  <c r="H4" i="44" s="1"/>
  <c r="H4" i="67"/>
  <c r="H2" i="41" s="1"/>
  <c r="G2" i="44"/>
  <c r="G4" i="44"/>
  <c r="O12" i="98"/>
  <c r="N5" i="98"/>
  <c r="O10" i="98"/>
  <c r="N3" i="98"/>
  <c r="L11" i="98"/>
  <c r="K4" i="98"/>
  <c r="O13" i="98"/>
  <c r="N6" i="98"/>
  <c r="M14" i="98"/>
  <c r="L7" i="98"/>
  <c r="E4" i="21"/>
  <c r="E5" i="21" s="1"/>
  <c r="E6" i="21" s="1"/>
  <c r="E9" i="21" s="1"/>
  <c r="E7" i="21"/>
  <c r="J7" i="45"/>
  <c r="J9" i="45"/>
  <c r="G6" i="41"/>
  <c r="Q6" i="106"/>
  <c r="Q5" i="33" s="1"/>
  <c r="M6" i="49"/>
  <c r="M3" i="27"/>
  <c r="M6" i="27" s="1"/>
  <c r="M9" i="27" s="1"/>
  <c r="M6" i="50"/>
  <c r="L3" i="50"/>
  <c r="L7" i="50"/>
  <c r="L4" i="50"/>
  <c r="L5" i="50"/>
  <c r="L9" i="50"/>
  <c r="L9" i="49"/>
  <c r="L3" i="49"/>
  <c r="M9" i="12"/>
  <c r="M3" i="26"/>
  <c r="N14" i="100"/>
  <c r="M4" i="18"/>
  <c r="N13" i="100"/>
  <c r="M3" i="18"/>
  <c r="M23" i="100"/>
  <c r="L6" i="40"/>
  <c r="L9" i="40" s="1"/>
  <c r="M20" i="100"/>
  <c r="L3" i="40"/>
  <c r="L7" i="40" s="1"/>
  <c r="M22" i="100"/>
  <c r="L5" i="40"/>
  <c r="M21" i="100"/>
  <c r="L4" i="40"/>
  <c r="N15" i="100"/>
  <c r="M5" i="18"/>
  <c r="N16" i="100"/>
  <c r="M6" i="18"/>
  <c r="F5" i="19"/>
  <c r="F9" i="19"/>
  <c r="F4" i="19"/>
  <c r="F6" i="35"/>
  <c r="F9" i="35" s="1"/>
  <c r="F7" i="19"/>
  <c r="F6" i="19"/>
  <c r="O78" i="100"/>
  <c r="O73" i="100" s="1"/>
  <c r="O74" i="100" s="1"/>
  <c r="I2" i="35"/>
  <c r="N6" i="51"/>
  <c r="N9" i="51" s="1"/>
  <c r="N11" i="97"/>
  <c r="N3" i="51" s="1"/>
  <c r="N64" i="100"/>
  <c r="N3" i="48" s="1"/>
  <c r="N6" i="12"/>
  <c r="R10" i="106"/>
  <c r="R2" i="11" s="1"/>
  <c r="O7" i="97"/>
  <c r="O14" i="97" s="1"/>
  <c r="M10" i="97"/>
  <c r="M2" i="51" s="1"/>
  <c r="F3" i="41"/>
  <c r="F7" i="41"/>
  <c r="F6" i="41"/>
  <c r="F5" i="41"/>
  <c r="F9" i="41"/>
  <c r="F4" i="41"/>
  <c r="F4" i="35"/>
  <c r="N3" i="97"/>
  <c r="N2" i="29" s="1"/>
  <c r="R14" i="106"/>
  <c r="P9" i="11"/>
  <c r="P7" i="11"/>
  <c r="R12" i="106"/>
  <c r="R4" i="11" s="1"/>
  <c r="R13" i="106"/>
  <c r="R5" i="11" s="1"/>
  <c r="Q6" i="11"/>
  <c r="Q7" i="106"/>
  <c r="Q6" i="33" s="1"/>
  <c r="Q7" i="33" s="1"/>
  <c r="G7" i="41"/>
  <c r="O6" i="97"/>
  <c r="O5" i="29" s="1"/>
  <c r="N13" i="97"/>
  <c r="N5" i="51" s="1"/>
  <c r="H5" i="35"/>
  <c r="O5" i="97"/>
  <c r="O4" i="29" s="1"/>
  <c r="F7" i="67"/>
  <c r="F2" i="21" s="1"/>
  <c r="F3" i="21" s="1"/>
  <c r="N4" i="97"/>
  <c r="N3" i="29" s="1"/>
  <c r="N6" i="29"/>
  <c r="N9" i="29" s="1"/>
  <c r="Q3" i="106"/>
  <c r="Q2" i="33" s="1"/>
  <c r="Q2" i="11"/>
  <c r="Q5" i="106"/>
  <c r="Q4" i="33" s="1"/>
  <c r="Q4" i="11"/>
  <c r="F9" i="13"/>
  <c r="F7" i="13"/>
  <c r="S3" i="11"/>
  <c r="R76" i="100"/>
  <c r="R72" i="100" s="1"/>
  <c r="R58" i="100"/>
  <c r="R68" i="100"/>
  <c r="O60" i="100"/>
  <c r="Q55" i="100"/>
  <c r="N40" i="100"/>
  <c r="N47" i="100" s="1"/>
  <c r="Q51" i="100"/>
  <c r="N36" i="100"/>
  <c r="N43" i="100" s="1"/>
  <c r="N2" i="50" s="1"/>
  <c r="P6" i="97"/>
  <c r="V49" i="100"/>
  <c r="T35" i="100" s="1"/>
  <c r="U66" i="100"/>
  <c r="J2" i="35"/>
  <c r="E38" i="67"/>
  <c r="I37" i="67"/>
  <c r="I27" i="67" s="1"/>
  <c r="F7" i="33"/>
  <c r="F9" i="33"/>
  <c r="AA2" i="53"/>
  <c r="AA4" i="53"/>
  <c r="AA5" i="53"/>
  <c r="AA6" i="53"/>
  <c r="AA9" i="53" s="1"/>
  <c r="AA7" i="53"/>
  <c r="AA7" i="31"/>
  <c r="AA2" i="31"/>
  <c r="AA4" i="31"/>
  <c r="AA5" i="31"/>
  <c r="AA6" i="31"/>
  <c r="AA9" i="31" s="1"/>
  <c r="Y2" i="53"/>
  <c r="Y4" i="53"/>
  <c r="Y5" i="53"/>
  <c r="Y6" i="53"/>
  <c r="Y9" i="53" s="1"/>
  <c r="Y7" i="53"/>
  <c r="Y5" i="31"/>
  <c r="Y6" i="31"/>
  <c r="Y9" i="31" s="1"/>
  <c r="Y7" i="31"/>
  <c r="Y2" i="31"/>
  <c r="Y4" i="31"/>
  <c r="E7" i="33"/>
  <c r="E9" i="33"/>
  <c r="C7" i="33"/>
  <c r="C9" i="33"/>
  <c r="AB4" i="53"/>
  <c r="AB5" i="53"/>
  <c r="AB6" i="53"/>
  <c r="AB9" i="53" s="1"/>
  <c r="AB7" i="53"/>
  <c r="AB2" i="53"/>
  <c r="AB2" i="31"/>
  <c r="AB4" i="31"/>
  <c r="AB5" i="31"/>
  <c r="AB6" i="31"/>
  <c r="AB9" i="31" s="1"/>
  <c r="AB7" i="31"/>
  <c r="Z2" i="53"/>
  <c r="Z4" i="53"/>
  <c r="Z5" i="53"/>
  <c r="Z6" i="53"/>
  <c r="Z9" i="53" s="1"/>
  <c r="Z7" i="53"/>
  <c r="Z6" i="31"/>
  <c r="Z9" i="31" s="1"/>
  <c r="Z7" i="31"/>
  <c r="Z2" i="31"/>
  <c r="Z4" i="31"/>
  <c r="Z5" i="31"/>
  <c r="P7" i="33"/>
  <c r="P9" i="33"/>
  <c r="B9" i="33"/>
  <c r="B7" i="33"/>
  <c r="AC5" i="53"/>
  <c r="AC6" i="53"/>
  <c r="AC9" i="53" s="1"/>
  <c r="AC7" i="53"/>
  <c r="AC2" i="53"/>
  <c r="AC4" i="53"/>
  <c r="AC2" i="31"/>
  <c r="AC4" i="31"/>
  <c r="AC5" i="31"/>
  <c r="AC6" i="31"/>
  <c r="AC9" i="31" s="1"/>
  <c r="AC7" i="31"/>
  <c r="G7" i="33"/>
  <c r="G9" i="33"/>
  <c r="D7" i="33"/>
  <c r="D9" i="33"/>
  <c r="I7" i="33"/>
  <c r="I9" i="33"/>
  <c r="N6" i="53"/>
  <c r="N9" i="53" s="1"/>
  <c r="N7" i="53"/>
  <c r="N2" i="53"/>
  <c r="N4" i="53"/>
  <c r="N5" i="53"/>
  <c r="N2" i="31"/>
  <c r="N4" i="31"/>
  <c r="N5" i="31"/>
  <c r="N6" i="31"/>
  <c r="N9" i="31" s="1"/>
  <c r="N7" i="31"/>
  <c r="E5" i="53"/>
  <c r="E6" i="53"/>
  <c r="E9" i="53" s="1"/>
  <c r="E7" i="53"/>
  <c r="E2" i="53"/>
  <c r="E4" i="53"/>
  <c r="E2" i="31"/>
  <c r="E4" i="31"/>
  <c r="E5" i="31"/>
  <c r="E6" i="31"/>
  <c r="E9" i="31" s="1"/>
  <c r="E7" i="31"/>
  <c r="N7" i="33"/>
  <c r="N9" i="33"/>
  <c r="V6" i="53"/>
  <c r="V9" i="53" s="1"/>
  <c r="V7" i="53"/>
  <c r="V2" i="53"/>
  <c r="V4" i="53"/>
  <c r="V5" i="53"/>
  <c r="V2" i="31"/>
  <c r="V4" i="31"/>
  <c r="V5" i="31"/>
  <c r="V6" i="31"/>
  <c r="V9" i="31" s="1"/>
  <c r="V7" i="31"/>
  <c r="C2" i="53"/>
  <c r="C4" i="53"/>
  <c r="C5" i="53"/>
  <c r="C6" i="53"/>
  <c r="C9" i="53" s="1"/>
  <c r="C7" i="53"/>
  <c r="C7" i="31"/>
  <c r="C2" i="31"/>
  <c r="C4" i="31"/>
  <c r="C5" i="31"/>
  <c r="C6" i="31"/>
  <c r="C9" i="31" s="1"/>
  <c r="K2" i="53"/>
  <c r="K4" i="53"/>
  <c r="K5" i="53"/>
  <c r="K6" i="53"/>
  <c r="K9" i="53" s="1"/>
  <c r="K7" i="53"/>
  <c r="K7" i="31"/>
  <c r="K2" i="31"/>
  <c r="K4" i="31"/>
  <c r="K5" i="31"/>
  <c r="K6" i="31"/>
  <c r="K9" i="31" s="1"/>
  <c r="M7" i="33"/>
  <c r="M9" i="33"/>
  <c r="AD6" i="53"/>
  <c r="AD9" i="53" s="1"/>
  <c r="AD7" i="53"/>
  <c r="AD2" i="53"/>
  <c r="AD4" i="53"/>
  <c r="AD5" i="53"/>
  <c r="AD2" i="31"/>
  <c r="AD4" i="31"/>
  <c r="AD5" i="31"/>
  <c r="AD6" i="31"/>
  <c r="AD9" i="31" s="1"/>
  <c r="AD7" i="31"/>
  <c r="H7" i="33"/>
  <c r="H9" i="33"/>
  <c r="J9" i="33"/>
  <c r="J7" i="33"/>
  <c r="G7" i="53"/>
  <c r="G2" i="53"/>
  <c r="G4" i="53"/>
  <c r="G5" i="53"/>
  <c r="G6" i="53"/>
  <c r="G9" i="53" s="1"/>
  <c r="G2" i="31"/>
  <c r="G4" i="31"/>
  <c r="G5" i="31"/>
  <c r="G6" i="31"/>
  <c r="G9" i="31" s="1"/>
  <c r="G7" i="31"/>
  <c r="AE7" i="53"/>
  <c r="AE2" i="53"/>
  <c r="AE4" i="53"/>
  <c r="AE5" i="53"/>
  <c r="AE6" i="53"/>
  <c r="AE9" i="53" s="1"/>
  <c r="AE2" i="31"/>
  <c r="AE4" i="31"/>
  <c r="AE5" i="31"/>
  <c r="AE6" i="31"/>
  <c r="AE9" i="31" s="1"/>
  <c r="AE7" i="31"/>
  <c r="F6" i="53"/>
  <c r="F9" i="53" s="1"/>
  <c r="F7" i="53"/>
  <c r="F2" i="53"/>
  <c r="F4" i="53"/>
  <c r="F5" i="53"/>
  <c r="F2" i="31"/>
  <c r="F4" i="31"/>
  <c r="F5" i="31"/>
  <c r="F6" i="31"/>
  <c r="F9" i="31" s="1"/>
  <c r="F7" i="31"/>
  <c r="K7" i="33"/>
  <c r="K9" i="33"/>
  <c r="Q2" i="53"/>
  <c r="Q4" i="53"/>
  <c r="Q5" i="53"/>
  <c r="Q6" i="53"/>
  <c r="Q9" i="53" s="1"/>
  <c r="Q7" i="53"/>
  <c r="Q5" i="31"/>
  <c r="Q6" i="31"/>
  <c r="Q9" i="31" s="1"/>
  <c r="Q7" i="31"/>
  <c r="Q2" i="31"/>
  <c r="Q4" i="31"/>
  <c r="O7" i="33"/>
  <c r="O9" i="33"/>
  <c r="L7" i="33"/>
  <c r="L9" i="33"/>
  <c r="S2" i="53"/>
  <c r="S4" i="53"/>
  <c r="S5" i="53"/>
  <c r="S6" i="53"/>
  <c r="S9" i="53" s="1"/>
  <c r="S7" i="53"/>
  <c r="S7" i="31"/>
  <c r="S2" i="31"/>
  <c r="S4" i="31"/>
  <c r="S5" i="31"/>
  <c r="S6" i="31"/>
  <c r="S9" i="31" s="1"/>
  <c r="AF2" i="53"/>
  <c r="AF4" i="53"/>
  <c r="AF5" i="53"/>
  <c r="AF6" i="53"/>
  <c r="AF9" i="53" s="1"/>
  <c r="AF7" i="53"/>
  <c r="AF4" i="31"/>
  <c r="AF5" i="31"/>
  <c r="AF6" i="31"/>
  <c r="AF9" i="31" s="1"/>
  <c r="AF7" i="31"/>
  <c r="AF2" i="31"/>
  <c r="J9" i="23" l="1"/>
  <c r="K7" i="45"/>
  <c r="K9" i="23"/>
  <c r="H5" i="44"/>
  <c r="H2" i="44"/>
  <c r="M36" i="67"/>
  <c r="L26" i="67"/>
  <c r="H2" i="19"/>
  <c r="H3" i="44"/>
  <c r="H7" i="44" s="1"/>
  <c r="H6" i="44"/>
  <c r="H9" i="44" s="1"/>
  <c r="I8" i="67"/>
  <c r="I4" i="44" s="1"/>
  <c r="I4" i="67"/>
  <c r="I2" i="41" s="1"/>
  <c r="E12" i="67"/>
  <c r="E4" i="42" s="1"/>
  <c r="E16" i="67"/>
  <c r="M11" i="98"/>
  <c r="L4" i="98"/>
  <c r="N14" i="98"/>
  <c r="M7" i="98"/>
  <c r="P10" i="98"/>
  <c r="O3" i="98"/>
  <c r="P13" i="98"/>
  <c r="O6" i="98"/>
  <c r="P12" i="98"/>
  <c r="O5" i="98"/>
  <c r="F4" i="21"/>
  <c r="F5" i="21" s="1"/>
  <c r="F6" i="21" s="1"/>
  <c r="F9" i="21" s="1"/>
  <c r="F7" i="21"/>
  <c r="K7" i="23"/>
  <c r="K9" i="45"/>
  <c r="G3" i="41"/>
  <c r="G5" i="41"/>
  <c r="G4" i="41"/>
  <c r="G9" i="41"/>
  <c r="N6" i="50"/>
  <c r="M5" i="50"/>
  <c r="M3" i="50"/>
  <c r="M7" i="50"/>
  <c r="M4" i="50"/>
  <c r="M9" i="50"/>
  <c r="N6" i="49"/>
  <c r="N3" i="27"/>
  <c r="N6" i="27" s="1"/>
  <c r="N9" i="27" s="1"/>
  <c r="M9" i="49"/>
  <c r="M3" i="49"/>
  <c r="N9" i="12"/>
  <c r="N3" i="26"/>
  <c r="R3" i="106"/>
  <c r="R2" i="33" s="1"/>
  <c r="O16" i="100"/>
  <c r="N6" i="18"/>
  <c r="N20" i="100"/>
  <c r="M3" i="40"/>
  <c r="M7" i="40" s="1"/>
  <c r="R6" i="106"/>
  <c r="R5" i="33" s="1"/>
  <c r="O15" i="100"/>
  <c r="N5" i="18"/>
  <c r="N23" i="100"/>
  <c r="M6" i="40"/>
  <c r="M9" i="40" s="1"/>
  <c r="N21" i="100"/>
  <c r="M4" i="40"/>
  <c r="O13" i="100"/>
  <c r="N3" i="18"/>
  <c r="N22" i="100"/>
  <c r="M5" i="40"/>
  <c r="O14" i="100"/>
  <c r="N4" i="18"/>
  <c r="G9" i="19"/>
  <c r="G7" i="19"/>
  <c r="G4" i="19"/>
  <c r="G3" i="19"/>
  <c r="G6" i="19"/>
  <c r="I5" i="35"/>
  <c r="G7" i="67"/>
  <c r="G2" i="21" s="1"/>
  <c r="G3" i="21" s="1"/>
  <c r="P78" i="100"/>
  <c r="O11" i="97"/>
  <c r="O3" i="51" s="1"/>
  <c r="O6" i="51"/>
  <c r="O9" i="51" s="1"/>
  <c r="H9" i="19"/>
  <c r="G6" i="35"/>
  <c r="G9" i="35" s="1"/>
  <c r="P5" i="97"/>
  <c r="P4" i="29" s="1"/>
  <c r="Q9" i="11"/>
  <c r="Q7" i="11"/>
  <c r="G4" i="35"/>
  <c r="R7" i="106"/>
  <c r="R6" i="33" s="1"/>
  <c r="R6" i="11"/>
  <c r="O13" i="97"/>
  <c r="O5" i="51" s="1"/>
  <c r="Q9" i="33"/>
  <c r="S13" i="106"/>
  <c r="N10" i="97"/>
  <c r="N2" i="51" s="1"/>
  <c r="P7" i="97"/>
  <c r="P14" i="97" s="1"/>
  <c r="P13" i="97"/>
  <c r="P5" i="51" s="1"/>
  <c r="P5" i="29"/>
  <c r="S12" i="106"/>
  <c r="O3" i="97"/>
  <c r="O4" i="97"/>
  <c r="O3" i="29" s="1"/>
  <c r="O6" i="29"/>
  <c r="O9" i="29" s="1"/>
  <c r="O64" i="100"/>
  <c r="O3" i="48" s="1"/>
  <c r="O6" i="12"/>
  <c r="O12" i="97"/>
  <c r="O4" i="51" s="1"/>
  <c r="S14" i="106"/>
  <c r="R5" i="106"/>
  <c r="R4" i="33" s="1"/>
  <c r="S10" i="106"/>
  <c r="T3" i="11"/>
  <c r="S76" i="100"/>
  <c r="S72" i="100" s="1"/>
  <c r="S58" i="100"/>
  <c r="S68" i="100"/>
  <c r="P60" i="100"/>
  <c r="R51" i="100"/>
  <c r="O36" i="100"/>
  <c r="O43" i="100" s="1"/>
  <c r="O2" i="50" s="1"/>
  <c r="R55" i="100"/>
  <c r="O40" i="100"/>
  <c r="O47" i="100" s="1"/>
  <c r="W49" i="100"/>
  <c r="U35" i="100" s="1"/>
  <c r="V66" i="100"/>
  <c r="F38" i="67"/>
  <c r="J37" i="67"/>
  <c r="J27" i="67" s="1"/>
  <c r="L7" i="45" l="1"/>
  <c r="P73" i="100"/>
  <c r="P74" i="100" s="1"/>
  <c r="E6" i="42"/>
  <c r="E9" i="42" s="1"/>
  <c r="E2" i="42"/>
  <c r="N36" i="67"/>
  <c r="M26" i="67"/>
  <c r="I3" i="44"/>
  <c r="I7" i="44" s="1"/>
  <c r="I2" i="19"/>
  <c r="E5" i="42"/>
  <c r="E3" i="42"/>
  <c r="E7" i="42" s="1"/>
  <c r="E11" i="67"/>
  <c r="E6" i="22" s="1"/>
  <c r="E9" i="22" s="1"/>
  <c r="I2" i="44"/>
  <c r="I6" i="44"/>
  <c r="I9" i="44" s="1"/>
  <c r="I5" i="44"/>
  <c r="J8" i="67"/>
  <c r="J4" i="44" s="1"/>
  <c r="J4" i="67"/>
  <c r="J2" i="41" s="1"/>
  <c r="E3" i="43"/>
  <c r="E2" i="43"/>
  <c r="E4" i="43"/>
  <c r="E5" i="43"/>
  <c r="E6" i="43"/>
  <c r="F16" i="67"/>
  <c r="N11" i="98"/>
  <c r="M4" i="98"/>
  <c r="Q10" i="98"/>
  <c r="P3" i="98"/>
  <c r="O14" i="98"/>
  <c r="N7" i="98"/>
  <c r="Q12" i="98"/>
  <c r="P5" i="98"/>
  <c r="Q13" i="98"/>
  <c r="P6" i="98"/>
  <c r="G4" i="21"/>
  <c r="G5" i="21" s="1"/>
  <c r="G6" i="21" s="1"/>
  <c r="G9" i="21" s="1"/>
  <c r="G7" i="21"/>
  <c r="L9" i="45"/>
  <c r="L7" i="23"/>
  <c r="L9" i="23"/>
  <c r="N9" i="49"/>
  <c r="N3" i="49"/>
  <c r="O6" i="50"/>
  <c r="N3" i="50"/>
  <c r="N5" i="50"/>
  <c r="N7" i="50"/>
  <c r="N4" i="50"/>
  <c r="O6" i="49"/>
  <c r="O3" i="27"/>
  <c r="O6" i="27" s="1"/>
  <c r="O9" i="27" s="1"/>
  <c r="N9" i="50"/>
  <c r="O9" i="12"/>
  <c r="O3" i="26"/>
  <c r="P12" i="97"/>
  <c r="P4" i="51" s="1"/>
  <c r="O22" i="100"/>
  <c r="N5" i="40"/>
  <c r="P15" i="100"/>
  <c r="O5" i="18"/>
  <c r="P14" i="100"/>
  <c r="O4" i="18"/>
  <c r="P13" i="100"/>
  <c r="O3" i="18"/>
  <c r="O23" i="100"/>
  <c r="N6" i="40"/>
  <c r="N9" i="40" s="1"/>
  <c r="O20" i="100"/>
  <c r="N3" i="40"/>
  <c r="N7" i="40" s="1"/>
  <c r="O21" i="100"/>
  <c r="N4" i="40"/>
  <c r="P16" i="100"/>
  <c r="O6" i="18"/>
  <c r="H6" i="19"/>
  <c r="H5" i="19"/>
  <c r="H4" i="19"/>
  <c r="H3" i="19"/>
  <c r="H7" i="19"/>
  <c r="J5" i="35"/>
  <c r="H4" i="35"/>
  <c r="Q78" i="100"/>
  <c r="P11" i="97"/>
  <c r="P3" i="51" s="1"/>
  <c r="P6" i="51"/>
  <c r="P9" i="51" s="1"/>
  <c r="Q6" i="97"/>
  <c r="Q5" i="29" s="1"/>
  <c r="T10" i="106"/>
  <c r="S6" i="106"/>
  <c r="S5" i="33" s="1"/>
  <c r="S5" i="11"/>
  <c r="H7" i="67"/>
  <c r="H2" i="21" s="1"/>
  <c r="H3" i="21" s="1"/>
  <c r="T13" i="106"/>
  <c r="P64" i="100"/>
  <c r="P3" i="48" s="1"/>
  <c r="P6" i="12"/>
  <c r="T12" i="106"/>
  <c r="T4" i="11" s="1"/>
  <c r="R7" i="33"/>
  <c r="R9" i="33"/>
  <c r="S6" i="11"/>
  <c r="S7" i="106"/>
  <c r="S6" i="33" s="1"/>
  <c r="P4" i="97"/>
  <c r="P3" i="29" s="1"/>
  <c r="P6" i="29"/>
  <c r="P9" i="29" s="1"/>
  <c r="G7" i="13"/>
  <c r="G9" i="13"/>
  <c r="T14" i="106"/>
  <c r="Q7" i="97"/>
  <c r="Q14" i="97" s="1"/>
  <c r="S2" i="11"/>
  <c r="S3" i="106"/>
  <c r="S2" i="33" s="1"/>
  <c r="H6" i="35"/>
  <c r="H9" i="35" s="1"/>
  <c r="Q5" i="97"/>
  <c r="Q4" i="29" s="1"/>
  <c r="O10" i="97"/>
  <c r="O2" i="51" s="1"/>
  <c r="O2" i="29"/>
  <c r="H7" i="13"/>
  <c r="H9" i="13"/>
  <c r="H4" i="41"/>
  <c r="H9" i="41"/>
  <c r="H7" i="41"/>
  <c r="H6" i="41"/>
  <c r="H3" i="41"/>
  <c r="H5" i="41"/>
  <c r="K2" i="35"/>
  <c r="P3" i="97"/>
  <c r="P2" i="29" s="1"/>
  <c r="S5" i="106"/>
  <c r="S4" i="33" s="1"/>
  <c r="S4" i="11"/>
  <c r="R9" i="11"/>
  <c r="R7" i="11"/>
  <c r="U3" i="11"/>
  <c r="T68" i="100"/>
  <c r="Q60" i="100"/>
  <c r="T76" i="100"/>
  <c r="T72" i="100" s="1"/>
  <c r="T58" i="100"/>
  <c r="S55" i="100"/>
  <c r="P40" i="100"/>
  <c r="P47" i="100" s="1"/>
  <c r="S51" i="100"/>
  <c r="P36" i="100"/>
  <c r="P43" i="100" s="1"/>
  <c r="P2" i="50" s="1"/>
  <c r="X49" i="100"/>
  <c r="V35" i="100" s="1"/>
  <c r="W66" i="100"/>
  <c r="G38" i="67"/>
  <c r="K37" i="67"/>
  <c r="K27" i="67" s="1"/>
  <c r="M7" i="23" l="1"/>
  <c r="Q73" i="100"/>
  <c r="Q74" i="100" s="1"/>
  <c r="E4" i="22"/>
  <c r="E2" i="22"/>
  <c r="O36" i="67"/>
  <c r="N26" i="67"/>
  <c r="E7" i="22"/>
  <c r="E5" i="22"/>
  <c r="E3" i="22"/>
  <c r="J2" i="44"/>
  <c r="J3" i="44"/>
  <c r="J7" i="44" s="1"/>
  <c r="J2" i="19"/>
  <c r="J6" i="44"/>
  <c r="J9" i="44" s="1"/>
  <c r="J5" i="44"/>
  <c r="G16" i="67"/>
  <c r="E7" i="20"/>
  <c r="E9" i="20"/>
  <c r="E2" i="20"/>
  <c r="E4" i="20"/>
  <c r="E5" i="20"/>
  <c r="E6" i="20"/>
  <c r="E3" i="20"/>
  <c r="F2" i="43"/>
  <c r="F3" i="43"/>
  <c r="F4" i="43"/>
  <c r="F5" i="43"/>
  <c r="F6" i="43"/>
  <c r="K8" i="67"/>
  <c r="K6" i="44" s="1"/>
  <c r="K9" i="44" s="1"/>
  <c r="K4" i="67"/>
  <c r="K2" i="41" s="1"/>
  <c r="P14" i="98"/>
  <c r="O7" i="98"/>
  <c r="R13" i="98"/>
  <c r="Q6" i="98"/>
  <c r="R10" i="98"/>
  <c r="Q3" i="98"/>
  <c r="R12" i="98"/>
  <c r="Q5" i="98"/>
  <c r="O11" i="98"/>
  <c r="N4" i="98"/>
  <c r="H4" i="21"/>
  <c r="H5" i="21" s="1"/>
  <c r="H6" i="21" s="1"/>
  <c r="H9" i="21" s="1"/>
  <c r="H7" i="21"/>
  <c r="M9" i="23"/>
  <c r="M7" i="45"/>
  <c r="M9" i="45"/>
  <c r="F12" i="67"/>
  <c r="J3" i="41"/>
  <c r="P6" i="49"/>
  <c r="P3" i="27"/>
  <c r="P6" i="27" s="1"/>
  <c r="P9" i="27" s="1"/>
  <c r="O3" i="50"/>
  <c r="O4" i="50"/>
  <c r="O5" i="50"/>
  <c r="O7" i="50"/>
  <c r="P6" i="50"/>
  <c r="P9" i="50" s="1"/>
  <c r="O9" i="50"/>
  <c r="O9" i="49"/>
  <c r="O3" i="49"/>
  <c r="P9" i="12"/>
  <c r="P3" i="26"/>
  <c r="Q13" i="100"/>
  <c r="P3" i="18"/>
  <c r="T5" i="106"/>
  <c r="T4" i="33" s="1"/>
  <c r="Q16" i="100"/>
  <c r="P6" i="18"/>
  <c r="Q12" i="97"/>
  <c r="Q4" i="51" s="1"/>
  <c r="P21" i="100"/>
  <c r="O4" i="40"/>
  <c r="Q14" i="100"/>
  <c r="P4" i="18"/>
  <c r="P20" i="100"/>
  <c r="O3" i="40"/>
  <c r="O7" i="40" s="1"/>
  <c r="Q15" i="100"/>
  <c r="P5" i="18"/>
  <c r="P23" i="100"/>
  <c r="O6" i="40"/>
  <c r="O9" i="40" s="1"/>
  <c r="P22" i="100"/>
  <c r="O5" i="40"/>
  <c r="I5" i="19"/>
  <c r="I4" i="19"/>
  <c r="I7" i="19"/>
  <c r="I3" i="19"/>
  <c r="I6" i="19"/>
  <c r="I9" i="19"/>
  <c r="R78" i="100"/>
  <c r="R73" i="100" s="1"/>
  <c r="R74" i="100" s="1"/>
  <c r="S9" i="11"/>
  <c r="S7" i="11"/>
  <c r="U14" i="106"/>
  <c r="V21" i="106"/>
  <c r="J7" i="19"/>
  <c r="T2" i="11"/>
  <c r="T3" i="106"/>
  <c r="T2" i="33" s="1"/>
  <c r="R5" i="97"/>
  <c r="R4" i="29" s="1"/>
  <c r="J5" i="41"/>
  <c r="J4" i="41"/>
  <c r="J6" i="41"/>
  <c r="I4" i="41"/>
  <c r="I3" i="41"/>
  <c r="I7" i="41"/>
  <c r="I5" i="41"/>
  <c r="I9" i="41"/>
  <c r="I6" i="41"/>
  <c r="L2" i="35"/>
  <c r="T5" i="11"/>
  <c r="T6" i="106"/>
  <c r="T5" i="33" s="1"/>
  <c r="V17" i="106"/>
  <c r="U10" i="106"/>
  <c r="P10" i="97"/>
  <c r="P2" i="51" s="1"/>
  <c r="T6" i="11"/>
  <c r="T7" i="106"/>
  <c r="T6" i="33" s="1"/>
  <c r="V20" i="106"/>
  <c r="U13" i="106"/>
  <c r="R7" i="97"/>
  <c r="Q64" i="100"/>
  <c r="Q3" i="48" s="1"/>
  <c r="Q6" i="12"/>
  <c r="Q3" i="97"/>
  <c r="Q2" i="29" s="1"/>
  <c r="K5" i="35"/>
  <c r="Q4" i="97"/>
  <c r="Q3" i="29" s="1"/>
  <c r="Q6" i="29"/>
  <c r="Q9" i="29" s="1"/>
  <c r="I7" i="67"/>
  <c r="I2" i="21" s="1"/>
  <c r="I3" i="21" s="1"/>
  <c r="I4" i="35"/>
  <c r="U12" i="106"/>
  <c r="V19" i="106"/>
  <c r="Q13" i="97"/>
  <c r="Q5" i="51" s="1"/>
  <c r="Q11" i="97"/>
  <c r="Q3" i="51" s="1"/>
  <c r="Q6" i="51"/>
  <c r="Q9" i="51" s="1"/>
  <c r="R6" i="97"/>
  <c r="R5" i="29" s="1"/>
  <c r="I6" i="35"/>
  <c r="I9" i="35" s="1"/>
  <c r="S9" i="33"/>
  <c r="S7" i="33"/>
  <c r="U68" i="100"/>
  <c r="R60" i="100"/>
  <c r="U76" i="100"/>
  <c r="U72" i="100" s="1"/>
  <c r="U58" i="100"/>
  <c r="T51" i="100"/>
  <c r="Q36" i="100"/>
  <c r="Q43" i="100" s="1"/>
  <c r="Q2" i="50" s="1"/>
  <c r="T55" i="100"/>
  <c r="Q40" i="100"/>
  <c r="Q47" i="100" s="1"/>
  <c r="S5" i="97"/>
  <c r="Y49" i="100"/>
  <c r="W35" i="100" s="1"/>
  <c r="X66" i="100"/>
  <c r="H38" i="67"/>
  <c r="H28" i="67" s="1"/>
  <c r="G33" i="67" s="1"/>
  <c r="F28" i="67" s="1"/>
  <c r="G28" i="67" s="1"/>
  <c r="L37" i="67"/>
  <c r="L27" i="67" s="1"/>
  <c r="P36" i="67" l="1"/>
  <c r="O26" i="67"/>
  <c r="K5" i="44"/>
  <c r="K4" i="44"/>
  <c r="K3" i="44"/>
  <c r="K7" i="44" s="1"/>
  <c r="K2" i="44"/>
  <c r="K2" i="19"/>
  <c r="G5" i="20"/>
  <c r="G6" i="20"/>
  <c r="G7" i="20"/>
  <c r="G9" i="20"/>
  <c r="G2" i="20"/>
  <c r="G3" i="20"/>
  <c r="G4" i="20"/>
  <c r="H16" i="67"/>
  <c r="F6" i="20"/>
  <c r="F7" i="20"/>
  <c r="F9" i="20"/>
  <c r="F3" i="20"/>
  <c r="F4" i="20"/>
  <c r="F5" i="20"/>
  <c r="F2" i="20"/>
  <c r="L8" i="67"/>
  <c r="L4" i="44" s="1"/>
  <c r="L4" i="67"/>
  <c r="L2" i="41" s="1"/>
  <c r="G6" i="43"/>
  <c r="G2" i="43"/>
  <c r="G3" i="43"/>
  <c r="G4" i="43"/>
  <c r="G5" i="43"/>
  <c r="Q14" i="98"/>
  <c r="P7" i="98"/>
  <c r="S10" i="98"/>
  <c r="R3" i="98"/>
  <c r="P11" i="98"/>
  <c r="O4" i="98"/>
  <c r="S13" i="98"/>
  <c r="R6" i="98"/>
  <c r="S12" i="98"/>
  <c r="R5" i="98"/>
  <c r="I4" i="21"/>
  <c r="I5" i="21" s="1"/>
  <c r="I6" i="21" s="1"/>
  <c r="I9" i="21" s="1"/>
  <c r="I7" i="21"/>
  <c r="F11" i="67"/>
  <c r="F6" i="42"/>
  <c r="F9" i="42" s="1"/>
  <c r="F2" i="42"/>
  <c r="F3" i="42"/>
  <c r="F7" i="42" s="1"/>
  <c r="F4" i="42"/>
  <c r="F5" i="42"/>
  <c r="N9" i="23"/>
  <c r="N7" i="23"/>
  <c r="N9" i="45"/>
  <c r="N7" i="45"/>
  <c r="K3" i="41"/>
  <c r="J7" i="41"/>
  <c r="J9" i="41"/>
  <c r="G12" i="67"/>
  <c r="J5" i="19"/>
  <c r="R12" i="97"/>
  <c r="R4" i="51" s="1"/>
  <c r="P5" i="50"/>
  <c r="P7" i="50"/>
  <c r="P4" i="50"/>
  <c r="P3" i="50"/>
  <c r="Q6" i="50"/>
  <c r="Q6" i="49"/>
  <c r="Q3" i="27"/>
  <c r="Q6" i="27" s="1"/>
  <c r="Q9" i="27" s="1"/>
  <c r="P9" i="49"/>
  <c r="P3" i="49"/>
  <c r="R13" i="97"/>
  <c r="R5" i="51" s="1"/>
  <c r="Q9" i="12"/>
  <c r="Q3" i="26"/>
  <c r="J4" i="19"/>
  <c r="J6" i="19"/>
  <c r="J3" i="19"/>
  <c r="J9" i="19"/>
  <c r="Q21" i="100"/>
  <c r="P4" i="40"/>
  <c r="Q10" i="97"/>
  <c r="Q2" i="51" s="1"/>
  <c r="R15" i="100"/>
  <c r="Q5" i="18"/>
  <c r="Q23" i="100"/>
  <c r="P6" i="40"/>
  <c r="P9" i="40" s="1"/>
  <c r="R16" i="100"/>
  <c r="Q6" i="18"/>
  <c r="Q20" i="100"/>
  <c r="P3" i="40"/>
  <c r="P7" i="40" s="1"/>
  <c r="Q22" i="100"/>
  <c r="P5" i="40"/>
  <c r="R14" i="100"/>
  <c r="Q4" i="18"/>
  <c r="R13" i="100"/>
  <c r="Q3" i="18"/>
  <c r="L5" i="35"/>
  <c r="S78" i="100"/>
  <c r="W17" i="106"/>
  <c r="V10" i="106"/>
  <c r="V2" i="11" s="1"/>
  <c r="U6" i="106"/>
  <c r="U5" i="33" s="1"/>
  <c r="U5" i="11"/>
  <c r="R64" i="100"/>
  <c r="R3" i="48" s="1"/>
  <c r="R6" i="12"/>
  <c r="W20" i="106"/>
  <c r="V13" i="106"/>
  <c r="K5" i="41"/>
  <c r="K9" i="41"/>
  <c r="K4" i="41"/>
  <c r="K6" i="41"/>
  <c r="K9" i="19"/>
  <c r="R4" i="97"/>
  <c r="R3" i="29" s="1"/>
  <c r="R6" i="29"/>
  <c r="R9" i="29" s="1"/>
  <c r="J7" i="67"/>
  <c r="J2" i="21" s="1"/>
  <c r="J3" i="21" s="1"/>
  <c r="T9" i="33"/>
  <c r="T7" i="33"/>
  <c r="J4" i="35"/>
  <c r="S7" i="97"/>
  <c r="S14" i="97" s="1"/>
  <c r="I7" i="13"/>
  <c r="I9" i="13"/>
  <c r="T7" i="11"/>
  <c r="T9" i="11"/>
  <c r="V14" i="106"/>
  <c r="V6" i="11" s="1"/>
  <c r="W21" i="106"/>
  <c r="V18" i="106"/>
  <c r="S12" i="97"/>
  <c r="S4" i="51" s="1"/>
  <c r="S4" i="29"/>
  <c r="U5" i="106"/>
  <c r="U4" i="33" s="1"/>
  <c r="U4" i="11"/>
  <c r="J6" i="35"/>
  <c r="J9" i="35" s="1"/>
  <c r="U6" i="11"/>
  <c r="U7" i="106"/>
  <c r="U6" i="33" s="1"/>
  <c r="W19" i="106"/>
  <c r="V12" i="106"/>
  <c r="R3" i="97"/>
  <c r="S6" i="97"/>
  <c r="S5" i="29" s="1"/>
  <c r="R14" i="97"/>
  <c r="U3" i="106"/>
  <c r="U2" i="33" s="1"/>
  <c r="U2" i="11"/>
  <c r="M2" i="35"/>
  <c r="V68" i="100"/>
  <c r="S60" i="100"/>
  <c r="V76" i="100"/>
  <c r="V72" i="100" s="1"/>
  <c r="V58" i="100"/>
  <c r="U55" i="100"/>
  <c r="R40" i="100"/>
  <c r="R47" i="100" s="1"/>
  <c r="U51" i="100"/>
  <c r="R36" i="100"/>
  <c r="R43" i="100" s="1"/>
  <c r="R2" i="50" s="1"/>
  <c r="Z49" i="100"/>
  <c r="X35" i="100" s="1"/>
  <c r="Y66" i="100"/>
  <c r="I38" i="67"/>
  <c r="I28" i="67" s="1"/>
  <c r="M37" i="67"/>
  <c r="M27" i="67" s="1"/>
  <c r="O7" i="45" l="1"/>
  <c r="S73" i="100"/>
  <c r="S74" i="100" s="1"/>
  <c r="Q36" i="67"/>
  <c r="P26" i="67"/>
  <c r="L6" i="44"/>
  <c r="L9" i="44" s="1"/>
  <c r="L3" i="44"/>
  <c r="L7" i="44" s="1"/>
  <c r="L2" i="44"/>
  <c r="L2" i="19"/>
  <c r="L5" i="44"/>
  <c r="M8" i="67"/>
  <c r="M5" i="44" s="1"/>
  <c r="M4" i="67"/>
  <c r="M2" i="41" s="1"/>
  <c r="I12" i="67"/>
  <c r="I16" i="67"/>
  <c r="H5" i="43"/>
  <c r="H6" i="43"/>
  <c r="H2" i="43"/>
  <c r="H3" i="43"/>
  <c r="H4" i="43"/>
  <c r="H4" i="20"/>
  <c r="H5" i="20"/>
  <c r="H7" i="20"/>
  <c r="H6" i="20"/>
  <c r="H2" i="20"/>
  <c r="H3" i="20"/>
  <c r="H9" i="20"/>
  <c r="T12" i="98"/>
  <c r="S5" i="98"/>
  <c r="Q11" i="98"/>
  <c r="P4" i="98"/>
  <c r="T10" i="98"/>
  <c r="S3" i="98"/>
  <c r="T13" i="98"/>
  <c r="S6" i="98"/>
  <c r="R14" i="98"/>
  <c r="Q7" i="98"/>
  <c r="G11" i="67"/>
  <c r="G5" i="42"/>
  <c r="G2" i="42"/>
  <c r="G3" i="42"/>
  <c r="G7" i="42" s="1"/>
  <c r="G4" i="42"/>
  <c r="G6" i="42"/>
  <c r="G9" i="42" s="1"/>
  <c r="F6" i="22"/>
  <c r="F9" i="22" s="1"/>
  <c r="F2" i="22"/>
  <c r="F3" i="22"/>
  <c r="F4" i="22"/>
  <c r="F5" i="22"/>
  <c r="F7" i="22"/>
  <c r="J4" i="21"/>
  <c r="J5" i="21" s="1"/>
  <c r="J6" i="21" s="1"/>
  <c r="J9" i="21" s="1"/>
  <c r="J7" i="21"/>
  <c r="O7" i="23"/>
  <c r="O9" i="23"/>
  <c r="O9" i="45"/>
  <c r="K7" i="41"/>
  <c r="H12" i="67"/>
  <c r="H11" i="67" s="1"/>
  <c r="M2" i="19"/>
  <c r="E7" i="43"/>
  <c r="E9" i="43" s="1"/>
  <c r="V11" i="106"/>
  <c r="V3" i="11" s="1"/>
  <c r="V3" i="106"/>
  <c r="V2" i="33" s="1"/>
  <c r="Q9" i="49"/>
  <c r="Q3" i="49"/>
  <c r="Q5" i="50"/>
  <c r="Q7" i="50"/>
  <c r="Q3" i="50"/>
  <c r="Q4" i="50"/>
  <c r="Q9" i="50"/>
  <c r="R6" i="50"/>
  <c r="R9" i="50" s="1"/>
  <c r="R6" i="49"/>
  <c r="R3" i="27"/>
  <c r="R6" i="27" s="1"/>
  <c r="R9" i="27" s="1"/>
  <c r="R9" i="12"/>
  <c r="R3" i="26"/>
  <c r="K4" i="19"/>
  <c r="K6" i="19"/>
  <c r="V7" i="106"/>
  <c r="V6" i="33" s="1"/>
  <c r="V9" i="33" s="1"/>
  <c r="S13" i="97"/>
  <c r="S5" i="51" s="1"/>
  <c r="S14" i="100"/>
  <c r="R4" i="18"/>
  <c r="S16" i="100"/>
  <c r="R6" i="18"/>
  <c r="R23" i="100"/>
  <c r="Q6" i="40"/>
  <c r="Q9" i="40" s="1"/>
  <c r="R22" i="100"/>
  <c r="Q5" i="40"/>
  <c r="S15" i="100"/>
  <c r="R5" i="18"/>
  <c r="R20" i="100"/>
  <c r="Q3" i="40"/>
  <c r="Q7" i="40" s="1"/>
  <c r="S13" i="100"/>
  <c r="R3" i="18"/>
  <c r="R21" i="100"/>
  <c r="Q4" i="40"/>
  <c r="K5" i="19"/>
  <c r="K6" i="35"/>
  <c r="K9" i="35" s="1"/>
  <c r="K3" i="19"/>
  <c r="K7" i="19"/>
  <c r="N2" i="35"/>
  <c r="T78" i="100"/>
  <c r="S11" i="97"/>
  <c r="S3" i="51" s="1"/>
  <c r="S6" i="51"/>
  <c r="S9" i="51" s="1"/>
  <c r="K9" i="13"/>
  <c r="K7" i="13"/>
  <c r="U7" i="33"/>
  <c r="U9" i="33"/>
  <c r="T6" i="97"/>
  <c r="T5" i="29" s="1"/>
  <c r="S64" i="100"/>
  <c r="S3" i="48" s="1"/>
  <c r="S6" i="12"/>
  <c r="R11" i="97"/>
  <c r="R3" i="51" s="1"/>
  <c r="R6" i="51"/>
  <c r="R9" i="51" s="1"/>
  <c r="U7" i="11"/>
  <c r="U9" i="11"/>
  <c r="W14" i="106"/>
  <c r="X21" i="106"/>
  <c r="W18" i="106"/>
  <c r="T5" i="97"/>
  <c r="T4" i="29" s="1"/>
  <c r="R10" i="97"/>
  <c r="R2" i="51" s="1"/>
  <c r="R2" i="29"/>
  <c r="T7" i="97"/>
  <c r="T14" i="97" s="1"/>
  <c r="X19" i="106"/>
  <c r="W12" i="106"/>
  <c r="K7" i="67"/>
  <c r="K2" i="21" s="1"/>
  <c r="K3" i="21" s="1"/>
  <c r="K4" i="35"/>
  <c r="J9" i="13"/>
  <c r="J7" i="13"/>
  <c r="V7" i="11"/>
  <c r="V9" i="11"/>
  <c r="V5" i="11"/>
  <c r="V6" i="106"/>
  <c r="V5" i="33" s="1"/>
  <c r="S3" i="97"/>
  <c r="S2" i="29" s="1"/>
  <c r="V5" i="106"/>
  <c r="V4" i="33" s="1"/>
  <c r="V4" i="11"/>
  <c r="M5" i="35"/>
  <c r="S6" i="29"/>
  <c r="S9" i="29" s="1"/>
  <c r="S4" i="97"/>
  <c r="S3" i="29" s="1"/>
  <c r="X20" i="106"/>
  <c r="W13" i="106"/>
  <c r="W10" i="106"/>
  <c r="X17" i="106"/>
  <c r="W68" i="100"/>
  <c r="T60" i="100"/>
  <c r="W76" i="100"/>
  <c r="W72" i="100" s="1"/>
  <c r="W58" i="100"/>
  <c r="V51" i="100"/>
  <c r="S36" i="100"/>
  <c r="S43" i="100" s="1"/>
  <c r="S2" i="50" s="1"/>
  <c r="V55" i="100"/>
  <c r="S40" i="100"/>
  <c r="S47" i="100" s="1"/>
  <c r="U6" i="97"/>
  <c r="AA49" i="100"/>
  <c r="Y35" i="100" s="1"/>
  <c r="Z66" i="100"/>
  <c r="O2" i="35"/>
  <c r="J38" i="67"/>
  <c r="J28" i="67" s="1"/>
  <c r="N37" i="67"/>
  <c r="N27" i="67" s="1"/>
  <c r="T73" i="100" l="1"/>
  <c r="T74" i="100" s="1"/>
  <c r="M4" i="44"/>
  <c r="M3" i="44"/>
  <c r="M7" i="44" s="1"/>
  <c r="R36" i="67"/>
  <c r="Q26" i="67"/>
  <c r="M6" i="44"/>
  <c r="M9" i="44" s="1"/>
  <c r="M2" i="44"/>
  <c r="I4" i="43"/>
  <c r="I5" i="43"/>
  <c r="I6" i="43"/>
  <c r="I2" i="43"/>
  <c r="I3" i="43"/>
  <c r="N8" i="67"/>
  <c r="N5" i="44" s="1"/>
  <c r="N4" i="67"/>
  <c r="N2" i="41" s="1"/>
  <c r="J12" i="67"/>
  <c r="J16" i="67"/>
  <c r="U10" i="98"/>
  <c r="T3" i="98"/>
  <c r="U12" i="98"/>
  <c r="T5" i="98"/>
  <c r="S14" i="98"/>
  <c r="R7" i="98"/>
  <c r="R11" i="98"/>
  <c r="Q4" i="98"/>
  <c r="U13" i="98"/>
  <c r="T6" i="98"/>
  <c r="H6" i="22"/>
  <c r="H9" i="22" s="1"/>
  <c r="H7" i="22"/>
  <c r="H2" i="22"/>
  <c r="H5" i="22"/>
  <c r="H4" i="22"/>
  <c r="H3" i="22"/>
  <c r="K4" i="21"/>
  <c r="K5" i="21" s="1"/>
  <c r="K6" i="21" s="1"/>
  <c r="K9" i="21" s="1"/>
  <c r="K7" i="21"/>
  <c r="H4" i="42"/>
  <c r="H6" i="42"/>
  <c r="H9" i="42" s="1"/>
  <c r="H2" i="42"/>
  <c r="H3" i="42"/>
  <c r="H7" i="42" s="1"/>
  <c r="H5" i="42"/>
  <c r="I11" i="67"/>
  <c r="I3" i="42"/>
  <c r="I7" i="42" s="1"/>
  <c r="I5" i="42"/>
  <c r="I6" i="42"/>
  <c r="I9" i="42" s="1"/>
  <c r="I2" i="42"/>
  <c r="I4" i="42"/>
  <c r="G5" i="22"/>
  <c r="G7" i="22"/>
  <c r="G2" i="22"/>
  <c r="G3" i="22"/>
  <c r="G6" i="22"/>
  <c r="G9" i="22" s="1"/>
  <c r="G4" i="22"/>
  <c r="P9" i="23"/>
  <c r="P7" i="23"/>
  <c r="P9" i="45"/>
  <c r="P7" i="45"/>
  <c r="F7" i="43"/>
  <c r="F9" i="43" s="1"/>
  <c r="W11" i="106"/>
  <c r="W3" i="11" s="1"/>
  <c r="V4" i="106"/>
  <c r="V3" i="33" s="1"/>
  <c r="S6" i="50"/>
  <c r="S6" i="49"/>
  <c r="S3" i="27"/>
  <c r="S6" i="27" s="1"/>
  <c r="S9" i="27" s="1"/>
  <c r="R9" i="49"/>
  <c r="R3" i="49"/>
  <c r="R5" i="50"/>
  <c r="R7" i="50"/>
  <c r="R3" i="50"/>
  <c r="R4" i="50"/>
  <c r="S9" i="12"/>
  <c r="S3" i="26"/>
  <c r="L4" i="19"/>
  <c r="L9" i="19"/>
  <c r="T13" i="97"/>
  <c r="T5" i="51" s="1"/>
  <c r="V7" i="33"/>
  <c r="T12" i="97"/>
  <c r="T4" i="51" s="1"/>
  <c r="S21" i="100"/>
  <c r="R4" i="40"/>
  <c r="S22" i="100"/>
  <c r="R5" i="40"/>
  <c r="T13" i="100"/>
  <c r="S3" i="18"/>
  <c r="S23" i="100"/>
  <c r="R6" i="40"/>
  <c r="R9" i="40" s="1"/>
  <c r="S20" i="100"/>
  <c r="R3" i="40"/>
  <c r="R7" i="40" s="1"/>
  <c r="T16" i="100"/>
  <c r="S6" i="18"/>
  <c r="T15" i="100"/>
  <c r="S5" i="18"/>
  <c r="T14" i="100"/>
  <c r="S4" i="18"/>
  <c r="L3" i="19"/>
  <c r="L6" i="19"/>
  <c r="L5" i="19"/>
  <c r="L7" i="19"/>
  <c r="L4" i="35"/>
  <c r="N5" i="35"/>
  <c r="L6" i="35"/>
  <c r="L9" i="35" s="1"/>
  <c r="U78" i="100"/>
  <c r="Y20" i="106"/>
  <c r="X13" i="106"/>
  <c r="X5" i="11" s="1"/>
  <c r="T11" i="97"/>
  <c r="T3" i="51" s="1"/>
  <c r="T6" i="51"/>
  <c r="T9" i="51" s="1"/>
  <c r="L9" i="13"/>
  <c r="L7" i="13"/>
  <c r="Y21" i="106"/>
  <c r="X18" i="106"/>
  <c r="X14" i="106"/>
  <c r="W7" i="106"/>
  <c r="W6" i="33" s="1"/>
  <c r="W6" i="11"/>
  <c r="T3" i="97"/>
  <c r="T2" i="29" s="1"/>
  <c r="W4" i="11"/>
  <c r="W5" i="106"/>
  <c r="W4" i="33" s="1"/>
  <c r="M6" i="19"/>
  <c r="Y17" i="106"/>
  <c r="X10" i="106"/>
  <c r="L6" i="41"/>
  <c r="L3" i="41"/>
  <c r="L9" i="41"/>
  <c r="L5" i="41"/>
  <c r="L7" i="41"/>
  <c r="L4" i="41"/>
  <c r="Y19" i="106"/>
  <c r="X12" i="106"/>
  <c r="U13" i="97"/>
  <c r="U5" i="51" s="1"/>
  <c r="U5" i="29"/>
  <c r="T6" i="29"/>
  <c r="T9" i="29" s="1"/>
  <c r="T4" i="97"/>
  <c r="T3" i="29" s="1"/>
  <c r="W3" i="106"/>
  <c r="W2" i="33" s="1"/>
  <c r="W2" i="11"/>
  <c r="L7" i="67"/>
  <c r="L2" i="21" s="1"/>
  <c r="L3" i="21" s="1"/>
  <c r="U5" i="97"/>
  <c r="U4" i="29" s="1"/>
  <c r="U7" i="97"/>
  <c r="U14" i="97" s="1"/>
  <c r="T64" i="100"/>
  <c r="T3" i="48" s="1"/>
  <c r="T6" i="12"/>
  <c r="W5" i="11"/>
  <c r="W6" i="106"/>
  <c r="W5" i="33" s="1"/>
  <c r="S10" i="97"/>
  <c r="S2" i="51" s="1"/>
  <c r="X68" i="100"/>
  <c r="U60" i="100"/>
  <c r="X76" i="100"/>
  <c r="X72" i="100" s="1"/>
  <c r="X58" i="100"/>
  <c r="W55" i="100"/>
  <c r="T40" i="100"/>
  <c r="T47" i="100" s="1"/>
  <c r="W51" i="100"/>
  <c r="T36" i="100"/>
  <c r="T43" i="100" s="1"/>
  <c r="T2" i="50" s="1"/>
  <c r="V5" i="97"/>
  <c r="AB49" i="100"/>
  <c r="Z35" i="100" s="1"/>
  <c r="AA66" i="100"/>
  <c r="K38" i="67"/>
  <c r="K28" i="67" s="1"/>
  <c r="O37" i="67"/>
  <c r="O27" i="67" s="1"/>
  <c r="U73" i="100" l="1"/>
  <c r="U74" i="100" s="1"/>
  <c r="S36" i="67"/>
  <c r="R26" i="67"/>
  <c r="N3" i="44"/>
  <c r="N7" i="44" s="1"/>
  <c r="N2" i="44"/>
  <c r="N6" i="44"/>
  <c r="N9" i="44" s="1"/>
  <c r="N4" i="44"/>
  <c r="O8" i="67"/>
  <c r="O5" i="44" s="1"/>
  <c r="O4" i="67"/>
  <c r="O2" i="41" s="1"/>
  <c r="K16" i="67"/>
  <c r="N2" i="19"/>
  <c r="N9" i="19" s="1"/>
  <c r="J3" i="43"/>
  <c r="J4" i="43"/>
  <c r="J5" i="43"/>
  <c r="J2" i="43"/>
  <c r="J6" i="43"/>
  <c r="I3" i="20"/>
  <c r="I6" i="20"/>
  <c r="I4" i="20"/>
  <c r="I5" i="20"/>
  <c r="I9" i="20"/>
  <c r="I2" i="20"/>
  <c r="I7" i="20"/>
  <c r="T14" i="98"/>
  <c r="S7" i="98"/>
  <c r="V10" i="98"/>
  <c r="U3" i="98"/>
  <c r="V13" i="98"/>
  <c r="U6" i="98"/>
  <c r="V12" i="98"/>
  <c r="U5" i="98"/>
  <c r="S11" i="98"/>
  <c r="R4" i="98"/>
  <c r="I5" i="22"/>
  <c r="I6" i="22"/>
  <c r="I9" i="22" s="1"/>
  <c r="I7" i="22"/>
  <c r="I4" i="22"/>
  <c r="I2" i="22"/>
  <c r="I3" i="22"/>
  <c r="L4" i="21"/>
  <c r="L5" i="21" s="1"/>
  <c r="L6" i="21" s="1"/>
  <c r="L9" i="21" s="1"/>
  <c r="L7" i="21"/>
  <c r="J11" i="67"/>
  <c r="J2" i="42"/>
  <c r="J4" i="42"/>
  <c r="J5" i="42"/>
  <c r="J6" i="42"/>
  <c r="J9" i="42" s="1"/>
  <c r="J3" i="42"/>
  <c r="J7" i="42" s="1"/>
  <c r="Q7" i="45"/>
  <c r="Q9" i="45"/>
  <c r="Q7" i="23"/>
  <c r="Q9" i="23"/>
  <c r="G7" i="43"/>
  <c r="G9" i="43" s="1"/>
  <c r="X11" i="106"/>
  <c r="X3" i="11" s="1"/>
  <c r="X4" i="106"/>
  <c r="X3" i="33" s="1"/>
  <c r="W4" i="106"/>
  <c r="W3" i="33" s="1"/>
  <c r="T6" i="49"/>
  <c r="T3" i="27"/>
  <c r="T6" i="27" s="1"/>
  <c r="T9" i="27" s="1"/>
  <c r="S9" i="49"/>
  <c r="S3" i="49"/>
  <c r="T6" i="50"/>
  <c r="S3" i="50"/>
  <c r="S7" i="50"/>
  <c r="S4" i="50"/>
  <c r="S5" i="50"/>
  <c r="S9" i="50"/>
  <c r="T9" i="12"/>
  <c r="T3" i="26"/>
  <c r="M9" i="19"/>
  <c r="U14" i="100"/>
  <c r="T4" i="18"/>
  <c r="T23" i="100"/>
  <c r="S6" i="40"/>
  <c r="S9" i="40" s="1"/>
  <c r="U15" i="100"/>
  <c r="T5" i="18"/>
  <c r="U13" i="100"/>
  <c r="T3" i="18"/>
  <c r="T10" i="97"/>
  <c r="T2" i="51" s="1"/>
  <c r="U16" i="100"/>
  <c r="T6" i="18"/>
  <c r="T22" i="100"/>
  <c r="S5" i="40"/>
  <c r="T20" i="100"/>
  <c r="S3" i="40"/>
  <c r="S7" i="40" s="1"/>
  <c r="T21" i="100"/>
  <c r="S4" i="40"/>
  <c r="M4" i="35"/>
  <c r="V78" i="100"/>
  <c r="P2" i="35"/>
  <c r="M7" i="67"/>
  <c r="M2" i="21" s="1"/>
  <c r="M3" i="21" s="1"/>
  <c r="U6" i="51"/>
  <c r="U9" i="51" s="1"/>
  <c r="U11" i="97"/>
  <c r="U3" i="51" s="1"/>
  <c r="W7" i="33"/>
  <c r="W9" i="33"/>
  <c r="M3" i="19"/>
  <c r="U64" i="100"/>
  <c r="U3" i="48" s="1"/>
  <c r="U6" i="12"/>
  <c r="U4" i="97"/>
  <c r="U3" i="29" s="1"/>
  <c r="U6" i="29"/>
  <c r="U9" i="29" s="1"/>
  <c r="X3" i="106"/>
  <c r="X2" i="33" s="1"/>
  <c r="X2" i="11"/>
  <c r="X7" i="106"/>
  <c r="X6" i="33" s="1"/>
  <c r="X6" i="11"/>
  <c r="W9" i="11"/>
  <c r="W7" i="11"/>
  <c r="M5" i="19"/>
  <c r="M4" i="19"/>
  <c r="Z17" i="106"/>
  <c r="Y10" i="106"/>
  <c r="Z19" i="106"/>
  <c r="Y12" i="106"/>
  <c r="Y4" i="11" s="1"/>
  <c r="V7" i="97"/>
  <c r="V14" i="97" s="1"/>
  <c r="U12" i="97"/>
  <c r="U4" i="51" s="1"/>
  <c r="X6" i="106"/>
  <c r="X5" i="33" s="1"/>
  <c r="U3" i="97"/>
  <c r="U2" i="29" s="1"/>
  <c r="O5" i="35"/>
  <c r="Y18" i="106"/>
  <c r="Y11" i="106" s="1"/>
  <c r="Z21" i="106"/>
  <c r="Y14" i="106"/>
  <c r="V6" i="97"/>
  <c r="V5" i="29" s="1"/>
  <c r="M7" i="19"/>
  <c r="M6" i="35"/>
  <c r="M9" i="35" s="1"/>
  <c r="Z20" i="106"/>
  <c r="Y13" i="106"/>
  <c r="V12" i="97"/>
  <c r="V4" i="51" s="1"/>
  <c r="V4" i="29"/>
  <c r="X5" i="106"/>
  <c r="X4" i="33" s="1"/>
  <c r="X4" i="11"/>
  <c r="M6" i="41"/>
  <c r="M5" i="41"/>
  <c r="M9" i="41"/>
  <c r="M3" i="41"/>
  <c r="M7" i="41"/>
  <c r="M4" i="41"/>
  <c r="M9" i="13"/>
  <c r="M7" i="13"/>
  <c r="Y76" i="100"/>
  <c r="Y72" i="100" s="1"/>
  <c r="Y58" i="100"/>
  <c r="Y68" i="100"/>
  <c r="V60" i="100"/>
  <c r="X51" i="100"/>
  <c r="U36" i="100"/>
  <c r="U43" i="100" s="1"/>
  <c r="U2" i="50" s="1"/>
  <c r="X55" i="100"/>
  <c r="U40" i="100"/>
  <c r="U47" i="100" s="1"/>
  <c r="AC49" i="100"/>
  <c r="AA35" i="100" s="1"/>
  <c r="AB66" i="100"/>
  <c r="L38" i="67"/>
  <c r="L28" i="67" s="1"/>
  <c r="P37" i="67"/>
  <c r="P27" i="67" s="1"/>
  <c r="S9" i="45" l="1"/>
  <c r="V73" i="100"/>
  <c r="V74" i="100" s="1"/>
  <c r="T36" i="67"/>
  <c r="S26" i="67"/>
  <c r="O4" i="44"/>
  <c r="O2" i="44"/>
  <c r="O6" i="44"/>
  <c r="O9" i="44" s="1"/>
  <c r="O3" i="44"/>
  <c r="O7" i="44" s="1"/>
  <c r="O2" i="19"/>
  <c r="O6" i="19" s="1"/>
  <c r="K2" i="43"/>
  <c r="K3" i="43"/>
  <c r="K4" i="43"/>
  <c r="K5" i="43"/>
  <c r="K6" i="43"/>
  <c r="L12" i="67"/>
  <c r="L16" i="67"/>
  <c r="P8" i="67"/>
  <c r="P4" i="44" s="1"/>
  <c r="P4" i="67"/>
  <c r="P2" i="41" s="1"/>
  <c r="J2" i="20"/>
  <c r="J3" i="20"/>
  <c r="J4" i="20"/>
  <c r="J7" i="20"/>
  <c r="J9" i="20"/>
  <c r="J5" i="20"/>
  <c r="J6" i="20"/>
  <c r="U14" i="98"/>
  <c r="T7" i="98"/>
  <c r="W13" i="98"/>
  <c r="V6" i="98"/>
  <c r="W10" i="98"/>
  <c r="V3" i="98"/>
  <c r="T11" i="98"/>
  <c r="S4" i="98"/>
  <c r="W12" i="98"/>
  <c r="V5" i="98"/>
  <c r="J4" i="22"/>
  <c r="J5" i="22"/>
  <c r="J6" i="22"/>
  <c r="J9" i="22" s="1"/>
  <c r="J7" i="22"/>
  <c r="J3" i="22"/>
  <c r="J2" i="22"/>
  <c r="M4" i="21"/>
  <c r="M5" i="21" s="1"/>
  <c r="M6" i="21" s="1"/>
  <c r="M9" i="21" s="1"/>
  <c r="M7" i="21"/>
  <c r="R7" i="45"/>
  <c r="R9" i="45"/>
  <c r="R7" i="23"/>
  <c r="R9" i="23"/>
  <c r="K12" i="67"/>
  <c r="H7" i="43"/>
  <c r="H9" i="43" s="1"/>
  <c r="Y4" i="106"/>
  <c r="Y3" i="33" s="1"/>
  <c r="Y3" i="11"/>
  <c r="Y5" i="106"/>
  <c r="Y4" i="33" s="1"/>
  <c r="T3" i="50"/>
  <c r="T7" i="50"/>
  <c r="T4" i="50"/>
  <c r="T5" i="50"/>
  <c r="T9" i="50"/>
  <c r="U6" i="49"/>
  <c r="U3" i="27"/>
  <c r="U6" i="27" s="1"/>
  <c r="U9" i="27" s="1"/>
  <c r="U6" i="50"/>
  <c r="U9" i="50" s="1"/>
  <c r="T9" i="49"/>
  <c r="T3" i="49"/>
  <c r="U9" i="12"/>
  <c r="U3" i="26"/>
  <c r="V13" i="100"/>
  <c r="U3" i="18"/>
  <c r="U20" i="100"/>
  <c r="T3" i="40"/>
  <c r="T7" i="40" s="1"/>
  <c r="V15" i="100"/>
  <c r="U5" i="18"/>
  <c r="U22" i="100"/>
  <c r="T5" i="40"/>
  <c r="U23" i="100"/>
  <c r="T6" i="40"/>
  <c r="T9" i="40" s="1"/>
  <c r="U21" i="100"/>
  <c r="T4" i="40"/>
  <c r="V16" i="100"/>
  <c r="U6" i="18"/>
  <c r="V14" i="100"/>
  <c r="U4" i="18"/>
  <c r="N4" i="19"/>
  <c r="N6" i="19"/>
  <c r="N7" i="19"/>
  <c r="N3" i="19"/>
  <c r="N6" i="35"/>
  <c r="N9" i="35" s="1"/>
  <c r="N5" i="19"/>
  <c r="W78" i="100"/>
  <c r="W73" i="100" s="1"/>
  <c r="W74" i="100" s="1"/>
  <c r="Y5" i="11"/>
  <c r="Y6" i="106"/>
  <c r="Y5" i="33" s="1"/>
  <c r="N9" i="13"/>
  <c r="N7" i="13"/>
  <c r="W7" i="97"/>
  <c r="W14" i="97" s="1"/>
  <c r="AA20" i="106"/>
  <c r="Z13" i="106"/>
  <c r="Y2" i="11"/>
  <c r="Y3" i="106"/>
  <c r="Y2" i="33" s="1"/>
  <c r="N3" i="41"/>
  <c r="N7" i="41"/>
  <c r="N4" i="41"/>
  <c r="N9" i="41"/>
  <c r="N6" i="41"/>
  <c r="N5" i="41"/>
  <c r="AA21" i="106"/>
  <c r="Z14" i="106"/>
  <c r="Z6" i="11" s="1"/>
  <c r="Z18" i="106"/>
  <c r="Z11" i="106" s="1"/>
  <c r="V64" i="100"/>
  <c r="V3" i="48" s="1"/>
  <c r="V6" i="12"/>
  <c r="N7" i="67"/>
  <c r="N2" i="21" s="1"/>
  <c r="N3" i="21" s="1"/>
  <c r="AA17" i="106"/>
  <c r="Z10" i="106"/>
  <c r="Q2" i="35"/>
  <c r="V13" i="97"/>
  <c r="V5" i="51" s="1"/>
  <c r="AA19" i="106"/>
  <c r="Z12" i="106"/>
  <c r="W5" i="97"/>
  <c r="W4" i="29" s="1"/>
  <c r="N4" i="35"/>
  <c r="X9" i="11"/>
  <c r="X7" i="11"/>
  <c r="O3" i="41"/>
  <c r="O7" i="41"/>
  <c r="O6" i="41"/>
  <c r="O4" i="41"/>
  <c r="O5" i="41"/>
  <c r="O9" i="41"/>
  <c r="P5" i="35"/>
  <c r="U10" i="97"/>
  <c r="U2" i="51" s="1"/>
  <c r="V6" i="51"/>
  <c r="V9" i="51" s="1"/>
  <c r="V11" i="97"/>
  <c r="V3" i="51" s="1"/>
  <c r="X9" i="33"/>
  <c r="X7" i="33"/>
  <c r="W6" i="97"/>
  <c r="W5" i="29" s="1"/>
  <c r="Y7" i="106"/>
  <c r="Y6" i="33" s="1"/>
  <c r="Y6" i="11"/>
  <c r="V3" i="97"/>
  <c r="V2" i="29" s="1"/>
  <c r="V4" i="97"/>
  <c r="V3" i="29" s="1"/>
  <c r="V6" i="29"/>
  <c r="V9" i="29" s="1"/>
  <c r="Z76" i="100"/>
  <c r="Z72" i="100" s="1"/>
  <c r="Z58" i="100"/>
  <c r="Z68" i="100"/>
  <c r="W60" i="100"/>
  <c r="Y55" i="100"/>
  <c r="V40" i="100"/>
  <c r="V47" i="100" s="1"/>
  <c r="Y51" i="100"/>
  <c r="V36" i="100"/>
  <c r="V43" i="100" s="1"/>
  <c r="V2" i="50" s="1"/>
  <c r="X6" i="97"/>
  <c r="AD49" i="100"/>
  <c r="AB35" i="100" s="1"/>
  <c r="AC66" i="100"/>
  <c r="M38" i="67"/>
  <c r="M28" i="67" s="1"/>
  <c r="Q37" i="67"/>
  <c r="Q27" i="67" s="1"/>
  <c r="U36" i="67" l="1"/>
  <c r="T26" i="67"/>
  <c r="P3" i="44"/>
  <c r="P7" i="44" s="1"/>
  <c r="P6" i="44"/>
  <c r="P9" i="44" s="1"/>
  <c r="P5" i="44"/>
  <c r="P2" i="44"/>
  <c r="P2" i="19"/>
  <c r="P7" i="19" s="1"/>
  <c r="K2" i="20"/>
  <c r="K3" i="20"/>
  <c r="K4" i="20"/>
  <c r="K6" i="20"/>
  <c r="K7" i="20"/>
  <c r="K9" i="20"/>
  <c r="K5" i="20"/>
  <c r="Q8" i="67"/>
  <c r="Q6" i="44" s="1"/>
  <c r="Q9" i="44" s="1"/>
  <c r="Q4" i="67"/>
  <c r="Q2" i="41" s="1"/>
  <c r="M12" i="67"/>
  <c r="M16" i="67"/>
  <c r="L9" i="20"/>
  <c r="L2" i="20"/>
  <c r="L3" i="20"/>
  <c r="L5" i="20"/>
  <c r="L6" i="20"/>
  <c r="L7" i="20"/>
  <c r="L4" i="20"/>
  <c r="L2" i="43"/>
  <c r="L3" i="43"/>
  <c r="L6" i="43"/>
  <c r="L5" i="43"/>
  <c r="L4" i="43"/>
  <c r="X10" i="98"/>
  <c r="W3" i="98"/>
  <c r="U11" i="98"/>
  <c r="T4" i="98"/>
  <c r="V14" i="98"/>
  <c r="U7" i="98"/>
  <c r="S7" i="45"/>
  <c r="X12" i="98"/>
  <c r="W5" i="98"/>
  <c r="X13" i="98"/>
  <c r="W6" i="98"/>
  <c r="N4" i="21"/>
  <c r="N5" i="21" s="1"/>
  <c r="N6" i="21" s="1"/>
  <c r="N9" i="21" s="1"/>
  <c r="N7" i="21"/>
  <c r="K11" i="67"/>
  <c r="K3" i="42"/>
  <c r="K7" i="42" s="1"/>
  <c r="K4" i="42"/>
  <c r="K5" i="42"/>
  <c r="K6" i="42"/>
  <c r="K9" i="42" s="1"/>
  <c r="K2" i="42"/>
  <c r="L11" i="67"/>
  <c r="L2" i="42"/>
  <c r="L3" i="42"/>
  <c r="L7" i="42" s="1"/>
  <c r="L4" i="42"/>
  <c r="L5" i="42"/>
  <c r="L6" i="42"/>
  <c r="L9" i="42" s="1"/>
  <c r="S7" i="23"/>
  <c r="S9" i="23"/>
  <c r="I7" i="43"/>
  <c r="I9" i="43" s="1"/>
  <c r="Z4" i="106"/>
  <c r="Z3" i="33" s="1"/>
  <c r="Z3" i="11"/>
  <c r="V6" i="49"/>
  <c r="V3" i="27"/>
  <c r="V6" i="27" s="1"/>
  <c r="V9" i="27" s="1"/>
  <c r="U9" i="49"/>
  <c r="U3" i="49"/>
  <c r="V6" i="50"/>
  <c r="U5" i="50"/>
  <c r="U4" i="50"/>
  <c r="U7" i="50"/>
  <c r="U3" i="50"/>
  <c r="V9" i="12"/>
  <c r="V3" i="26"/>
  <c r="O7" i="19"/>
  <c r="O4" i="19"/>
  <c r="O9" i="19"/>
  <c r="Z7" i="106"/>
  <c r="Z6" i="33" s="1"/>
  <c r="Z9" i="33" s="1"/>
  <c r="W14" i="100"/>
  <c r="V4" i="18"/>
  <c r="V22" i="100"/>
  <c r="U5" i="40"/>
  <c r="W16" i="100"/>
  <c r="V6" i="18"/>
  <c r="W15" i="100"/>
  <c r="V5" i="18"/>
  <c r="V21" i="100"/>
  <c r="U4" i="40"/>
  <c r="V20" i="100"/>
  <c r="U3" i="40"/>
  <c r="U7" i="40" s="1"/>
  <c r="W12" i="97"/>
  <c r="W4" i="51" s="1"/>
  <c r="V23" i="100"/>
  <c r="U6" i="40"/>
  <c r="U9" i="40" s="1"/>
  <c r="W13" i="100"/>
  <c r="V3" i="18"/>
  <c r="O5" i="19"/>
  <c r="O3" i="19"/>
  <c r="O4" i="35"/>
  <c r="X78" i="100"/>
  <c r="W11" i="97"/>
  <c r="W3" i="51" s="1"/>
  <c r="W6" i="51"/>
  <c r="W9" i="51" s="1"/>
  <c r="AA14" i="106"/>
  <c r="AA6" i="11" s="1"/>
  <c r="AB21" i="106"/>
  <c r="AA18" i="106"/>
  <c r="X7" i="97"/>
  <c r="X14" i="97" s="1"/>
  <c r="W3" i="97"/>
  <c r="AB20" i="106"/>
  <c r="AA13" i="106"/>
  <c r="X5" i="97"/>
  <c r="X4" i="29" s="1"/>
  <c r="Y9" i="11"/>
  <c r="Y7" i="11"/>
  <c r="W4" i="97"/>
  <c r="W3" i="29" s="1"/>
  <c r="W6" i="29"/>
  <c r="W9" i="29" s="1"/>
  <c r="X13" i="97"/>
  <c r="X5" i="51" s="1"/>
  <c r="X5" i="29"/>
  <c r="Y7" i="33"/>
  <c r="Y9" i="33"/>
  <c r="W13" i="97"/>
  <c r="W5" i="51" s="1"/>
  <c r="Z3" i="106"/>
  <c r="Z2" i="33" s="1"/>
  <c r="Z2" i="11"/>
  <c r="Q5" i="35"/>
  <c r="AB17" i="106"/>
  <c r="AA10" i="106"/>
  <c r="AA2" i="11" s="1"/>
  <c r="O6" i="35"/>
  <c r="O9" i="35" s="1"/>
  <c r="W64" i="100"/>
  <c r="W3" i="48" s="1"/>
  <c r="W6" i="12"/>
  <c r="Z4" i="11"/>
  <c r="Z5" i="106"/>
  <c r="Z4" i="33" s="1"/>
  <c r="V10" i="97"/>
  <c r="V2" i="51" s="1"/>
  <c r="AA12" i="106"/>
  <c r="AB19" i="106"/>
  <c r="Z9" i="11"/>
  <c r="Z7" i="11"/>
  <c r="Z5" i="11"/>
  <c r="Z6" i="106"/>
  <c r="Z5" i="33" s="1"/>
  <c r="O7" i="67"/>
  <c r="O2" i="21" s="1"/>
  <c r="O3" i="21" s="1"/>
  <c r="AA76" i="100"/>
  <c r="AA72" i="100" s="1"/>
  <c r="AA58" i="100"/>
  <c r="AA68" i="100"/>
  <c r="X60" i="100"/>
  <c r="Z51" i="100"/>
  <c r="W36" i="100"/>
  <c r="W43" i="100" s="1"/>
  <c r="W2" i="50" s="1"/>
  <c r="Z55" i="100"/>
  <c r="W40" i="100"/>
  <c r="W47" i="100" s="1"/>
  <c r="Y7" i="97"/>
  <c r="AE49" i="100"/>
  <c r="AC35" i="100" s="1"/>
  <c r="AD66" i="100"/>
  <c r="N38" i="67"/>
  <c r="N28" i="67" s="1"/>
  <c r="R37" i="67"/>
  <c r="R27" i="67" s="1"/>
  <c r="X73" i="100" l="1"/>
  <c r="X74" i="100" s="1"/>
  <c r="V36" i="67"/>
  <c r="U26" i="67"/>
  <c r="Q2" i="19"/>
  <c r="Q4" i="44"/>
  <c r="Q3" i="44"/>
  <c r="Q7" i="44" s="1"/>
  <c r="Q5" i="44"/>
  <c r="R8" i="67"/>
  <c r="R2" i="44" s="1"/>
  <c r="R4" i="67"/>
  <c r="R2" i="41" s="1"/>
  <c r="M4" i="43"/>
  <c r="M2" i="43"/>
  <c r="M3" i="43"/>
  <c r="M5" i="43"/>
  <c r="M6" i="43"/>
  <c r="N16" i="67"/>
  <c r="Q2" i="44"/>
  <c r="Y10" i="98"/>
  <c r="X3" i="98"/>
  <c r="W14" i="98"/>
  <c r="V7" i="98"/>
  <c r="Y13" i="98"/>
  <c r="X6" i="98"/>
  <c r="V11" i="98"/>
  <c r="U4" i="98"/>
  <c r="Y12" i="98"/>
  <c r="X5" i="98"/>
  <c r="M11" i="67"/>
  <c r="M2" i="42"/>
  <c r="M3" i="42"/>
  <c r="M7" i="42" s="1"/>
  <c r="M4" i="42"/>
  <c r="M5" i="42"/>
  <c r="M6" i="42"/>
  <c r="M9" i="42" s="1"/>
  <c r="L2" i="22"/>
  <c r="L3" i="22"/>
  <c r="L4" i="22"/>
  <c r="L5" i="22"/>
  <c r="L6" i="22"/>
  <c r="L9" i="22" s="1"/>
  <c r="L7" i="22"/>
  <c r="O4" i="21"/>
  <c r="O5" i="21" s="1"/>
  <c r="O6" i="21" s="1"/>
  <c r="O9" i="21" s="1"/>
  <c r="O7" i="21"/>
  <c r="K3" i="22"/>
  <c r="K4" i="22"/>
  <c r="K5" i="22"/>
  <c r="K6" i="22"/>
  <c r="K9" i="22" s="1"/>
  <c r="K7" i="22"/>
  <c r="K2" i="22"/>
  <c r="T7" i="23"/>
  <c r="T9" i="23"/>
  <c r="T7" i="45"/>
  <c r="T9" i="45"/>
  <c r="J7" i="43"/>
  <c r="J9" i="43" s="1"/>
  <c r="AA11" i="106"/>
  <c r="AA3" i="11" s="1"/>
  <c r="AA4" i="106"/>
  <c r="AA3" i="33" s="1"/>
  <c r="Z7" i="33"/>
  <c r="W6" i="49"/>
  <c r="W3" i="27"/>
  <c r="W6" i="27" s="1"/>
  <c r="W9" i="27" s="1"/>
  <c r="W6" i="50"/>
  <c r="V4" i="50"/>
  <c r="V7" i="50"/>
  <c r="V3" i="50"/>
  <c r="V5" i="50"/>
  <c r="V9" i="50"/>
  <c r="V9" i="49"/>
  <c r="V3" i="49"/>
  <c r="W9" i="12"/>
  <c r="W3" i="26"/>
  <c r="X15" i="100"/>
  <c r="W5" i="18"/>
  <c r="W23" i="100"/>
  <c r="V6" i="40"/>
  <c r="V9" i="40" s="1"/>
  <c r="X16" i="100"/>
  <c r="W6" i="18"/>
  <c r="X12" i="97"/>
  <c r="X4" i="51" s="1"/>
  <c r="W20" i="100"/>
  <c r="V3" i="40"/>
  <c r="V7" i="40" s="1"/>
  <c r="W22" i="100"/>
  <c r="V5" i="40"/>
  <c r="X13" i="100"/>
  <c r="W3" i="18"/>
  <c r="AA3" i="106"/>
  <c r="AA2" i="33" s="1"/>
  <c r="W21" i="100"/>
  <c r="V4" i="40"/>
  <c r="X14" i="100"/>
  <c r="W4" i="18"/>
  <c r="P4" i="19"/>
  <c r="P5" i="19"/>
  <c r="P9" i="19"/>
  <c r="P3" i="19"/>
  <c r="P4" i="35"/>
  <c r="P6" i="19"/>
  <c r="P6" i="35"/>
  <c r="P9" i="35" s="1"/>
  <c r="R5" i="35"/>
  <c r="Y78" i="100"/>
  <c r="X11" i="97"/>
  <c r="X3" i="51" s="1"/>
  <c r="X6" i="51"/>
  <c r="X9" i="51" s="1"/>
  <c r="Y14" i="97"/>
  <c r="Y6" i="29"/>
  <c r="Y4" i="97"/>
  <c r="Y3" i="29" s="1"/>
  <c r="Y6" i="97"/>
  <c r="Y5" i="29" s="1"/>
  <c r="AA5" i="106"/>
  <c r="AA4" i="33" s="1"/>
  <c r="AA4" i="11"/>
  <c r="AA9" i="11"/>
  <c r="AA7" i="11"/>
  <c r="AB12" i="106"/>
  <c r="AB4" i="11" s="1"/>
  <c r="AC19" i="106"/>
  <c r="X4" i="97"/>
  <c r="X3" i="29" s="1"/>
  <c r="X6" i="29"/>
  <c r="X9" i="29" s="1"/>
  <c r="P7" i="67"/>
  <c r="P2" i="21" s="1"/>
  <c r="P3" i="21" s="1"/>
  <c r="AC20" i="106"/>
  <c r="AB13" i="106"/>
  <c r="AB5" i="11" s="1"/>
  <c r="Q9" i="19"/>
  <c r="X64" i="100"/>
  <c r="X3" i="48" s="1"/>
  <c r="X6" i="12"/>
  <c r="P4" i="41"/>
  <c r="P5" i="41"/>
  <c r="P3" i="41"/>
  <c r="P7" i="41"/>
  <c r="P9" i="41"/>
  <c r="P6" i="41"/>
  <c r="P7" i="13"/>
  <c r="P9" i="13"/>
  <c r="AC17" i="106"/>
  <c r="AB10" i="106"/>
  <c r="W10" i="97"/>
  <c r="W2" i="51" s="1"/>
  <c r="W2" i="29"/>
  <c r="AA5" i="11"/>
  <c r="AA6" i="106"/>
  <c r="AA5" i="33" s="1"/>
  <c r="AB14" i="106"/>
  <c r="AC21" i="106"/>
  <c r="AB18" i="106"/>
  <c r="X3" i="97"/>
  <c r="X2" i="29" s="1"/>
  <c r="Y5" i="97"/>
  <c r="Y4" i="29" s="1"/>
  <c r="AA7" i="106"/>
  <c r="AA6" i="33" s="1"/>
  <c r="O9" i="13"/>
  <c r="O7" i="13"/>
  <c r="AB76" i="100"/>
  <c r="AB72" i="100" s="1"/>
  <c r="AB58" i="100"/>
  <c r="AB68" i="100"/>
  <c r="Y60" i="100"/>
  <c r="AA55" i="100"/>
  <c r="X40" i="100"/>
  <c r="X47" i="100" s="1"/>
  <c r="AA51" i="100"/>
  <c r="X36" i="100"/>
  <c r="X43" i="100" s="1"/>
  <c r="X2" i="50" s="1"/>
  <c r="AF49" i="100"/>
  <c r="AD35" i="100" s="1"/>
  <c r="AE66" i="100"/>
  <c r="O38" i="67"/>
  <c r="O28" i="67" s="1"/>
  <c r="S37" i="67"/>
  <c r="S27" i="67" s="1"/>
  <c r="U9" i="23" l="1"/>
  <c r="S5" i="35"/>
  <c r="Y73" i="100"/>
  <c r="Y74" i="100" s="1"/>
  <c r="R2" i="19"/>
  <c r="R5" i="19" s="1"/>
  <c r="W36" i="67"/>
  <c r="V26" i="67"/>
  <c r="R5" i="44"/>
  <c r="R4" i="44"/>
  <c r="R6" i="44"/>
  <c r="R9" i="44" s="1"/>
  <c r="R3" i="44"/>
  <c r="R7" i="44" s="1"/>
  <c r="S8" i="67"/>
  <c r="S5" i="44" s="1"/>
  <c r="S4" i="67"/>
  <c r="S2" i="41" s="1"/>
  <c r="O16" i="67"/>
  <c r="M7" i="20"/>
  <c r="M9" i="20"/>
  <c r="M4" i="20"/>
  <c r="M5" i="20"/>
  <c r="M6" i="20"/>
  <c r="M2" i="20"/>
  <c r="M3" i="20"/>
  <c r="N3" i="43"/>
  <c r="N4" i="43"/>
  <c r="N5" i="43"/>
  <c r="N6" i="43"/>
  <c r="N2" i="43"/>
  <c r="Z13" i="98"/>
  <c r="Y6" i="98"/>
  <c r="Z12" i="98"/>
  <c r="Y5" i="98"/>
  <c r="X14" i="98"/>
  <c r="W7" i="98"/>
  <c r="W11" i="98"/>
  <c r="V4" i="98"/>
  <c r="Z10" i="98"/>
  <c r="Y3" i="98"/>
  <c r="M7" i="22"/>
  <c r="M2" i="22"/>
  <c r="M3" i="22"/>
  <c r="M4" i="22"/>
  <c r="M5" i="22"/>
  <c r="M6" i="22"/>
  <c r="M9" i="22" s="1"/>
  <c r="P4" i="21"/>
  <c r="P5" i="21" s="1"/>
  <c r="P6" i="21" s="1"/>
  <c r="P9" i="21" s="1"/>
  <c r="P7" i="21"/>
  <c r="U7" i="45"/>
  <c r="U9" i="45"/>
  <c r="N12" i="67"/>
  <c r="K7" i="43"/>
  <c r="K9" i="43" s="1"/>
  <c r="AB11" i="106"/>
  <c r="AB3" i="11" s="1"/>
  <c r="AB4" i="106"/>
  <c r="AB3" i="33" s="1"/>
  <c r="X6" i="50"/>
  <c r="X6" i="49"/>
  <c r="X3" i="27"/>
  <c r="X6" i="27" s="1"/>
  <c r="X9" i="27" s="1"/>
  <c r="W3" i="50"/>
  <c r="W4" i="50"/>
  <c r="W7" i="50"/>
  <c r="W5" i="50"/>
  <c r="W9" i="50"/>
  <c r="W9" i="49"/>
  <c r="W3" i="49"/>
  <c r="X9" i="12"/>
  <c r="X3" i="26"/>
  <c r="Q6" i="19"/>
  <c r="Q5" i="19"/>
  <c r="Q7" i="19"/>
  <c r="Q4" i="19"/>
  <c r="Q3" i="19"/>
  <c r="AB6" i="106"/>
  <c r="AB5" i="33" s="1"/>
  <c r="X20" i="100"/>
  <c r="W3" i="40"/>
  <c r="W7" i="40" s="1"/>
  <c r="X21" i="100"/>
  <c r="W4" i="40"/>
  <c r="X10" i="97"/>
  <c r="X2" i="51" s="1"/>
  <c r="Y16" i="100"/>
  <c r="X6" i="18"/>
  <c r="Y13" i="100"/>
  <c r="X3" i="18"/>
  <c r="X23" i="100"/>
  <c r="W6" i="40"/>
  <c r="W9" i="40" s="1"/>
  <c r="X22" i="100"/>
  <c r="W5" i="40"/>
  <c r="AB5" i="106"/>
  <c r="AB4" i="33" s="1"/>
  <c r="Y14" i="100"/>
  <c r="X4" i="18"/>
  <c r="Y15" i="100"/>
  <c r="X5" i="18"/>
  <c r="Z78" i="100"/>
  <c r="Z73" i="100" s="1"/>
  <c r="Z74" i="100" s="1"/>
  <c r="Y12" i="97"/>
  <c r="Y4" i="51" s="1"/>
  <c r="Q4" i="35"/>
  <c r="Y64" i="100"/>
  <c r="Y3" i="48" s="1"/>
  <c r="Y6" i="12"/>
  <c r="AC14" i="106"/>
  <c r="AC18" i="106"/>
  <c r="AD21" i="106"/>
  <c r="AD20" i="106"/>
  <c r="AC13" i="106"/>
  <c r="R5" i="41"/>
  <c r="R9" i="41"/>
  <c r="R6" i="41"/>
  <c r="R4" i="41"/>
  <c r="R3" i="41"/>
  <c r="R7" i="41"/>
  <c r="AB7" i="106"/>
  <c r="AB6" i="33" s="1"/>
  <c r="AB6" i="11"/>
  <c r="AB3" i="106"/>
  <c r="AB2" i="33" s="1"/>
  <c r="AB2" i="11"/>
  <c r="Q4" i="41"/>
  <c r="Q3" i="41"/>
  <c r="Q7" i="41"/>
  <c r="Q5" i="41"/>
  <c r="Q9" i="41"/>
  <c r="Q6" i="41"/>
  <c r="AC12" i="106"/>
  <c r="AD19" i="106"/>
  <c r="AA7" i="33"/>
  <c r="AA9" i="33"/>
  <c r="AC10" i="106"/>
  <c r="AD17" i="106"/>
  <c r="Y11" i="97"/>
  <c r="Y3" i="51" s="1"/>
  <c r="Y6" i="51"/>
  <c r="Y9" i="51" s="1"/>
  <c r="Q7" i="67"/>
  <c r="Q2" i="21" s="1"/>
  <c r="Q3" i="21" s="1"/>
  <c r="Z6" i="97"/>
  <c r="Z5" i="29" s="1"/>
  <c r="Y3" i="97"/>
  <c r="Y2" i="29" s="1"/>
  <c r="Q6" i="35"/>
  <c r="Q9" i="35" s="1"/>
  <c r="Y13" i="97"/>
  <c r="Y5" i="51" s="1"/>
  <c r="Z7" i="97"/>
  <c r="Z14" i="97" s="1"/>
  <c r="Z5" i="97"/>
  <c r="Z4" i="29" s="1"/>
  <c r="AC76" i="100"/>
  <c r="AC72" i="100" s="1"/>
  <c r="AC58" i="100"/>
  <c r="AC68" i="100"/>
  <c r="Z60" i="100"/>
  <c r="AB51" i="100"/>
  <c r="Y36" i="100"/>
  <c r="Y43" i="100" s="1"/>
  <c r="Y2" i="50" s="1"/>
  <c r="AB55" i="100"/>
  <c r="Y40" i="100"/>
  <c r="Y47" i="100" s="1"/>
  <c r="AA5" i="97"/>
  <c r="Y9" i="29"/>
  <c r="AF66" i="100"/>
  <c r="AG49" i="100"/>
  <c r="AE35" i="100" s="1"/>
  <c r="P38" i="67"/>
  <c r="P28" i="67" s="1"/>
  <c r="T37" i="67"/>
  <c r="T27" i="67" s="1"/>
  <c r="U7" i="23" l="1"/>
  <c r="V7" i="45"/>
  <c r="R6" i="35"/>
  <c r="R9" i="35" s="1"/>
  <c r="S3" i="44"/>
  <c r="S7" i="44" s="1"/>
  <c r="X36" i="67"/>
  <c r="W26" i="67"/>
  <c r="S2" i="44"/>
  <c r="S4" i="44"/>
  <c r="S6" i="44"/>
  <c r="S9" i="44" s="1"/>
  <c r="S2" i="19"/>
  <c r="S6" i="19" s="1"/>
  <c r="T8" i="67"/>
  <c r="T2" i="44" s="1"/>
  <c r="T4" i="67"/>
  <c r="T2" i="41" s="1"/>
  <c r="N6" i="20"/>
  <c r="N7" i="20"/>
  <c r="N9" i="20"/>
  <c r="N3" i="20"/>
  <c r="N4" i="20"/>
  <c r="N5" i="20"/>
  <c r="N2" i="20"/>
  <c r="O5" i="20"/>
  <c r="O9" i="20"/>
  <c r="O6" i="20"/>
  <c r="O7" i="20"/>
  <c r="O2" i="20"/>
  <c r="O3" i="20"/>
  <c r="O4" i="20"/>
  <c r="O6" i="43"/>
  <c r="O2" i="43"/>
  <c r="O3" i="43"/>
  <c r="O4" i="43"/>
  <c r="O5" i="43"/>
  <c r="P16" i="67"/>
  <c r="Y14" i="98"/>
  <c r="X7" i="98"/>
  <c r="X11" i="98"/>
  <c r="W4" i="98"/>
  <c r="AA13" i="98"/>
  <c r="Z6" i="98"/>
  <c r="AA10" i="98"/>
  <c r="Z3" i="98"/>
  <c r="AA12" i="98"/>
  <c r="Z5" i="98"/>
  <c r="N11" i="67"/>
  <c r="N6" i="42"/>
  <c r="N9" i="42" s="1"/>
  <c r="N2" i="42"/>
  <c r="N3" i="42"/>
  <c r="N7" i="42" s="1"/>
  <c r="N4" i="42"/>
  <c r="N5" i="42"/>
  <c r="Q4" i="21"/>
  <c r="Q5" i="21" s="1"/>
  <c r="Q6" i="21" s="1"/>
  <c r="Q9" i="21" s="1"/>
  <c r="Q7" i="21"/>
  <c r="W9" i="45"/>
  <c r="V9" i="45"/>
  <c r="V7" i="23"/>
  <c r="V9" i="23"/>
  <c r="O12" i="67"/>
  <c r="O11" i="67" s="1"/>
  <c r="L7" i="43"/>
  <c r="L9" i="43" s="1"/>
  <c r="AC11" i="106"/>
  <c r="AC3" i="11" s="1"/>
  <c r="AC4" i="106"/>
  <c r="AC3" i="33" s="1"/>
  <c r="Y6" i="50"/>
  <c r="X9" i="49"/>
  <c r="X3" i="49"/>
  <c r="X5" i="50"/>
  <c r="X7" i="50"/>
  <c r="X4" i="50"/>
  <c r="X3" i="50"/>
  <c r="Y6" i="49"/>
  <c r="Y3" i="27"/>
  <c r="Y6" i="27" s="1"/>
  <c r="Y9" i="27" s="1"/>
  <c r="X9" i="50"/>
  <c r="Y9" i="12"/>
  <c r="Y3" i="26"/>
  <c r="R4" i="19"/>
  <c r="Z13" i="97"/>
  <c r="Z5" i="51" s="1"/>
  <c r="Y10" i="97"/>
  <c r="Y2" i="51" s="1"/>
  <c r="Z14" i="100"/>
  <c r="Y4" i="18"/>
  <c r="Z16" i="100"/>
  <c r="Y6" i="18"/>
  <c r="Z13" i="100"/>
  <c r="Y3" i="18"/>
  <c r="Y22" i="100"/>
  <c r="X5" i="40"/>
  <c r="Y21" i="100"/>
  <c r="X4" i="40"/>
  <c r="Y23" i="100"/>
  <c r="X6" i="40"/>
  <c r="X9" i="40" s="1"/>
  <c r="Z15" i="100"/>
  <c r="Y5" i="18"/>
  <c r="Y20" i="100"/>
  <c r="X3" i="40"/>
  <c r="X7" i="40" s="1"/>
  <c r="R7" i="19"/>
  <c r="R3" i="19"/>
  <c r="R6" i="19"/>
  <c r="R9" i="19"/>
  <c r="AA78" i="100"/>
  <c r="Z11" i="97"/>
  <c r="Z3" i="51" s="1"/>
  <c r="Z6" i="51"/>
  <c r="Z9" i="51" s="1"/>
  <c r="Q7" i="13"/>
  <c r="Q9" i="13"/>
  <c r="AE19" i="106"/>
  <c r="AD12" i="106"/>
  <c r="Z64" i="100"/>
  <c r="Z3" i="48" s="1"/>
  <c r="Z6" i="12"/>
  <c r="Z12" i="97"/>
  <c r="Z4" i="51" s="1"/>
  <c r="AE17" i="106"/>
  <c r="AD10" i="106"/>
  <c r="AC5" i="106"/>
  <c r="AC4" i="33" s="1"/>
  <c r="AC4" i="11"/>
  <c r="AC5" i="11"/>
  <c r="AC6" i="106"/>
  <c r="AC5" i="33" s="1"/>
  <c r="AC3" i="106"/>
  <c r="AC2" i="33" s="1"/>
  <c r="AC2" i="11"/>
  <c r="AD13" i="106"/>
  <c r="AE20" i="106"/>
  <c r="AB9" i="11"/>
  <c r="AB7" i="11"/>
  <c r="AD14" i="106"/>
  <c r="AD18" i="106"/>
  <c r="AE21" i="106"/>
  <c r="AA12" i="97"/>
  <c r="AA4" i="51" s="1"/>
  <c r="AA4" i="29"/>
  <c r="AA7" i="97"/>
  <c r="AA14" i="97" s="1"/>
  <c r="S5" i="41"/>
  <c r="S9" i="41"/>
  <c r="S4" i="41"/>
  <c r="S6" i="41"/>
  <c r="S7" i="41"/>
  <c r="S3" i="41"/>
  <c r="T5" i="35"/>
  <c r="AB9" i="33"/>
  <c r="AB7" i="33"/>
  <c r="R7" i="67"/>
  <c r="R2" i="21" s="1"/>
  <c r="R3" i="21" s="1"/>
  <c r="AA6" i="97"/>
  <c r="AA5" i="29" s="1"/>
  <c r="Z4" i="97"/>
  <c r="Z3" i="29" s="1"/>
  <c r="Z6" i="29"/>
  <c r="Z9" i="29" s="1"/>
  <c r="AC7" i="106"/>
  <c r="AC6" i="33" s="1"/>
  <c r="AC6" i="11"/>
  <c r="Z3" i="97"/>
  <c r="AD76" i="100"/>
  <c r="AD72" i="100" s="1"/>
  <c r="AD58" i="100"/>
  <c r="AD68" i="100"/>
  <c r="AA60" i="100"/>
  <c r="AC55" i="100"/>
  <c r="Z40" i="100"/>
  <c r="Z47" i="100" s="1"/>
  <c r="AC51" i="100"/>
  <c r="Z36" i="100"/>
  <c r="Z43" i="100" s="1"/>
  <c r="Z2" i="50" s="1"/>
  <c r="AH49" i="100"/>
  <c r="AG66" i="100"/>
  <c r="Q38" i="67"/>
  <c r="Q28" i="67" s="1"/>
  <c r="U37" i="67"/>
  <c r="U27" i="67" s="1"/>
  <c r="W7" i="23" l="1"/>
  <c r="W7" i="45"/>
  <c r="U5" i="35"/>
  <c r="S6" i="35"/>
  <c r="S9" i="35" s="1"/>
  <c r="S9" i="13"/>
  <c r="R4" i="35"/>
  <c r="AA73" i="100"/>
  <c r="AA74" i="100" s="1"/>
  <c r="Y36" i="67"/>
  <c r="X26" i="67"/>
  <c r="T4" i="44"/>
  <c r="T3" i="44"/>
  <c r="T7" i="44" s="1"/>
  <c r="T6" i="44"/>
  <c r="T9" i="44" s="1"/>
  <c r="T2" i="19"/>
  <c r="T5" i="19" s="1"/>
  <c r="T5" i="44"/>
  <c r="P4" i="20"/>
  <c r="P5" i="20"/>
  <c r="P6" i="20"/>
  <c r="P7" i="20"/>
  <c r="P9" i="20"/>
  <c r="P2" i="20"/>
  <c r="P3" i="20"/>
  <c r="U8" i="67"/>
  <c r="U6" i="44" s="1"/>
  <c r="U9" i="44" s="1"/>
  <c r="U4" i="67"/>
  <c r="U2" i="41" s="1"/>
  <c r="Q16" i="67"/>
  <c r="P5" i="43"/>
  <c r="P6" i="43"/>
  <c r="P2" i="43"/>
  <c r="P3" i="43"/>
  <c r="P4" i="43"/>
  <c r="AB13" i="98"/>
  <c r="AA6" i="98"/>
  <c r="AB12" i="98"/>
  <c r="AA5" i="98"/>
  <c r="Y11" i="98"/>
  <c r="X4" i="98"/>
  <c r="AB10" i="98"/>
  <c r="AA3" i="98"/>
  <c r="Z14" i="98"/>
  <c r="Y7" i="98"/>
  <c r="O5" i="22"/>
  <c r="O7" i="22"/>
  <c r="O2" i="22"/>
  <c r="O3" i="22"/>
  <c r="O6" i="22"/>
  <c r="O9" i="22" s="1"/>
  <c r="O4" i="22"/>
  <c r="O5" i="42"/>
  <c r="O2" i="42"/>
  <c r="O3" i="42"/>
  <c r="O7" i="42" s="1"/>
  <c r="O6" i="42"/>
  <c r="O9" i="42" s="1"/>
  <c r="O4" i="42"/>
  <c r="R4" i="21"/>
  <c r="R5" i="21" s="1"/>
  <c r="R6" i="21" s="1"/>
  <c r="R9" i="21" s="1"/>
  <c r="R7" i="21"/>
  <c r="N6" i="22"/>
  <c r="N9" i="22" s="1"/>
  <c r="N2" i="22"/>
  <c r="N3" i="22"/>
  <c r="N4" i="22"/>
  <c r="N7" i="22"/>
  <c r="N5" i="22"/>
  <c r="W9" i="23"/>
  <c r="P12" i="67"/>
  <c r="M7" i="43"/>
  <c r="M9" i="43" s="1"/>
  <c r="S4" i="19"/>
  <c r="AD11" i="106"/>
  <c r="AD3" i="11" s="1"/>
  <c r="Z6" i="50"/>
  <c r="Y5" i="50"/>
  <c r="Y7" i="50"/>
  <c r="Y3" i="50"/>
  <c r="Y4" i="50"/>
  <c r="Z6" i="49"/>
  <c r="Z3" i="27"/>
  <c r="Z6" i="27" s="1"/>
  <c r="Z9" i="27" s="1"/>
  <c r="Y9" i="49"/>
  <c r="Y3" i="49"/>
  <c r="Y9" i="50"/>
  <c r="Z9" i="12"/>
  <c r="Z3" i="26"/>
  <c r="S5" i="19"/>
  <c r="S7" i="19"/>
  <c r="Z20" i="100"/>
  <c r="Y3" i="40"/>
  <c r="Y7" i="40" s="1"/>
  <c r="Z22" i="100"/>
  <c r="Y5" i="40"/>
  <c r="AA15" i="100"/>
  <c r="Z5" i="18"/>
  <c r="AA13" i="100"/>
  <c r="Z3" i="18"/>
  <c r="Z23" i="100"/>
  <c r="Y6" i="40"/>
  <c r="Y9" i="40" s="1"/>
  <c r="AA16" i="100"/>
  <c r="Z6" i="18"/>
  <c r="Z21" i="100"/>
  <c r="Y4" i="40"/>
  <c r="AA14" i="100"/>
  <c r="Z4" i="18"/>
  <c r="S9" i="19"/>
  <c r="S3" i="19"/>
  <c r="AB78" i="100"/>
  <c r="AF20" i="106"/>
  <c r="AE13" i="106"/>
  <c r="S4" i="35"/>
  <c r="AB7" i="97"/>
  <c r="AB14" i="97" s="1"/>
  <c r="AE18" i="106"/>
  <c r="AE14" i="106"/>
  <c r="AF21" i="106"/>
  <c r="AD5" i="11"/>
  <c r="AD6" i="106"/>
  <c r="AD5" i="33" s="1"/>
  <c r="AB5" i="97"/>
  <c r="AB4" i="29" s="1"/>
  <c r="AC7" i="11"/>
  <c r="AC9" i="11"/>
  <c r="AD5" i="106"/>
  <c r="AD4" i="33" s="1"/>
  <c r="AD4" i="11"/>
  <c r="S7" i="67"/>
  <c r="S2" i="21" s="1"/>
  <c r="S3" i="21" s="1"/>
  <c r="Z10" i="97"/>
  <c r="Z2" i="51" s="1"/>
  <c r="Z2" i="29"/>
  <c r="AC9" i="33"/>
  <c r="AC7" i="33"/>
  <c r="AD6" i="11"/>
  <c r="AD7" i="106"/>
  <c r="AD6" i="33" s="1"/>
  <c r="AF19" i="106"/>
  <c r="AE12" i="106"/>
  <c r="AB6" i="97"/>
  <c r="AB5" i="29" s="1"/>
  <c r="AA3" i="97"/>
  <c r="AA2" i="29" s="1"/>
  <c r="AA13" i="97"/>
  <c r="AA5" i="51" s="1"/>
  <c r="R9" i="13"/>
  <c r="R7" i="13"/>
  <c r="AA64" i="100"/>
  <c r="AA3" i="48" s="1"/>
  <c r="AA6" i="12"/>
  <c r="AA6" i="29"/>
  <c r="AA9" i="29" s="1"/>
  <c r="AA4" i="97"/>
  <c r="AA3" i="29" s="1"/>
  <c r="AD3" i="106"/>
  <c r="AD2" i="33" s="1"/>
  <c r="AD2" i="11"/>
  <c r="AA11" i="97"/>
  <c r="AA3" i="51" s="1"/>
  <c r="AA6" i="51"/>
  <c r="AA9" i="51" s="1"/>
  <c r="AE10" i="106"/>
  <c r="AF17" i="106"/>
  <c r="AE76" i="100"/>
  <c r="AE72" i="100" s="1"/>
  <c r="AE58" i="100"/>
  <c r="AE68" i="100"/>
  <c r="AB60" i="100"/>
  <c r="AD51" i="100"/>
  <c r="AA36" i="100"/>
  <c r="AA43" i="100" s="1"/>
  <c r="AA2" i="50" s="1"/>
  <c r="AH66" i="100"/>
  <c r="AF35" i="100"/>
  <c r="AD55" i="100"/>
  <c r="AA40" i="100"/>
  <c r="AA47" i="100" s="1"/>
  <c r="AC5" i="97"/>
  <c r="AC6" i="97"/>
  <c r="Q12" i="67"/>
  <c r="R38" i="67"/>
  <c r="R28" i="67" s="1"/>
  <c r="V37" i="67"/>
  <c r="V27" i="67" s="1"/>
  <c r="S7" i="13" l="1"/>
  <c r="V5" i="35"/>
  <c r="T6" i="35"/>
  <c r="T9" i="35" s="1"/>
  <c r="T9" i="13"/>
  <c r="AB73" i="100"/>
  <c r="AB74" i="100" s="1"/>
  <c r="Z36" i="67"/>
  <c r="Y26" i="67"/>
  <c r="U2" i="19"/>
  <c r="U5" i="19" s="1"/>
  <c r="U2" i="44"/>
  <c r="U5" i="44"/>
  <c r="Q4" i="43"/>
  <c r="Q5" i="43"/>
  <c r="Q6" i="43"/>
  <c r="Q2" i="43"/>
  <c r="Q3" i="43"/>
  <c r="V8" i="67"/>
  <c r="V4" i="44" s="1"/>
  <c r="V4" i="67"/>
  <c r="V2" i="41" s="1"/>
  <c r="U4" i="44"/>
  <c r="U3" i="44"/>
  <c r="U7" i="44" s="1"/>
  <c r="R12" i="67"/>
  <c r="R16" i="67"/>
  <c r="Z11" i="98"/>
  <c r="Y4" i="98"/>
  <c r="AA14" i="98"/>
  <c r="Z7" i="98"/>
  <c r="AC12" i="98"/>
  <c r="AB5" i="98"/>
  <c r="AC10" i="98"/>
  <c r="AB3" i="98"/>
  <c r="AC13" i="98"/>
  <c r="AB6" i="98"/>
  <c r="S4" i="21"/>
  <c r="S5" i="21" s="1"/>
  <c r="S6" i="21" s="1"/>
  <c r="S9" i="21" s="1"/>
  <c r="S7" i="21"/>
  <c r="P11" i="67"/>
  <c r="P4" i="42"/>
  <c r="P6" i="42"/>
  <c r="P9" i="42" s="1"/>
  <c r="P2" i="42"/>
  <c r="P5" i="42"/>
  <c r="P3" i="42"/>
  <c r="P7" i="42" s="1"/>
  <c r="Q11" i="67"/>
  <c r="Q3" i="42"/>
  <c r="Q7" i="42" s="1"/>
  <c r="Q5" i="42"/>
  <c r="Q6" i="42"/>
  <c r="Q9" i="42" s="1"/>
  <c r="Q2" i="42"/>
  <c r="Q4" i="42"/>
  <c r="X7" i="45"/>
  <c r="X9" i="45"/>
  <c r="X9" i="23"/>
  <c r="X7" i="23"/>
  <c r="V2" i="19"/>
  <c r="N7" i="43"/>
  <c r="N9" i="43" s="1"/>
  <c r="T7" i="19"/>
  <c r="R2" i="35"/>
  <c r="AD4" i="106"/>
  <c r="AD3" i="33" s="1"/>
  <c r="AE11" i="106"/>
  <c r="AE3" i="11" s="1"/>
  <c r="AE4" i="106"/>
  <c r="AE3" i="33" s="1"/>
  <c r="Z9" i="49"/>
  <c r="Z3" i="49"/>
  <c r="AA6" i="50"/>
  <c r="AA6" i="49"/>
  <c r="AA3" i="27"/>
  <c r="AA6" i="27" s="1"/>
  <c r="AA9" i="27" s="1"/>
  <c r="Z5" i="50"/>
  <c r="Z7" i="50"/>
  <c r="Z3" i="50"/>
  <c r="Z4" i="50"/>
  <c r="Z9" i="50"/>
  <c r="AA9" i="12"/>
  <c r="AA3" i="26"/>
  <c r="AB14" i="100"/>
  <c r="AA4" i="18"/>
  <c r="AB13" i="100"/>
  <c r="AA3" i="18"/>
  <c r="AB13" i="97"/>
  <c r="AB5" i="51" s="1"/>
  <c r="AA21" i="100"/>
  <c r="Z4" i="40"/>
  <c r="AB15" i="100"/>
  <c r="AA5" i="18"/>
  <c r="AB16" i="100"/>
  <c r="AA6" i="18"/>
  <c r="AA22" i="100"/>
  <c r="Z5" i="40"/>
  <c r="AA23" i="100"/>
  <c r="Z6" i="40"/>
  <c r="Z9" i="40" s="1"/>
  <c r="AA20" i="100"/>
  <c r="Z3" i="40"/>
  <c r="Z7" i="40" s="1"/>
  <c r="T6" i="19"/>
  <c r="T9" i="19"/>
  <c r="T4" i="19"/>
  <c r="T3" i="19"/>
  <c r="AC78" i="100"/>
  <c r="AB11" i="97"/>
  <c r="AB3" i="51" s="1"/>
  <c r="AB6" i="51"/>
  <c r="AB9" i="51" s="1"/>
  <c r="AD7" i="11"/>
  <c r="AD9" i="11"/>
  <c r="AA10" i="97"/>
  <c r="AA2" i="51" s="1"/>
  <c r="T6" i="41"/>
  <c r="T7" i="41"/>
  <c r="T5" i="41"/>
  <c r="T4" i="41"/>
  <c r="T9" i="41"/>
  <c r="T3" i="41"/>
  <c r="AC12" i="97"/>
  <c r="AC4" i="51" s="1"/>
  <c r="AC4" i="29"/>
  <c r="AB64" i="100"/>
  <c r="AB3" i="48" s="1"/>
  <c r="AB6" i="12"/>
  <c r="AB3" i="97"/>
  <c r="AB2" i="29" s="1"/>
  <c r="AF14" i="106"/>
  <c r="AF18" i="106"/>
  <c r="AF10" i="106"/>
  <c r="AF2" i="11" s="1"/>
  <c r="AE4" i="11"/>
  <c r="AE5" i="106"/>
  <c r="AE4" i="33" s="1"/>
  <c r="AE7" i="106"/>
  <c r="AE6" i="33" s="1"/>
  <c r="AE6" i="11"/>
  <c r="AB6" i="29"/>
  <c r="AB9" i="29" s="1"/>
  <c r="AB4" i="97"/>
  <c r="AB3" i="29" s="1"/>
  <c r="AE5" i="11"/>
  <c r="AE6" i="106"/>
  <c r="AE5" i="33" s="1"/>
  <c r="AE3" i="106"/>
  <c r="AE2" i="33" s="1"/>
  <c r="AE2" i="11"/>
  <c r="AF12" i="106"/>
  <c r="AF4" i="11" s="1"/>
  <c r="AF13" i="106"/>
  <c r="AF5" i="11" s="1"/>
  <c r="T7" i="67"/>
  <c r="T2" i="21" s="1"/>
  <c r="T3" i="21" s="1"/>
  <c r="AC13" i="97"/>
  <c r="AC5" i="51" s="1"/>
  <c r="AC5" i="29"/>
  <c r="AC7" i="97"/>
  <c r="AC14" i="97" s="1"/>
  <c r="AD9" i="33"/>
  <c r="AD7" i="33"/>
  <c r="AB12" i="97"/>
  <c r="AB4" i="51" s="1"/>
  <c r="AF68" i="100"/>
  <c r="AC60" i="100"/>
  <c r="AF76" i="100"/>
  <c r="AF72" i="100" s="1"/>
  <c r="AF58" i="100"/>
  <c r="AE55" i="100"/>
  <c r="AB40" i="100"/>
  <c r="AB47" i="100" s="1"/>
  <c r="AE51" i="100"/>
  <c r="AB36" i="100"/>
  <c r="AB43" i="100" s="1"/>
  <c r="AB2" i="50" s="1"/>
  <c r="AD5" i="97"/>
  <c r="S38" i="67"/>
  <c r="S28" i="67" s="1"/>
  <c r="W37" i="67"/>
  <c r="W27" i="67" s="1"/>
  <c r="T7" i="13" l="1"/>
  <c r="U4" i="35"/>
  <c r="U6" i="35"/>
  <c r="U9" i="35" s="1"/>
  <c r="U9" i="13"/>
  <c r="T4" i="35"/>
  <c r="AC73" i="100"/>
  <c r="AC74" i="100" s="1"/>
  <c r="AA36" i="67"/>
  <c r="Z26" i="67"/>
  <c r="V3" i="44"/>
  <c r="V7" i="44" s="1"/>
  <c r="V5" i="44"/>
  <c r="V2" i="44"/>
  <c r="V6" i="44"/>
  <c r="V9" i="44" s="1"/>
  <c r="R3" i="43"/>
  <c r="R6" i="43"/>
  <c r="R4" i="43"/>
  <c r="R5" i="43"/>
  <c r="R2" i="43"/>
  <c r="W8" i="67"/>
  <c r="W6" i="44" s="1"/>
  <c r="W9" i="44" s="1"/>
  <c r="W4" i="67"/>
  <c r="W2" i="41" s="1"/>
  <c r="S16" i="67"/>
  <c r="Q3" i="20"/>
  <c r="Q4" i="20"/>
  <c r="Q5" i="20"/>
  <c r="Q9" i="20"/>
  <c r="Q6" i="20"/>
  <c r="Q2" i="20"/>
  <c r="Q7" i="20"/>
  <c r="AD13" i="98"/>
  <c r="AC6" i="98"/>
  <c r="AD12" i="98"/>
  <c r="AC5" i="98"/>
  <c r="AB14" i="98"/>
  <c r="AA7" i="98"/>
  <c r="AD10" i="98"/>
  <c r="AC3" i="98"/>
  <c r="AA11" i="98"/>
  <c r="Z4" i="98"/>
  <c r="T4" i="21"/>
  <c r="T5" i="21" s="1"/>
  <c r="T6" i="21" s="1"/>
  <c r="T9" i="21" s="1"/>
  <c r="T7" i="21"/>
  <c r="Q5" i="22"/>
  <c r="Q6" i="22"/>
  <c r="Q9" i="22" s="1"/>
  <c r="Q7" i="22"/>
  <c r="Q3" i="22"/>
  <c r="Q4" i="22"/>
  <c r="Q2" i="22"/>
  <c r="R11" i="67"/>
  <c r="R2" i="42"/>
  <c r="R4" i="42"/>
  <c r="R5" i="42"/>
  <c r="R6" i="42"/>
  <c r="R9" i="42" s="1"/>
  <c r="R3" i="42"/>
  <c r="R7" i="42" s="1"/>
  <c r="P6" i="22"/>
  <c r="P9" i="22" s="1"/>
  <c r="P7" i="22"/>
  <c r="P2" i="22"/>
  <c r="P3" i="22"/>
  <c r="P5" i="22"/>
  <c r="P4" i="22"/>
  <c r="Y9" i="45"/>
  <c r="Y7" i="45"/>
  <c r="Y9" i="23"/>
  <c r="Y7" i="23"/>
  <c r="O7" i="43"/>
  <c r="O9" i="43" s="1"/>
  <c r="S2" i="35"/>
  <c r="AF11" i="106"/>
  <c r="AF3" i="11" s="1"/>
  <c r="AB6" i="49"/>
  <c r="AB3" i="27"/>
  <c r="AB6" i="27" s="1"/>
  <c r="AB9" i="27" s="1"/>
  <c r="AA9" i="49"/>
  <c r="AA3" i="49"/>
  <c r="AA3" i="50"/>
  <c r="AA7" i="50"/>
  <c r="AA5" i="50"/>
  <c r="AA4" i="50"/>
  <c r="AA9" i="50"/>
  <c r="AB6" i="50"/>
  <c r="AB9" i="50" s="1"/>
  <c r="AB9" i="12"/>
  <c r="AB3" i="26"/>
  <c r="U3" i="19"/>
  <c r="U4" i="19"/>
  <c r="U6" i="19"/>
  <c r="U9" i="19"/>
  <c r="U7" i="19"/>
  <c r="AF3" i="106"/>
  <c r="AF2" i="33" s="1"/>
  <c r="AF6" i="106"/>
  <c r="AF5" i="33" s="1"/>
  <c r="AB23" i="100"/>
  <c r="AA6" i="40"/>
  <c r="AA9" i="40" s="1"/>
  <c r="AB21" i="100"/>
  <c r="AA4" i="40"/>
  <c r="AB22" i="100"/>
  <c r="AA5" i="40"/>
  <c r="AC15" i="100"/>
  <c r="AB5" i="18"/>
  <c r="AC13" i="100"/>
  <c r="AB3" i="18"/>
  <c r="AC16" i="100"/>
  <c r="AB6" i="18"/>
  <c r="AB20" i="100"/>
  <c r="AA3" i="40"/>
  <c r="AA7" i="40" s="1"/>
  <c r="AC14" i="100"/>
  <c r="AB4" i="18"/>
  <c r="AD78" i="100"/>
  <c r="AC6" i="51"/>
  <c r="AC9" i="51" s="1"/>
  <c r="AC11" i="97"/>
  <c r="AC3" i="51" s="1"/>
  <c r="AC64" i="100"/>
  <c r="AC3" i="48" s="1"/>
  <c r="AC6" i="12"/>
  <c r="W5" i="35"/>
  <c r="AC4" i="97"/>
  <c r="AC3" i="29" s="1"/>
  <c r="AC6" i="29"/>
  <c r="AC9" i="29" s="1"/>
  <c r="AF7" i="106"/>
  <c r="AF6" i="33" s="1"/>
  <c r="AF6" i="11"/>
  <c r="U7" i="67"/>
  <c r="U2" i="21" s="1"/>
  <c r="U3" i="21" s="1"/>
  <c r="U6" i="41"/>
  <c r="U5" i="41"/>
  <c r="U9" i="41"/>
  <c r="U3" i="41"/>
  <c r="U7" i="41"/>
  <c r="U4" i="41"/>
  <c r="AB10" i="97"/>
  <c r="AB2" i="51" s="1"/>
  <c r="AD7" i="97"/>
  <c r="AD14" i="97" s="1"/>
  <c r="AC3" i="97"/>
  <c r="AC2" i="29" s="1"/>
  <c r="AE7" i="33"/>
  <c r="AE9" i="33"/>
  <c r="AD12" i="97"/>
  <c r="AD4" i="51" s="1"/>
  <c r="AD4" i="29"/>
  <c r="AD6" i="97"/>
  <c r="AD5" i="29" s="1"/>
  <c r="V9" i="19"/>
  <c r="AF5" i="106"/>
  <c r="AF4" i="33" s="1"/>
  <c r="AE9" i="11"/>
  <c r="AE7" i="11"/>
  <c r="AG68" i="100"/>
  <c r="AD60" i="100"/>
  <c r="AF51" i="100"/>
  <c r="AC36" i="100"/>
  <c r="AC43" i="100" s="1"/>
  <c r="AC2" i="50" s="1"/>
  <c r="AF55" i="100"/>
  <c r="AC40" i="100"/>
  <c r="AC47" i="100" s="1"/>
  <c r="T38" i="67"/>
  <c r="T28" i="67" s="1"/>
  <c r="X37" i="67"/>
  <c r="X27" i="67" s="1"/>
  <c r="AA9" i="45" l="1"/>
  <c r="U7" i="13"/>
  <c r="X5" i="35"/>
  <c r="V6" i="35"/>
  <c r="V9" i="35" s="1"/>
  <c r="V9" i="13"/>
  <c r="AD73" i="100"/>
  <c r="AD74" i="100" s="1"/>
  <c r="Z9" i="23"/>
  <c r="AB36" i="67"/>
  <c r="AA26" i="67"/>
  <c r="W5" i="44"/>
  <c r="W3" i="44"/>
  <c r="W7" i="44" s="1"/>
  <c r="X8" i="67"/>
  <c r="X2" i="44" s="1"/>
  <c r="X4" i="67"/>
  <c r="X2" i="41" s="1"/>
  <c r="W2" i="19"/>
  <c r="W4" i="44"/>
  <c r="S2" i="43"/>
  <c r="S3" i="43"/>
  <c r="S5" i="43"/>
  <c r="S4" i="43"/>
  <c r="S6" i="43"/>
  <c r="T12" i="67"/>
  <c r="T16" i="67"/>
  <c r="W2" i="44"/>
  <c r="R2" i="20"/>
  <c r="R3" i="20"/>
  <c r="R4" i="20"/>
  <c r="R7" i="20"/>
  <c r="R9" i="20"/>
  <c r="R5" i="20"/>
  <c r="R6" i="20"/>
  <c r="AC14" i="98"/>
  <c r="AB7" i="98"/>
  <c r="AB11" i="98"/>
  <c r="AA4" i="98"/>
  <c r="AE12" i="98"/>
  <c r="AD5" i="98"/>
  <c r="AE10" i="98"/>
  <c r="AD3" i="98"/>
  <c r="AE13" i="98"/>
  <c r="AD6" i="98"/>
  <c r="R4" i="22"/>
  <c r="R6" i="22"/>
  <c r="R9" i="22" s="1"/>
  <c r="R5" i="22"/>
  <c r="R7" i="22"/>
  <c r="R3" i="22"/>
  <c r="R2" i="22"/>
  <c r="U4" i="21"/>
  <c r="U5" i="21" s="1"/>
  <c r="U6" i="21" s="1"/>
  <c r="U9" i="21" s="1"/>
  <c r="U7" i="21"/>
  <c r="Z7" i="45"/>
  <c r="Z9" i="45"/>
  <c r="S12" i="67"/>
  <c r="P7" i="43"/>
  <c r="P9" i="43" s="1"/>
  <c r="V4" i="35"/>
  <c r="T2" i="35"/>
  <c r="AF4" i="106"/>
  <c r="AF3" i="33" s="1"/>
  <c r="AB3" i="50"/>
  <c r="AB7" i="50"/>
  <c r="AB4" i="50"/>
  <c r="AB5" i="50"/>
  <c r="AC6" i="50"/>
  <c r="AC6" i="49"/>
  <c r="AC3" i="27"/>
  <c r="AC6" i="27" s="1"/>
  <c r="AC9" i="27" s="1"/>
  <c r="AB9" i="49"/>
  <c r="AB3" i="49"/>
  <c r="AC9" i="12"/>
  <c r="AC3" i="26"/>
  <c r="V5" i="19"/>
  <c r="V4" i="19"/>
  <c r="V7" i="19"/>
  <c r="V6" i="19"/>
  <c r="V3" i="19"/>
  <c r="AD13" i="97"/>
  <c r="AD5" i="51" s="1"/>
  <c r="AC10" i="97"/>
  <c r="AC2" i="51" s="1"/>
  <c r="AD14" i="100"/>
  <c r="AC4" i="18"/>
  <c r="AD15" i="100"/>
  <c r="AC5" i="18"/>
  <c r="AC20" i="100"/>
  <c r="AB3" i="40"/>
  <c r="AB7" i="40" s="1"/>
  <c r="AC22" i="100"/>
  <c r="AB5" i="40"/>
  <c r="AD16" i="100"/>
  <c r="AC6" i="18"/>
  <c r="AC21" i="100"/>
  <c r="AB4" i="40"/>
  <c r="AD13" i="100"/>
  <c r="AC3" i="18"/>
  <c r="AC23" i="100"/>
  <c r="AB6" i="40"/>
  <c r="AB9" i="40" s="1"/>
  <c r="V7" i="67"/>
  <c r="V2" i="21" s="1"/>
  <c r="V3" i="21" s="1"/>
  <c r="AE78" i="100"/>
  <c r="AE73" i="100" s="1"/>
  <c r="AE74" i="100" s="1"/>
  <c r="AD4" i="97"/>
  <c r="AD3" i="29" s="1"/>
  <c r="AD6" i="29"/>
  <c r="AD9" i="29" s="1"/>
  <c r="AF9" i="11"/>
  <c r="AF7" i="11"/>
  <c r="AD3" i="97"/>
  <c r="AD2" i="29" s="1"/>
  <c r="AD6" i="51"/>
  <c r="AD9" i="51" s="1"/>
  <c r="AD11" i="97"/>
  <c r="AD3" i="51" s="1"/>
  <c r="AF7" i="33"/>
  <c r="AF9" i="33"/>
  <c r="W3" i="41"/>
  <c r="W7" i="41"/>
  <c r="W6" i="41"/>
  <c r="W4" i="41"/>
  <c r="W9" i="41"/>
  <c r="W5" i="41"/>
  <c r="AE6" i="97"/>
  <c r="AE5" i="29" s="1"/>
  <c r="V3" i="41"/>
  <c r="V7" i="41"/>
  <c r="V6" i="41"/>
  <c r="V5" i="41"/>
  <c r="V4" i="41"/>
  <c r="V9" i="41"/>
  <c r="AD64" i="100"/>
  <c r="AD3" i="48" s="1"/>
  <c r="AD6" i="12"/>
  <c r="AE7" i="97"/>
  <c r="AE14" i="97" s="1"/>
  <c r="AE5" i="97"/>
  <c r="AE4" i="29" s="1"/>
  <c r="AH68" i="100"/>
  <c r="AE60" i="100"/>
  <c r="AG55" i="100"/>
  <c r="AD40" i="100"/>
  <c r="AD47" i="100" s="1"/>
  <c r="AG51" i="100"/>
  <c r="AD36" i="100"/>
  <c r="AD43" i="100" s="1"/>
  <c r="AD2" i="50" s="1"/>
  <c r="AF6" i="97"/>
  <c r="U38" i="67"/>
  <c r="U28" i="67" s="1"/>
  <c r="Y37" i="67"/>
  <c r="Y27" i="67" s="1"/>
  <c r="AA7" i="45" l="1"/>
  <c r="Z7" i="23"/>
  <c r="V7" i="13"/>
  <c r="Y5" i="35"/>
  <c r="V2" i="35"/>
  <c r="W6" i="35"/>
  <c r="W9" i="35" s="1"/>
  <c r="X3" i="44"/>
  <c r="X7" i="44" s="1"/>
  <c r="X2" i="19"/>
  <c r="X6" i="19" s="1"/>
  <c r="X6" i="44"/>
  <c r="X9" i="44" s="1"/>
  <c r="X5" i="44"/>
  <c r="AC36" i="67"/>
  <c r="AB26" i="67"/>
  <c r="X4" i="44"/>
  <c r="Y8" i="67"/>
  <c r="Y3" i="44" s="1"/>
  <c r="Y4" i="67"/>
  <c r="Y2" i="41" s="1"/>
  <c r="U12" i="67"/>
  <c r="U16" i="67"/>
  <c r="S2" i="20"/>
  <c r="S4" i="20"/>
  <c r="S3" i="20"/>
  <c r="S6" i="20"/>
  <c r="S7" i="20"/>
  <c r="S9" i="20"/>
  <c r="S5" i="20"/>
  <c r="T4" i="43"/>
  <c r="T2" i="43"/>
  <c r="T3" i="43"/>
  <c r="T6" i="43"/>
  <c r="T5" i="43"/>
  <c r="AD14" i="98"/>
  <c r="AC7" i="98"/>
  <c r="AF12" i="98"/>
  <c r="AE5" i="98"/>
  <c r="AF13" i="98"/>
  <c r="AE6" i="98"/>
  <c r="AC11" i="98"/>
  <c r="AB4" i="98"/>
  <c r="AF10" i="98"/>
  <c r="AE3" i="98"/>
  <c r="S11" i="67"/>
  <c r="S3" i="42"/>
  <c r="S7" i="42" s="1"/>
  <c r="S4" i="42"/>
  <c r="S5" i="42"/>
  <c r="S6" i="42"/>
  <c r="S9" i="42" s="1"/>
  <c r="S2" i="42"/>
  <c r="T11" i="67"/>
  <c r="T2" i="42"/>
  <c r="T3" i="42"/>
  <c r="T7" i="42" s="1"/>
  <c r="T4" i="42"/>
  <c r="T5" i="42"/>
  <c r="T6" i="42"/>
  <c r="T9" i="42" s="1"/>
  <c r="V4" i="21"/>
  <c r="V5" i="21" s="1"/>
  <c r="V6" i="21" s="1"/>
  <c r="V9" i="21" s="1"/>
  <c r="V7" i="21"/>
  <c r="AB9" i="45"/>
  <c r="AA7" i="23"/>
  <c r="AA9" i="23"/>
  <c r="Q7" i="43"/>
  <c r="Q9" i="43" s="1"/>
  <c r="U2" i="35"/>
  <c r="AC9" i="49"/>
  <c r="AC3" i="49"/>
  <c r="AD6" i="50"/>
  <c r="AC5" i="50"/>
  <c r="AC7" i="50"/>
  <c r="AC4" i="50"/>
  <c r="AC3" i="50"/>
  <c r="AC9" i="50"/>
  <c r="AD6" i="49"/>
  <c r="AD3" i="27"/>
  <c r="AD6" i="27" s="1"/>
  <c r="AD9" i="27" s="1"/>
  <c r="AD9" i="12"/>
  <c r="AD3" i="26"/>
  <c r="W5" i="19"/>
  <c r="W9" i="19"/>
  <c r="W4" i="19"/>
  <c r="W7" i="19"/>
  <c r="W3" i="19"/>
  <c r="W6" i="19"/>
  <c r="AD10" i="97"/>
  <c r="AD2" i="51" s="1"/>
  <c r="AE12" i="97"/>
  <c r="AE4" i="51" s="1"/>
  <c r="AD22" i="100"/>
  <c r="AC5" i="40"/>
  <c r="AE13" i="100"/>
  <c r="AD3" i="18"/>
  <c r="AD20" i="100"/>
  <c r="AC3" i="40"/>
  <c r="AC7" i="40" s="1"/>
  <c r="AD21" i="100"/>
  <c r="AC4" i="40"/>
  <c r="AE15" i="100"/>
  <c r="AD5" i="18"/>
  <c r="AD23" i="100"/>
  <c r="AC6" i="40"/>
  <c r="AC9" i="40" s="1"/>
  <c r="AE16" i="100"/>
  <c r="AD6" i="18"/>
  <c r="AE14" i="100"/>
  <c r="AD4" i="18"/>
  <c r="AF78" i="100"/>
  <c r="AE11" i="97"/>
  <c r="AE3" i="51" s="1"/>
  <c r="AE6" i="51"/>
  <c r="AE9" i="51" s="1"/>
  <c r="AF5" i="97"/>
  <c r="AF4" i="29" s="1"/>
  <c r="AE64" i="100"/>
  <c r="AE3" i="48" s="1"/>
  <c r="AE6" i="12"/>
  <c r="AE4" i="97"/>
  <c r="AE3" i="29" s="1"/>
  <c r="AE6" i="29"/>
  <c r="AE9" i="29" s="1"/>
  <c r="AE13" i="97"/>
  <c r="AE5" i="51" s="1"/>
  <c r="W4" i="35"/>
  <c r="AE3" i="97"/>
  <c r="AF13" i="97"/>
  <c r="AF5" i="51" s="1"/>
  <c r="AF5" i="29"/>
  <c r="AF7" i="97"/>
  <c r="W7" i="67"/>
  <c r="W2" i="21" s="1"/>
  <c r="W3" i="21" s="1"/>
  <c r="AF60" i="100"/>
  <c r="AH51" i="100"/>
  <c r="AE36" i="100"/>
  <c r="AE43" i="100" s="1"/>
  <c r="AE2" i="50" s="1"/>
  <c r="AH55" i="100"/>
  <c r="AE40" i="100"/>
  <c r="AE47" i="100" s="1"/>
  <c r="V38" i="67"/>
  <c r="V28" i="67" s="1"/>
  <c r="Z37" i="67"/>
  <c r="Z27" i="67" s="1"/>
  <c r="X4" i="35" l="1"/>
  <c r="Z5" i="35"/>
  <c r="X7" i="13"/>
  <c r="X6" i="35"/>
  <c r="X9" i="35" s="1"/>
  <c r="AF73" i="100"/>
  <c r="AF74" i="100" s="1"/>
  <c r="AF6" i="49" s="1"/>
  <c r="AB7" i="45"/>
  <c r="Y2" i="19"/>
  <c r="Y2" i="44"/>
  <c r="Y6" i="44"/>
  <c r="Y5" i="44"/>
  <c r="Y4" i="44"/>
  <c r="AD36" i="67"/>
  <c r="AC26" i="67"/>
  <c r="Z8" i="67"/>
  <c r="Z2" i="44" s="1"/>
  <c r="Z4" i="67"/>
  <c r="Z2" i="41" s="1"/>
  <c r="U2" i="43"/>
  <c r="U5" i="43"/>
  <c r="U6" i="43"/>
  <c r="U4" i="43"/>
  <c r="U3" i="43"/>
  <c r="V16" i="67"/>
  <c r="T9" i="20"/>
  <c r="T3" i="20"/>
  <c r="T2" i="20"/>
  <c r="T5" i="20"/>
  <c r="T6" i="20"/>
  <c r="T7" i="20"/>
  <c r="T4" i="20"/>
  <c r="AG13" i="98"/>
  <c r="AF6" i="98"/>
  <c r="AG10" i="98"/>
  <c r="AF3" i="98"/>
  <c r="AG12" i="98"/>
  <c r="AF5" i="98"/>
  <c r="AD11" i="98"/>
  <c r="AC4" i="98"/>
  <c r="AE14" i="98"/>
  <c r="AD7" i="98"/>
  <c r="S3" i="22"/>
  <c r="S4" i="22"/>
  <c r="S5" i="22"/>
  <c r="S6" i="22"/>
  <c r="S9" i="22" s="1"/>
  <c r="S7" i="22"/>
  <c r="S2" i="22"/>
  <c r="T2" i="22"/>
  <c r="T3" i="22"/>
  <c r="T4" i="22"/>
  <c r="T5" i="22"/>
  <c r="T6" i="22"/>
  <c r="T9" i="22" s="1"/>
  <c r="T7" i="22"/>
  <c r="U11" i="67"/>
  <c r="U2" i="42"/>
  <c r="U3" i="42"/>
  <c r="U7" i="42" s="1"/>
  <c r="U4" i="42"/>
  <c r="U5" i="42"/>
  <c r="U6" i="42"/>
  <c r="U9" i="42" s="1"/>
  <c r="W4" i="21"/>
  <c r="W5" i="21" s="1"/>
  <c r="W6" i="21" s="1"/>
  <c r="W9" i="21" s="1"/>
  <c r="W7" i="21"/>
  <c r="AB7" i="23"/>
  <c r="AB9" i="23"/>
  <c r="Z2" i="19"/>
  <c r="R7" i="43"/>
  <c r="R9" i="43" s="1"/>
  <c r="AE6" i="50"/>
  <c r="AD3" i="50"/>
  <c r="AD7" i="50"/>
  <c r="AD4" i="50"/>
  <c r="AD5" i="50"/>
  <c r="AD9" i="50"/>
  <c r="AE6" i="49"/>
  <c r="AE3" i="27"/>
  <c r="AE6" i="27" s="1"/>
  <c r="AE9" i="27" s="1"/>
  <c r="AD9" i="49"/>
  <c r="AD3" i="49"/>
  <c r="AF3" i="27"/>
  <c r="AF6" i="27" s="1"/>
  <c r="AF9" i="27" s="1"/>
  <c r="AE9" i="12"/>
  <c r="AE3" i="26"/>
  <c r="X5" i="19"/>
  <c r="X9" i="19"/>
  <c r="X3" i="19"/>
  <c r="X7" i="19"/>
  <c r="AF12" i="97"/>
  <c r="AF4" i="51" s="1"/>
  <c r="AF14" i="100"/>
  <c r="AF4" i="18" s="1"/>
  <c r="AE4" i="18"/>
  <c r="AE21" i="100"/>
  <c r="AD4" i="40"/>
  <c r="AF16" i="100"/>
  <c r="AF6" i="18" s="1"/>
  <c r="AE6" i="18"/>
  <c r="AE20" i="100"/>
  <c r="AD3" i="40"/>
  <c r="AD7" i="40" s="1"/>
  <c r="AE23" i="100"/>
  <c r="AD6" i="40"/>
  <c r="AD9" i="40" s="1"/>
  <c r="AF13" i="100"/>
  <c r="AF3" i="18" s="1"/>
  <c r="AE3" i="18"/>
  <c r="AF15" i="100"/>
  <c r="AF5" i="18" s="1"/>
  <c r="AE5" i="18"/>
  <c r="AE22" i="100"/>
  <c r="AD5" i="40"/>
  <c r="X4" i="19"/>
  <c r="X4" i="41"/>
  <c r="X9" i="41"/>
  <c r="X7" i="41"/>
  <c r="X6" i="41"/>
  <c r="X3" i="41"/>
  <c r="X5" i="41"/>
  <c r="AF64" i="100"/>
  <c r="AF3" i="48" s="1"/>
  <c r="AF6" i="12"/>
  <c r="AE10" i="97"/>
  <c r="AE2" i="51" s="1"/>
  <c r="AE2" i="29"/>
  <c r="Y9" i="19"/>
  <c r="AF3" i="97"/>
  <c r="AF2" i="29" s="1"/>
  <c r="X7" i="67"/>
  <c r="X2" i="21" s="1"/>
  <c r="X3" i="21" s="1"/>
  <c r="W9" i="13"/>
  <c r="W7" i="13"/>
  <c r="AF4" i="97"/>
  <c r="AF3" i="29" s="1"/>
  <c r="AF6" i="29"/>
  <c r="AF9" i="29" s="1"/>
  <c r="AF14" i="97"/>
  <c r="AF40" i="100"/>
  <c r="AF47" i="100" s="1"/>
  <c r="AF36" i="100"/>
  <c r="AF43" i="100" s="1"/>
  <c r="AF2" i="50" s="1"/>
  <c r="W38" i="67"/>
  <c r="W28" i="67" s="1"/>
  <c r="AA37" i="67"/>
  <c r="AA27" i="67" s="1"/>
  <c r="X9" i="13" l="1"/>
  <c r="AA5" i="35"/>
  <c r="Y6" i="35"/>
  <c r="Y9" i="35" s="1"/>
  <c r="Z6" i="44"/>
  <c r="Z5" i="44"/>
  <c r="AE36" i="67"/>
  <c r="AD26" i="67"/>
  <c r="Z4" i="44"/>
  <c r="Z3" i="44"/>
  <c r="U7" i="20"/>
  <c r="U9" i="20"/>
  <c r="U4" i="20"/>
  <c r="U5" i="20"/>
  <c r="U2" i="20"/>
  <c r="U6" i="20"/>
  <c r="U3" i="20"/>
  <c r="V2" i="43"/>
  <c r="V4" i="43"/>
  <c r="V5" i="43"/>
  <c r="V6" i="43"/>
  <c r="V3" i="43"/>
  <c r="AA8" i="67"/>
  <c r="AA5" i="44" s="1"/>
  <c r="AA4" i="67"/>
  <c r="AA2" i="41" s="1"/>
  <c r="W16" i="67"/>
  <c r="AG5" i="98"/>
  <c r="AF14" i="98"/>
  <c r="AE7" i="98"/>
  <c r="AG6" i="98"/>
  <c r="AG3" i="98"/>
  <c r="AE11" i="98"/>
  <c r="AD4" i="98"/>
  <c r="X4" i="21"/>
  <c r="X5" i="21" s="1"/>
  <c r="X6" i="21" s="1"/>
  <c r="X9" i="21" s="1"/>
  <c r="X7" i="21"/>
  <c r="U7" i="22"/>
  <c r="U2" i="22"/>
  <c r="U3" i="22"/>
  <c r="U4" i="22"/>
  <c r="U5" i="22"/>
  <c r="U6" i="22"/>
  <c r="U9" i="22" s="1"/>
  <c r="AC7" i="45"/>
  <c r="AC9" i="45"/>
  <c r="AC7" i="23"/>
  <c r="AC9" i="23"/>
  <c r="V12" i="67"/>
  <c r="S7" i="43"/>
  <c r="S9" i="43" s="1"/>
  <c r="W2" i="35"/>
  <c r="Y3" i="19"/>
  <c r="AE9" i="49"/>
  <c r="AE3" i="49"/>
  <c r="AF9" i="49"/>
  <c r="AF3" i="49"/>
  <c r="AF6" i="50"/>
  <c r="AE3" i="50"/>
  <c r="AE4" i="50"/>
  <c r="AE5" i="50"/>
  <c r="AE7" i="50"/>
  <c r="AE9" i="50"/>
  <c r="AF9" i="12"/>
  <c r="AF3" i="26"/>
  <c r="Y6" i="19"/>
  <c r="AF10" i="97"/>
  <c r="AF2" i="51" s="1"/>
  <c r="AF22" i="100"/>
  <c r="AF5" i="40" s="1"/>
  <c r="AE5" i="40"/>
  <c r="AF20" i="100"/>
  <c r="AF3" i="40" s="1"/>
  <c r="AF7" i="40" s="1"/>
  <c r="AE3" i="40"/>
  <c r="AE7" i="40" s="1"/>
  <c r="AF21" i="100"/>
  <c r="AF4" i="40" s="1"/>
  <c r="AE4" i="40"/>
  <c r="AF23" i="100"/>
  <c r="AF6" i="40" s="1"/>
  <c r="AF9" i="40" s="1"/>
  <c r="AE6" i="40"/>
  <c r="AE9" i="40" s="1"/>
  <c r="Y4" i="19"/>
  <c r="Y5" i="19"/>
  <c r="Y7" i="19"/>
  <c r="Y4" i="41"/>
  <c r="Y3" i="41"/>
  <c r="Y7" i="41"/>
  <c r="Y5" i="41"/>
  <c r="Y9" i="41"/>
  <c r="Y6" i="41"/>
  <c r="AF11" i="97"/>
  <c r="AF3" i="51" s="1"/>
  <c r="AF6" i="51"/>
  <c r="AF9" i="51" s="1"/>
  <c r="Y7" i="67"/>
  <c r="Y2" i="21" s="1"/>
  <c r="Y3" i="21" s="1"/>
  <c r="Z9" i="19"/>
  <c r="Z5" i="41"/>
  <c r="Z9" i="41"/>
  <c r="Z7" i="41"/>
  <c r="Z4" i="41"/>
  <c r="Z6" i="41"/>
  <c r="Z3" i="41"/>
  <c r="Y4" i="35"/>
  <c r="X38" i="67"/>
  <c r="X28" i="67" s="1"/>
  <c r="AB37" i="67"/>
  <c r="AB27" i="67" s="1"/>
  <c r="AD7" i="45" l="1"/>
  <c r="Y2" i="35"/>
  <c r="AB5" i="35"/>
  <c r="Z6" i="35"/>
  <c r="Z9" i="35" s="1"/>
  <c r="AA4" i="44"/>
  <c r="AA3" i="44"/>
  <c r="AF36" i="67"/>
  <c r="AF26" i="67" s="1"/>
  <c r="AE26" i="67"/>
  <c r="AA2" i="44"/>
  <c r="V6" i="20"/>
  <c r="V7" i="20"/>
  <c r="V9" i="20"/>
  <c r="V3" i="20"/>
  <c r="V4" i="20"/>
  <c r="V5" i="20"/>
  <c r="V2" i="20"/>
  <c r="AB8" i="67"/>
  <c r="AB3" i="44" s="1"/>
  <c r="AB4" i="67"/>
  <c r="AB2" i="41" s="1"/>
  <c r="X16" i="67"/>
  <c r="AA6" i="44"/>
  <c r="W5" i="20"/>
  <c r="W6" i="20"/>
  <c r="W7" i="20"/>
  <c r="W2" i="20"/>
  <c r="W3" i="20"/>
  <c r="W4" i="20"/>
  <c r="W9" i="20"/>
  <c r="AA2" i="19"/>
  <c r="AA3" i="19" s="1"/>
  <c r="W6" i="43"/>
  <c r="W3" i="43"/>
  <c r="W4" i="43"/>
  <c r="W5" i="43"/>
  <c r="W2" i="43"/>
  <c r="AG14" i="98"/>
  <c r="AF7" i="98"/>
  <c r="AF11" i="98"/>
  <c r="AE4" i="98"/>
  <c r="V11" i="67"/>
  <c r="V6" i="42"/>
  <c r="V9" i="42" s="1"/>
  <c r="V2" i="42"/>
  <c r="V3" i="42"/>
  <c r="V7" i="42" s="1"/>
  <c r="V4" i="42"/>
  <c r="V5" i="42"/>
  <c r="Y4" i="21"/>
  <c r="Y5" i="21" s="1"/>
  <c r="Y6" i="21" s="1"/>
  <c r="Y9" i="21" s="1"/>
  <c r="Y7" i="21"/>
  <c r="AD7" i="23"/>
  <c r="AD9" i="23"/>
  <c r="AD9" i="45"/>
  <c r="AA5" i="41"/>
  <c r="W12" i="67"/>
  <c r="T7" i="43"/>
  <c r="T9" i="43" s="1"/>
  <c r="X2" i="35"/>
  <c r="AF5" i="50"/>
  <c r="AF7" i="50"/>
  <c r="AF4" i="50"/>
  <c r="AF3" i="50"/>
  <c r="AF9" i="50"/>
  <c r="Z4" i="19"/>
  <c r="Z7" i="19"/>
  <c r="Z5" i="19"/>
  <c r="Z3" i="19"/>
  <c r="Y7" i="13"/>
  <c r="Y9" i="13"/>
  <c r="Z6" i="19"/>
  <c r="Z7" i="67"/>
  <c r="Z2" i="21" s="1"/>
  <c r="Z3" i="21" s="1"/>
  <c r="Z4" i="35"/>
  <c r="Y38" i="67"/>
  <c r="Y28" i="67" s="1"/>
  <c r="AC37" i="67"/>
  <c r="AC27" i="67" s="1"/>
  <c r="AC5" i="35" l="1"/>
  <c r="AA6" i="35"/>
  <c r="AA9" i="35" s="1"/>
  <c r="AA7" i="13"/>
  <c r="AB2" i="19"/>
  <c r="AB9" i="19" s="1"/>
  <c r="AB2" i="44"/>
  <c r="AB6" i="44"/>
  <c r="Y12" i="67"/>
  <c r="Y16" i="67"/>
  <c r="X5" i="43"/>
  <c r="X6" i="43"/>
  <c r="X2" i="43"/>
  <c r="X3" i="43"/>
  <c r="X4" i="43"/>
  <c r="AC8" i="67"/>
  <c r="AC4" i="44" s="1"/>
  <c r="AC4" i="67"/>
  <c r="AC2" i="41" s="1"/>
  <c r="AB5" i="44"/>
  <c r="AB4" i="44"/>
  <c r="AG7" i="98"/>
  <c r="AG11" i="98"/>
  <c r="AF4" i="98"/>
  <c r="V6" i="22"/>
  <c r="V9" i="22" s="1"/>
  <c r="V2" i="22"/>
  <c r="V3" i="22"/>
  <c r="V4" i="22"/>
  <c r="V5" i="22"/>
  <c r="V7" i="22"/>
  <c r="W11" i="67"/>
  <c r="W5" i="42"/>
  <c r="W2" i="42"/>
  <c r="W3" i="42"/>
  <c r="W7" i="42" s="1"/>
  <c r="W4" i="42"/>
  <c r="W6" i="42"/>
  <c r="W9" i="42" s="1"/>
  <c r="Z4" i="21"/>
  <c r="Z5" i="21" s="1"/>
  <c r="Z6" i="21" s="1"/>
  <c r="Z9" i="21" s="1"/>
  <c r="Z7" i="21"/>
  <c r="AF9" i="45"/>
  <c r="AE7" i="45"/>
  <c r="AE9" i="45"/>
  <c r="AE9" i="23"/>
  <c r="AE7" i="23"/>
  <c r="AA6" i="41"/>
  <c r="AA7" i="41"/>
  <c r="AA4" i="41"/>
  <c r="AA3" i="41"/>
  <c r="AA9" i="41"/>
  <c r="X12" i="67"/>
  <c r="U7" i="43"/>
  <c r="U9" i="43" s="1"/>
  <c r="AA6" i="19"/>
  <c r="AA5" i="19"/>
  <c r="AA4" i="19"/>
  <c r="AA9" i="19"/>
  <c r="AA7" i="19"/>
  <c r="AA4" i="35"/>
  <c r="AA7" i="67"/>
  <c r="AA2" i="21" s="1"/>
  <c r="AA3" i="21" s="1"/>
  <c r="Z9" i="13"/>
  <c r="Z7" i="13"/>
  <c r="Z38" i="67"/>
  <c r="Z28" i="67" s="1"/>
  <c r="AD37" i="67"/>
  <c r="AD27" i="67" s="1"/>
  <c r="AF7" i="45" l="1"/>
  <c r="AA9" i="13"/>
  <c r="AB6" i="35"/>
  <c r="AB9" i="35" s="1"/>
  <c r="AB9" i="13"/>
  <c r="AC6" i="44"/>
  <c r="AC2" i="19"/>
  <c r="AC3" i="19" s="1"/>
  <c r="AC3" i="44"/>
  <c r="AC2" i="44"/>
  <c r="AC5" i="44"/>
  <c r="X4" i="20"/>
  <c r="X5" i="20"/>
  <c r="X6" i="20"/>
  <c r="X2" i="20"/>
  <c r="X7" i="20"/>
  <c r="X3" i="20"/>
  <c r="X9" i="20"/>
  <c r="Y4" i="43"/>
  <c r="Y5" i="43"/>
  <c r="Y6" i="43"/>
  <c r="Y2" i="43"/>
  <c r="Y3" i="43"/>
  <c r="AD8" i="67"/>
  <c r="AD4" i="44" s="1"/>
  <c r="AD4" i="67"/>
  <c r="AD2" i="41" s="1"/>
  <c r="Z12" i="67"/>
  <c r="Z16" i="67"/>
  <c r="AG4" i="98"/>
  <c r="W5" i="22"/>
  <c r="W7" i="22"/>
  <c r="W2" i="22"/>
  <c r="W3" i="22"/>
  <c r="W4" i="22"/>
  <c r="W6" i="22"/>
  <c r="W9" i="22" s="1"/>
  <c r="AA4" i="21"/>
  <c r="AA5" i="21" s="1"/>
  <c r="AA6" i="21" s="1"/>
  <c r="AA9" i="21" s="1"/>
  <c r="AA7" i="21"/>
  <c r="Y11" i="67"/>
  <c r="Y3" i="42"/>
  <c r="Y5" i="42"/>
  <c r="Y6" i="42"/>
  <c r="Y2" i="42"/>
  <c r="Y4" i="42"/>
  <c r="X11" i="67"/>
  <c r="X4" i="42"/>
  <c r="X6" i="42"/>
  <c r="X9" i="42" s="1"/>
  <c r="X2" i="42"/>
  <c r="X3" i="42"/>
  <c r="X7" i="42" s="1"/>
  <c r="X5" i="42"/>
  <c r="AF9" i="23"/>
  <c r="AF7" i="23"/>
  <c r="V7" i="43"/>
  <c r="V9" i="43" s="1"/>
  <c r="Z2" i="35"/>
  <c r="AB5" i="19"/>
  <c r="AB6" i="19"/>
  <c r="AB7" i="19"/>
  <c r="AB4" i="19"/>
  <c r="AB3" i="19"/>
  <c r="AD5" i="35"/>
  <c r="AB6" i="41"/>
  <c r="AB3" i="41"/>
  <c r="AB9" i="41"/>
  <c r="AB5" i="41"/>
  <c r="AB4" i="41"/>
  <c r="AB7" i="41"/>
  <c r="AB7" i="67"/>
  <c r="AB2" i="21" s="1"/>
  <c r="AB3" i="21" s="1"/>
  <c r="AA38" i="67"/>
  <c r="AA28" i="67" s="1"/>
  <c r="AF37" i="67"/>
  <c r="AF27" i="67" s="1"/>
  <c r="AE37" i="67"/>
  <c r="AE27" i="67" s="1"/>
  <c r="AB7" i="13" l="1"/>
  <c r="AC4" i="35"/>
  <c r="AC6" i="35"/>
  <c r="AC9" i="35" s="1"/>
  <c r="AC9" i="13"/>
  <c r="AD2" i="19"/>
  <c r="AD3" i="19" s="1"/>
  <c r="AD5" i="44"/>
  <c r="AD3" i="44"/>
  <c r="Y3" i="20"/>
  <c r="Y4" i="20"/>
  <c r="Y6" i="20"/>
  <c r="Y5" i="20"/>
  <c r="Y9" i="20"/>
  <c r="Y2" i="20"/>
  <c r="Y7" i="20"/>
  <c r="AA16" i="67"/>
  <c r="AD2" i="44"/>
  <c r="AE8" i="67"/>
  <c r="AE5" i="44" s="1"/>
  <c r="AE4" i="67"/>
  <c r="AE2" i="41" s="1"/>
  <c r="AD6" i="44"/>
  <c r="AF8" i="67"/>
  <c r="AF2" i="44" s="1"/>
  <c r="AF4" i="67"/>
  <c r="AF2" i="41" s="1"/>
  <c r="Z3" i="43"/>
  <c r="Z4" i="43"/>
  <c r="Z5" i="43"/>
  <c r="Z6" i="43"/>
  <c r="Z2" i="43"/>
  <c r="Y5" i="22"/>
  <c r="Y6" i="22"/>
  <c r="Y7" i="22"/>
  <c r="Y2" i="22"/>
  <c r="Y3" i="22"/>
  <c r="Y4" i="22"/>
  <c r="X6" i="22"/>
  <c r="X9" i="22" s="1"/>
  <c r="X7" i="22"/>
  <c r="X2" i="22"/>
  <c r="X4" i="22"/>
  <c r="X3" i="22"/>
  <c r="X5" i="22"/>
  <c r="Z11" i="67"/>
  <c r="Z2" i="42"/>
  <c r="Z4" i="42"/>
  <c r="Z5" i="42"/>
  <c r="Z6" i="42"/>
  <c r="Z3" i="42"/>
  <c r="AB4" i="21"/>
  <c r="AB5" i="21" s="1"/>
  <c r="AB6" i="21" s="1"/>
  <c r="AB9" i="21" s="1"/>
  <c r="AB7" i="21"/>
  <c r="W7" i="43"/>
  <c r="W9" i="43" s="1"/>
  <c r="AB4" i="35"/>
  <c r="AA2" i="35"/>
  <c r="AC7" i="19"/>
  <c r="AC6" i="19"/>
  <c r="AC9" i="19"/>
  <c r="AC4" i="19"/>
  <c r="AC5" i="19"/>
  <c r="AC7" i="67"/>
  <c r="AC2" i="21" s="1"/>
  <c r="AC3" i="21" s="1"/>
  <c r="AE5" i="35"/>
  <c r="AC6" i="41"/>
  <c r="AC5" i="41"/>
  <c r="AC9" i="41"/>
  <c r="AC3" i="41"/>
  <c r="AC7" i="41"/>
  <c r="AC4" i="41"/>
  <c r="AB38" i="67"/>
  <c r="AB28" i="67" s="1"/>
  <c r="AC7" i="13" l="1"/>
  <c r="AF5" i="35"/>
  <c r="AD9" i="13"/>
  <c r="AD6" i="35"/>
  <c r="AD9" i="35" s="1"/>
  <c r="AE2" i="44"/>
  <c r="AE6" i="44"/>
  <c r="AE3" i="44"/>
  <c r="AF5" i="44"/>
  <c r="AF3" i="44"/>
  <c r="AE4" i="44"/>
  <c r="AB12" i="67"/>
  <c r="AB16" i="67"/>
  <c r="AE2" i="19"/>
  <c r="AE7" i="19" s="1"/>
  <c r="AF6" i="44"/>
  <c r="AF2" i="19"/>
  <c r="AF5" i="19" s="1"/>
  <c r="AF4" i="44"/>
  <c r="AA2" i="43"/>
  <c r="AA5" i="43"/>
  <c r="AA3" i="43"/>
  <c r="AA4" i="43"/>
  <c r="AA6" i="43"/>
  <c r="Z2" i="20"/>
  <c r="Z3" i="20"/>
  <c r="Z5" i="20"/>
  <c r="Z4" i="20"/>
  <c r="Z7" i="20"/>
  <c r="Z9" i="20"/>
  <c r="Z6" i="20"/>
  <c r="Z4" i="22"/>
  <c r="Z5" i="22"/>
  <c r="Z6" i="22"/>
  <c r="Z7" i="22"/>
  <c r="Z2" i="22"/>
  <c r="Z3" i="22"/>
  <c r="AC4" i="21"/>
  <c r="AC5" i="21" s="1"/>
  <c r="AC6" i="21" s="1"/>
  <c r="AC9" i="21" s="1"/>
  <c r="AC7" i="21"/>
  <c r="AA12" i="67"/>
  <c r="AA11" i="67" s="1"/>
  <c r="X7" i="43"/>
  <c r="X9" i="43" s="1"/>
  <c r="AB2" i="35"/>
  <c r="AD6" i="19"/>
  <c r="AD7" i="19"/>
  <c r="AD9" i="19"/>
  <c r="AD5" i="19"/>
  <c r="AD4" i="19"/>
  <c r="AD4" i="35"/>
  <c r="AE3" i="41"/>
  <c r="AE7" i="41"/>
  <c r="AE6" i="41"/>
  <c r="AE4" i="41"/>
  <c r="AE5" i="41"/>
  <c r="AE9" i="41"/>
  <c r="AD7" i="67"/>
  <c r="AD2" i="21" s="1"/>
  <c r="AD3" i="21" s="1"/>
  <c r="AD3" i="41"/>
  <c r="AD7" i="41"/>
  <c r="AD4" i="41"/>
  <c r="AD9" i="41"/>
  <c r="AD6" i="41"/>
  <c r="AD5" i="41"/>
  <c r="AC38" i="67"/>
  <c r="AC28" i="67" s="1"/>
  <c r="AD7" i="13" l="1"/>
  <c r="AE6" i="35"/>
  <c r="AE9" i="35" s="1"/>
  <c r="AC16" i="67"/>
  <c r="AA2" i="20"/>
  <c r="AA3" i="20"/>
  <c r="AA6" i="20"/>
  <c r="AA7" i="20"/>
  <c r="AA9" i="20"/>
  <c r="AA4" i="20"/>
  <c r="AA5" i="20"/>
  <c r="AB2" i="43"/>
  <c r="AB3" i="43"/>
  <c r="AB6" i="43"/>
  <c r="AB4" i="43"/>
  <c r="AB5" i="43"/>
  <c r="AB11" i="67"/>
  <c r="AB2" i="42"/>
  <c r="AB3" i="42"/>
  <c r="AB4" i="42"/>
  <c r="AB5" i="42"/>
  <c r="AB6" i="42"/>
  <c r="AA3" i="22"/>
  <c r="AA4" i="22"/>
  <c r="AA5" i="22"/>
  <c r="AA6" i="22"/>
  <c r="AA7" i="22"/>
  <c r="AA2" i="22"/>
  <c r="AD7" i="21"/>
  <c r="AD4" i="21"/>
  <c r="AD5" i="21" s="1"/>
  <c r="AD6" i="21" s="1"/>
  <c r="AD9" i="21" s="1"/>
  <c r="AA3" i="42"/>
  <c r="AA4" i="42"/>
  <c r="AA5" i="42"/>
  <c r="AA6" i="42"/>
  <c r="AA2" i="42"/>
  <c r="AD2" i="35"/>
  <c r="Y7" i="43"/>
  <c r="Y9" i="43" s="1"/>
  <c r="AC2" i="35"/>
  <c r="AE9" i="19"/>
  <c r="AF7" i="19"/>
  <c r="AE4" i="19"/>
  <c r="AF3" i="19"/>
  <c r="AE6" i="19"/>
  <c r="AF9" i="19"/>
  <c r="AE3" i="19"/>
  <c r="AF4" i="19"/>
  <c r="AE4" i="35"/>
  <c r="AF6" i="19"/>
  <c r="AE5" i="19"/>
  <c r="AF4" i="41"/>
  <c r="AF5" i="41"/>
  <c r="AF3" i="41"/>
  <c r="AF7" i="41"/>
  <c r="AF6" i="41"/>
  <c r="AF9" i="41"/>
  <c r="AF7" i="67"/>
  <c r="AF2" i="21" s="1"/>
  <c r="AF3" i="21" s="1"/>
  <c r="AE7" i="67"/>
  <c r="AE2" i="21" s="1"/>
  <c r="AE3" i="21" s="1"/>
  <c r="AC12" i="67"/>
  <c r="AD38" i="67"/>
  <c r="AD28" i="67" s="1"/>
  <c r="AF9" i="13" l="1"/>
  <c r="AF6" i="35"/>
  <c r="AF9" i="35" s="1"/>
  <c r="AB9" i="20"/>
  <c r="AB3" i="20"/>
  <c r="AB2" i="20"/>
  <c r="AB5" i="20"/>
  <c r="AB6" i="20"/>
  <c r="AB7" i="20"/>
  <c r="AB4" i="20"/>
  <c r="AD16" i="67"/>
  <c r="AC4" i="43"/>
  <c r="AC2" i="43"/>
  <c r="AC5" i="43"/>
  <c r="AC6" i="43"/>
  <c r="AC3" i="43"/>
  <c r="AC11" i="67"/>
  <c r="AC2" i="42"/>
  <c r="AC3" i="42"/>
  <c r="AC4" i="42"/>
  <c r="AC5" i="42"/>
  <c r="AC6" i="42"/>
  <c r="AE4" i="21"/>
  <c r="AE5" i="21" s="1"/>
  <c r="AE6" i="21" s="1"/>
  <c r="AE9" i="21" s="1"/>
  <c r="AE7" i="21"/>
  <c r="AF4" i="21"/>
  <c r="AF5" i="21" s="1"/>
  <c r="AF6" i="21" s="1"/>
  <c r="AF9" i="21" s="1"/>
  <c r="AF7" i="21"/>
  <c r="AB2" i="22"/>
  <c r="AB3" i="22"/>
  <c r="AB4" i="22"/>
  <c r="AB5" i="22"/>
  <c r="AB6" i="22"/>
  <c r="AB7" i="22"/>
  <c r="Z7" i="43"/>
  <c r="Z9" i="43" s="1"/>
  <c r="AF4" i="35"/>
  <c r="AE9" i="13"/>
  <c r="AE7" i="13"/>
  <c r="AF38" i="67"/>
  <c r="AF28" i="67" s="1"/>
  <c r="AE38" i="67"/>
  <c r="AE28" i="67" s="1"/>
  <c r="AF7" i="13" l="1"/>
  <c r="AE16" i="67"/>
  <c r="AF16" i="67"/>
  <c r="AC7" i="20"/>
  <c r="AC9" i="20"/>
  <c r="AC2" i="20"/>
  <c r="AC4" i="20"/>
  <c r="AC5" i="20"/>
  <c r="AC6" i="20"/>
  <c r="AC3" i="20"/>
  <c r="AD4" i="43"/>
  <c r="AD5" i="43"/>
  <c r="AD2" i="43"/>
  <c r="AD3" i="43"/>
  <c r="AD6" i="43"/>
  <c r="AC7" i="22"/>
  <c r="AC3" i="22"/>
  <c r="AC2" i="22"/>
  <c r="AC4" i="22"/>
  <c r="AC5" i="22"/>
  <c r="AC6" i="22"/>
  <c r="AF2" i="35"/>
  <c r="AD12" i="67"/>
  <c r="AA7" i="43"/>
  <c r="AA9" i="43" s="1"/>
  <c r="AE2" i="35"/>
  <c r="AF4" i="20" l="1"/>
  <c r="AF5" i="20"/>
  <c r="AF6" i="20"/>
  <c r="AF2" i="20"/>
  <c r="AF3" i="20"/>
  <c r="AF7" i="20"/>
  <c r="AF9" i="20"/>
  <c r="AE5" i="20"/>
  <c r="AE6" i="20"/>
  <c r="AE7" i="20"/>
  <c r="AE2" i="20"/>
  <c r="AE3" i="20"/>
  <c r="AE9" i="20"/>
  <c r="AE4" i="20"/>
  <c r="AF5" i="43"/>
  <c r="AF6" i="43"/>
  <c r="AF2" i="43"/>
  <c r="AF3" i="43"/>
  <c r="AF4" i="43"/>
  <c r="AE6" i="43"/>
  <c r="AE2" i="43"/>
  <c r="AE3" i="43"/>
  <c r="AE4" i="43"/>
  <c r="AE5" i="43"/>
  <c r="AD6" i="20"/>
  <c r="AD7" i="20"/>
  <c r="AD9" i="20"/>
  <c r="AD3" i="20"/>
  <c r="AD4" i="20"/>
  <c r="AD5" i="20"/>
  <c r="AD2" i="20"/>
  <c r="AD11" i="67"/>
  <c r="AD6" i="42"/>
  <c r="AD2" i="42"/>
  <c r="AD3" i="42"/>
  <c r="AD4" i="42"/>
  <c r="AD5" i="42"/>
  <c r="AE12" i="67"/>
  <c r="AE11" i="67" s="1"/>
  <c r="AF12" i="67"/>
  <c r="AB7" i="43"/>
  <c r="AB9" i="43" s="1"/>
  <c r="AE5" i="42" l="1"/>
  <c r="AE2" i="42"/>
  <c r="AE3" i="42"/>
  <c r="AE6" i="42"/>
  <c r="AE4" i="42"/>
  <c r="AE7" i="22"/>
  <c r="AE2" i="22"/>
  <c r="AE3" i="22"/>
  <c r="AE6" i="22"/>
  <c r="AE5" i="22"/>
  <c r="AE4" i="22"/>
  <c r="AF11" i="67"/>
  <c r="AF4" i="42"/>
  <c r="AF6" i="42"/>
  <c r="AF2" i="42"/>
  <c r="AF5" i="42"/>
  <c r="AF3" i="42"/>
  <c r="AD6" i="22"/>
  <c r="AD2" i="22"/>
  <c r="AD3" i="22"/>
  <c r="AD4" i="22"/>
  <c r="AD7" i="22"/>
  <c r="AD5" i="22"/>
  <c r="AC7" i="43"/>
  <c r="AC9" i="43" s="1"/>
  <c r="AF6" i="22" l="1"/>
  <c r="AF7" i="22"/>
  <c r="AF2" i="22"/>
  <c r="AF5" i="22"/>
  <c r="AF4" i="22"/>
  <c r="AF3" i="22"/>
  <c r="AD7" i="43"/>
  <c r="AD9" i="43" s="1"/>
  <c r="AE7" i="43" l="1"/>
  <c r="AE9" i="43" s="1"/>
  <c r="AF7" i="43"/>
  <c r="AF9" i="43" s="1"/>
  <c r="B7" i="67" l="1"/>
  <c r="B2" i="21" s="1"/>
  <c r="B3" i="21" s="1"/>
  <c r="B2" i="20" l="1"/>
  <c r="B3" i="20"/>
  <c r="B4" i="20"/>
  <c r="B5" i="20"/>
  <c r="B7" i="20"/>
  <c r="B9" i="20"/>
  <c r="B6" i="20"/>
  <c r="B4" i="21"/>
  <c r="B5" i="21" s="1"/>
  <c r="B6" i="21" s="1"/>
  <c r="B9" i="21" s="1"/>
  <c r="B7" i="21"/>
  <c r="C7" i="13" l="1"/>
  <c r="D6" i="35"/>
  <c r="D9" i="35" s="1"/>
  <c r="C6" i="35"/>
  <c r="C9" i="35" s="1"/>
  <c r="B6" i="35" l="1"/>
  <c r="B9" i="35" s="1"/>
  <c r="C9" i="13"/>
  <c r="D3" i="35"/>
  <c r="D7" i="35" s="1"/>
  <c r="E3" i="35" l="1"/>
  <c r="E7" i="35" s="1"/>
  <c r="F3" i="35" l="1"/>
  <c r="F7" i="35" s="1"/>
  <c r="G3" i="35" l="1"/>
  <c r="G7" i="35" s="1"/>
  <c r="H3" i="35" l="1"/>
  <c r="H7" i="35" s="1"/>
  <c r="I3" i="35" l="1"/>
  <c r="I7" i="35" s="1"/>
  <c r="J3" i="35" l="1"/>
  <c r="J7" i="35" s="1"/>
  <c r="K3" i="35" l="1"/>
  <c r="K7" i="35" s="1"/>
  <c r="L3" i="35" l="1"/>
  <c r="L7" i="35" s="1"/>
  <c r="M3" i="35" l="1"/>
  <c r="M7" i="35" s="1"/>
  <c r="N3" i="35" l="1"/>
  <c r="N7" i="35" s="1"/>
  <c r="O3" i="35" l="1"/>
  <c r="O7" i="35" s="1"/>
  <c r="P3" i="35" l="1"/>
  <c r="P7" i="35" s="1"/>
  <c r="Q3" i="35" l="1"/>
  <c r="Q7" i="35" s="1"/>
  <c r="R3" i="35" l="1"/>
  <c r="R7" i="35" s="1"/>
  <c r="S3" i="35" l="1"/>
  <c r="S7" i="35" s="1"/>
  <c r="T3" i="35" l="1"/>
  <c r="T7" i="35" s="1"/>
  <c r="U3" i="35" l="1"/>
  <c r="U7" i="35" s="1"/>
  <c r="V3" i="35" l="1"/>
  <c r="V7" i="35" s="1"/>
  <c r="W3" i="35" l="1"/>
  <c r="W7" i="35" s="1"/>
  <c r="X3" i="35" l="1"/>
  <c r="X7" i="35" s="1"/>
  <c r="Y3" i="35" l="1"/>
  <c r="Y7" i="35" s="1"/>
  <c r="Z3" i="35" l="1"/>
  <c r="Z7" i="35" s="1"/>
  <c r="AA3" i="35" l="1"/>
  <c r="AA7" i="35" s="1"/>
  <c r="AB3" i="35" l="1"/>
  <c r="AB7" i="35" s="1"/>
  <c r="AC3" i="35" l="1"/>
  <c r="AC7" i="35" s="1"/>
  <c r="AD3" i="35" l="1"/>
  <c r="AD7" i="35" s="1"/>
  <c r="AF3" i="35" l="1"/>
  <c r="AF7" i="35" s="1"/>
  <c r="AE3" i="35"/>
  <c r="AE7" i="35" s="1"/>
</calcChain>
</file>

<file path=xl/sharedStrings.xml><?xml version="1.0" encoding="utf-8"?>
<sst xmlns="http://schemas.openxmlformats.org/spreadsheetml/2006/main" count="3141" uniqueCount="1281">
  <si>
    <t>BFPaT BAU Pretax Fuel Price by Sector</t>
  </si>
  <si>
    <t>BFPaT BAU Fuel Tax by Sector</t>
  </si>
  <si>
    <t>Sources:</t>
  </si>
  <si>
    <t>Energy Information Administration</t>
  </si>
  <si>
    <t>biomass</t>
  </si>
  <si>
    <t>Energy Information Administraton</t>
  </si>
  <si>
    <t>The Sales Tax Clearinghouse</t>
  </si>
  <si>
    <t>n/a</t>
  </si>
  <si>
    <t>FAQ</t>
  </si>
  <si>
    <t>https://thestc.com/FAQ.stm</t>
  </si>
  <si>
    <t>Question "What is the average sales tax nationally?"</t>
  </si>
  <si>
    <t>biofuel diesel</t>
  </si>
  <si>
    <t>DOE Alternative Fuels Data Center</t>
  </si>
  <si>
    <t>heat</t>
  </si>
  <si>
    <t>Euroheat &amp; Power</t>
  </si>
  <si>
    <t>DHC &amp; Statistics: United States</t>
  </si>
  <si>
    <t>http://www.euroheat.org/United-States-156.aspx</t>
  </si>
  <si>
    <t>"Average District Heating price in 2011" (using "Steam" rather than "Water" because most U.S. district heating systems use steam)</t>
  </si>
  <si>
    <t>hydrogen start year costs</t>
  </si>
  <si>
    <t>hydrogen future costs</t>
  </si>
  <si>
    <t>California Energy Commission and California Air Resources Board</t>
  </si>
  <si>
    <t>Bloomberg New Energy Finance</t>
  </si>
  <si>
    <t>Assessment of Time and Cost Needed to Attain 100 Hydrogen Refueling Stations in California</t>
  </si>
  <si>
    <t>Hydrogen Economy Outlook: Key Messages</t>
  </si>
  <si>
    <t>https://ww2.energy.ca.gov/2015publications/CEC-600-2015-016/CEC-600-2015-016.pdf</t>
  </si>
  <si>
    <t>https://data.bloomberglp.com/professional/sites/24/BNEF-Hydrogen-Economy-Outlook-Key-Messages-30-Mar-2020.pdf</t>
  </si>
  <si>
    <t>Page 57, Table 12</t>
  </si>
  <si>
    <t>Page 5</t>
  </si>
  <si>
    <t>lignite and non-lignite price multipliers</t>
  </si>
  <si>
    <t>Form EIA-923 detailed data</t>
  </si>
  <si>
    <t>https://www.eia.gov/electricity/data/eia923/</t>
  </si>
  <si>
    <t>Year 2018, Tab 5</t>
  </si>
  <si>
    <t>Notes</t>
  </si>
  <si>
    <t>Pre-Tax Prices</t>
  </si>
  <si>
    <t>This variable contains PRE-TAX fuel prices per unit energy, disaggregated by sector.</t>
  </si>
  <si>
    <t>BAU Fuel Taxes</t>
  </si>
  <si>
    <t>Separately, it also specifies the amount of BAU fuel tax per unit energy that is levied on each fuel.</t>
  </si>
  <si>
    <t>BAU fuel taxes include sales taxes, value-added taxes (VAT), and excise taxes, not carbon taxes.</t>
  </si>
  <si>
    <t>If there is a BAU Carbon Tax in the modeled region, its effect on fuel prices must not be included here.</t>
  </si>
  <si>
    <t>(A BAU carbon tax is specified separately in fuels/BCTR BAU Carbon Tax Rate.)</t>
  </si>
  <si>
    <t>BAU Fuel Subsidies</t>
  </si>
  <si>
    <t>All pre-tax fuel prices in this variable should incorporate the contribution of any BAU subsidies.</t>
  </si>
  <si>
    <t>This is because BAU subsidies are often applied far upstream of retail sales, such as subsidies for oil</t>
  </si>
  <si>
    <t>and gas drilling companies.  Similarly, subsidies paid for electricity generation</t>
  </si>
  <si>
    <t>(such as a subsidy per MWh of electricity generated from wind)</t>
  </si>
  <si>
    <t>and for capacity construction (such as a subsidy per MW of wind built) go to electricity suppliers upstream.</t>
  </si>
  <si>
    <t>Therefore, the effects of these subsidies, insofar as they impact retail prices,</t>
  </si>
  <si>
    <t>are already included in the reported fuel prices you are likely to find for any country or region.</t>
  </si>
  <si>
    <t>(In the event you do have pre-subsidy fuel prices, you must subtract out the subsidy before entering</t>
  </si>
  <si>
    <t>fuel price data in this variable, to reflect the pre-tax price seen by fuel purchasers.)</t>
  </si>
  <si>
    <t>Hydro, wind, solar, and geothermal do not have fuel cost.  These sheets contain zeroes.</t>
  </si>
  <si>
    <t>Prices for fuels for the District Heating sector are assumed to be the same as the prices for those fuels for the Electricity</t>
  </si>
  <si>
    <t>Sector, as both heat and electricity plants are run by utilities (and some CHP plants produce both heat and electricity).</t>
  </si>
  <si>
    <t>The hydrogen supply sector uses the District Heating prices, and uses electricity, so we use electricity prices seen by</t>
  </si>
  <si>
    <t>the Industry sector.</t>
  </si>
  <si>
    <t>The LULUCF sector does not use fuel.  (Agriculture fuel use is handled as part of Industry.)</t>
  </si>
  <si>
    <t>Tax rate projections have only been located for petroleum gasoline, petroleum diesel, and jet fuel.</t>
  </si>
  <si>
    <t>is taxed at the same rate as petroleum diesel.</t>
  </si>
  <si>
    <t>Currency Year Adjustment</t>
  </si>
  <si>
    <t>use the 2014 row, so it is reported in 2014 dollars.</t>
  </si>
  <si>
    <t>We adjust dollars of the following years to 2012 dollars using the following conversion factors:</t>
  </si>
  <si>
    <t>2019 to 2012</t>
  </si>
  <si>
    <t>2018 to 2012; used for EIA AEO 2018 and DOE Clean Cities report</t>
  </si>
  <si>
    <t>2015 to 2012; used for CEC/CARB hydrogen report</t>
  </si>
  <si>
    <t>2011 to 2012; used for Euroheat and Power statistics</t>
  </si>
  <si>
    <t>See "cpi.xlsx" in the InputData folder for source information.</t>
  </si>
  <si>
    <t>million BTU / barrel (U.S.-produced crude)</t>
  </si>
  <si>
    <t>million BTU / barrel (imported crude)</t>
  </si>
  <si>
    <t>Municipal Solid Waste Prices</t>
  </si>
  <si>
    <t>Rather than costing money, companies usually pay a "tipping fee" to the processor for accepting their</t>
  </si>
  <si>
    <t>municipal solid waste.  This would imply a negative fuel price.  However, there may be extra expenses</t>
  </si>
  <si>
    <t>associated with sorting the waste so that only suitable MSW is combusted, while other items (such as</t>
  </si>
  <si>
    <t>electronics and batteries, which should not have been part of the MSW stream) don't get combusted.</t>
  </si>
  <si>
    <t>For simplicity, we assume that the added processing costs of dealing with MSW offset the tipping fees,</t>
  </si>
  <si>
    <t>resulting in a fuel cost of zero.   (This assumes MSW power plants get all their profit from selling power,</t>
  </si>
  <si>
    <t>and they break even on the tipping fees.)</t>
  </si>
  <si>
    <t>Report</t>
  </si>
  <si>
    <t>Scenario</t>
  </si>
  <si>
    <t>Reference case</t>
  </si>
  <si>
    <t>Datekey</t>
  </si>
  <si>
    <t>Release Date</t>
  </si>
  <si>
    <t xml:space="preserve"> Residential</t>
  </si>
  <si>
    <t xml:space="preserve">   Propane</t>
  </si>
  <si>
    <t xml:space="preserve"> Commercial</t>
  </si>
  <si>
    <t xml:space="preserve">   Distillate Fuel Oil</t>
  </si>
  <si>
    <t xml:space="preserve">   Residual Fuel Oil</t>
  </si>
  <si>
    <t>- -</t>
  </si>
  <si>
    <t xml:space="preserve"> Transportation</t>
  </si>
  <si>
    <t xml:space="preserve">   E85 3/</t>
  </si>
  <si>
    <t xml:space="preserve">   Motor Gasoline 4/</t>
  </si>
  <si>
    <t xml:space="preserve">   Jet Fuel 5/</t>
  </si>
  <si>
    <t xml:space="preserve">   Diesel Fuel (distillate fuel oil) 6/</t>
  </si>
  <si>
    <t>Non-Renewable Energy Expenditures by Sector</t>
  </si>
  <si>
    <t>Prices in Nominal Dollars</t>
  </si>
  <si>
    <t>(billion nominal dollars)</t>
  </si>
  <si>
    <t>Jet Fuel</t>
  </si>
  <si>
    <t>Coal</t>
  </si>
  <si>
    <t>Natural Gas</t>
  </si>
  <si>
    <t>Petroleum</t>
  </si>
  <si>
    <t>Table 12: New Vehicle Fuel Economies, Fuel Economy Ratios, Gasoline Fuel Prices, and GasolineEquivalent Hydrogen Prices</t>
  </si>
  <si>
    <t>Vehicle Fuel Economies</t>
  </si>
  <si>
    <t xml:space="preserve">New Fuel Cell Electric Vehicle (FCEV) </t>
  </si>
  <si>
    <t xml:space="preserve">New Conventional Gasoline Vehicle (CGV)  </t>
  </si>
  <si>
    <t xml:space="preserve">Fuel Economy Ratio (FCEV/CGV)   </t>
  </si>
  <si>
    <t>Fuel Prices</t>
  </si>
  <si>
    <t xml:space="preserve">Gasoline Price ($/gal)    </t>
  </si>
  <si>
    <t xml:space="preserve">Gasoline-Equivalent Hydrogen Price ($/kg)   </t>
  </si>
  <si>
    <t>Hydrogen Price used in Scenario Analyses ($/kg)</t>
  </si>
  <si>
    <t>Hydrogen Energy Content (using Higher Heating Values)</t>
  </si>
  <si>
    <t>BTU/lb</t>
  </si>
  <si>
    <t>Source: U.S. DOE, Alternative Fuels Data Center, https://afdc.energy.gov/fuels/fuel_comparison_chart.pdf</t>
  </si>
  <si>
    <t>Conversion factor</t>
  </si>
  <si>
    <t>lb/kg</t>
  </si>
  <si>
    <t>Hydrogen Prices in $/BTU and Extrapolated to 2050</t>
  </si>
  <si>
    <t>Hydrogen Prices ($/BTU)</t>
  </si>
  <si>
    <t>These data points form a linear cost decline.  Projecting it out to 2050 results in a cost decline of 70% relative to 2018.</t>
  </si>
  <si>
    <t>over that time period, and only for electrolysis, not for natural gas reforming or coal gasification.</t>
  </si>
  <si>
    <t>To have the drop in prices charged by hydrogen suppliers better match the price drops in their CapEx and OpEx costs,</t>
  </si>
  <si>
    <t>we use IEA data to project percentage declines in hydrogen cost, though we continue to rely on</t>
  </si>
  <si>
    <t>California Energy Commission / California Air Resources Board data for prices in the start year.</t>
  </si>
  <si>
    <t>We only use electrolysis costs here, because they are the only costs that decline, and they may drive the market</t>
  </si>
  <si>
    <t>price of hydrogen fuel.  (In any case, these declines are already more conservative than extrapolating CEC/CARB values.)</t>
  </si>
  <si>
    <t>BNEF Year</t>
  </si>
  <si>
    <t>Hydrogen Price ($/BTU)</t>
  </si>
  <si>
    <t>Hydrogen Prices using CEC/CARB Start Year Price and IEA Rate of Price Decline</t>
  </si>
  <si>
    <t>Fuel</t>
  </si>
  <si>
    <t>Cost</t>
  </si>
  <si>
    <t>Sector</t>
  </si>
  <si>
    <t>Unit</t>
  </si>
  <si>
    <t>Table</t>
  </si>
  <si>
    <t>Electricity</t>
  </si>
  <si>
    <t>Industry</t>
  </si>
  <si>
    <t>Transportation</t>
  </si>
  <si>
    <t>heat (as steam)</t>
  </si>
  <si>
    <t>All</t>
  </si>
  <si>
    <t>Euros/GJ</t>
  </si>
  <si>
    <t>Conversions</t>
  </si>
  <si>
    <t>BTU/million BTU</t>
  </si>
  <si>
    <t>$/Euro</t>
  </si>
  <si>
    <t>BTU/GJ</t>
  </si>
  <si>
    <t>We assume the cost of biomass and heat are constant during the model run in real dollars.</t>
  </si>
  <si>
    <t>We assume the price of jet fuel scales up or down by the same percentage as petroleum diesel in the Transportation Sector.</t>
  </si>
  <si>
    <t>Fuel Cost ($/BTU)</t>
  </si>
  <si>
    <t>Average Sales Tax Rate</t>
  </si>
  <si>
    <t>Used when no more specific data are available for a fuel type.</t>
  </si>
  <si>
    <t>electricity</t>
  </si>
  <si>
    <t>hard coal</t>
  </si>
  <si>
    <t>natural gas</t>
  </si>
  <si>
    <t>nuclear</t>
  </si>
  <si>
    <t>hydro (does not use fuel)</t>
  </si>
  <si>
    <t>wind (does not use fuel)</t>
  </si>
  <si>
    <t>solar (does not use fuel)</t>
  </si>
  <si>
    <t>petroleum gasoline</t>
  </si>
  <si>
    <t>petroleum diesel</t>
  </si>
  <si>
    <t>biofuel gasoline</t>
  </si>
  <si>
    <t>jet fuel</t>
  </si>
  <si>
    <t>geothermal (does not use fuel)</t>
  </si>
  <si>
    <t>lignite</t>
  </si>
  <si>
    <t>crude oil</t>
  </si>
  <si>
    <t>heavy fuel oil</t>
  </si>
  <si>
    <t>LPG propane or butane</t>
  </si>
  <si>
    <t>municipal solid waste (no fuel cost)</t>
  </si>
  <si>
    <t>hydrogen</t>
  </si>
  <si>
    <t>Fuel Price ($/BTU)</t>
  </si>
  <si>
    <t>Transportation Sector</t>
  </si>
  <si>
    <t>Electricity Sector</t>
  </si>
  <si>
    <t>Residential Buildings Sector</t>
  </si>
  <si>
    <t>Commercial Buildings Sector</t>
  </si>
  <si>
    <t>Industry Sector</t>
  </si>
  <si>
    <t>District Heating Sector</t>
  </si>
  <si>
    <t>LULUCF Sector</t>
  </si>
  <si>
    <t>Geoengineering Sector</t>
  </si>
  <si>
    <t>Fuel Tax ($/BTU)</t>
  </si>
  <si>
    <t>AK</t>
  </si>
  <si>
    <t>AL</t>
  </si>
  <si>
    <t>AR</t>
  </si>
  <si>
    <t>AZ</t>
  </si>
  <si>
    <t>CA</t>
  </si>
  <si>
    <t>CO</t>
  </si>
  <si>
    <t>CT</t>
  </si>
  <si>
    <t>DE</t>
  </si>
  <si>
    <t>FL</t>
  </si>
  <si>
    <t>GA</t>
  </si>
  <si>
    <t>HI</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</si>
  <si>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</si>
  <si>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</si>
  <si>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</si>
  <si>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</si>
  <si>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</si>
  <si>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</si>
  <si>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</si>
  <si>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</si>
  <si>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</si>
  <si>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</si>
  <si>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</si>
  <si>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</si>
  <si>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</si>
  <si>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</si>
  <si>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</si>
  <si>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</si>
  <si>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</si>
  <si>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</si>
  <si>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</si>
  <si>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</si>
  <si>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</si>
  <si>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</si>
  <si>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</si>
  <si>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</si>
  <si>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</si>
  <si>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</si>
  <si>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</si>
  <si>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</si>
  <si>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</si>
  <si>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</si>
  <si>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</si>
  <si>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</si>
  <si>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</si>
  <si>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Alabama</t>
  </si>
  <si>
    <t>Alaska</t>
  </si>
  <si>
    <t>Arizona</t>
  </si>
  <si>
    <t>Arkansas</t>
  </si>
  <si>
    <t>California</t>
  </si>
  <si>
    <t>Colorado</t>
  </si>
  <si>
    <t>Connecticut</t>
  </si>
  <si>
    <t>Delaware</t>
  </si>
  <si>
    <t>Florida</t>
  </si>
  <si>
    <t>Georgia</t>
  </si>
  <si>
    <t>Hawaii</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</si>
  <si>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</si>
  <si>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</si>
  <si>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</si>
  <si>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</si>
  <si>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</si>
  <si>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</si>
  <si>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</si>
  <si>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</si>
  <si>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</si>
  <si>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</si>
  <si>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</si>
  <si>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</si>
  <si>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</si>
  <si>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</si>
  <si>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</si>
  <si>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</si>
  <si>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</si>
  <si>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</si>
  <si>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</si>
  <si>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</si>
  <si>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</si>
  <si>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</si>
  <si>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</si>
  <si>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</si>
  <si>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</si>
  <si>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</si>
  <si>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</si>
  <si>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</si>
  <si>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</si>
  <si>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</si>
  <si>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</si>
  <si>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</si>
  <si>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</si>
  <si>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Natural gas/coal prices are at the…</t>
  </si>
  <si>
    <t>National level</t>
  </si>
  <si>
    <t>Region level</t>
  </si>
  <si>
    <t>State level</t>
  </si>
  <si>
    <t>Remember to re-export CSVs!!</t>
  </si>
  <si>
    <t>Back to Contents</t>
  </si>
  <si>
    <t>Data 1: California Gasoline and Diesel Retail Prices</t>
  </si>
  <si>
    <t>Sourcekey</t>
  </si>
  <si>
    <t>EMM_EPM0_PTE_SCA_DPG</t>
  </si>
  <si>
    <t>EMM_EPM0R_PTE_SCA_DPG</t>
  </si>
  <si>
    <t>EMM_EPMR_PTE_SCA_DPG</t>
  </si>
  <si>
    <t>EMM_EPMRR_PTE_SCA_DPG</t>
  </si>
  <si>
    <t>EMM_EPMM_PTE_SCA_DPG</t>
  </si>
  <si>
    <t>EMM_EPMMR_PTE_SCA_DPG</t>
  </si>
  <si>
    <t>EMM_EPMP_PTE_SCA_DPG</t>
  </si>
  <si>
    <t>EMM_EPMPR_PTE_SCA_DPG</t>
  </si>
  <si>
    <t>EMD_EPD2D_PTE_SCA_DPG</t>
  </si>
  <si>
    <t>EMD_EPD2DXL0_PTE_SCA_DPG</t>
  </si>
  <si>
    <t>Date</t>
  </si>
  <si>
    <t>California All Grades All Formulations Retail Gasoline Prices (Dollars per Gallon)</t>
  </si>
  <si>
    <t>California All Grades Reformulated Retail Gasoline Prices (Dollars per Gallon)</t>
  </si>
  <si>
    <t>California Regular All Formulations Retail Gasoline Prices (Dollars per Gallon)</t>
  </si>
  <si>
    <t>California Regular Reformulated Retail Gasoline Prices (Dollars per Gallon)</t>
  </si>
  <si>
    <t>California Midgrade All Formulations Retail Gasoline Prices (Dollars per Gallon)</t>
  </si>
  <si>
    <t>California Midgrade Reformulated Retail Gasoline Prices (Dollars per Gallon)</t>
  </si>
  <si>
    <t>California Premium All Formulations Retail Gasoline Prices (Dollars per Gallon)</t>
  </si>
  <si>
    <t>California Premium Reformulated Retail Gasoline Prices (Dollars per Gallon)</t>
  </si>
  <si>
    <t>California No 2 Diesel Retail Prices (Dollars per Gallon)</t>
  </si>
  <si>
    <t>California No 2 Diesel Ultra Low Sulfur (0-15 ppm) Retail Prices (Dollars per Gallon)</t>
  </si>
  <si>
    <t># Of Series</t>
  </si>
  <si>
    <t>Frequency</t>
  </si>
  <si>
    <t>Latest Data for</t>
  </si>
  <si>
    <t>Release Date:</t>
  </si>
  <si>
    <t>Next Release Date:</t>
  </si>
  <si>
    <t>Excel File Name:</t>
  </si>
  <si>
    <t>Available from Web Page:</t>
  </si>
  <si>
    <t>Source:</t>
  </si>
  <si>
    <t>Table 3.  Energy Prices by Sector and Source</t>
  </si>
  <si>
    <t>Source: U.S. Energy Information Administration</t>
  </si>
  <si>
    <t>full name</t>
  </si>
  <si>
    <t>api key</t>
  </si>
  <si>
    <t>units</t>
  </si>
  <si>
    <t>Residential</t>
  </si>
  <si>
    <t>Propane</t>
  </si>
  <si>
    <t>Distillate Fuel Oil</t>
  </si>
  <si>
    <t>Commercial</t>
  </si>
  <si>
    <t>Residual Fuel Oil</t>
  </si>
  <si>
    <t>Industrial</t>
  </si>
  <si>
    <t>Metallurgical Coal</t>
  </si>
  <si>
    <t>Other Industrial Coal</t>
  </si>
  <si>
    <t>Coal to Liquids</t>
  </si>
  <si>
    <t>E85</t>
  </si>
  <si>
    <t>Motor Gasoline</t>
  </si>
  <si>
    <t>Diesel Fuel (distillate fuel oil)</t>
  </si>
  <si>
    <t>Electric Power</t>
  </si>
  <si>
    <t>Steam Coal</t>
  </si>
  <si>
    <t>Uranium</t>
  </si>
  <si>
    <t>Average Price to All Users</t>
  </si>
  <si>
    <t>Other Coal</t>
  </si>
  <si>
    <t>Total Non-Renewable Expenditures</t>
  </si>
  <si>
    <t>Transportation Renewable Expenditures</t>
  </si>
  <si>
    <t>Total Expenditures</t>
  </si>
  <si>
    <t>nom $/MMBtu</t>
  </si>
  <si>
    <t>billion nom $</t>
  </si>
  <si>
    <t>Year</t>
  </si>
  <si>
    <t>Historical Consumer Price Index for All Urban Consumers (CPI-U): U.S. city average, all items, index</t>
  </si>
  <si>
    <t>averages — Continued</t>
  </si>
  <si>
    <t>[1982-84=100, unless otherwise noted]</t>
  </si>
  <si>
    <t>Semiannual averages</t>
  </si>
  <si>
    <t>Annual avg.</t>
  </si>
  <si>
    <t>Percent change from previous</t>
  </si>
  <si>
    <t>Multiply by to get 2012 Dollars</t>
  </si>
  <si>
    <t>1st half</t>
  </si>
  <si>
    <t>2nd half</t>
  </si>
  <si>
    <t>Dec.</t>
  </si>
  <si>
    <t>–</t>
  </si>
  <si>
    <t>1982.............................................................................     .</t>
  </si>
  <si>
    <t>1983.............................................................................     .</t>
  </si>
  <si>
    <t>1984.............................................................................     .</t>
  </si>
  <si>
    <t>1985.............................................................................     .</t>
  </si>
  <si>
    <t>1986.............................................................................     .</t>
  </si>
  <si>
    <t>1987.............................................................................     .</t>
  </si>
  <si>
    <t>1988.............................................................................     .</t>
  </si>
  <si>
    <t>1989.............................................................................     .</t>
  </si>
  <si>
    <t>1990.............................................................................     .</t>
  </si>
  <si>
    <t>1991.............................................................................     .</t>
  </si>
  <si>
    <t>1992.............................................................................     .</t>
  </si>
  <si>
    <t>1993.............................................................................     .</t>
  </si>
  <si>
    <t>1994.............................................................................     .</t>
  </si>
  <si>
    <t>1995.............................................................................     .</t>
  </si>
  <si>
    <t>1996.............................................................................     .</t>
  </si>
  <si>
    <t>1997.............................................................................      .</t>
  </si>
  <si>
    <t>1998.............................................................................     .</t>
  </si>
  <si>
    <t>1999.............................................................................     .</t>
  </si>
  <si>
    <t>2000.............................................................................     .</t>
  </si>
  <si>
    <t>2001.............................................................................     .</t>
  </si>
  <si>
    <t>2002.............................................................................     .</t>
  </si>
  <si>
    <t>2003.............................................................................     .</t>
  </si>
  <si>
    <t>2004.............................................................................     .</t>
  </si>
  <si>
    <t>2005.............................................................................     .</t>
  </si>
  <si>
    <t>2006.............................................................................     .</t>
  </si>
  <si>
    <t>2007.............................................................................     .</t>
  </si>
  <si>
    <t>2008.............................................................................     .</t>
  </si>
  <si>
    <t>2009.............................................................................     .</t>
  </si>
  <si>
    <t>2010.............................................................................     .</t>
  </si>
  <si>
    <t>2011.............................................................................     .</t>
  </si>
  <si>
    <t>2012.............................................................................     .</t>
  </si>
  <si>
    <t>2013.............................................................................     .</t>
  </si>
  <si>
    <t>2014.............................................................................     .</t>
  </si>
  <si>
    <t>2015.............................................................................     .</t>
  </si>
  <si>
    <t>2016.............................................................................     .</t>
  </si>
  <si>
    <t>2017.............................................................................     .</t>
  </si>
  <si>
    <t>2018.............................................................................     .</t>
  </si>
  <si>
    <t>2019.............................................................................     .</t>
  </si>
  <si>
    <t>convert 2018$ to 2017 dollars</t>
  </si>
  <si>
    <t>2012 $s</t>
  </si>
  <si>
    <t>current as of July 2021</t>
  </si>
  <si>
    <t>2020 to 2012 $s</t>
  </si>
  <si>
    <t>BLS data accessed 7/22/2021</t>
  </si>
  <si>
    <t>2020 average</t>
  </si>
  <si>
    <t>California empirical</t>
  </si>
  <si>
    <t>Gasoline</t>
  </si>
  <si>
    <t>Diesel</t>
  </si>
  <si>
    <t>2. Energy Prices</t>
  </si>
  <si>
    <t>https://www.eia.gov/outlooks/steo/data/browser/#/?v=8&amp;f=A&amp;s=000000000000000000000000000g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amp;start=1997&amp;end=2022&amp;linechart=NGICUUS~NGCCUUS~NGRCUUS&amp;maptype=0&amp;ctype=linechart&amp;map=</t>
  </si>
  <si>
    <t>Thu Jul 22 2021 16:50:22 GMT-0700 (Pacific Daylight Time)</t>
  </si>
  <si>
    <t>remove</t>
  </si>
  <si>
    <t>map</t>
  </si>
  <si>
    <t>linechart</t>
  </si>
  <si>
    <t>source key</t>
  </si>
  <si>
    <t>Diesel Fuel Retail Price Including Taxes, U.S. Average</t>
  </si>
  <si>
    <t>cents per gallon</t>
  </si>
  <si>
    <t>DSRTUUS</t>
  </si>
  <si>
    <t>Crude Oil Prices</t>
  </si>
  <si>
    <t>dollars per barrel</t>
  </si>
  <si>
    <t>West Texas Intermediate Spot Average</t>
  </si>
  <si>
    <t>West Texas Intermediate Crude Oil Spot Price</t>
  </si>
  <si>
    <t>WTIPUUS</t>
  </si>
  <si>
    <t>Imported Average</t>
  </si>
  <si>
    <t>Imported Crude Oil Average Price</t>
  </si>
  <si>
    <t>RAIMUUS</t>
  </si>
  <si>
    <t>Refiner Average Acquisition Cost</t>
  </si>
  <si>
    <t>Refiner Average Crude Oil Acquisition Cost</t>
  </si>
  <si>
    <t>RACPUUS</t>
  </si>
  <si>
    <t>Brent Spot Average</t>
  </si>
  <si>
    <t>Brent Crude Oil Spot Price</t>
  </si>
  <si>
    <t>BREPUUS</t>
  </si>
  <si>
    <t>U.S. Liquid Fuels</t>
  </si>
  <si>
    <t>Refiner Prices for Resale</t>
  </si>
  <si>
    <t>Gasoline Wholesale Price</t>
  </si>
  <si>
    <t>MGWHUUS</t>
  </si>
  <si>
    <t>Diesel Fuel</t>
  </si>
  <si>
    <t>No. 2 Diesel Fuel Wholesale Price</t>
  </si>
  <si>
    <t>DSWHUUS</t>
  </si>
  <si>
    <t>Fuel Oil</t>
  </si>
  <si>
    <t>No. 2 Fuel Oil Wholesale Price</t>
  </si>
  <si>
    <t>D2WHUUS</t>
  </si>
  <si>
    <t>Refiner Prices to End Users</t>
  </si>
  <si>
    <t>Jet Fuel Wholesale Price</t>
  </si>
  <si>
    <t>JKTCUUS</t>
  </si>
  <si>
    <t>No. 6 Residual Fuel</t>
  </si>
  <si>
    <t>No. 6 Residual Fuel Wholesale Price</t>
  </si>
  <si>
    <t>RFTCUUS</t>
  </si>
  <si>
    <t>Retail Prices Including Taxes</t>
  </si>
  <si>
    <t>Gasoline Regular Grade</t>
  </si>
  <si>
    <t>Gasoline Regular Grade Retail Price</t>
  </si>
  <si>
    <t>MGRARUS</t>
  </si>
  <si>
    <t>Gasoline All Grades</t>
  </si>
  <si>
    <t>Gasoline All Grades Retail Price</t>
  </si>
  <si>
    <t>MGEIAUS</t>
  </si>
  <si>
    <t>On-highway Diesel Fuel</t>
  </si>
  <si>
    <t>On-highway Diesel Fuel Retail Price</t>
  </si>
  <si>
    <t>Heating Oil</t>
  </si>
  <si>
    <t>Heating Oil Retail Price</t>
  </si>
  <si>
    <t>D2RCAUS</t>
  </si>
  <si>
    <t>dollars per thousand cubic feet</t>
  </si>
  <si>
    <t>Henry Hub Spot</t>
  </si>
  <si>
    <t>Natural Gas Henry Hub Spot Price</t>
  </si>
  <si>
    <t>NGHHMCF</t>
  </si>
  <si>
    <t>dollars per million btu</t>
  </si>
  <si>
    <t>NGHHUUS</t>
  </si>
  <si>
    <t>Natural Gas-U.S. Retail Prices</t>
  </si>
  <si>
    <t>U.S. Retail Prices</t>
  </si>
  <si>
    <t>Industrial Sector</t>
  </si>
  <si>
    <t>Natural Gas Price Industrial Sector</t>
  </si>
  <si>
    <t>NGICUUS</t>
  </si>
  <si>
    <t>--</t>
  </si>
  <si>
    <t>Commercial Sector</t>
  </si>
  <si>
    <t>Natural Gas Price Commercial Sector</t>
  </si>
  <si>
    <t>NGCCUUS</t>
  </si>
  <si>
    <t>Residential Sector</t>
  </si>
  <si>
    <t>Natural Gas Price Residential Sector</t>
  </si>
  <si>
    <t>NGRCUUS</t>
  </si>
  <si>
    <t>U.S. Electricity</t>
  </si>
  <si>
    <t>Power Generation Fuel Costs</t>
  </si>
  <si>
    <t>Electric Power Sector Coal Cost</t>
  </si>
  <si>
    <t>CLEUDUS</t>
  </si>
  <si>
    <t>Electric Power Sector Natural Gas Cost</t>
  </si>
  <si>
    <t>NGEUDUS</t>
  </si>
  <si>
    <t>Electric Power Sector Residual Fuel Oil Cost</t>
  </si>
  <si>
    <t>RFEUDUS</t>
  </si>
  <si>
    <t>Electric Power Sector Distillate Fuel Oil Cost</t>
  </si>
  <si>
    <t>DKEUDUS</t>
  </si>
  <si>
    <t>Electricity - Retail Prices</t>
  </si>
  <si>
    <t>Retail Prices</t>
  </si>
  <si>
    <t>cents per kilowatthour</t>
  </si>
  <si>
    <t>Electricity Price Industrial Sector</t>
  </si>
  <si>
    <t>ESICUUS</t>
  </si>
  <si>
    <t>Electricity Price Commercial Sector</t>
  </si>
  <si>
    <t>ESCMUUS</t>
  </si>
  <si>
    <t>Electricity Price Residential Sector</t>
  </si>
  <si>
    <t>ESRCUUS</t>
  </si>
  <si>
    <t>6/30/2021</t>
  </si>
  <si>
    <t>7/30/2021</t>
  </si>
  <si>
    <t>ng_pri_sum_dcu_sca_m.xls</t>
  </si>
  <si>
    <t>http://www.eia.gov/dnav/ng/ng_pri_sum_dcu_sca_m.htm</t>
  </si>
  <si>
    <t>For Help, Contact:</t>
  </si>
  <si>
    <t>infoctr@eia.gov</t>
  </si>
  <si>
    <t>(202) 586-8800</t>
  </si>
  <si>
    <t>6/25/2021 1:49:42 AM</t>
  </si>
  <si>
    <t>Data 1: California Natural Gas Prices</t>
  </si>
  <si>
    <t>N3050CA3</t>
  </si>
  <si>
    <t>N3010CA3</t>
  </si>
  <si>
    <t>NA1504_SCA_4</t>
  </si>
  <si>
    <t>N3020CA3</t>
  </si>
  <si>
    <t>N3020CA4</t>
  </si>
  <si>
    <t>N3035CA3</t>
  </si>
  <si>
    <t>N3035CA4</t>
  </si>
  <si>
    <t>N3045CA3</t>
  </si>
  <si>
    <t>Natural Gas Citygate Price in California (Dollars per Thousand Cubic Feet)</t>
  </si>
  <si>
    <t>California Price of Natural Gas Delivered to Residential Consumers (Dollars per Thousand Cubic Feet)</t>
  </si>
  <si>
    <t>California Natural Gas % of Total Residential - Sales (%)</t>
  </si>
  <si>
    <t>California Price of Natural Gas Sold to Commercial Consumers (Dollars per Thousand Cubic Feet)</t>
  </si>
  <si>
    <t>Percent of Commercial Natural Gas Deliveries in California Represented by the Price (%)</t>
  </si>
  <si>
    <t>California Natural Gas Industrial Price (Dollars per Thousand Cubic Feet)</t>
  </si>
  <si>
    <t>Percent of Industrial Natural Gas Deliveries in California Represented by the Price (%)</t>
  </si>
  <si>
    <t>California Natural Gas Price Sold to Electric Power Consumers (Dollars per Thousand Cubic Feet)</t>
  </si>
  <si>
    <t>NA1140_SCA_3</t>
  </si>
  <si>
    <t>NGA_EPG0_PM0_SCA-Z00_DMCF</t>
  </si>
  <si>
    <t>NA1284_SCA_3</t>
  </si>
  <si>
    <t>NA1480_SCA_3</t>
  </si>
  <si>
    <t>NA1570_SCA_3</t>
  </si>
  <si>
    <t>California Natural Gas Wellhead Price (Dollars per Thousand Cubic Feet)</t>
  </si>
  <si>
    <t>California Natural Gas Imports Price All Countries (Dollars per Thousand Cubic Feet)</t>
  </si>
  <si>
    <t>Price of California Natural Gas Exports (Dollars per Thousand Cubic Feet)</t>
  </si>
  <si>
    <t>California Natural Gas Pipeline and Distribution Use Price (Dollars per Thousand Cubic Feet)</t>
  </si>
  <si>
    <t>California Natural Gas Vehicle Fuel Price (Dollars per Thousand Cubic Feet)</t>
  </si>
  <si>
    <t>California Natural Gas Prices</t>
  </si>
  <si>
    <t>Power</t>
  </si>
  <si>
    <t>https://www.eia.gov/energyexplained/units-and-calculators/</t>
  </si>
  <si>
    <t>All in 2012 $s / btu</t>
  </si>
  <si>
    <t>1 gallon gasoline</t>
  </si>
  <si>
    <t>Biodiesel</t>
  </si>
  <si>
    <t>q2</t>
  </si>
  <si>
    <t>q3</t>
  </si>
  <si>
    <t>q4</t>
  </si>
  <si>
    <t>2020 q1</t>
  </si>
  <si>
    <t xml:space="preserve">April </t>
  </si>
  <si>
    <t>July</t>
  </si>
  <si>
    <t>October</t>
  </si>
  <si>
    <t>petro-bio diesel differential</t>
  </si>
  <si>
    <t>Differential spikes during covid recession. Exclude these values for input value calculation.</t>
  </si>
  <si>
    <t>Average B99/B100 differential</t>
  </si>
  <si>
    <t>E85 vs typical petroleum gasoline (differential)</t>
  </si>
  <si>
    <t>LPG vs typical petroleum gasoline (differential)</t>
  </si>
  <si>
    <t>Average LPG differential</t>
  </si>
  <si>
    <t>Average E85</t>
  </si>
  <si>
    <t>January</t>
  </si>
  <si>
    <t>CNG (nominal $s / Diesel Gallon Eq.)</t>
  </si>
  <si>
    <t>LPG (nominal $s / Gasolinel Gallon Eq.)</t>
  </si>
  <si>
    <t>Diesel / diesel gallon</t>
  </si>
  <si>
    <t>B99/B100 / diesel gallon</t>
  </si>
  <si>
    <t>E85 / GGE</t>
  </si>
  <si>
    <t>Fig. 2 - Alternative Fuels Volumes and Credits</t>
  </si>
  <si>
    <t xml:space="preserve">Volume (quaterly) from "Fuels" tab </t>
  </si>
  <si>
    <t/>
  </si>
  <si>
    <t>Q1 2011</t>
  </si>
  <si>
    <t>Q2</t>
  </si>
  <si>
    <t>Q3</t>
  </si>
  <si>
    <t>Q4</t>
  </si>
  <si>
    <t>Q1 2012</t>
  </si>
  <si>
    <t>Q1 2013</t>
  </si>
  <si>
    <t>Q1 2014</t>
  </si>
  <si>
    <t>Q1 2015</t>
  </si>
  <si>
    <t>Q1 2016</t>
  </si>
  <si>
    <t>Q1 2017</t>
  </si>
  <si>
    <t>Q1 2018</t>
  </si>
  <si>
    <t>Q1 2019</t>
  </si>
  <si>
    <t>Bio-CNG</t>
  </si>
  <si>
    <t>dge</t>
  </si>
  <si>
    <t>Bio-LNG</t>
  </si>
  <si>
    <t>Fossil CNG</t>
  </si>
  <si>
    <t>Fossil LNG</t>
  </si>
  <si>
    <t>Hydrogen</t>
  </si>
  <si>
    <t>gge</t>
  </si>
  <si>
    <t>Ethanol</t>
  </si>
  <si>
    <t>gal</t>
  </si>
  <si>
    <t>Renewable Diesel</t>
  </si>
  <si>
    <t>Alternative Jet Fuel</t>
  </si>
  <si>
    <t>Renewable Naphtha</t>
  </si>
  <si>
    <t>Conversion to gge using energy density from Table 3 in the LCFS regulation</t>
  </si>
  <si>
    <t>Biomethane</t>
  </si>
  <si>
    <t>Fossil Natural Gas</t>
  </si>
  <si>
    <t>Other (Hyrdrogen, AJF, Renewable Naphtha, Propane)</t>
  </si>
  <si>
    <t>Q1 2020</t>
  </si>
  <si>
    <t>trillion btu</t>
  </si>
  <si>
    <t>CA distillate fuel oil</t>
  </si>
  <si>
    <t>million gallons total diesel transportation fuel</t>
  </si>
  <si>
    <t>estimated million gallons total diesel transportation fuel</t>
  </si>
  <si>
    <t>weighted average Btu/gal</t>
  </si>
  <si>
    <t>2020 estimate</t>
  </si>
  <si>
    <t>https://ww3.arb.ca.gov/fuels/lcfs/dashboard/dashboard.htm</t>
  </si>
  <si>
    <t>version dated April 30, 2021 - accessed July 27, 2021</t>
  </si>
  <si>
    <t>2012 $s per Btu</t>
  </si>
  <si>
    <t>Biofuel diesel</t>
  </si>
  <si>
    <t>Weighted average price</t>
  </si>
  <si>
    <t xml:space="preserve">energy adjusted price differentials </t>
  </si>
  <si>
    <t>Share of biofuel gas per BPoEFUbVT-LDVs-psgr-gasveh</t>
  </si>
  <si>
    <t>Share of biofuel diesel (calculated here)</t>
  </si>
  <si>
    <t>Biofuel gasoline</t>
  </si>
  <si>
    <t>Jet fuel</t>
  </si>
  <si>
    <t>Natural gas</t>
  </si>
  <si>
    <t>Data 1: Crude Oil</t>
  </si>
  <si>
    <t>RWTC</t>
  </si>
  <si>
    <t>RBRTE</t>
  </si>
  <si>
    <t>Cushing, OK WTI Spot Price FOB (Dollars per Barrel)</t>
  </si>
  <si>
    <t>Europe Brent Spot Price FOB (Dollars per Barrel)</t>
  </si>
  <si>
    <t xml:space="preserve">crude oil  </t>
  </si>
  <si>
    <t>Diesel / Distallate Fuel Oil</t>
  </si>
  <si>
    <t>Kerosene/Jet fuel</t>
  </si>
  <si>
    <t>Wood</t>
  </si>
  <si>
    <t xml:space="preserve">Coal </t>
  </si>
  <si>
    <t xml:space="preserve">Residential </t>
  </si>
  <si>
    <t>HGLs/Propane</t>
  </si>
  <si>
    <t>https://www.eia.gov/state/seds/seds-data-complete.php?sid=CA#PricesExpenditures</t>
  </si>
  <si>
    <t>Primary Energy</t>
  </si>
  <si>
    <t>Retail</t>
  </si>
  <si>
    <t>Sales</t>
  </si>
  <si>
    <t>Total</t>
  </si>
  <si>
    <r>
      <t>Energy </t>
    </r>
    <r>
      <rPr>
        <b/>
        <vertAlign val="superscript"/>
        <sz val="6"/>
        <color rgb="FF333333"/>
        <rFont val="Inherit"/>
      </rPr>
      <t>e</t>
    </r>
  </si>
  <si>
    <r>
      <t>Coal </t>
    </r>
    <r>
      <rPr>
        <b/>
        <vertAlign val="superscript"/>
        <sz val="6"/>
        <color rgb="FF333333"/>
        <rFont val="Inherit"/>
      </rPr>
      <t>a</t>
    </r>
  </si>
  <si>
    <t>Natural</t>
  </si>
  <si>
    <r>
      <t>Gas </t>
    </r>
    <r>
      <rPr>
        <b/>
        <vertAlign val="superscript"/>
        <sz val="6"/>
        <color rgb="FF333333"/>
        <rFont val="Inherit"/>
      </rPr>
      <t>b</t>
    </r>
  </si>
  <si>
    <t>Biomass</t>
  </si>
  <si>
    <r>
      <t>Total </t>
    </r>
    <r>
      <rPr>
        <b/>
        <vertAlign val="superscript"/>
        <sz val="6"/>
        <color rgb="FF333333"/>
        <rFont val="Inherit"/>
      </rPr>
      <t>e</t>
    </r>
  </si>
  <si>
    <t>Distillate</t>
  </si>
  <si>
    <r>
      <t>HGL </t>
    </r>
    <r>
      <rPr>
        <b/>
        <vertAlign val="superscript"/>
        <sz val="6"/>
        <color rgb="FF333333"/>
        <rFont val="Inherit"/>
      </rPr>
      <t>c</t>
    </r>
  </si>
  <si>
    <t>Kerosene</t>
  </si>
  <si>
    <r>
      <t>Wood </t>
    </r>
    <r>
      <rPr>
        <b/>
        <vertAlign val="superscript"/>
        <sz val="6"/>
        <color rgb="FF333333"/>
        <rFont val="Inherit"/>
      </rPr>
      <t>d</t>
    </r>
  </si>
  <si>
    <t>Prices in Dollars per Million Btu</t>
  </si>
  <si>
    <t>—</t>
  </si>
  <si>
    <t>[R ]</t>
  </si>
  <si>
    <r>
      <t>Energy </t>
    </r>
    <r>
      <rPr>
        <b/>
        <vertAlign val="superscript"/>
        <sz val="6"/>
        <color rgb="FF333333"/>
        <rFont val="Inherit"/>
      </rPr>
      <t>f,g,h</t>
    </r>
  </si>
  <si>
    <r>
      <t>Gas </t>
    </r>
    <r>
      <rPr>
        <b/>
        <vertAlign val="superscript"/>
        <sz val="6"/>
        <color rgb="FF333333"/>
        <rFont val="Inherit"/>
      </rPr>
      <t>a</t>
    </r>
  </si>
  <si>
    <r>
      <t>Total </t>
    </r>
    <r>
      <rPr>
        <b/>
        <vertAlign val="superscript"/>
        <sz val="6"/>
        <color rgb="FF333333"/>
        <rFont val="Inherit"/>
      </rPr>
      <t>f,g,h</t>
    </r>
  </si>
  <si>
    <r>
      <t>HGL </t>
    </r>
    <r>
      <rPr>
        <b/>
        <vertAlign val="superscript"/>
        <sz val="6"/>
        <color rgb="FF333333"/>
        <rFont val="Inherit"/>
      </rPr>
      <t>b</t>
    </r>
  </si>
  <si>
    <t>Motor</t>
  </si>
  <si>
    <r>
      <t>Gasoline </t>
    </r>
    <r>
      <rPr>
        <b/>
        <vertAlign val="superscript"/>
        <sz val="6"/>
        <color rgb="FF333333"/>
        <rFont val="Inherit"/>
      </rPr>
      <t>c</t>
    </r>
  </si>
  <si>
    <t>Residual</t>
  </si>
  <si>
    <r>
      <t>Total </t>
    </r>
    <r>
      <rPr>
        <b/>
        <vertAlign val="superscript"/>
        <sz val="6"/>
        <color rgb="FF333333"/>
        <rFont val="Inherit"/>
      </rPr>
      <t>d</t>
    </r>
  </si>
  <si>
    <t>Wood and</t>
  </si>
  <si>
    <r>
      <t>Waste </t>
    </r>
    <r>
      <rPr>
        <b/>
        <vertAlign val="superscript"/>
        <sz val="6"/>
        <color rgb="FF333333"/>
        <rFont val="Inherit"/>
      </rPr>
      <t>e,f</t>
    </r>
  </si>
  <si>
    <t>Table ET4. Commercial Sector Energy Price and Expenditure Estimates, 1970-2019, California</t>
  </si>
  <si>
    <t>Table ET6. Transportation Sector Energy Price and Expenditure Estimates, 1970-2019, California</t>
  </si>
  <si>
    <t>Gas</t>
  </si>
  <si>
    <t>Aviation</t>
  </si>
  <si>
    <r>
      <t>Fuel Oil </t>
    </r>
    <r>
      <rPr>
        <b/>
        <vertAlign val="superscript"/>
        <sz val="6"/>
        <color rgb="FF333333"/>
        <rFont val="Inherit"/>
      </rPr>
      <t>a</t>
    </r>
  </si>
  <si>
    <t>Jet</t>
  </si>
  <si>
    <r>
      <t>Fuel </t>
    </r>
    <r>
      <rPr>
        <b/>
        <vertAlign val="superscript"/>
        <sz val="6"/>
        <color rgb="FF333333"/>
        <rFont val="Inherit"/>
      </rPr>
      <t>c</t>
    </r>
  </si>
  <si>
    <t>Lubricants</t>
  </si>
  <si>
    <r>
      <t>Gasoline </t>
    </r>
    <r>
      <rPr>
        <b/>
        <vertAlign val="superscript"/>
        <sz val="6"/>
        <color rgb="FF333333"/>
        <rFont val="Inherit"/>
      </rPr>
      <t>d</t>
    </r>
  </si>
  <si>
    <t>Table ET5. Industrial Sector Energy Price and Expenditure Estimates, 1970-2019, California</t>
  </si>
  <si>
    <t>Coking</t>
  </si>
  <si>
    <t>Steam</t>
  </si>
  <si>
    <r>
      <t>Other </t>
    </r>
    <r>
      <rPr>
        <b/>
        <vertAlign val="superscript"/>
        <sz val="6"/>
        <color rgb="FF333333"/>
        <rFont val="Inherit"/>
      </rPr>
      <t>d</t>
    </r>
  </si>
  <si>
    <t>Table ET7. Electric Power Sector Price and Expenditure Estimates, 1970-2019, California</t>
  </si>
  <si>
    <t>Nuclear</t>
  </si>
  <si>
    <r>
      <t>Imports </t>
    </r>
    <r>
      <rPr>
        <b/>
        <vertAlign val="superscript"/>
        <sz val="6"/>
        <color rgb="FF333333"/>
        <rFont val="Inherit"/>
      </rPr>
      <t>c</t>
    </r>
  </si>
  <si>
    <r>
      <t>Energy </t>
    </r>
    <r>
      <rPr>
        <b/>
        <vertAlign val="superscript"/>
        <sz val="6"/>
        <color rgb="FF333333"/>
        <rFont val="Inherit"/>
      </rPr>
      <t>d</t>
    </r>
  </si>
  <si>
    <t>Coke</t>
  </si>
  <si>
    <r>
      <t>Waste </t>
    </r>
    <r>
      <rPr>
        <b/>
        <vertAlign val="superscript"/>
        <sz val="6"/>
        <color rgb="FF333333"/>
        <rFont val="Inherit"/>
      </rPr>
      <t>b</t>
    </r>
  </si>
  <si>
    <t>[ R ]</t>
  </si>
  <si>
    <t>$/Mbtu (nominal)</t>
  </si>
  <si>
    <t>RESIDENTIAL</t>
  </si>
  <si>
    <t>Heavy fuel oil</t>
  </si>
  <si>
    <t>#</t>
  </si>
  <si>
    <t>NA</t>
  </si>
  <si>
    <t>Crude</t>
  </si>
  <si>
    <t>Empirical data - $ per thousand cubic feet - 2012 $s</t>
  </si>
  <si>
    <t>CNG $ DGE</t>
  </si>
  <si>
    <t xml:space="preserve">2012 dollars $/DGE in 2020 </t>
  </si>
  <si>
    <t>2012 dollars $/btu</t>
  </si>
  <si>
    <t>Data</t>
  </si>
  <si>
    <t>West coast average retail prices $ per gallon of gasoline equivalent - nominal dollars</t>
  </si>
  <si>
    <t>2012 $s per gallon</t>
  </si>
  <si>
    <t>LPG $s GGE</t>
  </si>
  <si>
    <t>Use AFDC sourced conversion factors where applicable</t>
  </si>
  <si>
    <t>DGE</t>
  </si>
  <si>
    <t>GGE</t>
  </si>
  <si>
    <t>$/GallonEq in 2020 (average nominal)</t>
  </si>
  <si>
    <t>2019 (nominal dollars)</t>
  </si>
  <si>
    <t>2021 nominal</t>
  </si>
  <si>
    <t>$/btu</t>
  </si>
  <si>
    <t xml:space="preserve"> (nominal)</t>
  </si>
  <si>
    <t>Propane - empirical</t>
  </si>
  <si>
    <t>Propane (lpgpropbut)</t>
  </si>
  <si>
    <t>Empirical</t>
  </si>
  <si>
    <t>Jet fuel SEO-based year over year changes</t>
  </si>
  <si>
    <t>Use diesel trend for other sectors</t>
  </si>
  <si>
    <t xml:space="preserve">Year over year % change </t>
  </si>
  <si>
    <t>nominal</t>
  </si>
  <si>
    <t>Use for other sectors</t>
  </si>
  <si>
    <t>Average retail price of electricity</t>
  </si>
  <si>
    <t>https://www.eia.gov/electricity/data/browser/#/topic/7?agg=0,1&amp;geo=010000000004&amp;endsec=vg&amp;linechart=ELEC.PRICE.PCC-ALL.A~ELEC.PRICE.CA-ALL.A~ELEC.PRICE.CA-RES.A~ELEC.PRICE.CA-COM.A~ELEC.PRICE.CA-IND.A~ELEC.PRICE.CA-TRA.A~ELEC.PRICE.CA-OTH.A~ELEC.PRICE.PCC-RES.A~ELEC.PRICE.PCC-COM.A~ELEC.PRICE.PCC-IND.A~ELEC.PRICE.PCC-TRA.A~ELEC.PRICE.PCC-OTH.A&amp;columnchart=ELEC.PRICE.PCC-ALL.A&amp;map=ELEC.PRICE.PCC-ALL.A&amp;freq=A&amp;ctype=linechart&amp;ltype=pin&amp;rtype=s&amp;maptype=0&amp;rse=0&amp;pin=</t>
  </si>
  <si>
    <t>Fri Aug 06 2021 14:52:16 GMT-0700 (Pacific Daylight Time)</t>
  </si>
  <si>
    <t>description</t>
  </si>
  <si>
    <t>United States</t>
  </si>
  <si>
    <t>ELEC.PRICE.US-ALL.A</t>
  </si>
  <si>
    <t>Pacific Contiguous</t>
  </si>
  <si>
    <t>ELEC.PRICE.PCC-ALL.A</t>
  </si>
  <si>
    <t>Pacific Contiguous : all sectors</t>
  </si>
  <si>
    <t>Pacific Contiguous : residential</t>
  </si>
  <si>
    <t>ELEC.PRICE.PCC-RES.A</t>
  </si>
  <si>
    <t>Pacific Contiguous : commercial</t>
  </si>
  <si>
    <t>ELEC.PRICE.PCC-COM.A</t>
  </si>
  <si>
    <t>Pacific Contiguous : industrial</t>
  </si>
  <si>
    <t>ELEC.PRICE.PCC-IND.A</t>
  </si>
  <si>
    <t>Pacific Contiguous : transportation</t>
  </si>
  <si>
    <t>ELEC.PRICE.PCC-TRA.A</t>
  </si>
  <si>
    <t>Pacific Contiguous : other</t>
  </si>
  <si>
    <t>ELEC.PRICE.PCC-OTH.A</t>
  </si>
  <si>
    <t>ELEC.PRICE.CA-ALL.A</t>
  </si>
  <si>
    <t>California : all sectors</t>
  </si>
  <si>
    <t>California : residential</t>
  </si>
  <si>
    <t>ELEC.PRICE.CA-RES.A</t>
  </si>
  <si>
    <t>California : commercial</t>
  </si>
  <si>
    <t>ELEC.PRICE.CA-COM.A</t>
  </si>
  <si>
    <t>California : industrial</t>
  </si>
  <si>
    <t>ELEC.PRICE.CA-IND.A</t>
  </si>
  <si>
    <t>California : transportation</t>
  </si>
  <si>
    <t>ELEC.PRICE.CA-TRA.A</t>
  </si>
  <si>
    <t>California : other</t>
  </si>
  <si>
    <t>ELEC.PRICE.CA-OTH.A</t>
  </si>
  <si>
    <t>Use residential price as proxy for LDV home charging</t>
  </si>
  <si>
    <t>Fiscal year</t>
  </si>
  <si>
    <t>Calendar year</t>
  </si>
  <si>
    <t>19-20</t>
  </si>
  <si>
    <t>20-21</t>
  </si>
  <si>
    <t>21-22</t>
  </si>
  <si>
    <t xml:space="preserve">prepayment </t>
  </si>
  <si>
    <t>excise</t>
  </si>
  <si>
    <t>fees sum (nominal)</t>
  </si>
  <si>
    <t>fees (2019 $s)</t>
  </si>
  <si>
    <t>state sales tax</t>
  </si>
  <si>
    <t>"5,7. Biodiesel, waste vegetable oil (wvo), and straight vegetable oil (svo) are taxed at the same rate as diesel fuel."</t>
  </si>
  <si>
    <t>https://www.salestaxhandbook.com/pdf/datasheets/CaliforniaSalesTax.pdf</t>
  </si>
  <si>
    <t>California sales tax info sheet</t>
  </si>
  <si>
    <t>SalesTaxHandbook.com</t>
  </si>
  <si>
    <t>State sales tax</t>
  </si>
  <si>
    <t>California Department of Tax and Fee Administration</t>
  </si>
  <si>
    <t>https://www.cdtfa.ca.gov/taxes-and-fees/sales-tax-rates-for-fuels.htm</t>
  </si>
  <si>
    <t>Sales Tax Rates for Fuels</t>
  </si>
  <si>
    <t>Accessed 12 August 2021</t>
  </si>
  <si>
    <t>Price including taxes</t>
  </si>
  <si>
    <t>Pre-tax price</t>
  </si>
  <si>
    <t>Taxes added</t>
  </si>
  <si>
    <t>specified separately</t>
  </si>
  <si>
    <t>Petroluem diesel</t>
  </si>
  <si>
    <t>taxes added</t>
  </si>
  <si>
    <t xml:space="preserve">Petroluem gasoline </t>
  </si>
  <si>
    <t>However, the IEA source (The Future of Hydrogen) only projects a 50% cost decline in hydrogen supplier CapEx and OpEx</t>
  </si>
  <si>
    <t>All prices in 2012 $s/$b$tu</t>
  </si>
  <si>
    <t xml:space="preserve">Wood </t>
  </si>
  <si>
    <r>
      <t>(</t>
    </r>
    <r>
      <rPr>
        <sz val="11"/>
        <color theme="1"/>
        <rFont val="Calibri"/>
        <family val="2"/>
        <scheme val="minor"/>
      </rPr>
      <t>Take the cost of biomass and heat as constant during the model run in real dollars.)</t>
    </r>
  </si>
  <si>
    <t xml:space="preserve">Industrial coal -- including tax </t>
  </si>
  <si>
    <t>Crude oil</t>
  </si>
  <si>
    <t>Crude oil - taxes</t>
  </si>
  <si>
    <t>Crude oil - pretax</t>
  </si>
  <si>
    <t>This sheet covers these fuels:</t>
  </si>
  <si>
    <t>Industry sector</t>
  </si>
  <si>
    <t>Other sectors</t>
  </si>
  <si>
    <t>Pre tax fuel cost</t>
  </si>
  <si>
    <t xml:space="preserve">Taxes </t>
  </si>
  <si>
    <t>State Energy Data System (SEDS): 1960-2019 (complete)</t>
  </si>
  <si>
    <t>https://www.eia.gov/state/seds/archive/seper2019.pdf</t>
  </si>
  <si>
    <t xml:space="preserve">Clean Cities Alternative Fuel Price Report series </t>
  </si>
  <si>
    <t>https://afdc.energy.gov/fuels/prices.html</t>
  </si>
  <si>
    <t>April 2021 was most recent quarterly report available</t>
  </si>
  <si>
    <t>https://afdc.energy.gov/files/u/publication/alternative_fuel_price_report_april_2021.pdf</t>
  </si>
  <si>
    <t>biofuels</t>
  </si>
  <si>
    <t>https://www.eia.gov/outlooks/archive/aeo20/</t>
  </si>
  <si>
    <t>Particularly, the Pacific region version of the Reference case</t>
  </si>
  <si>
    <t>https://www.eia.gov/outlooks/aeo/data/browser/#/?id=17-AEO2020&amp;region=1-9&amp;cases=ref2020</t>
  </si>
  <si>
    <t>Short run energy outlook</t>
  </si>
  <si>
    <t>Short run energy outlook - accessed August 15, 2021</t>
  </si>
  <si>
    <t>https://www.eia.gov/outlooks/steo/</t>
  </si>
  <si>
    <t>Most start year prices</t>
  </si>
  <si>
    <t>Most growth rates</t>
  </si>
  <si>
    <t>For all other fuels, we assume 0.075, reflecting California's sales tax rate before local adders.</t>
  </si>
  <si>
    <t>1 gallon diesel</t>
  </si>
  <si>
    <t xml:space="preserve">1 barrel of crude oil produce in US </t>
  </si>
  <si>
    <t>BTU</t>
  </si>
  <si>
    <t>1 cubic foot of natural gas</t>
  </si>
  <si>
    <t>A few fuels use this source:</t>
  </si>
  <si>
    <t>Biofuel gasoline is taxed at the same rate as petroleum gasoline and biofuel diesel</t>
  </si>
  <si>
    <t>California Data Notes (August 2021)</t>
  </si>
  <si>
    <t>The approach develop to adjust for this works as follows:</t>
  </si>
  <si>
    <t xml:space="preserve">Several fuels are considered outside of the choice set, i.e. as unavailable, in the context of California regulation, </t>
  </si>
  <si>
    <t>Energy unit conversions</t>
  </si>
  <si>
    <t>a</t>
  </si>
  <si>
    <t>Weekly data</t>
  </si>
  <si>
    <t>use more recent</t>
  </si>
  <si>
    <t>highogs.d120120a</t>
  </si>
  <si>
    <t>Annual Energy Outlook 2021</t>
  </si>
  <si>
    <t>ref2021</t>
  </si>
  <si>
    <t>d113020a</t>
  </si>
  <si>
    <t xml:space="preserve"> January 2021</t>
  </si>
  <si>
    <t>PRC000</t>
  </si>
  <si>
    <t>3. Energy Prices by Sector and Source</t>
  </si>
  <si>
    <t>Compound</t>
  </si>
  <si>
    <t>(2020 dollars per million Btu, unless otherwise noted)</t>
  </si>
  <si>
    <t xml:space="preserve"> Growth </t>
  </si>
  <si>
    <t xml:space="preserve">2020-2050 </t>
  </si>
  <si>
    <t xml:space="preserve"> Sector and Source</t>
  </si>
  <si>
    <t>(percent)</t>
  </si>
  <si>
    <t>PRC000:ba_LiquefiedPetr</t>
  </si>
  <si>
    <t>PRC000:ba_DistillateFue</t>
  </si>
  <si>
    <t>PRC000:ba_NaturalGas</t>
  </si>
  <si>
    <t xml:space="preserve">   Natural Gas</t>
  </si>
  <si>
    <t>PRC000:ba_Electricity</t>
  </si>
  <si>
    <t xml:space="preserve">   Electricity</t>
  </si>
  <si>
    <t>PRC000:ca_LiquefiedGas</t>
  </si>
  <si>
    <t>PRC000:ca_DistillateFue</t>
  </si>
  <si>
    <t>PRC000:ca_ResidualFuel</t>
  </si>
  <si>
    <t>PRC000:ca_NaturalGas</t>
  </si>
  <si>
    <t>PRC000:ca_Electricity</t>
  </si>
  <si>
    <t xml:space="preserve"> Industrial 1/</t>
  </si>
  <si>
    <t>PRC000:da_LiquefiedPetr</t>
  </si>
  <si>
    <t>PRC000:da_DistillateFue</t>
  </si>
  <si>
    <t>PRC000:da_ResidualFuel</t>
  </si>
  <si>
    <t>PRC000:da_NaturalGas</t>
  </si>
  <si>
    <t xml:space="preserve">   Natural Gas 2/</t>
  </si>
  <si>
    <t>PRC000:da_Metallurgical</t>
  </si>
  <si>
    <t xml:space="preserve">   Metallurgical Coal</t>
  </si>
  <si>
    <t>PRC000:da_SteamCoal</t>
  </si>
  <si>
    <t xml:space="preserve">   Other Industrial Coal</t>
  </si>
  <si>
    <t>PRC000:da_CoaltoLiquids</t>
  </si>
  <si>
    <t xml:space="preserve">   Coal to Liquids</t>
  </si>
  <si>
    <t>PRC000:da_Electricity</t>
  </si>
  <si>
    <t>PRC000:ea_LiquefiedPetr</t>
  </si>
  <si>
    <t>PRC000:ea_Ethanol(E85)</t>
  </si>
  <si>
    <t>PRC000:ea_MotorGasoline</t>
  </si>
  <si>
    <t>PRC000:ea_JetFuel</t>
  </si>
  <si>
    <t>PRC000:ea_DistillateFue</t>
  </si>
  <si>
    <t>PRC000:ea_ResidualFuel</t>
  </si>
  <si>
    <t>PRC000:ea_NaturalGas</t>
  </si>
  <si>
    <t xml:space="preserve">   Natural Gas 7/</t>
  </si>
  <si>
    <t>PRC000:ea_Electricity</t>
  </si>
  <si>
    <t xml:space="preserve"> Electric Power 8/</t>
  </si>
  <si>
    <t>PRC000:ga_DistillateFue</t>
  </si>
  <si>
    <t>PRC000:ga_ResidualFuel</t>
  </si>
  <si>
    <t>PRC000:ga_NaturalGas</t>
  </si>
  <si>
    <t>PRC000:ga_SteamCoal</t>
  </si>
  <si>
    <t xml:space="preserve">   Steam Coal</t>
  </si>
  <si>
    <t>PRC000:ga_uranium</t>
  </si>
  <si>
    <t xml:space="preserve">   Uranium</t>
  </si>
  <si>
    <t xml:space="preserve"> Average Price to All Users 9/</t>
  </si>
  <si>
    <t>PRC000:ha_LiquefiedPetr</t>
  </si>
  <si>
    <t>PRC000:ha_Ethanol(E85)</t>
  </si>
  <si>
    <t>PRC000:ha_MotorGasoline</t>
  </si>
  <si>
    <t>PRC000:ha_JetFuel</t>
  </si>
  <si>
    <t>PRC000:ha_DistillateFue</t>
  </si>
  <si>
    <t>PRC000:ha_ResidualFuel</t>
  </si>
  <si>
    <t>PRC000:ha_NaturalGas</t>
  </si>
  <si>
    <t>PRC000:ha_Metallugical</t>
  </si>
  <si>
    <t>PRC000:ha_Coal</t>
  </si>
  <si>
    <t xml:space="preserve">   Other Coal</t>
  </si>
  <si>
    <t>PRC000:ha_CoaltoLiquids</t>
  </si>
  <si>
    <t>PRC000:ha_Electricity</t>
  </si>
  <si>
    <t>(billion 2020 dollars)</t>
  </si>
  <si>
    <t>PRC000:ia_Residential</t>
  </si>
  <si>
    <t>PRC000:ia_Commercial</t>
  </si>
  <si>
    <t>PRC000:ia_Industrial</t>
  </si>
  <si>
    <t>PRC000:ia_Transportatio</t>
  </si>
  <si>
    <t>PRC000:ia_TotalNon-Rene</t>
  </si>
  <si>
    <t xml:space="preserve">   Total Non-Renewable Expenditures</t>
  </si>
  <si>
    <t>PRC000:ja_Transportatio</t>
  </si>
  <si>
    <t xml:space="preserve"> Transportation Renewable Expenditures</t>
  </si>
  <si>
    <t>PRC000:ja_TotalExpendit</t>
  </si>
  <si>
    <t xml:space="preserve">   Total Expenditures</t>
  </si>
  <si>
    <t>PRC000:nom_R_LiquefiedP</t>
  </si>
  <si>
    <t>PRC000:nom_R_Distillate</t>
  </si>
  <si>
    <t>PRC000:nom_R_NaturalGas</t>
  </si>
  <si>
    <t>PRC000:nom_R_Electricit</t>
  </si>
  <si>
    <t>PRC000:nom_C_LiquefiedG</t>
  </si>
  <si>
    <t>PRC000:nom_C_Distillate</t>
  </si>
  <si>
    <t>PRC000:nom_C_ResidualFu</t>
  </si>
  <si>
    <t>PRC000:nom_C_NaturalGas</t>
  </si>
  <si>
    <t>PRC000:nom_C_Electricit</t>
  </si>
  <si>
    <t>PRC000:nom_I_LiquefiedP</t>
  </si>
  <si>
    <t>PRC000:nom_I_Distillate</t>
  </si>
  <si>
    <t>PRC000:nom_I_ResidualFu</t>
  </si>
  <si>
    <t>PRC000:nom_I_NaturalGas</t>
  </si>
  <si>
    <t>PRC000:nom_I_Metallurgi</t>
  </si>
  <si>
    <t>PRC000:nom_I_SteamCoal</t>
  </si>
  <si>
    <t>PRC000:nom_I_CoaltoLiqu</t>
  </si>
  <si>
    <t>PRC000:nom_I_Electricit</t>
  </si>
  <si>
    <t>PRC000:nom_T_LiquefiedP</t>
  </si>
  <si>
    <t>PRC000:nom_T_Ethan(E85)</t>
  </si>
  <si>
    <t>PRC000:nom_T_MotorGasol</t>
  </si>
  <si>
    <t>PRC000:nom_T_JetFuel</t>
  </si>
  <si>
    <t>PRC000:nom_T_Distillate</t>
  </si>
  <si>
    <t>PRC000:nom_T_ResidualFu</t>
  </si>
  <si>
    <t>PRC000:nom_T_NaturalGas</t>
  </si>
  <si>
    <t>PRC000:nom_T_Electricit</t>
  </si>
  <si>
    <t>PRC000:nom_E_Distillate</t>
  </si>
  <si>
    <t>PRC000:nom_E_ResidualFu</t>
  </si>
  <si>
    <t>PRC000:nom_E_NaturalGas</t>
  </si>
  <si>
    <t>PRC000:nom_E_SteamCoal</t>
  </si>
  <si>
    <t>PRC000:nom_E_uranium</t>
  </si>
  <si>
    <t>PRC000:nom_Avg_Liquefie</t>
  </si>
  <si>
    <t>PRC000:nom_Avg_E85_E85</t>
  </si>
  <si>
    <t>PRC000:nom_Avg_MotorGas</t>
  </si>
  <si>
    <t>PRC000:nom_Avg_JetFuel</t>
  </si>
  <si>
    <t>PRC000:nom_Avg_Distilla</t>
  </si>
  <si>
    <t>PRC000:nom_Avg_Residual</t>
  </si>
  <si>
    <t>PRC000:nom_Avg_NaturalG</t>
  </si>
  <si>
    <t>PRC000:nom_Avg_Metallug</t>
  </si>
  <si>
    <t>PRC000:nom_Avg_Coal</t>
  </si>
  <si>
    <t>PRC000:nom_Avg_CoaltoLi</t>
  </si>
  <si>
    <t>PRC000:nom_Avg_Electric</t>
  </si>
  <si>
    <t>PRC000:nom_Residential</t>
  </si>
  <si>
    <t>PRC000:nom_Commercial</t>
  </si>
  <si>
    <t>PRC000:nom_Industrial</t>
  </si>
  <si>
    <t>PRC000:nom_TransNonRenw</t>
  </si>
  <si>
    <t>PRC000:nom_TotalNon-Ren</t>
  </si>
  <si>
    <t>PRC000:nom_TransRenewEx</t>
  </si>
  <si>
    <t>PRC000:nom_TotalExpendi</t>
  </si>
  <si>
    <t>1/ Includes energy for combined heat and power plants that have a non-regulatory status, and small on-site generating systems.</t>
  </si>
  <si>
    <t>2/ Excludes use for lease and plant fuel and fuel used for liquefaction in export facilities.</t>
  </si>
  <si>
    <t>3/ E85 refers to a blend of 85 percent ethanol (renewable) and 15 percent motor gasoline (nonrenewable).  To address cold starting issues,</t>
  </si>
  <si>
    <t>the percentage of ethanol varies seasonally.  The annual average ethanol content of 74 percent is used for these projections.</t>
  </si>
  <si>
    <t>4/ Sales weighted-average price for all grades.  Includes Federal, State, and local taxes.</t>
  </si>
  <si>
    <t>5/ Kerosene-type jet fuel.  Includes Federal and State taxes while excluding county and local taxes.</t>
  </si>
  <si>
    <t>6/ Diesel fuel for on-road use.  Includes Federal and State taxes while excluding county and local taxes.</t>
  </si>
  <si>
    <t>7/ Natural gas used as fuel in motor vehicles, trains, and ships.  Price includes estimated motor vehicle fuel taxes</t>
  </si>
  <si>
    <t>and estimated dispensing costs or charges.</t>
  </si>
  <si>
    <t>8/ Includes electricity-only and combined heat and power plants that have a regulatory status.</t>
  </si>
  <si>
    <t>9/ Weighted averages of end-use fuel prices are derived from the prices shown in each sector and the corresponding sectoral consumption.</t>
  </si>
  <si>
    <t>Btu = British thermal unit.</t>
  </si>
  <si>
    <t>- - = Not applicable.</t>
  </si>
  <si>
    <t>Sources:  2020:  U.S. Energy Information Administration (EIA), Short-Term Energy Outlook, October 2020 and EIA, AEO2021</t>
  </si>
  <si>
    <t>National Energy Modeling System run highogs.d120120a.  Projections:  EIA, AEO2021 National Energy Modeling System run highogs.d120120a.</t>
  </si>
  <si>
    <t>Nuclear in 2012 $s per Btu</t>
  </si>
  <si>
    <t>Pre tax price</t>
  </si>
  <si>
    <t xml:space="preserve">Nuclear fuel tax per Btu </t>
  </si>
  <si>
    <t>Annual Energy Outlook</t>
  </si>
  <si>
    <t>Form 2.3 - STATE Planning Area</t>
  </si>
  <si>
    <t>California Energy Demand Forecast, 2021 - 2035 Baseline Forecast - Mid Demand Case</t>
  </si>
  <si>
    <t>Electricity Prices by Sector (2020 ¢/kWh)</t>
  </si>
  <si>
    <t>Agricultural</t>
  </si>
  <si>
    <t>Last historical year is 2020.</t>
  </si>
  <si>
    <t>https://www.energy.ca.gov/data-reports/reports/integrated-energy-policy-report/2021-integrated-energy-policy-report</t>
  </si>
  <si>
    <t>Integrated Energy Policy Report</t>
  </si>
  <si>
    <t>California Energy Commission</t>
  </si>
  <si>
    <t>https://www.energy.ca.gov/data-reports/reports/integrated-energy-policy-report/2021-integrated-energy-policy-report/2021-1</t>
  </si>
  <si>
    <t xml:space="preserve">Transposing data below, results in hard coded -- not linked -- values. </t>
  </si>
  <si>
    <t>CEC forecast until 2035.</t>
  </si>
  <si>
    <t>Thereafter, estimated using Pacific region outlook, AEO 2020</t>
  </si>
  <si>
    <t>Forecast based on 2020 actual historical values.</t>
  </si>
  <si>
    <t>SDGE.Industrial</t>
  </si>
  <si>
    <t>SDGE.Commercial</t>
  </si>
  <si>
    <t>SDGE.Residential</t>
  </si>
  <si>
    <t>SCG.Industrial</t>
  </si>
  <si>
    <t>SCG.Commercial</t>
  </si>
  <si>
    <t>SCG.Residential</t>
  </si>
  <si>
    <t>PGE.Industrial</t>
  </si>
  <si>
    <t>PGE.Commercial</t>
  </si>
  <si>
    <t>PGE.Residential</t>
  </si>
  <si>
    <t>year</t>
  </si>
  <si>
    <t>Natural Gas Rates by Sector (2020$ per therm)</t>
  </si>
  <si>
    <t>California Energy Demand 2021 - 2035 Baseline Forecast - Mid Demand Case</t>
  </si>
  <si>
    <t>Form 2.3 - Natural Gas Rates</t>
  </si>
  <si>
    <t>total</t>
  </si>
  <si>
    <t>%other</t>
  </si>
  <si>
    <t>%Kern</t>
  </si>
  <si>
    <t>%SDGE</t>
  </si>
  <si>
    <t>%SCG</t>
  </si>
  <si>
    <t>%PGE</t>
  </si>
  <si>
    <t>Natural gas vehicle consumption is incremental to 2020. Incremental consumption is negative toward the end of the forecast period. Negative incremental consumption means there is less forecasted consumption than in 2020.</t>
  </si>
  <si>
    <t>Total.Consumption</t>
  </si>
  <si>
    <t>Natural.Gas.Vehicles</t>
  </si>
  <si>
    <t>TCU</t>
  </si>
  <si>
    <t>AGWP</t>
  </si>
  <si>
    <t>Mining</t>
  </si>
  <si>
    <t>End-User Natural Gas Consumption by Sector (MM Therms)</t>
  </si>
  <si>
    <t>Form 1.1 - STATE Natural Gas Planning Area</t>
  </si>
  <si>
    <t>Form 1.1 - PG&amp;E Natural Gas Planning Area</t>
  </si>
  <si>
    <t>Form 1.1 - So Cal Gas Natural Gas Planning Area</t>
  </si>
  <si>
    <t>Form 1.1 - SDG&amp;E Natural Gas Planning Area</t>
  </si>
  <si>
    <t>Form 1.1 - OTHER Natural Gas Planning Area</t>
  </si>
  <si>
    <t>Form 1.1 - Kern Mojave Natural Gas Planning Area</t>
  </si>
  <si>
    <t>Assign Kern the least expensive price, PG&amp;E, owing to its unmatched volume.</t>
  </si>
  <si>
    <t>Weighted averages</t>
  </si>
  <si>
    <t>total use</t>
  </si>
  <si>
    <t>2020$ /btu</t>
  </si>
  <si>
    <t>2020$ / therm</t>
  </si>
  <si>
    <t>Weighted average</t>
  </si>
  <si>
    <t>1 therm</t>
  </si>
  <si>
    <t>2012$/btu</t>
  </si>
  <si>
    <t>https://www.eia.gov/outlooks/aeo/data/browser/#/?id=3-AEO2022&amp;cases=ref2022&amp;sourcekey=0</t>
  </si>
  <si>
    <t>Wed Mar 30 2022 05:48:47 GMT-0700 (Pacific Daylight Time)</t>
  </si>
  <si>
    <t>Growth (2021-2050)</t>
  </si>
  <si>
    <t>3-AEO2022.2.</t>
  </si>
  <si>
    <t>Energy Prices: Residential: Propane: AEO2022 Reference case</t>
  </si>
  <si>
    <t>3-AEO2022.3.ref2022-d011222a</t>
  </si>
  <si>
    <t>2021 $/MMBtu</t>
  </si>
  <si>
    <t>Energy Prices: Residential: Distillate Fuel Oil: AEO2022 Reference case</t>
  </si>
  <si>
    <t>3-AEO2022.4.ref2022-d011222a</t>
  </si>
  <si>
    <t>Energy Prices: Residential: Natural Gas: AEO2022 Reference case</t>
  </si>
  <si>
    <t>3-AEO2022.5.ref2022-d011222a</t>
  </si>
  <si>
    <t>Energy Prices: Residential: Electricity: AEO2022 Reference case</t>
  </si>
  <si>
    <t>3-AEO2022.6.ref2022-d011222a</t>
  </si>
  <si>
    <t>3-AEO2022.8.</t>
  </si>
  <si>
    <t>Energy Prices: Commercial: Propane: AEO2022 Reference case</t>
  </si>
  <si>
    <t>3-AEO2022.9.ref2022-d011222a</t>
  </si>
  <si>
    <t>Energy Prices: Commercial: Distillate Fuel Oil: AEO2022 Reference case</t>
  </si>
  <si>
    <t>3-AEO2022.10.ref2022-d011222a</t>
  </si>
  <si>
    <t>Energy Prices: Commercial: Residual Fuel: AEO2022 Reference case</t>
  </si>
  <si>
    <t>3-AEO2022.11.ref2022-d011222a</t>
  </si>
  <si>
    <t>Energy Prices: Commercial: Natural Gas: AEO2022 Reference case</t>
  </si>
  <si>
    <t>3-AEO2022.12.ref2022-d011222a</t>
  </si>
  <si>
    <t>Energy Prices: Commercial: Electricity: AEO2022 Reference case</t>
  </si>
  <si>
    <t>3-AEO2022.13.ref2022-d011222a</t>
  </si>
  <si>
    <t>3-AEO2022.15.</t>
  </si>
  <si>
    <t>Energy Prices: Industrial: Propane: AEO2022 Reference case</t>
  </si>
  <si>
    <t>3-AEO2022.16.ref2022-d011222a</t>
  </si>
  <si>
    <t>Energy Prices: Industrial: Distillate Fuel Oil: AEO2022 Reference case</t>
  </si>
  <si>
    <t>3-AEO2022.17.ref2022-d011222a</t>
  </si>
  <si>
    <t>Energy Prices: Industrial: Residual Fuel Oil: AEO2022 Reference case</t>
  </si>
  <si>
    <t>3-AEO2022.18.ref2022-d011222a</t>
  </si>
  <si>
    <t>Energy Prices: Industrial: Natural Gas: AEO2022 Reference case</t>
  </si>
  <si>
    <t>3-AEO2022.19.ref2022-d011222a</t>
  </si>
  <si>
    <t>Energy Prices: Industrial: Metallurgical Coal: AEO2022 Reference case</t>
  </si>
  <si>
    <t>3-AEO2022.20.ref2022-d011222a</t>
  </si>
  <si>
    <t>Energy Prices: Industrial: Other Industrial Coal: AEO2022 Reference case</t>
  </si>
  <si>
    <t>3-AEO2022.21.ref2022-d011222a</t>
  </si>
  <si>
    <t>Energy Prices: Industrial: Coal to Liquids: AEO2022 Reference case</t>
  </si>
  <si>
    <t>3-AEO2022.22.ref2022-d011222a</t>
  </si>
  <si>
    <t>Energy Prices: Industrial: Electricity: AEO2022 Reference case</t>
  </si>
  <si>
    <t>3-AEO2022.23.ref2022-d011222a</t>
  </si>
  <si>
    <t>3-AEO2022.25.</t>
  </si>
  <si>
    <t>Energy Prices: Transportation: Propane: AEO2022 Reference case</t>
  </si>
  <si>
    <t>3-AEO2022.26.ref2022-d011222a</t>
  </si>
  <si>
    <t>Energy Prices: Transportation: E85: AEO2022 Reference case</t>
  </si>
  <si>
    <t>3-AEO2022.27.ref2022-d011222a</t>
  </si>
  <si>
    <t>Energy Prices: Transportation: Motor Gasoline: AEO2022 Reference case</t>
  </si>
  <si>
    <t>3-AEO2022.28.ref2022-d011222a</t>
  </si>
  <si>
    <t>Energy Prices: Transportation: Jet Fuel: AEO2022 Reference case</t>
  </si>
  <si>
    <t>3-AEO2022.29.ref2022-d011222a</t>
  </si>
  <si>
    <t>Energy Prices: Transportation: Diesel Fuel: AEO2022 Reference case</t>
  </si>
  <si>
    <t>3-AEO2022.30.ref2022-d011222a</t>
  </si>
  <si>
    <t>Energy Prices: Transportation: Residual Fuel Oil: AEO2022 Reference case</t>
  </si>
  <si>
    <t>3-AEO2022.31.ref2022-d011222a</t>
  </si>
  <si>
    <t>Energy Prices: Transportation: Natural Gas: AEO2022 Reference case</t>
  </si>
  <si>
    <t>3-AEO2022.32.ref2022-d011222a</t>
  </si>
  <si>
    <t>Energy Prices: Transportation: Electricity: AEO2022 Reference case</t>
  </si>
  <si>
    <t>3-AEO2022.33.ref2022-d011222a</t>
  </si>
  <si>
    <t>3-AEO2022.35.</t>
  </si>
  <si>
    <t>Energy Prices: Electric Power: Distillate Fuel Oil: AEO2022 Reference case</t>
  </si>
  <si>
    <t>3-AEO2022.36.ref2022-d011222a</t>
  </si>
  <si>
    <t>Energy Prices: Electric Power: Residual Fuel Oil: AEO2022 Reference case</t>
  </si>
  <si>
    <t>3-AEO2022.37.ref2022-d011222a</t>
  </si>
  <si>
    <t>Energy Prices: Electric Power: Natural Gas: AEO2022 Reference case</t>
  </si>
  <si>
    <t>3-AEO2022.38.ref2022-d011222a</t>
  </si>
  <si>
    <t>Energy Prices: Electric Power: Steam Coal: AEO2022 Reference case</t>
  </si>
  <si>
    <t>3-AEO2022.39.ref2022-d011222a</t>
  </si>
  <si>
    <t>Energy Prices: Electric Power: Uranium: AEO2022 Reference case</t>
  </si>
  <si>
    <t>3-AEO2022.40.ref2022-d011222a</t>
  </si>
  <si>
    <t>3-AEO2022.44.</t>
  </si>
  <si>
    <t>Energy Prices: Average Price to All Users: Propane: AEO2022 Reference case</t>
  </si>
  <si>
    <t>3-AEO2022.45.ref2022-d011222a</t>
  </si>
  <si>
    <t>Energy Prices: Average Price to All Users: E85: AEO2022 Reference case</t>
  </si>
  <si>
    <t>3-AEO2022.46.ref2022-d011222a</t>
  </si>
  <si>
    <t>Energy Prices: Average Price to All Users: Motor Gasoline: AEO2022 Reference case</t>
  </si>
  <si>
    <t>3-AEO2022.47.ref2022-d011222a</t>
  </si>
  <si>
    <t>Energy Prices: Average Price to All Users: Jet Fuel: AEO2022 Reference case</t>
  </si>
  <si>
    <t>3-AEO2022.48.ref2022-d011222a</t>
  </si>
  <si>
    <t>Energy Prices: Average Price to All Users: Distillate Fuel Oil: AEO2022 Reference case</t>
  </si>
  <si>
    <t>3-AEO2022.49.ref2022-d011222a</t>
  </si>
  <si>
    <t>Energy Prices: Average Price to All Users: Residual Fuel Oil: AEO2022 Reference case</t>
  </si>
  <si>
    <t>3-AEO2022.50.ref2022-d011222a</t>
  </si>
  <si>
    <t>Energy Prices: Average Price to All Users: Natural Gas: AEO2022 Reference case</t>
  </si>
  <si>
    <t>3-AEO2022.51.ref2022-d011222a</t>
  </si>
  <si>
    <t>Energy Prices: Average Price to All Users: Metallurgical Coal: AEO2022 Reference case</t>
  </si>
  <si>
    <t>3-AEO2022.52.ref2022-d011222a</t>
  </si>
  <si>
    <t>Energy Prices: Average Price to All Users: Other Coal: AEO2022 Reference case</t>
  </si>
  <si>
    <t>3-AEO2022.53.ref2022-d011222a</t>
  </si>
  <si>
    <t>Energy Prices: Average Price to All Users: Coal to Liquids: AEO2022 Reference case</t>
  </si>
  <si>
    <t>3-AEO2022.54.ref2022-d011222a</t>
  </si>
  <si>
    <t>Energy Prices: Average Price to All Users: Electricity: AEO2022 Reference case</t>
  </si>
  <si>
    <t>3-AEO2022.55.ref2022-d011222a</t>
  </si>
  <si>
    <t>3-AEO2022.57.</t>
  </si>
  <si>
    <t>(billion 2021 dollars)</t>
  </si>
  <si>
    <t>3-AEO2022.58.</t>
  </si>
  <si>
    <t>Energy Expenditures: Non-Renewable Residential: AEO2022 Reference case</t>
  </si>
  <si>
    <t>3-AEO2022.59.ref2022-d011222a</t>
  </si>
  <si>
    <t>billion 2021 $</t>
  </si>
  <si>
    <t>Energy Expenditures: Non-Renewable Commercial: AEO2022 Reference case</t>
  </si>
  <si>
    <t>3-AEO2022.60.ref2022-d011222a</t>
  </si>
  <si>
    <t>Energy Expenditures: Non-Renewable Industrial: AEO2022 Reference case</t>
  </si>
  <si>
    <t>3-AEO2022.61.ref2022-d011222a</t>
  </si>
  <si>
    <t>Energy Expenditures: Non-Renewable Transportation: AEO2022 Reference case</t>
  </si>
  <si>
    <t>3-AEO2022.62.ref2022-d011222a</t>
  </si>
  <si>
    <t>Energy Expenditures: Total Non-Renewable: AEO2022 Reference case</t>
  </si>
  <si>
    <t>3-AEO2022.63.ref2022-d011222a</t>
  </si>
  <si>
    <t>Energy Expenditures: Renewable Transportation: AEO2022 Reference case</t>
  </si>
  <si>
    <t>3-AEO2022.64.ref2022-d011222a</t>
  </si>
  <si>
    <t>Energy Expenditures: AEO2022 Reference case</t>
  </si>
  <si>
    <t>3-AEO2022.65.ref2022-d011222a</t>
  </si>
  <si>
    <t>3-AEO2022.68.</t>
  </si>
  <si>
    <t>3-AEO2022.69.</t>
  </si>
  <si>
    <t>Energy Prices: Nominal: Residential: Propane: AEO2022 Reference case</t>
  </si>
  <si>
    <t>3-AEO2022.70.ref2022-d011222a</t>
  </si>
  <si>
    <t>Energy Prices: Nominal: Residential: Distillate Fuel Oil: AEO2022 Reference case</t>
  </si>
  <si>
    <t>3-AEO2022.71.ref2022-d011222a</t>
  </si>
  <si>
    <t>Energy Prices: Nominal: Residential: Natural Gas: AEO2022 Reference case</t>
  </si>
  <si>
    <t>3-AEO2022.72.ref2022-d011222a</t>
  </si>
  <si>
    <t>Energy Prices: Nominal: Residential: Electricity: AEO2022 Reference case</t>
  </si>
  <si>
    <t>3-AEO2022.73.ref2022-d011222a</t>
  </si>
  <si>
    <t>3-AEO2022.75.</t>
  </si>
  <si>
    <t>Energy Prices: Nominal: Commercial: Propane: AEO2022 Reference case</t>
  </si>
  <si>
    <t>3-AEO2022.76.ref2022-d011222a</t>
  </si>
  <si>
    <t>Energy Prices: Nominal: Commercial: Distillate Fuel Oil: AEO2022 Reference case</t>
  </si>
  <si>
    <t>3-AEO2022.77.ref2022-d011222a</t>
  </si>
  <si>
    <t>Energy Prices: Nominal: Commercial: Residual Fuel: AEO2022 Reference case</t>
  </si>
  <si>
    <t>3-AEO2022.78.ref2022-d011222a</t>
  </si>
  <si>
    <t>Energy Prices: Nominal: Commercial: Natural Gas: AEO2022 Reference case</t>
  </si>
  <si>
    <t>3-AEO2022.79.ref2022-d011222a</t>
  </si>
  <si>
    <t>Energy Prices: Nominal: Commercial: Electricity: AEO2022 Reference case</t>
  </si>
  <si>
    <t>3-AEO2022.80.ref2022-d011222a</t>
  </si>
  <si>
    <t>3-AEO2022.82.</t>
  </si>
  <si>
    <t>Energy Prices: Nominal: Industrial: Propane: AEO2022 Reference case</t>
  </si>
  <si>
    <t>3-AEO2022.83.ref2022-d011222a</t>
  </si>
  <si>
    <t>Energy Prices: Nominal: Industrial: Distillate Fuel Oil: AEO2022 Reference case</t>
  </si>
  <si>
    <t>3-AEO2022.84.ref2022-d011222a</t>
  </si>
  <si>
    <t>Energy Prices: Nominal: Industrial: Residual Fuel Oil: AEO2022 Reference case</t>
  </si>
  <si>
    <t>3-AEO2022.85.ref2022-d011222a</t>
  </si>
  <si>
    <t>Energy Prices: Nominal: Industrial: Natural Gas: AEO2022 Reference case</t>
  </si>
  <si>
    <t>3-AEO2022.86.ref2022-d011222a</t>
  </si>
  <si>
    <t>Energy Prices: Nominal: Industrial: Metallurgical Coal: AEO2022 Reference case</t>
  </si>
  <si>
    <t>3-AEO2022.87.ref2022-d011222a</t>
  </si>
  <si>
    <t>Energy Prices: Nominal: Industrial: Other Industrial Coal: AEO2022 Reference case</t>
  </si>
  <si>
    <t>3-AEO2022.88.ref2022-d011222a</t>
  </si>
  <si>
    <t>Energy Prices: Nominal: Industrial: Coal to Liquids: AEO2022 Reference case</t>
  </si>
  <si>
    <t>3-AEO2022.89.ref2022-d011222a</t>
  </si>
  <si>
    <t>Energy Prices: Nominal: Industrial: Electricity: AEO2022 Reference case</t>
  </si>
  <si>
    <t>3-AEO2022.90.ref2022-d011222a</t>
  </si>
  <si>
    <t>3-AEO2022.93.</t>
  </si>
  <si>
    <t>Energy Prices: Nominal: Transportation: Propane: AEO2022 Reference case</t>
  </si>
  <si>
    <t>3-AEO2022.94.ref2022-d011222a</t>
  </si>
  <si>
    <t>Energy Prices: Nominal: Transportation: E85: AEO2022 Reference case</t>
  </si>
  <si>
    <t>3-AEO2022.95.ref2022-d011222a</t>
  </si>
  <si>
    <t>Energy Prices: Nominal: Transportation: Motor Gasoline: AEO2022 Reference case</t>
  </si>
  <si>
    <t>3-AEO2022.96.ref2022-d011222a</t>
  </si>
  <si>
    <t>Energy Prices: Nominal: Transportation: Jet Fuel: AEO2022 Reference case</t>
  </si>
  <si>
    <t>3-AEO2022.97.ref2022-d011222a</t>
  </si>
  <si>
    <t>Energy Prices: Nominal: Transportation: Diesel Fuel: AEO2022 Reference case</t>
  </si>
  <si>
    <t>3-AEO2022.98.ref2022-d011222a</t>
  </si>
  <si>
    <t>Energy Prices: Nominal: Transportation: Residual Fuel Oil: AEO2022 Reference case</t>
  </si>
  <si>
    <t>3-AEO2022.99.ref2022-d011222a</t>
  </si>
  <si>
    <t>Energy Prices: Nominal: Transportation: Natural Gas: AEO2022 Reference case</t>
  </si>
  <si>
    <t>3-AEO2022.100.ref2022-d011222a</t>
  </si>
  <si>
    <t>Energy Prices: Nominal: Transportation: Electricity: AEO2022 Reference case</t>
  </si>
  <si>
    <t>3-AEO2022.101.ref2022-d011222a</t>
  </si>
  <si>
    <t>3-AEO2022.103.</t>
  </si>
  <si>
    <t>Energy Prices: Nominal: Electric Power: Distillate Fuel Oil: AEO2022 Reference case</t>
  </si>
  <si>
    <t>3-AEO2022.104.ref2022-d011222a</t>
  </si>
  <si>
    <t>Energy Prices: Nominal: Electric Power: Residual Fuel Oil: AEO2022 Reference case</t>
  </si>
  <si>
    <t>3-AEO2022.105.ref2022-d011222a</t>
  </si>
  <si>
    <t>Energy Prices: Nominal: Electric Power: Natural Gas: AEO2022 Reference case</t>
  </si>
  <si>
    <t>3-AEO2022.106.ref2022-d011222a</t>
  </si>
  <si>
    <t>Energy Prices: Nominal: Electric Power: Steam Coal: AEO2022 Reference case</t>
  </si>
  <si>
    <t>3-AEO2022.107.ref2022-d011222a</t>
  </si>
  <si>
    <t>Energy Prices: Nominal: Electric Power: Uranium: AEO2022 Reference case</t>
  </si>
  <si>
    <t>3-AEO2022.108.ref2022-d011222a</t>
  </si>
  <si>
    <t>3-AEO2022.111.</t>
  </si>
  <si>
    <t>Energy Prices: Nominal: Average Price to All Users: Propane: AEO2022 Reference case</t>
  </si>
  <si>
    <t>3-AEO2022.112.ref2022-d011222a</t>
  </si>
  <si>
    <t>Energy Prices: Nominal: Average Price to All Users: E85: AEO2022 Reference case</t>
  </si>
  <si>
    <t>3-AEO2022.113.ref2022-d011222a</t>
  </si>
  <si>
    <t>Energy Prices: Nominal: Average Price to All Users: Motor Gasoline: AEO2022 Reference case</t>
  </si>
  <si>
    <t>3-AEO2022.114.ref2022-d011222a</t>
  </si>
  <si>
    <t>Energy Prices: Nominal: Average Price to All Users: Jet Fuel: AEO2022 Reference case</t>
  </si>
  <si>
    <t>3-AEO2022.115.ref2022-d011222a</t>
  </si>
  <si>
    <t>Energy Prices: Nominal: Average Price to All Users: Distillate Fuel Oil: AEO2022 Reference case</t>
  </si>
  <si>
    <t>3-AEO2022.116.ref2022-d011222a</t>
  </si>
  <si>
    <t>Energy Prices: Nominal: Average Price to All Users: Residual Fuel Oil: AEO2022 Reference case</t>
  </si>
  <si>
    <t>3-AEO2022.117.ref2022-d011222a</t>
  </si>
  <si>
    <t>Energy Prices: Nominal: Average Price to All Users: Natural Gas: AEO2022 Reference case</t>
  </si>
  <si>
    <t>3-AEO2022.118.ref2022-d011222a</t>
  </si>
  <si>
    <t>Energy Prices: Nominal: Average Price to All Users: Metallurgical Coal: AEO2022 Reference case</t>
  </si>
  <si>
    <t>3-AEO2022.119.ref2022-d011222a</t>
  </si>
  <si>
    <t>Energy Prices: Nominal: Average Price to All Users: Other Coal: AEO2022 Reference case</t>
  </si>
  <si>
    <t>3-AEO2022.120.ref2022-d011222a</t>
  </si>
  <si>
    <t>Energy Prices: Nominal: Average Price to All Users: Coal to Liquids: AEO2022 Reference case</t>
  </si>
  <si>
    <t>3-AEO2022.121.ref2022-d011222a</t>
  </si>
  <si>
    <t>Energy Prices: Nominal: Average Price to All Users: Electricity: AEO2022 Reference case</t>
  </si>
  <si>
    <t>3-AEO2022.122.ref2022-d011222a</t>
  </si>
  <si>
    <t>3-AEO2022.124.</t>
  </si>
  <si>
    <t>3-AEO2022.125.</t>
  </si>
  <si>
    <t>Energy Expenditures: Nominal: Non-Renewable Residential: AEO2022 Reference case</t>
  </si>
  <si>
    <t>3-AEO2022.126.ref2022-d011222a</t>
  </si>
  <si>
    <t>Energy Expenditures: Nominal: Non-Renewable Commercial: AEO2022 Reference case</t>
  </si>
  <si>
    <t>3-AEO2022.127.ref2022-d011222a</t>
  </si>
  <si>
    <t>Energy Expenditures: Nominal: Non-Renewable Industrial: AEO2022 Reference case</t>
  </si>
  <si>
    <t>3-AEO2022.128.ref2022-d011222a</t>
  </si>
  <si>
    <t>Energy Expenditures: Nominal: Non-Renewable Transportation: AEO2022 Reference case</t>
  </si>
  <si>
    <t>3-AEO2022.129.ref2022-d011222a</t>
  </si>
  <si>
    <t>Energy Expenditures: Nominal: Total Non-Renewable: AEO2022 Reference case</t>
  </si>
  <si>
    <t>3-AEO2022.130.ref2022-d011222a</t>
  </si>
  <si>
    <t>Energy Expenditures: Nominal: Renewable Transportation: AEO2022 Reference case</t>
  </si>
  <si>
    <t>3-AEO2022.131.ref2022-d011222a</t>
  </si>
  <si>
    <t>Energy Expenditures: Nominal: AEO2022 Reference case</t>
  </si>
  <si>
    <t>3-AEO2022.132.ref2022-d011222a</t>
  </si>
  <si>
    <t>2020 $/therm</t>
  </si>
  <si>
    <t>2020$/btu</t>
  </si>
  <si>
    <t>California Natural Gas Price Sold to Electric Power Consumers</t>
  </si>
  <si>
    <t>https://www.eia.gov/dnav/ng/hist/n3045ca3a.htm</t>
  </si>
  <si>
    <t>06:35:55 GMT-0700 (Pacific Daylight Time)</t>
  </si>
  <si>
    <t>California Natural Gas Price Sold to Electric Power Consumers  Dollars per Thousand Cubic Feet</t>
  </si>
  <si>
    <t xml:space="preserve">2021 data from January 2022 </t>
  </si>
  <si>
    <t>https://www.bls.gov/cpi/tables/supplemental-files/historical-cpi-u-202201.pdf</t>
  </si>
  <si>
    <t>2021 to 2012 $s</t>
  </si>
  <si>
    <t>Adjust 2022 to 2021</t>
  </si>
  <si>
    <t>Workbook Contents</t>
  </si>
  <si>
    <t>California Gasoline and Diesel Retail Prices</t>
  </si>
  <si>
    <t>Click worksheet name or tab at bottom for data</t>
  </si>
  <si>
    <t>Worksheet Name</t>
  </si>
  <si>
    <t>Description</t>
  </si>
  <si>
    <t>Data 1</t>
  </si>
  <si>
    <t>Annual</t>
  </si>
  <si>
    <t>6/30/1995</t>
  </si>
  <si>
    <t>3/28/2022</t>
  </si>
  <si>
    <t>4/4/2022</t>
  </si>
  <si>
    <t>pet_pri_gnd_dcus_sca_a.xls</t>
  </si>
  <si>
    <t>http://www.eia.gov/dnav/pet/pet_pri_gnd_dcus_sca_a.htm</t>
  </si>
  <si>
    <t>3/28/2022 6:54:40 PM</t>
  </si>
  <si>
    <t>Gasoline - nominal</t>
  </si>
  <si>
    <t xml:space="preserve">Gasoline   </t>
  </si>
  <si>
    <t xml:space="preserve">Diesel   </t>
  </si>
  <si>
    <t>AEO 2022 time series - annual % change</t>
  </si>
  <si>
    <t>price</t>
  </si>
  <si>
    <t>%</t>
  </si>
  <si>
    <t>Average of 2020&amp;2021</t>
  </si>
  <si>
    <t xml:space="preserve">average of 2020-2021 </t>
  </si>
  <si>
    <t>*Noting difference between motor vehicle and other taxes, assume petroleum diesel for non-transport uses is taxed at the average sales tax rate.</t>
  </si>
  <si>
    <t>Estimate biofuels</t>
  </si>
  <si>
    <t>sum</t>
  </si>
  <si>
    <t>Retail price with taxes</t>
  </si>
  <si>
    <t>Avg tax rate</t>
  </si>
  <si>
    <t>LPG</t>
  </si>
  <si>
    <t>in 2012 $s</t>
  </si>
  <si>
    <t>2020 change</t>
  </si>
  <si>
    <t>2021 change</t>
  </si>
  <si>
    <t>2020 (est)</t>
  </si>
  <si>
    <t>2021 (est)</t>
  </si>
  <si>
    <t>$/MMbtu</t>
  </si>
  <si>
    <t>Table 57.  Components of Selected Petroleum Product Prices</t>
  </si>
  <si>
    <t>https://www.eia.gov/outlooks/aeo/data/browser/#/?id=70-AEO2022&amp;region=1-0&amp;cases=ref2022&amp;start=2020&amp;end=2050&amp;f=A&amp;linechart=~ref2022-d011222a.59-70-AEO2022.1-0&amp;map=ref2022-d011222a.4-70-AEO2022.1-0&amp;ctype=linechart&amp;sourcekey=0</t>
  </si>
  <si>
    <t>Wed Mar 30 2022 12:12:05 GMT-0700 (Pacific Daylight Time)</t>
  </si>
  <si>
    <t>2021 $/gal</t>
  </si>
  <si>
    <t>Brent Spot Price</t>
  </si>
  <si>
    <t>Price Components: Brent Spot Price: AEO2022 Reference case</t>
  </si>
  <si>
    <t>70-AEO2022.58.ref2022-d011222a</t>
  </si>
  <si>
    <t>West Texas Intermediate Spot Price</t>
  </si>
  <si>
    <t>Price Components: West Texas Intermediate Spot Price: AEO2022 Reference case</t>
  </si>
  <si>
    <t>70-AEO2022.59.ref2022-d011222a</t>
  </si>
  <si>
    <t>Custom Data Download (Indexed to 2021 as percent)</t>
  </si>
  <si>
    <t>https://www.eia.gov/outlooks/steo/data/browser/#/?v=10&amp;f=A&amp;s=0&amp;start=2021&amp;end=2023&amp;map=&amp;linechart=~MGRARP5~MGRARUS~MGEIAUS&amp;maptype=0&amp;ctype=linechart&amp;chartindexed=1</t>
  </si>
  <si>
    <t>16:36:31 GMT-0700 (Pacific Daylight Time)</t>
  </si>
  <si>
    <t>Regular Gasoline PADD 5 Retail Price incl. Taxes Percent</t>
  </si>
  <si>
    <t xml:space="preserve">Pacific regional outlook exists for gasoline. National outlook used for other variables. </t>
  </si>
  <si>
    <t>Custom Chart (Indexed to 2021 as percent)</t>
  </si>
  <si>
    <t>https://www.eia.gov/outlooks/steo/data/browser/#/?v=8&amp;f=A&amp;s=0&amp;start=2021&amp;end=2023&amp;chartindexed=1&amp;map=&amp;linechart=WTIPUUS~DSRTUUS~MGEIAUS&amp;ctype=linechart&amp;maptype=0</t>
  </si>
  <si>
    <t>16:45:33 GMT-0700 (Pacific Daylight Time)</t>
  </si>
  <si>
    <t>West Texas Intermediate Crude Oil Spot Price Percent</t>
  </si>
  <si>
    <t>On-highway Diesel Fuel Retail Price Percent</t>
  </si>
  <si>
    <t>Gasoline All Grades Retail Price Percent</t>
  </si>
  <si>
    <t>Retail price including taxes based on EIA historical and AEO</t>
  </si>
  <si>
    <t>SEO based - Retail price including taxes</t>
  </si>
  <si>
    <t>Combined SEO+AEO in 2025+</t>
  </si>
  <si>
    <t>2023-2026 trend</t>
  </si>
  <si>
    <t>Crude oil - AEO</t>
  </si>
  <si>
    <t>Crude oil - SEO</t>
  </si>
  <si>
    <t>Crude oil - SEO+AEO</t>
  </si>
  <si>
    <t>2023-2026 trend between SEO and AEO</t>
  </si>
  <si>
    <t>EIA data on crude oil prices - historical annual</t>
  </si>
  <si>
    <t>$2012 prices</t>
  </si>
  <si>
    <t>Crude oil - EIA - historical</t>
  </si>
  <si>
    <t xml:space="preserve">Russia's military action against the Ukraine has caused crude oil, gasoline, and diesel prices to increase above the level reflected in AEO 2022 modeling.  </t>
  </si>
  <si>
    <t>(1) Use recent empirical data</t>
  </si>
  <si>
    <t>(2) Use the Short Term Energy Outlook (SEO) for the first segment of the price outlook for crude oil, gasoline, and diesel.</t>
  </si>
  <si>
    <t>Use the AEO 2020 Pacific region y-o-y % changes for the second part of the price outlook</t>
  </si>
  <si>
    <t>such as: nuclear and lignite.</t>
  </si>
  <si>
    <t>4/29/2022</t>
  </si>
  <si>
    <t>5/31/2022</t>
  </si>
  <si>
    <t>ng_pri_sum_dcu_sca_a.xls</t>
  </si>
  <si>
    <t>http://www.eia.gov/dnav/ng/ng_pri_sum_dcu_sca_a.htm</t>
  </si>
  <si>
    <t>4/26/2022 1:29:51 AM</t>
  </si>
  <si>
    <t>Electric power</t>
  </si>
  <si>
    <t>2021 y-o-y</t>
  </si>
  <si>
    <t>2020 y-o-y</t>
  </si>
  <si>
    <t>Btus</t>
  </si>
  <si>
    <t>year-over-year</t>
  </si>
  <si>
    <t>Convert to Btu</t>
  </si>
  <si>
    <t>Nominal</t>
  </si>
  <si>
    <t>CEC year over year change 2021-2035. Pacific region change post 2035</t>
  </si>
  <si>
    <t>Commercial-transportation ratio</t>
  </si>
  <si>
    <t xml:space="preserve">Pre-tax price- Natural gas time series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</si>
</sst>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5">
    <numFmt numFmtId="8" formatCode="&quot;$&quot;#,##0.00_);[Red]\(&quot;$&quot;#,##0.00\)"/>
    <numFmt numFmtId="44" formatCode="_(&quot;$&quot;* #,##0.00_);_(&quot;$&quot;* \(#,##0.00\);_(&quot;$&quot;* &quot;-&quot;??_);_(@_)"/>
    <numFmt numFmtId="43" formatCode="_(* #,##0.00_);_(* \(#,##0.00\);_(* &quot;-&quot;??_);_(@_)"/>
    <numFmt numFmtId="164" formatCode="_(* #,##0.000_);_(* \(#,##0.000\);_(* &quot;-&quot;??_);_(@_)"/>
    <numFmt numFmtId="165" formatCode="0.000"/>
    <numFmt numFmtId="166" formatCode="0.0%"/>
    <numFmt numFmtId="167" formatCode="[$€-2]\ #,##0.00"/>
    <numFmt numFmtId="168" formatCode="0.000E+00"/>
    <numFmt numFmtId="169" formatCode="yyyy"/>
    <numFmt numFmtId="170" formatCode="mmm\-yyyy"/>
    <numFmt numFmtId="171" formatCode="_(* #,##0_);_(* \(#,##0\);_(* &quot;-&quot;??_);_(@_)"/>
    <numFmt numFmtId="172" formatCode="0E+00"/>
    <numFmt numFmtId="173" formatCode="_(&quot;$&quot;* #,##0.000_);_(&quot;$&quot;* \(#,##0.000\);_(&quot;$&quot;* &quot;-&quot;??_);_(@_)"/>
    <numFmt numFmtId="174" formatCode="#.##"/>
    <numFmt numFmtId="175" formatCode="&quot;$&quot;#,##0.00"/>
  </numFmts>
  <fonts count="76">
    <font>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b/>
      <sz val="12"/>
      <color theme="4"/>
      <name val="Calibri"/>
      <family val="2"/>
      <scheme val="minor"/>
    </font>
    <font>
      <b/>
      <sz val="11"/>
      <color theme="1"/>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u/>
      <sz val="11"/>
      <color theme="4"/>
      <name val="Calibri"/>
      <family val="2"/>
      <scheme val="minor"/>
    </font>
    <font>
      <sz val="8"/>
      <name val="Arial"/>
      <family val="2"/>
    </font>
    <font>
      <sz val="11"/>
      <color theme="1"/>
      <name val="Calibri"/>
      <family val="2"/>
      <scheme val="minor"/>
    </font>
    <font>
      <u/>
      <sz val="11"/>
      <color rgb="FF0070C0"/>
      <name val="Calibri"/>
      <family val="2"/>
      <scheme val="minor"/>
    </font>
    <font>
      <i/>
      <sz val="11"/>
      <color theme="1"/>
      <name val="Calibri"/>
      <family val="2"/>
      <scheme val="minor"/>
    </font>
    <font>
      <sz val="11"/>
      <color theme="0"/>
      <name val="Calibri"/>
      <family val="2"/>
      <scheme val="minor"/>
    </font>
    <font>
      <sz val="11"/>
      <color rgb="FF9C6500"/>
      <name val="Calibri"/>
      <family val="2"/>
      <scheme val="minor"/>
    </font>
    <font>
      <sz val="18"/>
      <color theme="3"/>
      <name val="Times New Roman"/>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u/>
      <sz val="11"/>
      <color theme="6"/>
      <name val="Calibri"/>
      <family val="2"/>
    </font>
    <font>
      <sz val="11"/>
      <color theme="1"/>
      <name val="Calibri"/>
      <family val="2"/>
    </font>
    <font>
      <b/>
      <sz val="11"/>
      <color rgb="FFFF0000"/>
      <name val="Calibri"/>
      <family val="2"/>
      <scheme val="minor"/>
    </font>
    <font>
      <sz val="8"/>
      <name val="Calibri"/>
      <family val="2"/>
      <scheme val="minor"/>
    </font>
    <font>
      <u/>
      <sz val="10"/>
      <color indexed="12"/>
      <name val="Arial"/>
      <family val="2"/>
    </font>
    <font>
      <sz val="10"/>
      <name val="Arial"/>
      <family val="2"/>
    </font>
    <font>
      <b/>
      <sz val="12"/>
      <color indexed="18"/>
      <name val="Arial"/>
      <family val="2"/>
    </font>
    <font>
      <b/>
      <sz val="9"/>
      <name val="Arial"/>
      <family val="2"/>
    </font>
    <font>
      <sz val="9"/>
      <name val="Arial"/>
      <family val="2"/>
    </font>
    <font>
      <b/>
      <sz val="10"/>
      <name val="Arial"/>
      <family val="2"/>
    </font>
    <font>
      <sz val="10"/>
      <name val="Arial"/>
      <family val="2"/>
    </font>
    <font>
      <u/>
      <sz val="10"/>
      <color indexed="12"/>
      <name val="Arial"/>
      <family val="2"/>
    </font>
    <font>
      <b/>
      <sz val="12"/>
      <color indexed="18"/>
      <name val="Arial"/>
      <family val="2"/>
    </font>
    <font>
      <b/>
      <sz val="9"/>
      <name val="Arial"/>
      <family val="2"/>
    </font>
    <font>
      <sz val="9"/>
      <name val="Arial"/>
      <family val="2"/>
    </font>
    <font>
      <b/>
      <sz val="10"/>
      <name val="Arial"/>
      <family val="2"/>
    </font>
    <font>
      <sz val="7"/>
      <color rgb="FF000000"/>
      <name val="Tahoma"/>
      <family val="2"/>
    </font>
    <font>
      <b/>
      <sz val="10"/>
      <color indexed="9"/>
      <name val="Arial"/>
      <family val="2"/>
    </font>
    <font>
      <b/>
      <u/>
      <sz val="10"/>
      <color indexed="12"/>
      <name val="Arial"/>
      <family val="2"/>
    </font>
    <font>
      <sz val="10"/>
      <color indexed="63"/>
      <name val="Arial"/>
      <family val="2"/>
    </font>
    <font>
      <sz val="10"/>
      <color indexed="9"/>
      <name val="Arial"/>
      <family val="2"/>
    </font>
    <font>
      <sz val="10"/>
      <name val="Arial"/>
      <family val="2"/>
    </font>
    <font>
      <b/>
      <sz val="11"/>
      <color indexed="56"/>
      <name val="Calibri"/>
      <family val="2"/>
    </font>
    <font>
      <sz val="11"/>
      <color rgb="FF000000"/>
      <name val="Calibri"/>
      <family val="2"/>
      <scheme val="minor"/>
    </font>
    <font>
      <b/>
      <sz val="14"/>
      <name val="Arial"/>
      <family val="2"/>
    </font>
    <font>
      <sz val="11"/>
      <name val="Arial"/>
      <family val="2"/>
    </font>
    <font>
      <b/>
      <sz val="11"/>
      <name val="Arial"/>
      <family val="2"/>
    </font>
    <font>
      <b/>
      <sz val="6"/>
      <color rgb="FF333333"/>
      <name val="Inherit"/>
    </font>
    <font>
      <b/>
      <vertAlign val="superscript"/>
      <sz val="6"/>
      <color rgb="FF333333"/>
      <name val="Inherit"/>
    </font>
    <font>
      <sz val="6"/>
      <color rgb="FF333333"/>
      <name val="Inherit"/>
    </font>
    <font>
      <sz val="16.5"/>
      <color rgb="FF333333"/>
      <name val="Times New Roman"/>
      <family val="1"/>
    </font>
    <font>
      <sz val="6"/>
      <color rgb="FF333333"/>
      <name val="Arial"/>
      <family val="2"/>
    </font>
    <font>
      <sz val="6"/>
      <color theme="1"/>
      <name val="Inherit"/>
    </font>
    <font>
      <sz val="10"/>
      <name val="Calibri"/>
      <family val="2"/>
    </font>
    <font>
      <sz val="10"/>
      <color indexed="8"/>
      <name val="Calibri"/>
      <family val="2"/>
    </font>
    <font>
      <sz val="11"/>
      <color indexed="8"/>
      <name val="Calibri"/>
      <family val="2"/>
      <scheme val="minor"/>
    </font>
    <font>
      <b/>
      <sz val="14"/>
      <name val="Calibri"/>
      <family val="2"/>
    </font>
    <font>
      <i/>
      <sz val="12"/>
      <name val="Calibri"/>
      <family val="2"/>
    </font>
    <font>
      <b/>
      <sz val="11"/>
      <name val="Calibri"/>
      <family val="2"/>
    </font>
    <font>
      <sz val="11"/>
      <name val="Calibri"/>
      <family val="2"/>
    </font>
    <font>
      <sz val="12"/>
      <name val="Calibri"/>
      <family val="2"/>
    </font>
    <font>
      <sz val="7"/>
      <color rgb="FF333333"/>
      <name val="Arial"/>
      <family val="2"/>
    </font>
    <font>
      <b/>
      <sz val="12"/>
      <color theme="1"/>
      <name val="Calibri"/>
      <family val="2"/>
      <scheme val="minor"/>
    </font>
    <font>
      <b/>
      <sz val="14"/>
      <color indexed="18"/>
      <name val="Arial"/>
      <family val="2"/>
    </font>
    <font>
      <b/>
      <i/>
      <sz val="12"/>
      <color indexed="10"/>
      <name val="Arial"/>
      <family val="2"/>
    </font>
    <font>
      <b/>
      <sz val="8"/>
      <name val="Arial"/>
      <family val="2"/>
    </font>
  </fonts>
  <fills count="44">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theme="3" tint="0.499984740745262"/>
        <bgColor indexed="64"/>
      </patternFill>
    </fill>
    <fill>
      <patternFill patternType="solid">
        <fgColor rgb="FF92D050"/>
        <bgColor indexed="64"/>
      </patternFill>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39997558519241921"/>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theme="7" tint="0.79998168889431442"/>
        <bgColor indexed="64"/>
      </patternFill>
    </fill>
    <fill>
      <patternFill patternType="solid">
        <fgColor indexed="18"/>
        <bgColor indexed="64"/>
      </patternFill>
    </fill>
    <fill>
      <patternFill patternType="solid">
        <fgColor indexed="26"/>
        <bgColor indexed="64"/>
      </patternFill>
    </fill>
    <fill>
      <patternFill patternType="solid">
        <fgColor theme="0" tint="-0.14999847407452621"/>
        <bgColor indexed="64"/>
      </patternFill>
    </fill>
    <fill>
      <patternFill patternType="solid">
        <fgColor theme="3" tint="0.749992370372631"/>
        <bgColor indexed="64"/>
      </patternFill>
    </fill>
  </fills>
  <borders count="41">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rgb="FFB2B2B2"/>
      </left>
      <right style="thin">
        <color rgb="FFB2B2B2"/>
      </right>
      <top style="thin">
        <color rgb="FFB2B2B2"/>
      </top>
      <bottom style="thin">
        <color rgb="FFB2B2B2"/>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AAAAA"/>
      </left>
      <right style="medium">
        <color rgb="FFAAAAAA"/>
      </right>
      <top style="medium">
        <color rgb="FFAAAAAA"/>
      </top>
      <bottom style="medium">
        <color rgb="FFAAAAAA"/>
      </bottom>
      <diagonal/>
    </border>
    <border>
      <left/>
      <right/>
      <top/>
      <bottom style="medium">
        <color indexed="30"/>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top/>
      <bottom/>
      <diagonal/>
    </border>
    <border>
      <left/>
      <right style="medium">
        <color rgb="FFCCCCCC"/>
      </right>
      <top/>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
      <left style="medium">
        <color rgb="FFCCCCCC"/>
      </left>
      <right/>
      <top style="medium">
        <color rgb="FFCCCCCC"/>
      </top>
      <bottom style="medium">
        <color rgb="FF189BD7"/>
      </bottom>
      <diagonal/>
    </border>
    <border>
      <left/>
      <right/>
      <top style="medium">
        <color rgb="FFCCCCCC"/>
      </top>
      <bottom style="medium">
        <color rgb="FF189BD7"/>
      </bottom>
      <diagonal/>
    </border>
    <border>
      <left/>
      <right style="medium">
        <color rgb="FFCCCCCC"/>
      </right>
      <top style="medium">
        <color rgb="FFCCCCCC"/>
      </top>
      <bottom style="medium">
        <color rgb="FF189BD7"/>
      </bottom>
      <diagonal/>
    </border>
    <border>
      <left/>
      <right/>
      <top/>
      <bottom style="mediumDashed">
        <color rgb="FFCCCCCC"/>
      </bottom>
      <diagonal/>
    </border>
    <border>
      <left style="thin">
        <color rgb="FF000000"/>
      </left>
      <right style="thin">
        <color rgb="FF000000"/>
      </right>
      <top style="thin">
        <color rgb="FF000000"/>
      </top>
      <bottom style="thick">
        <color rgb="FF000000"/>
      </bottom>
      <diagonal/>
    </border>
    <border>
      <left style="thin">
        <color rgb="FF000000"/>
      </left>
      <right style="thin">
        <color rgb="FF000000"/>
      </right>
      <top/>
      <bottom style="thin">
        <color rgb="FF000000"/>
      </bottom>
      <diagonal/>
    </border>
  </borders>
  <cellStyleXfs count="135">
    <xf numFmtId="0" fontId="0" fillId="0" borderId="0"/>
    <xf numFmtId="0" fontId="1" fillId="0" borderId="1">
      <alignment wrapText="1"/>
    </xf>
    <xf numFmtId="0" fontId="2" fillId="0" borderId="2">
      <alignment wrapText="1"/>
    </xf>
    <xf numFmtId="0" fontId="1" fillId="0" borderId="7">
      <alignment horizontal="left" wrapText="1"/>
    </xf>
    <xf numFmtId="0" fontId="1" fillId="0" borderId="6">
      <alignment wrapText="1"/>
    </xf>
    <xf numFmtId="0" fontId="1" fillId="0" borderId="4">
      <alignment wrapText="1"/>
    </xf>
    <xf numFmtId="0" fontId="2" fillId="0" borderId="3">
      <alignment vertical="top" wrapText="1"/>
    </xf>
    <xf numFmtId="0" fontId="2" fillId="0" borderId="5">
      <alignment wrapText="1"/>
    </xf>
    <xf numFmtId="0" fontId="2" fillId="0" borderId="0"/>
    <xf numFmtId="0" fontId="3" fillId="0" borderId="0">
      <alignment vertical="top"/>
      <protection locked="0"/>
    </xf>
    <xf numFmtId="0" fontId="2" fillId="0" borderId="0">
      <alignment vertical="top" wrapText="1"/>
    </xf>
    <xf numFmtId="0" fontId="4" fillId="0" borderId="0">
      <alignment horizontal="left"/>
    </xf>
    <xf numFmtId="0" fontId="7" fillId="0" borderId="0"/>
    <xf numFmtId="0" fontId="7" fillId="0" borderId="11">
      <alignment wrapText="1"/>
    </xf>
    <xf numFmtId="0" fontId="7" fillId="0" borderId="10">
      <alignment wrapText="1"/>
    </xf>
    <xf numFmtId="0" fontId="8" fillId="0" borderId="9">
      <alignment wrapText="1"/>
    </xf>
    <xf numFmtId="0" fontId="8" fillId="0" borderId="8">
      <alignment wrapText="1"/>
    </xf>
    <xf numFmtId="0" fontId="7" fillId="0" borderId="0"/>
    <xf numFmtId="0" fontId="6" fillId="0" borderId="0">
      <alignment horizontal="left"/>
    </xf>
    <xf numFmtId="44" fontId="12" fillId="0" borderId="0"/>
    <xf numFmtId="43" fontId="12" fillId="0" borderId="0"/>
    <xf numFmtId="0" fontId="16" fillId="6" borderId="0"/>
    <xf numFmtId="0" fontId="15" fillId="10" borderId="0"/>
    <xf numFmtId="0" fontId="15" fillId="13" borderId="0"/>
    <xf numFmtId="0" fontId="15" fillId="16" borderId="0"/>
    <xf numFmtId="0" fontId="15" fillId="19" borderId="0"/>
    <xf numFmtId="0" fontId="15" fillId="22" borderId="0"/>
    <xf numFmtId="0" fontId="15" fillId="25" borderId="0"/>
    <xf numFmtId="0" fontId="12" fillId="7" borderId="12"/>
    <xf numFmtId="0" fontId="12" fillId="8" borderId="0"/>
    <xf numFmtId="0" fontId="12" fillId="9" borderId="0"/>
    <xf numFmtId="0" fontId="12" fillId="11" borderId="0"/>
    <xf numFmtId="0" fontId="12" fillId="12" borderId="0"/>
    <xf numFmtId="0" fontId="12" fillId="14" borderId="0"/>
    <xf numFmtId="0" fontId="12" fillId="15" borderId="0"/>
    <xf numFmtId="0" fontId="12" fillId="17" borderId="0"/>
    <xf numFmtId="0" fontId="12" fillId="18" borderId="0"/>
    <xf numFmtId="0" fontId="12" fillId="20" borderId="0"/>
    <xf numFmtId="0" fontId="12" fillId="21" borderId="0"/>
    <xf numFmtId="0" fontId="12" fillId="23" borderId="0"/>
    <xf numFmtId="0" fontId="12" fillId="24" borderId="0"/>
    <xf numFmtId="0" fontId="17" fillId="0" borderId="0" applyNumberFormat="0" applyFill="0" applyBorder="0" applyAlignment="0" applyProtection="0"/>
    <xf numFmtId="0" fontId="18" fillId="0" borderId="1" applyNumberFormat="0" applyFill="0" applyAlignment="0" applyProtection="0"/>
    <xf numFmtId="0" fontId="19" fillId="0" borderId="13" applyNumberFormat="0" applyFill="0" applyAlignment="0" applyProtection="0"/>
    <xf numFmtId="0" fontId="20" fillId="0" borderId="14" applyNumberFormat="0" applyFill="0" applyAlignment="0" applyProtection="0"/>
    <xf numFmtId="0" fontId="20" fillId="0" borderId="0" applyNumberFormat="0" applyFill="0" applyBorder="0" applyAlignment="0" applyProtection="0"/>
    <xf numFmtId="0" fontId="21" fillId="28" borderId="0" applyNumberFormat="0" applyBorder="0" applyAlignment="0" applyProtection="0"/>
    <xf numFmtId="0" fontId="22" fillId="29" borderId="0" applyNumberFormat="0" applyBorder="0" applyAlignment="0" applyProtection="0"/>
    <xf numFmtId="0" fontId="23" fillId="30" borderId="15" applyNumberFormat="0" applyAlignment="0" applyProtection="0"/>
    <xf numFmtId="0" fontId="24" fillId="31" borderId="16" applyNumberFormat="0" applyAlignment="0" applyProtection="0"/>
    <xf numFmtId="0" fontId="25" fillId="31" borderId="15" applyNumberFormat="0" applyAlignment="0" applyProtection="0"/>
    <xf numFmtId="0" fontId="26" fillId="0" borderId="17" applyNumberFormat="0" applyFill="0" applyAlignment="0" applyProtection="0"/>
    <xf numFmtId="0" fontId="27" fillId="32" borderId="18" applyNumberFormat="0" applyAlignment="0" applyProtection="0"/>
    <xf numFmtId="0" fontId="28" fillId="0" borderId="0" applyNumberFormat="0" applyFill="0" applyBorder="0" applyAlignment="0" applyProtection="0"/>
    <xf numFmtId="0" fontId="12" fillId="7" borderId="12" applyNumberFormat="0" applyFont="0" applyAlignment="0" applyProtection="0"/>
    <xf numFmtId="0" fontId="29" fillId="0" borderId="0" applyNumberFormat="0" applyFill="0" applyBorder="0" applyAlignment="0" applyProtection="0"/>
    <xf numFmtId="0" fontId="5" fillId="0" borderId="19" applyNumberFormat="0" applyFill="0" applyAlignment="0" applyProtection="0"/>
    <xf numFmtId="0" fontId="15" fillId="33"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5" fillId="34"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5" fillId="35"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5" fillId="3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5" fillId="37"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5" fillId="38"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 fillId="0" borderId="1" applyNumberFormat="0" applyProtection="0">
      <alignment wrapText="1"/>
    </xf>
    <xf numFmtId="0" fontId="2" fillId="0" borderId="2" applyNumberFormat="0" applyFont="0" applyProtection="0">
      <alignment wrapText="1"/>
    </xf>
    <xf numFmtId="0" fontId="1" fillId="0" borderId="7" applyNumberFormat="0" applyProtection="0">
      <alignment horizontal="left" wrapText="1"/>
    </xf>
    <xf numFmtId="0" fontId="1" fillId="0" borderId="6" applyNumberFormat="0" applyFill="0" applyProtection="0">
      <alignment wrapText="1"/>
    </xf>
    <xf numFmtId="0" fontId="1" fillId="0" borderId="4" applyNumberFormat="0" applyProtection="0">
      <alignment wrapText="1"/>
    </xf>
    <xf numFmtId="0" fontId="2" fillId="0" borderId="3" applyNumberFormat="0" applyProtection="0">
      <alignment vertical="top" wrapText="1"/>
    </xf>
    <xf numFmtId="0" fontId="2" fillId="0" borderId="5" applyNumberFormat="0" applyFont="0" applyFill="0" applyProtection="0">
      <alignment wrapText="1"/>
    </xf>
    <xf numFmtId="0" fontId="2" fillId="0" borderId="0" applyNumberFormat="0" applyFill="0" applyBorder="0" applyAlignment="0" applyProtection="0"/>
    <xf numFmtId="0" fontId="3"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2" fillId="0" borderId="0" applyNumberFormat="0" applyProtection="0">
      <alignment vertical="top" wrapText="1"/>
    </xf>
    <xf numFmtId="0" fontId="4" fillId="0" borderId="0" applyNumberFormat="0" applyProtection="0">
      <alignment horizontal="left"/>
    </xf>
    <xf numFmtId="0" fontId="7" fillId="0" borderId="11" applyNumberFormat="0" applyProtection="0">
      <alignment wrapText="1"/>
    </xf>
    <xf numFmtId="0" fontId="7" fillId="0" borderId="10" applyNumberFormat="0" applyFont="0" applyProtection="0">
      <alignment wrapText="1"/>
    </xf>
    <xf numFmtId="0" fontId="8" fillId="0" borderId="9" applyNumberFormat="0" applyProtection="0">
      <alignment wrapText="1"/>
    </xf>
    <xf numFmtId="0" fontId="8" fillId="0" borderId="8"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44" fontId="12" fillId="0" borderId="0" applyFont="0" applyFill="0" applyBorder="0" applyAlignment="0" applyProtection="0"/>
    <xf numFmtId="43" fontId="12" fillId="0" borderId="0" applyFont="0" applyFill="0" applyBorder="0" applyAlignment="0" applyProtection="0"/>
    <xf numFmtId="0" fontId="16" fillId="6" borderId="0" applyNumberFormat="0" applyBorder="0" applyAlignment="0" applyProtection="0"/>
    <xf numFmtId="0" fontId="15" fillId="10" borderId="0" applyNumberFormat="0" applyBorder="0" applyAlignment="0" applyProtection="0"/>
    <xf numFmtId="0" fontId="15" fillId="13" borderId="0" applyNumberFormat="0" applyBorder="0" applyAlignment="0" applyProtection="0"/>
    <xf numFmtId="0" fontId="15" fillId="16" borderId="0" applyNumberFormat="0" applyBorder="0" applyAlignment="0" applyProtection="0"/>
    <xf numFmtId="0" fontId="15" fillId="19" borderId="0" applyNumberFormat="0" applyBorder="0" applyAlignment="0" applyProtection="0"/>
    <xf numFmtId="0" fontId="15" fillId="22" borderId="0" applyNumberFormat="0" applyBorder="0" applyAlignment="0" applyProtection="0"/>
    <xf numFmtId="0" fontId="15" fillId="25" borderId="0" applyNumberFormat="0" applyBorder="0" applyAlignment="0" applyProtection="0"/>
    <xf numFmtId="0" fontId="12" fillId="7" borderId="12" applyNumberFormat="0" applyFont="0" applyAlignment="0" applyProtection="0"/>
    <xf numFmtId="0" fontId="12" fillId="8" borderId="0" applyNumberFormat="0" applyBorder="0" applyAlignment="0" applyProtection="0"/>
    <xf numFmtId="0" fontId="12" fillId="9"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7" fillId="0" borderId="11">
      <alignment wrapText="1"/>
    </xf>
    <xf numFmtId="0" fontId="8" fillId="0" borderId="9">
      <alignment wrapText="1"/>
    </xf>
    <xf numFmtId="0" fontId="7" fillId="0" borderId="10">
      <alignment wrapText="1"/>
    </xf>
    <xf numFmtId="0" fontId="8" fillId="0" borderId="8">
      <alignment wrapText="1"/>
    </xf>
    <xf numFmtId="0" fontId="7" fillId="0" borderId="0"/>
    <xf numFmtId="0" fontId="6" fillId="0" borderId="0">
      <alignment horizontal="left"/>
    </xf>
    <xf numFmtId="9" fontId="12" fillId="0" borderId="0" applyFont="0" applyFill="0" applyBorder="0" applyAlignment="0" applyProtection="0"/>
    <xf numFmtId="0" fontId="34" fillId="0" borderId="0" applyNumberFormat="0" applyFill="0" applyBorder="0" applyAlignment="0" applyProtection="0">
      <alignment vertical="top"/>
      <protection locked="0"/>
    </xf>
    <xf numFmtId="0" fontId="35" fillId="0" borderId="0"/>
    <xf numFmtId="0" fontId="41" fillId="0" borderId="0" applyNumberFormat="0" applyFill="0" applyBorder="0" applyAlignment="0" applyProtection="0">
      <alignment vertical="top"/>
      <protection locked="0"/>
    </xf>
    <xf numFmtId="0" fontId="40" fillId="0" borderId="0"/>
    <xf numFmtId="0" fontId="51" fillId="0" borderId="0"/>
    <xf numFmtId="0" fontId="35" fillId="0" borderId="0"/>
    <xf numFmtId="0" fontId="52" fillId="0" borderId="23" applyNumberFormat="0" applyFill="0" applyAlignment="0" applyProtection="0"/>
    <xf numFmtId="0" fontId="53" fillId="0" borderId="0"/>
    <xf numFmtId="43" fontId="53" fillId="0" borderId="0" applyFont="0" applyFill="0" applyBorder="0" applyAlignment="0" applyProtection="0"/>
    <xf numFmtId="0" fontId="35" fillId="0" borderId="0"/>
    <xf numFmtId="9" fontId="35" fillId="0" borderId="0" applyFont="0" applyFill="0" applyBorder="0" applyAlignment="0" applyProtection="0"/>
    <xf numFmtId="0" fontId="65" fillId="0" borderId="0"/>
    <xf numFmtId="9" fontId="65" fillId="0" borderId="0" applyFont="0" applyFill="0" applyBorder="0" applyAlignment="0" applyProtection="0"/>
  </cellStyleXfs>
  <cellXfs count="234">
    <xf numFmtId="0" fontId="0" fillId="0" borderId="0" xfId="0"/>
    <xf numFmtId="0" fontId="5" fillId="2" borderId="0" xfId="0" applyFont="1" applyFill="1" applyAlignment="1">
      <alignment horizontal="center"/>
    </xf>
    <xf numFmtId="2" fontId="0" fillId="0" borderId="0" xfId="0" applyNumberFormat="1"/>
    <xf numFmtId="0" fontId="0" fillId="0" borderId="0" xfId="0" applyAlignment="1">
      <alignment horizontal="left"/>
    </xf>
    <xf numFmtId="0" fontId="13" fillId="0" borderId="0" xfId="9" applyFont="1" applyAlignment="1" applyProtection="1"/>
    <xf numFmtId="0" fontId="0" fillId="2" borderId="0" xfId="0" applyFill="1"/>
    <xf numFmtId="0" fontId="5" fillId="2" borderId="0" xfId="0" applyFont="1" applyFill="1"/>
    <xf numFmtId="0" fontId="5" fillId="4" borderId="0" xfId="0" applyFont="1" applyFill="1"/>
    <xf numFmtId="0" fontId="0" fillId="4" borderId="0" xfId="0" applyFill="1"/>
    <xf numFmtId="0" fontId="10" fillId="0" borderId="0" xfId="9" applyFont="1" applyAlignment="1" applyProtection="1"/>
    <xf numFmtId="0" fontId="14" fillId="0" borderId="0" xfId="0" applyFont="1"/>
    <xf numFmtId="0" fontId="5" fillId="5" borderId="0" xfId="0" applyFont="1" applyFill="1"/>
    <xf numFmtId="0" fontId="0" fillId="5" borderId="0" xfId="0" applyFill="1"/>
    <xf numFmtId="0" fontId="5" fillId="0" borderId="0" xfId="0" applyFont="1"/>
    <xf numFmtId="0" fontId="0" fillId="0" borderId="0" xfId="0"/>
    <xf numFmtId="0" fontId="3" fillId="0" borderId="0" xfId="9" applyAlignment="1" applyProtection="1"/>
    <xf numFmtId="0" fontId="7" fillId="0" borderId="0" xfId="12"/>
    <xf numFmtId="0" fontId="11" fillId="0" borderId="0" xfId="12" applyFont="1"/>
    <xf numFmtId="0" fontId="9" fillId="0" borderId="0" xfId="12" applyFont="1"/>
    <xf numFmtId="0" fontId="7" fillId="0" borderId="0" xfId="12" applyAlignment="1">
      <alignment horizontal="left"/>
    </xf>
    <xf numFmtId="0" fontId="5" fillId="27" borderId="0" xfId="0" applyFont="1" applyFill="1"/>
    <xf numFmtId="11" fontId="0" fillId="0" borderId="0" xfId="0" applyNumberFormat="1"/>
    <xf numFmtId="164" fontId="0" fillId="0" borderId="0" xfId="20" applyNumberFormat="1" applyFont="1"/>
    <xf numFmtId="165" fontId="0" fillId="0" borderId="0" xfId="0" applyNumberFormat="1"/>
    <xf numFmtId="8" fontId="0" fillId="0" borderId="0" xfId="0" applyNumberFormat="1"/>
    <xf numFmtId="167" fontId="0" fillId="0" borderId="0" xfId="0" applyNumberFormat="1" applyAlignment="1">
      <alignment horizontal="center"/>
    </xf>
    <xf numFmtId="168" fontId="0" fillId="0" borderId="0" xfId="0" applyNumberFormat="1"/>
    <xf numFmtId="14" fontId="0" fillId="0" borderId="0" xfId="0" applyNumberFormat="1"/>
    <xf numFmtId="0" fontId="31" fillId="0" borderId="0" xfId="0" applyFont="1"/>
    <xf numFmtId="0" fontId="5" fillId="39" borderId="20" xfId="0" applyFont="1" applyFill="1" applyBorder="1"/>
    <xf numFmtId="0" fontId="32" fillId="0" borderId="0" xfId="0" applyFont="1"/>
    <xf numFmtId="0" fontId="5" fillId="39" borderId="21" xfId="0" applyFont="1" applyFill="1" applyBorder="1"/>
    <xf numFmtId="0" fontId="0" fillId="0" borderId="0" xfId="0"/>
    <xf numFmtId="0" fontId="5" fillId="0" borderId="0" xfId="0" applyFont="1"/>
    <xf numFmtId="168" fontId="0" fillId="0" borderId="0" xfId="0" applyNumberFormat="1"/>
    <xf numFmtId="0" fontId="0" fillId="0" borderId="0" xfId="0" applyAlignment="1">
      <alignment horizontal="left"/>
    </xf>
    <xf numFmtId="10" fontId="0" fillId="0" borderId="0" xfId="0" applyNumberFormat="1"/>
    <xf numFmtId="0" fontId="5" fillId="42" borderId="0" xfId="0" applyFont="1" applyFill="1"/>
    <xf numFmtId="0" fontId="0" fillId="42" borderId="0" xfId="0" applyFill="1"/>
    <xf numFmtId="44" fontId="12" fillId="0" borderId="0" xfId="19"/>
    <xf numFmtId="0" fontId="41" fillId="0" borderId="0" xfId="124" quotePrefix="1" applyAlignment="1" applyProtection="1">
      <alignment horizontal="left"/>
    </xf>
    <xf numFmtId="0" fontId="42" fillId="0" borderId="0" xfId="125" applyFont="1"/>
    <xf numFmtId="0" fontId="40" fillId="0" borderId="0" xfId="125"/>
    <xf numFmtId="0" fontId="43" fillId="0" borderId="0" xfId="125" applyFont="1" applyAlignment="1">
      <alignment horizontal="center" wrapText="1"/>
    </xf>
    <xf numFmtId="0" fontId="44" fillId="0" borderId="0" xfId="125" applyFont="1" applyAlignment="1">
      <alignment wrapText="1"/>
    </xf>
    <xf numFmtId="0" fontId="45" fillId="0" borderId="0" xfId="125" applyFont="1" applyAlignment="1">
      <alignment horizontal="center" wrapText="1"/>
    </xf>
    <xf numFmtId="0" fontId="45" fillId="0" borderId="0" xfId="125" applyFont="1" applyAlignment="1">
      <alignment wrapText="1"/>
    </xf>
    <xf numFmtId="44" fontId="0" fillId="0" borderId="0" xfId="0" applyNumberFormat="1"/>
    <xf numFmtId="0" fontId="46" fillId="3" borderId="22" xfId="0" applyFont="1" applyFill="1" applyBorder="1" applyAlignment="1">
      <alignment horizontal="right" vertical="center" wrapText="1"/>
    </xf>
    <xf numFmtId="9" fontId="0" fillId="0" borderId="0" xfId="121" applyFont="1"/>
    <xf numFmtId="0" fontId="0" fillId="0" borderId="0" xfId="0" applyFill="1"/>
    <xf numFmtId="0" fontId="5" fillId="0" borderId="0" xfId="0" applyFont="1" applyAlignment="1">
      <alignment horizontal="center"/>
    </xf>
    <xf numFmtId="0" fontId="47" fillId="40" borderId="0" xfId="125" applyFont="1" applyFill="1"/>
    <xf numFmtId="0" fontId="47" fillId="40" borderId="0" xfId="125" applyFont="1" applyFill="1" applyAlignment="1">
      <alignment horizontal="center"/>
    </xf>
    <xf numFmtId="0" fontId="48" fillId="41" borderId="0" xfId="124" quotePrefix="1" applyFont="1" applyFill="1" applyAlignment="1" applyProtection="1">
      <alignment horizontal="left"/>
    </xf>
    <xf numFmtId="0" fontId="49" fillId="0" borderId="0" xfId="125" applyFont="1"/>
    <xf numFmtId="0" fontId="41" fillId="0" borderId="0" xfId="125" applyFont="1"/>
    <xf numFmtId="0" fontId="50" fillId="0" borderId="0" xfId="125" applyFont="1"/>
    <xf numFmtId="170" fontId="40" fillId="0" borderId="0" xfId="125" applyNumberFormat="1"/>
    <xf numFmtId="169" fontId="40" fillId="0" borderId="0" xfId="125" applyNumberFormat="1"/>
    <xf numFmtId="0" fontId="40" fillId="0" borderId="0" xfId="125" applyAlignment="1">
      <alignment wrapText="1"/>
    </xf>
    <xf numFmtId="9" fontId="0" fillId="0" borderId="0" xfId="0" applyNumberFormat="1"/>
    <xf numFmtId="0" fontId="40" fillId="0" borderId="0" xfId="125" applyFill="1"/>
    <xf numFmtId="0" fontId="40" fillId="0" borderId="0" xfId="125" applyFill="1" applyAlignment="1">
      <alignment wrapText="1"/>
    </xf>
    <xf numFmtId="166" fontId="0" fillId="0" borderId="0" xfId="121" applyNumberFormat="1" applyFont="1"/>
    <xf numFmtId="17" fontId="0" fillId="0" borderId="0" xfId="0" applyNumberFormat="1"/>
    <xf numFmtId="0" fontId="0" fillId="0" borderId="0" xfId="0" applyAlignment="1">
      <alignment horizontal="left" vertical="top" wrapText="1"/>
    </xf>
    <xf numFmtId="0" fontId="0" fillId="0" borderId="0" xfId="0" applyAlignment="1">
      <alignment horizontal="right"/>
    </xf>
    <xf numFmtId="44" fontId="12" fillId="0" borderId="0" xfId="19" applyFill="1"/>
    <xf numFmtId="0" fontId="54" fillId="0" borderId="0" xfId="129" applyFont="1"/>
    <xf numFmtId="0" fontId="55" fillId="0" borderId="0" xfId="129" applyFont="1"/>
    <xf numFmtId="0" fontId="56" fillId="0" borderId="0" xfId="129" applyFont="1"/>
    <xf numFmtId="171" fontId="55" fillId="0" borderId="0" xfId="130" applyNumberFormat="1" applyFont="1" applyFill="1" applyBorder="1"/>
    <xf numFmtId="171" fontId="55" fillId="0" borderId="0" xfId="129" applyNumberFormat="1" applyFont="1"/>
    <xf numFmtId="43" fontId="55" fillId="0" borderId="0" xfId="129" applyNumberFormat="1" applyFont="1"/>
    <xf numFmtId="9" fontId="55" fillId="0" borderId="0" xfId="129" applyNumberFormat="1" applyFont="1"/>
    <xf numFmtId="43" fontId="55" fillId="0" borderId="0" xfId="129" applyNumberFormat="1" applyFont="1" applyAlignment="1">
      <alignment horizontal="left" vertical="top"/>
    </xf>
    <xf numFmtId="1" fontId="56" fillId="0" borderId="0" xfId="129" applyNumberFormat="1" applyFont="1" applyAlignment="1">
      <alignment horizontal="center" vertical="top"/>
    </xf>
    <xf numFmtId="166" fontId="0" fillId="0" borderId="0" xfId="121" applyNumberFormat="1" applyFont="1" applyAlignment="1">
      <alignment horizontal="right"/>
    </xf>
    <xf numFmtId="0" fontId="5" fillId="0" borderId="0" xfId="0" applyFont="1" applyFill="1"/>
    <xf numFmtId="0" fontId="0" fillId="0" borderId="0" xfId="0" applyFont="1" applyFill="1"/>
    <xf numFmtId="0" fontId="34" fillId="0" borderId="0" xfId="122" quotePrefix="1" applyAlignment="1" applyProtection="1">
      <alignment horizontal="left"/>
    </xf>
    <xf numFmtId="0" fontId="0" fillId="0" borderId="0" xfId="0" applyFont="1"/>
    <xf numFmtId="0" fontId="0" fillId="3" borderId="0" xfId="0" applyFill="1"/>
    <xf numFmtId="0" fontId="57" fillId="3" borderId="24" xfId="0" applyFont="1" applyFill="1" applyBorder="1" applyAlignment="1">
      <alignment horizontal="left"/>
    </xf>
    <xf numFmtId="0" fontId="0" fillId="3" borderId="24" xfId="0" applyFill="1" applyBorder="1" applyAlignment="1">
      <alignment horizontal="left"/>
    </xf>
    <xf numFmtId="0" fontId="0" fillId="3" borderId="25" xfId="0" applyFill="1" applyBorder="1" applyAlignment="1">
      <alignment horizontal="left"/>
    </xf>
    <xf numFmtId="0" fontId="57" fillId="3" borderId="25" xfId="0" applyFont="1" applyFill="1" applyBorder="1" applyAlignment="1">
      <alignment horizontal="left"/>
    </xf>
    <xf numFmtId="0" fontId="57" fillId="3" borderId="26" xfId="0" applyFont="1" applyFill="1" applyBorder="1" applyAlignment="1">
      <alignment horizontal="left"/>
    </xf>
    <xf numFmtId="0" fontId="59" fillId="3" borderId="38" xfId="0" applyFont="1" applyFill="1" applyBorder="1" applyAlignment="1">
      <alignment horizontal="left" vertical="top"/>
    </xf>
    <xf numFmtId="0" fontId="59" fillId="3" borderId="38" xfId="0" applyFont="1" applyFill="1" applyBorder="1" applyAlignment="1">
      <alignment horizontal="right" vertical="top"/>
    </xf>
    <xf numFmtId="0" fontId="59" fillId="3" borderId="38" xfId="0" applyFont="1" applyFill="1" applyBorder="1" applyAlignment="1">
      <alignment horizontal="right" vertical="top" indent="1"/>
    </xf>
    <xf numFmtId="0" fontId="59" fillId="3" borderId="0" xfId="0" applyFont="1" applyFill="1" applyAlignment="1">
      <alignment horizontal="left" vertical="top"/>
    </xf>
    <xf numFmtId="0" fontId="59" fillId="3" borderId="0" xfId="0" applyFont="1" applyFill="1" applyAlignment="1">
      <alignment horizontal="right" vertical="top"/>
    </xf>
    <xf numFmtId="0" fontId="61" fillId="0" borderId="0" xfId="0" applyFont="1" applyAlignment="1">
      <alignment vertical="center" wrapText="1"/>
    </xf>
    <xf numFmtId="0" fontId="60" fillId="0" borderId="0" xfId="0" applyFont="1" applyAlignment="1">
      <alignment vertical="center"/>
    </xf>
    <xf numFmtId="0" fontId="62" fillId="0" borderId="0" xfId="0" applyFont="1" applyAlignment="1">
      <alignment vertical="center"/>
    </xf>
    <xf numFmtId="0" fontId="61" fillId="3" borderId="0" xfId="0" applyFont="1" applyFill="1" applyAlignment="1">
      <alignment horizontal="left" vertical="top"/>
    </xf>
    <xf numFmtId="0" fontId="61" fillId="3" borderId="0" xfId="0" applyFont="1" applyFill="1" applyAlignment="1">
      <alignment horizontal="right" vertical="top"/>
    </xf>
    <xf numFmtId="0" fontId="0" fillId="0" borderId="0" xfId="0" applyAlignment="1">
      <alignment horizontal="center"/>
    </xf>
    <xf numFmtId="0" fontId="57" fillId="3" borderId="0" xfId="0" applyFont="1" applyFill="1" applyBorder="1" applyAlignment="1">
      <alignment horizontal="left"/>
    </xf>
    <xf numFmtId="0" fontId="0" fillId="0" borderId="0" xfId="0" applyFont="1" applyAlignment="1">
      <alignment horizontal="center"/>
    </xf>
    <xf numFmtId="0" fontId="5" fillId="0" borderId="0" xfId="0" applyFont="1" applyAlignment="1">
      <alignment horizontal="left" vertical="center"/>
    </xf>
    <xf numFmtId="44" fontId="12" fillId="0" borderId="0" xfId="19" applyFont="1" applyAlignment="1">
      <alignment vertical="top"/>
    </xf>
    <xf numFmtId="44" fontId="12" fillId="0" borderId="0" xfId="19" applyFont="1" applyAlignment="1">
      <alignment horizontal="center" vertical="top"/>
    </xf>
    <xf numFmtId="0" fontId="0" fillId="0" borderId="0" xfId="0" applyFill="1" applyAlignment="1">
      <alignment horizontal="center"/>
    </xf>
    <xf numFmtId="0" fontId="5" fillId="0" borderId="0" xfId="0" applyFont="1" applyFill="1" applyAlignment="1">
      <alignment horizontal="center"/>
    </xf>
    <xf numFmtId="44" fontId="0" fillId="0" borderId="0" xfId="0" applyNumberFormat="1" applyAlignment="1">
      <alignment horizontal="left"/>
    </xf>
    <xf numFmtId="0" fontId="0" fillId="0" borderId="0" xfId="0" applyAlignment="1">
      <alignment horizontal="left" wrapText="1"/>
    </xf>
    <xf numFmtId="0" fontId="0" fillId="0" borderId="0" xfId="0" applyAlignment="1">
      <alignment wrapText="1"/>
    </xf>
    <xf numFmtId="0" fontId="3" fillId="0" borderId="0" xfId="9">
      <alignment vertical="top"/>
      <protection locked="0"/>
    </xf>
    <xf numFmtId="1" fontId="0" fillId="0" borderId="0" xfId="0" applyNumberFormat="1"/>
    <xf numFmtId="172" fontId="0" fillId="0" borderId="0" xfId="0" applyNumberFormat="1"/>
    <xf numFmtId="0" fontId="0" fillId="0" borderId="0" xfId="0"/>
    <xf numFmtId="0" fontId="0" fillId="26" borderId="0" xfId="0" applyFill="1"/>
    <xf numFmtId="173" fontId="12" fillId="0" borderId="0" xfId="19" applyNumberFormat="1"/>
    <xf numFmtId="0" fontId="5" fillId="43" borderId="0" xfId="0" applyFont="1" applyFill="1"/>
    <xf numFmtId="0" fontId="0" fillId="0" borderId="0" xfId="0" applyAlignment="1">
      <alignment horizontal="left"/>
    </xf>
    <xf numFmtId="11" fontId="0" fillId="42" borderId="0" xfId="0" applyNumberFormat="1" applyFill="1"/>
    <xf numFmtId="0" fontId="39" fillId="2" borderId="0" xfId="125" applyFont="1" applyFill="1"/>
    <xf numFmtId="0" fontId="40" fillId="2" borderId="0" xfId="125" applyFill="1"/>
    <xf numFmtId="0" fontId="7" fillId="0" borderId="0" xfId="119"/>
    <xf numFmtId="0" fontId="8" fillId="0" borderId="8" xfId="118">
      <alignment wrapText="1"/>
    </xf>
    <xf numFmtId="0" fontId="63" fillId="0" borderId="0" xfId="12" applyFont="1"/>
    <xf numFmtId="0" fontId="64" fillId="0" borderId="0" xfId="12" applyFont="1"/>
    <xf numFmtId="0" fontId="6" fillId="0" borderId="0" xfId="120">
      <alignment horizontal="left"/>
    </xf>
    <xf numFmtId="0" fontId="8" fillId="0" borderId="0" xfId="12" applyFont="1" applyAlignment="1">
      <alignment horizontal="right"/>
    </xf>
    <xf numFmtId="0" fontId="8" fillId="0" borderId="8" xfId="118" applyAlignment="1">
      <alignment horizontal="right" wrapText="1"/>
    </xf>
    <xf numFmtId="0" fontId="8" fillId="0" borderId="9" xfId="116">
      <alignment wrapText="1"/>
    </xf>
    <xf numFmtId="0" fontId="0" fillId="0" borderId="10" xfId="117" applyFont="1">
      <alignment wrapText="1"/>
    </xf>
    <xf numFmtId="4" fontId="0" fillId="0" borderId="10" xfId="117" applyNumberFormat="1" applyFont="1" applyAlignment="1">
      <alignment horizontal="right" wrapText="1"/>
    </xf>
    <xf numFmtId="166" fontId="0" fillId="0" borderId="10" xfId="117" applyNumberFormat="1" applyFont="1" applyAlignment="1">
      <alignment horizontal="right" wrapText="1"/>
    </xf>
    <xf numFmtId="3" fontId="0" fillId="0" borderId="10" xfId="117" applyNumberFormat="1" applyFont="1" applyAlignment="1">
      <alignment horizontal="right" wrapText="1"/>
    </xf>
    <xf numFmtId="3" fontId="8" fillId="0" borderId="9" xfId="116" applyNumberFormat="1" applyAlignment="1">
      <alignment horizontal="right" wrapText="1"/>
    </xf>
    <xf numFmtId="166" fontId="8" fillId="0" borderId="9" xfId="116" applyNumberFormat="1" applyAlignment="1">
      <alignment horizontal="right" wrapText="1"/>
    </xf>
    <xf numFmtId="0" fontId="7" fillId="0" borderId="11" xfId="12" applyBorder="1"/>
    <xf numFmtId="0" fontId="8" fillId="42" borderId="0" xfId="12" applyFont="1" applyFill="1"/>
    <xf numFmtId="0" fontId="8" fillId="0" borderId="0" xfId="12" applyFont="1" applyFill="1"/>
    <xf numFmtId="0" fontId="65" fillId="0" borderId="0" xfId="133"/>
    <xf numFmtId="0" fontId="68" fillId="0" borderId="39" xfId="133" applyFont="1" applyBorder="1" applyAlignment="1">
      <alignment horizontal="center" wrapText="1"/>
    </xf>
    <xf numFmtId="0" fontId="68" fillId="0" borderId="40" xfId="133" applyFont="1" applyBorder="1" applyAlignment="1">
      <alignment horizontal="center"/>
    </xf>
    <xf numFmtId="4" fontId="69" fillId="0" borderId="40" xfId="133" applyNumberFormat="1" applyFont="1" applyBorder="1"/>
    <xf numFmtId="0" fontId="70" fillId="0" borderId="0" xfId="133" applyFont="1" applyAlignment="1">
      <alignment horizontal="left" vertical="top"/>
    </xf>
    <xf numFmtId="4" fontId="0" fillId="0" borderId="0" xfId="0" applyNumberFormat="1"/>
    <xf numFmtId="0" fontId="69" fillId="0" borderId="0" xfId="133" applyFont="1" applyAlignment="1">
      <alignment horizontal="left"/>
    </xf>
    <xf numFmtId="174" fontId="69" fillId="0" borderId="40" xfId="133" applyNumberFormat="1" applyFont="1" applyBorder="1"/>
    <xf numFmtId="3" fontId="65" fillId="0" borderId="0" xfId="133" applyNumberFormat="1"/>
    <xf numFmtId="14" fontId="65" fillId="0" borderId="0" xfId="133" applyNumberFormat="1"/>
    <xf numFmtId="166" fontId="0" fillId="0" borderId="0" xfId="134" applyNumberFormat="1" applyFont="1"/>
    <xf numFmtId="3" fontId="68" fillId="0" borderId="40" xfId="133" applyNumberFormat="1" applyFont="1" applyBorder="1"/>
    <xf numFmtId="3" fontId="69" fillId="0" borderId="40" xfId="133" applyNumberFormat="1" applyFont="1" applyBorder="1"/>
    <xf numFmtId="175" fontId="65" fillId="0" borderId="0" xfId="133" applyNumberFormat="1"/>
    <xf numFmtId="2" fontId="65" fillId="0" borderId="0" xfId="133" applyNumberFormat="1"/>
    <xf numFmtId="3" fontId="71" fillId="0" borderId="0" xfId="0" applyNumberFormat="1" applyFont="1"/>
    <xf numFmtId="11" fontId="65" fillId="0" borderId="0" xfId="133" applyNumberFormat="1"/>
    <xf numFmtId="3" fontId="0" fillId="0" borderId="0" xfId="0" applyNumberFormat="1"/>
    <xf numFmtId="2" fontId="0" fillId="0" borderId="0" xfId="134" applyNumberFormat="1" applyFont="1"/>
    <xf numFmtId="0" fontId="72" fillId="42" borderId="0" xfId="0" applyFont="1" applyFill="1"/>
    <xf numFmtId="0" fontId="36" fillId="0" borderId="0" xfId="0" applyFont="1"/>
    <xf numFmtId="0" fontId="37" fillId="0" borderId="0" xfId="0" applyFont="1" applyAlignment="1">
      <alignment horizontal="center" wrapText="1"/>
    </xf>
    <xf numFmtId="0" fontId="38" fillId="0" borderId="0" xfId="0" applyFont="1" applyAlignment="1">
      <alignment wrapText="1"/>
    </xf>
    <xf numFmtId="0" fontId="39" fillId="0" borderId="0" xfId="0" applyFont="1" applyAlignment="1">
      <alignment horizontal="center" wrapText="1"/>
    </xf>
    <xf numFmtId="0" fontId="39" fillId="0" borderId="0" xfId="0" applyFont="1" applyAlignment="1">
      <alignment wrapText="1"/>
    </xf>
    <xf numFmtId="169" fontId="0" fillId="0" borderId="0" xfId="0" applyNumberFormat="1"/>
    <xf numFmtId="0" fontId="73" fillId="0" borderId="0" xfId="0" applyFont="1" applyAlignment="1">
      <alignment horizontal="left"/>
    </xf>
    <xf numFmtId="0" fontId="74" fillId="0" borderId="0" xfId="0" applyFont="1" applyAlignment="1">
      <alignment horizontal="left"/>
    </xf>
    <xf numFmtId="0" fontId="35" fillId="0" borderId="0" xfId="0" applyFont="1"/>
    <xf numFmtId="0" fontId="35" fillId="0" borderId="0" xfId="0" applyFont="1" applyAlignment="1">
      <alignment horizontal="left"/>
    </xf>
    <xf numFmtId="0" fontId="35" fillId="0" borderId="0" xfId="0" quotePrefix="1" applyFont="1" applyAlignment="1">
      <alignment horizontal="left"/>
    </xf>
    <xf numFmtId="0" fontId="47" fillId="40" borderId="0" xfId="0" quotePrefix="1" applyFont="1" applyFill="1" applyAlignment="1">
      <alignment horizontal="left"/>
    </xf>
    <xf numFmtId="0" fontId="47" fillId="40" borderId="0" xfId="0" applyFont="1" applyFill="1"/>
    <xf numFmtId="0" fontId="47" fillId="40" borderId="0" xfId="0" applyFont="1" applyFill="1" applyAlignment="1">
      <alignment horizontal="center"/>
    </xf>
    <xf numFmtId="0" fontId="48" fillId="41" borderId="0" xfId="122" quotePrefix="1" applyFont="1" applyFill="1" applyAlignment="1" applyProtection="1">
      <alignment horizontal="left"/>
    </xf>
    <xf numFmtId="0" fontId="35" fillId="41" borderId="0" xfId="0" applyFont="1" applyFill="1" applyAlignment="1">
      <alignment horizontal="left"/>
    </xf>
    <xf numFmtId="0" fontId="35" fillId="41" borderId="0" xfId="0" applyFont="1" applyFill="1" applyAlignment="1">
      <alignment horizontal="center"/>
    </xf>
    <xf numFmtId="0" fontId="50" fillId="0" borderId="0" xfId="0" applyFont="1"/>
    <xf numFmtId="0" fontId="49" fillId="0" borderId="0" xfId="0" applyFont="1"/>
    <xf numFmtId="0" fontId="34" fillId="0" borderId="0" xfId="0" applyFont="1"/>
    <xf numFmtId="2" fontId="0" fillId="0" borderId="0" xfId="121" applyNumberFormat="1" applyFont="1"/>
    <xf numFmtId="11" fontId="5" fillId="0" borderId="0" xfId="0" applyNumberFormat="1" applyFont="1"/>
    <xf numFmtId="0" fontId="65" fillId="0" borderId="0" xfId="133"/>
    <xf numFmtId="0" fontId="0" fillId="0" borderId="0" xfId="0" applyNumberFormat="1"/>
    <xf numFmtId="0" fontId="75" fillId="0" borderId="0" xfId="127" applyFont="1" applyAlignment="1">
      <alignment horizontal="center" wrapText="1"/>
    </xf>
    <xf numFmtId="0" fontId="75" fillId="0" borderId="0" xfId="127" applyFont="1" applyAlignment="1">
      <alignment wrapText="1"/>
    </xf>
    <xf numFmtId="0" fontId="35" fillId="0" borderId="0" xfId="127"/>
    <xf numFmtId="0" fontId="73" fillId="0" borderId="0" xfId="127" applyFont="1" applyAlignment="1">
      <alignment horizontal="left"/>
    </xf>
    <xf numFmtId="0" fontId="47" fillId="40" borderId="0" xfId="127" applyFont="1" applyFill="1"/>
    <xf numFmtId="0" fontId="47" fillId="40" borderId="0" xfId="127" applyFont="1" applyFill="1" applyAlignment="1">
      <alignment horizontal="center"/>
    </xf>
    <xf numFmtId="0" fontId="35" fillId="0" borderId="0" xfId="127" applyFont="1"/>
    <xf numFmtId="0" fontId="47" fillId="40" borderId="0" xfId="127" quotePrefix="1" applyFont="1" applyFill="1" applyAlignment="1">
      <alignment horizontal="left"/>
    </xf>
    <xf numFmtId="0" fontId="35" fillId="0" borderId="0" xfId="127" quotePrefix="1" applyFont="1" applyAlignment="1">
      <alignment horizontal="left"/>
    </xf>
    <xf numFmtId="0" fontId="74" fillId="0" borderId="0" xfId="127" applyFont="1" applyAlignment="1">
      <alignment horizontal="left"/>
    </xf>
    <xf numFmtId="0" fontId="48" fillId="41" borderId="0" xfId="122" quotePrefix="1" applyFont="1" applyFill="1" applyAlignment="1" applyProtection="1">
      <alignment horizontal="left"/>
    </xf>
    <xf numFmtId="0" fontId="35" fillId="41" borderId="0" xfId="127" applyFont="1" applyFill="1" applyAlignment="1">
      <alignment horizontal="left"/>
    </xf>
    <xf numFmtId="0" fontId="35" fillId="41" borderId="0" xfId="127" applyFont="1" applyFill="1" applyAlignment="1">
      <alignment horizontal="center"/>
    </xf>
    <xf numFmtId="0" fontId="50" fillId="0" borderId="0" xfId="127" applyFont="1"/>
    <xf numFmtId="0" fontId="49" fillId="0" borderId="0" xfId="127" applyFont="1"/>
    <xf numFmtId="0" fontId="34" fillId="0" borderId="0" xfId="127" applyFont="1"/>
    <xf numFmtId="0" fontId="35" fillId="0" borderId="0" xfId="127"/>
    <xf numFmtId="0" fontId="34" fillId="0" borderId="0" xfId="122" quotePrefix="1" applyAlignment="1" applyProtection="1">
      <alignment horizontal="left"/>
    </xf>
    <xf numFmtId="0" fontId="38" fillId="0" borderId="0" xfId="127" applyFont="1" applyAlignment="1">
      <alignment wrapText="1"/>
    </xf>
    <xf numFmtId="0" fontId="37" fillId="0" borderId="0" xfId="127" applyFont="1" applyAlignment="1">
      <alignment horizontal="center" wrapText="1"/>
    </xf>
    <xf numFmtId="0" fontId="36" fillId="0" borderId="0" xfId="127" applyFont="1"/>
    <xf numFmtId="169" fontId="35" fillId="0" borderId="0" xfId="127" applyNumberFormat="1"/>
    <xf numFmtId="0" fontId="35" fillId="0" borderId="0" xfId="127" applyFill="1"/>
    <xf numFmtId="0" fontId="35" fillId="0" borderId="0" xfId="125" applyFont="1"/>
    <xf numFmtId="0" fontId="7" fillId="0" borderId="0" xfId="12"/>
    <xf numFmtId="0" fontId="0" fillId="0" borderId="10" xfId="117" applyFont="1">
      <alignment wrapText="1"/>
    </xf>
    <xf numFmtId="4" fontId="0" fillId="0" borderId="10" xfId="117" applyNumberFormat="1" applyFont="1" applyAlignment="1">
      <alignment horizontal="right" wrapText="1"/>
    </xf>
    <xf numFmtId="166" fontId="0" fillId="0" borderId="10" xfId="117" applyNumberFormat="1" applyFont="1" applyAlignment="1">
      <alignment horizontal="right" wrapText="1"/>
    </xf>
    <xf numFmtId="0" fontId="9" fillId="0" borderId="11" xfId="115" applyFont="1">
      <alignment wrapText="1"/>
    </xf>
    <xf numFmtId="0" fontId="7" fillId="0" borderId="11" xfId="12" applyBorder="1"/>
    <xf numFmtId="0" fontId="57" fillId="3" borderId="24" xfId="0" applyFont="1" applyFill="1" applyBorder="1" applyAlignment="1">
      <alignment horizontal="left"/>
    </xf>
    <xf numFmtId="0" fontId="57" fillId="3" borderId="25" xfId="0" applyFont="1" applyFill="1" applyBorder="1" applyAlignment="1">
      <alignment horizontal="left"/>
    </xf>
    <xf numFmtId="0" fontId="57" fillId="3" borderId="26" xfId="0" applyFont="1" applyFill="1" applyBorder="1" applyAlignment="1">
      <alignment horizontal="left"/>
    </xf>
    <xf numFmtId="0" fontId="57" fillId="3" borderId="27" xfId="0" applyFont="1" applyFill="1" applyBorder="1" applyAlignment="1">
      <alignment horizontal="left"/>
    </xf>
    <xf numFmtId="0" fontId="57" fillId="3" borderId="28" xfId="0" applyFont="1" applyFill="1" applyBorder="1" applyAlignment="1">
      <alignment horizontal="left"/>
    </xf>
    <xf numFmtId="0" fontId="57" fillId="3" borderId="29" xfId="0" applyFont="1" applyFill="1" applyBorder="1" applyAlignment="1">
      <alignment horizontal="left"/>
    </xf>
    <xf numFmtId="0" fontId="57" fillId="3" borderId="30" xfId="0" applyFont="1" applyFill="1" applyBorder="1" applyAlignment="1">
      <alignment horizontal="left"/>
    </xf>
    <xf numFmtId="0" fontId="57" fillId="3" borderId="0" xfId="0" applyFont="1" applyFill="1" applyBorder="1" applyAlignment="1">
      <alignment horizontal="left"/>
    </xf>
    <xf numFmtId="0" fontId="57" fillId="3" borderId="31" xfId="0" applyFont="1" applyFill="1" applyBorder="1" applyAlignment="1">
      <alignment horizontal="left"/>
    </xf>
    <xf numFmtId="0" fontId="57" fillId="3" borderId="32" xfId="0" applyFont="1" applyFill="1" applyBorder="1" applyAlignment="1">
      <alignment horizontal="left"/>
    </xf>
    <xf numFmtId="0" fontId="57" fillId="3" borderId="33" xfId="0" applyFont="1" applyFill="1" applyBorder="1" applyAlignment="1">
      <alignment horizontal="left"/>
    </xf>
    <xf numFmtId="0" fontId="57" fillId="3" borderId="34" xfId="0" applyFont="1" applyFill="1" applyBorder="1" applyAlignment="1">
      <alignment horizontal="left"/>
    </xf>
    <xf numFmtId="0" fontId="0" fillId="3" borderId="27" xfId="0" applyFill="1" applyBorder="1" applyAlignment="1">
      <alignment horizontal="left"/>
    </xf>
    <xf numFmtId="0" fontId="0" fillId="3" borderId="29" xfId="0" applyFill="1" applyBorder="1" applyAlignment="1">
      <alignment horizontal="left"/>
    </xf>
    <xf numFmtId="0" fontId="0" fillId="3" borderId="30" xfId="0" applyFill="1" applyBorder="1" applyAlignment="1">
      <alignment horizontal="left"/>
    </xf>
    <xf numFmtId="0" fontId="0" fillId="3" borderId="31" xfId="0" applyFill="1" applyBorder="1" applyAlignment="1">
      <alignment horizontal="left"/>
    </xf>
    <xf numFmtId="0" fontId="57" fillId="3" borderId="35" xfId="0" applyFont="1" applyFill="1" applyBorder="1" applyAlignment="1">
      <alignment horizontal="left"/>
    </xf>
    <xf numFmtId="0" fontId="57" fillId="3" borderId="36" xfId="0" applyFont="1" applyFill="1" applyBorder="1" applyAlignment="1">
      <alignment horizontal="left"/>
    </xf>
    <xf numFmtId="0" fontId="57" fillId="3" borderId="37" xfId="0" applyFont="1" applyFill="1" applyBorder="1" applyAlignment="1">
      <alignment horizontal="left"/>
    </xf>
    <xf numFmtId="0" fontId="66" fillId="0" borderId="0" xfId="133" applyFont="1" applyAlignment="1">
      <alignment horizontal="center"/>
    </xf>
    <xf numFmtId="0" fontId="65" fillId="0" borderId="0" xfId="133"/>
    <xf numFmtId="0" fontId="67" fillId="0" borderId="0" xfId="133" applyFont="1" applyAlignment="1">
      <alignment horizontal="center"/>
    </xf>
  </cellXfs>
  <cellStyles count="135">
    <cellStyle name="20% - Accent1" xfId="58" builtinId="30" customBuiltin="1"/>
    <cellStyle name="20% - Accent1 2" xfId="29" xr:uid="{00000000-0005-0000-0000-00001D000000}"/>
    <cellStyle name="20% - Accent1 2 2" xfId="103" xr:uid="{19BB75AC-880B-4418-A8DA-9A25036FB7A8}"/>
    <cellStyle name="20% - Accent2" xfId="61" builtinId="34" customBuiltin="1"/>
    <cellStyle name="20% - Accent2 2" xfId="31" xr:uid="{00000000-0005-0000-0000-00001F000000}"/>
    <cellStyle name="20% - Accent2 2 2" xfId="105" xr:uid="{66F9D3D3-E7CF-4D82-9E88-30AEF0A24128}"/>
    <cellStyle name="20% - Accent3" xfId="64" builtinId="38" customBuiltin="1"/>
    <cellStyle name="20% - Accent3 2" xfId="33" xr:uid="{00000000-0005-0000-0000-000021000000}"/>
    <cellStyle name="20% - Accent3 2 2" xfId="107" xr:uid="{5C158FC3-3E2B-4DF1-BC07-D154AF38CE1A}"/>
    <cellStyle name="20% - Accent4" xfId="67" builtinId="42" customBuiltin="1"/>
    <cellStyle name="20% - Accent4 2" xfId="35" xr:uid="{00000000-0005-0000-0000-000023000000}"/>
    <cellStyle name="20% - Accent4 2 2" xfId="109" xr:uid="{BD964674-82AA-41B9-9DA9-39DD1D5AB2FC}"/>
    <cellStyle name="20% - Accent5" xfId="70" builtinId="46" customBuiltin="1"/>
    <cellStyle name="20% - Accent5 2" xfId="37" xr:uid="{00000000-0005-0000-0000-000025000000}"/>
    <cellStyle name="20% - Accent5 2 2" xfId="111" xr:uid="{E5E54AA2-BD4E-4996-8E51-36FFEF09CEC7}"/>
    <cellStyle name="20% - Accent6" xfId="73" builtinId="50" customBuiltin="1"/>
    <cellStyle name="20% - Accent6 2" xfId="39" xr:uid="{00000000-0005-0000-0000-000027000000}"/>
    <cellStyle name="20% - Accent6 2 2" xfId="113" xr:uid="{9DF71CBE-03FF-4197-A582-DA70521E2E41}"/>
    <cellStyle name="40% - Accent1" xfId="59" builtinId="31" customBuiltin="1"/>
    <cellStyle name="40% - Accent1 2" xfId="30" xr:uid="{00000000-0005-0000-0000-00001E000000}"/>
    <cellStyle name="40% - Accent1 2 2" xfId="104" xr:uid="{CFEE8BF8-51E0-4EF2-9E08-AE1C3A2A20E0}"/>
    <cellStyle name="40% - Accent2" xfId="62" builtinId="35" customBuiltin="1"/>
    <cellStyle name="40% - Accent2 2" xfId="32" xr:uid="{00000000-0005-0000-0000-000020000000}"/>
    <cellStyle name="40% - Accent2 2 2" xfId="106" xr:uid="{B15E3BC9-4572-4174-8739-CE3DC8B4A07F}"/>
    <cellStyle name="40% - Accent3" xfId="65" builtinId="39" customBuiltin="1"/>
    <cellStyle name="40% - Accent3 2" xfId="34" xr:uid="{00000000-0005-0000-0000-000022000000}"/>
    <cellStyle name="40% - Accent3 2 2" xfId="108" xr:uid="{AFFEFEED-02FD-487E-B47E-3558D24A38B9}"/>
    <cellStyle name="40% - Accent4" xfId="68" builtinId="43" customBuiltin="1"/>
    <cellStyle name="40% - Accent4 2" xfId="36" xr:uid="{00000000-0005-0000-0000-000024000000}"/>
    <cellStyle name="40% - Accent4 2 2" xfId="110" xr:uid="{3FD61557-9E9A-4FE2-A07A-07F077C6246B}"/>
    <cellStyle name="40% - Accent5" xfId="71" builtinId="47" customBuiltin="1"/>
    <cellStyle name="40% - Accent5 2" xfId="38" xr:uid="{00000000-0005-0000-0000-000026000000}"/>
    <cellStyle name="40% - Accent5 2 2" xfId="112" xr:uid="{F1F7A1ED-200B-42C5-95D7-3F0851984322}"/>
    <cellStyle name="40% - Accent6" xfId="74" builtinId="51" customBuiltin="1"/>
    <cellStyle name="40% - Accent6 2" xfId="40" xr:uid="{00000000-0005-0000-0000-000028000000}"/>
    <cellStyle name="40% - Accent6 2 2" xfId="114" xr:uid="{BB7D9F42-BA95-4842-B147-1BEBB97AE019}"/>
    <cellStyle name="60% - Accent1 2" xfId="22" xr:uid="{00000000-0005-0000-0000-000016000000}"/>
    <cellStyle name="60% - Accent1 2 2" xfId="96" xr:uid="{31252A06-0F3E-400A-BA72-913FAD8C49FB}"/>
    <cellStyle name="60% - Accent2 2" xfId="23" xr:uid="{00000000-0005-0000-0000-000017000000}"/>
    <cellStyle name="60% - Accent2 2 2" xfId="97" xr:uid="{75A436DE-5C54-419D-B795-3141CF31A36C}"/>
    <cellStyle name="60% - Accent3 2" xfId="24" xr:uid="{00000000-0005-0000-0000-000018000000}"/>
    <cellStyle name="60% - Accent3 2 2" xfId="98" xr:uid="{8C15A1F2-521D-4D40-A327-6E35BE048FE6}"/>
    <cellStyle name="60% - Accent4 2" xfId="25" xr:uid="{00000000-0005-0000-0000-000019000000}"/>
    <cellStyle name="60% - Accent4 2 2" xfId="99" xr:uid="{71312927-167D-449A-8B31-F82A38E86C3E}"/>
    <cellStyle name="60% - Accent5 2" xfId="26" xr:uid="{00000000-0005-0000-0000-00001A000000}"/>
    <cellStyle name="60% - Accent5 2 2" xfId="100" xr:uid="{ACA760C8-CF37-4337-8A77-F4230CB4831D}"/>
    <cellStyle name="60% - Accent6 2" xfId="27" xr:uid="{00000000-0005-0000-0000-00001B000000}"/>
    <cellStyle name="60% - Accent6 2 2" xfId="101" xr:uid="{3781AE19-CE92-40F6-BAC6-1CBC08D8E22A}"/>
    <cellStyle name="Accent1" xfId="57" builtinId="29" customBuiltin="1"/>
    <cellStyle name="Accent2" xfId="60" builtinId="33" customBuiltin="1"/>
    <cellStyle name="Accent3" xfId="63" builtinId="37" customBuiltin="1"/>
    <cellStyle name="Accent4" xfId="66" builtinId="41" customBuiltin="1"/>
    <cellStyle name="Accent5" xfId="69" builtinId="45" customBuiltin="1"/>
    <cellStyle name="Accent6" xfId="72" builtinId="49" customBuiltin="1"/>
    <cellStyle name="Bad" xfId="47" builtinId="27" customBuiltin="1"/>
    <cellStyle name="Body: normal cell" xfId="2" xr:uid="{00000000-0005-0000-0000-000002000000}"/>
    <cellStyle name="Body: normal cell 2" xfId="14" xr:uid="{00000000-0005-0000-0000-00000E000000}"/>
    <cellStyle name="Body: normal cell 2 2" xfId="88" xr:uid="{A16236DE-3F73-489A-8CD2-EA28DEF7B7B8}"/>
    <cellStyle name="Body: normal cell 3" xfId="117" xr:uid="{6660F279-9639-4FA4-8FA9-4656C5DAD4C2}"/>
    <cellStyle name="Body: normal cell 4" xfId="76" xr:uid="{BC1067C4-C67E-4D94-8827-3C002187F6C5}"/>
    <cellStyle name="Calculation" xfId="50" builtinId="22" customBuiltin="1"/>
    <cellStyle name="Check Cell" xfId="52" builtinId="23" customBuiltin="1"/>
    <cellStyle name="Comma" xfId="20" builtinId="3"/>
    <cellStyle name="Comma 2" xfId="94" xr:uid="{FBDA5392-B0A6-42F4-961C-32593C33C026}"/>
    <cellStyle name="Comma 3" xfId="130" xr:uid="{1CA638A4-743E-4CEC-93AE-1E7F0C4FD4EE}"/>
    <cellStyle name="Currency" xfId="19" builtinId="4"/>
    <cellStyle name="Currency 2" xfId="93" xr:uid="{641B779F-FEB3-4815-AACF-D906196CD5F5}"/>
    <cellStyle name="Explanatory Text" xfId="55" builtinId="53" customBuiltin="1"/>
    <cellStyle name="Followed Hyperlink 2" xfId="84" xr:uid="{43D07CF6-0712-4932-A49C-2422C71C47FD}"/>
    <cellStyle name="Font: Calibri, 9pt regular" xfId="8" xr:uid="{00000000-0005-0000-0000-000008000000}"/>
    <cellStyle name="Font: Calibri, 9pt regular 2" xfId="17" xr:uid="{00000000-0005-0000-0000-000011000000}"/>
    <cellStyle name="Font: Calibri, 9pt regular 2 2" xfId="91" xr:uid="{32B888C0-5964-4770-B0DE-107369A91D63}"/>
    <cellStyle name="Font: Calibri, 9pt regular 3" xfId="119" xr:uid="{4DD9C278-D247-42B5-8DB9-8AF7E1A29821}"/>
    <cellStyle name="Font: Calibri, 9pt regular 4" xfId="82" xr:uid="{076E854B-80CB-46DE-BE3F-084627C5C8DE}"/>
    <cellStyle name="Footnotes: all except top row" xfId="10" xr:uid="{00000000-0005-0000-0000-00000A000000}"/>
    <cellStyle name="Footnotes: all except top row 2" xfId="85" xr:uid="{46EB5A1F-16D1-47B0-B186-6A07FECA67ED}"/>
    <cellStyle name="Footnotes: top row" xfId="6" xr:uid="{00000000-0005-0000-0000-000006000000}"/>
    <cellStyle name="Footnotes: top row 2" xfId="13" xr:uid="{00000000-0005-0000-0000-00000D000000}"/>
    <cellStyle name="Footnotes: top row 2 2" xfId="87" xr:uid="{0EDEFB54-FCB9-435E-A7EA-C24C441E55DD}"/>
    <cellStyle name="Footnotes: top row 3" xfId="115" xr:uid="{5474FF5A-360B-4CA0-A195-EF7CFF096CCF}"/>
    <cellStyle name="Footnotes: top row 4" xfId="80" xr:uid="{E59B1599-D1F9-412F-89F1-C1415FD48E73}"/>
    <cellStyle name="Good" xfId="46" builtinId="26" customBuiltin="1"/>
    <cellStyle name="Header: bottom row" xfId="1" xr:uid="{00000000-0005-0000-0000-000001000000}"/>
    <cellStyle name="Header: bottom row 2" xfId="16" xr:uid="{00000000-0005-0000-0000-000010000000}"/>
    <cellStyle name="Header: bottom row 2 2" xfId="90" xr:uid="{899A4094-D3A2-41D8-9D66-A0F9E74EB632}"/>
    <cellStyle name="Header: bottom row 3" xfId="118" xr:uid="{2037E6A5-AC74-413A-9E58-0F5134EAF329}"/>
    <cellStyle name="Header: bottom row 4" xfId="75" xr:uid="{1AE0D62D-2B9A-4573-B9F8-D38DB513D684}"/>
    <cellStyle name="Header: top rows" xfId="3" xr:uid="{00000000-0005-0000-0000-000003000000}"/>
    <cellStyle name="Header: top rows 2" xfId="77" xr:uid="{75A24FE8-2BD4-4794-BE84-67D22A66379D}"/>
    <cellStyle name="Heading 1" xfId="42" builtinId="16" customBuiltin="1"/>
    <cellStyle name="Heading 2" xfId="43" builtinId="17" customBuiltin="1"/>
    <cellStyle name="Heading 3" xfId="44" builtinId="18" customBuiltin="1"/>
    <cellStyle name="Heading 3 2" xfId="128" xr:uid="{082E2A5A-CAA2-467D-941F-442E45F046C2}"/>
    <cellStyle name="Heading 4" xfId="45" builtinId="19" customBuiltin="1"/>
    <cellStyle name="Hyperlink" xfId="9" builtinId="8"/>
    <cellStyle name="Hyperlink 2" xfId="83" xr:uid="{44162B48-EDF0-42C8-B40A-53D7ED20DE6B}"/>
    <cellStyle name="Hyperlink 3" xfId="122" xr:uid="{B4A21DC6-86AC-4313-9745-8BDA770F8C9E}"/>
    <cellStyle name="Hyperlink 4" xfId="124" xr:uid="{D1C986E2-29FF-4AE5-B4EF-BFD278F4B25C}"/>
    <cellStyle name="Input" xfId="48" builtinId="20" customBuiltin="1"/>
    <cellStyle name="Linked Cell" xfId="51" builtinId="24" customBuiltin="1"/>
    <cellStyle name="Neutral 2" xfId="21" xr:uid="{00000000-0005-0000-0000-000015000000}"/>
    <cellStyle name="Neutral 2 2" xfId="95" xr:uid="{EF13952D-B85B-409D-BAA0-EA215122EE9B}"/>
    <cellStyle name="Normal" xfId="0" builtinId="0"/>
    <cellStyle name="Normal 2" xfId="12" xr:uid="{00000000-0005-0000-0000-00000C000000}"/>
    <cellStyle name="Normal 2 2" xfId="127" xr:uid="{13481D6A-ECEE-4EAB-B826-85620B3851BC}"/>
    <cellStyle name="Normal 3" xfId="123" xr:uid="{D3876EAA-4EFA-43D9-B6BA-20DA3C44CE5F}"/>
    <cellStyle name="Normal 4" xfId="125" xr:uid="{CF9CB7DC-AF62-41D3-B0B3-28CDBB1AEFCC}"/>
    <cellStyle name="Normal 4 2" xfId="131" xr:uid="{EC617C7C-D3E0-4F2A-B305-4A318A0FC383}"/>
    <cellStyle name="Normal 5" xfId="126" xr:uid="{F9D25251-4F3C-416C-9354-7BE38B9D9C7B}"/>
    <cellStyle name="Normal 6" xfId="129" xr:uid="{906F3A11-5F2D-43B5-9AC7-F4F1A8A69C07}"/>
    <cellStyle name="Normal 7" xfId="133" xr:uid="{166619C7-803C-4CFE-B69F-AC080186801E}"/>
    <cellStyle name="Note" xfId="54" builtinId="10" customBuiltin="1"/>
    <cellStyle name="Note 2" xfId="28" xr:uid="{00000000-0005-0000-0000-00001C000000}"/>
    <cellStyle name="Note 2 2" xfId="102" xr:uid="{4002746A-FE3A-4BF4-9B95-921CF5360B14}"/>
    <cellStyle name="Output" xfId="49" builtinId="21" customBuiltin="1"/>
    <cellStyle name="Parent row" xfId="5" xr:uid="{00000000-0005-0000-0000-000005000000}"/>
    <cellStyle name="Parent row 2" xfId="15" xr:uid="{00000000-0005-0000-0000-00000F000000}"/>
    <cellStyle name="Parent row 2 2" xfId="89" xr:uid="{53736739-1523-47BF-8DC6-524D26724E95}"/>
    <cellStyle name="Parent row 3" xfId="116" xr:uid="{BEF83079-E194-4DC9-BD2F-05BE8F85E3FB}"/>
    <cellStyle name="Parent row 4" xfId="79" xr:uid="{3CC1B68A-D4A3-432B-98C3-FFE26A268EDE}"/>
    <cellStyle name="Percent" xfId="121" builtinId="5"/>
    <cellStyle name="Percent 2" xfId="132" xr:uid="{C1523A0B-9D6B-46ED-AEA6-E39722FFFA35}"/>
    <cellStyle name="Percent 3" xfId="134" xr:uid="{42279735-52CD-4B1E-BC02-4787033F5487}"/>
    <cellStyle name="Section Break" xfId="7" xr:uid="{00000000-0005-0000-0000-000007000000}"/>
    <cellStyle name="Section Break 2" xfId="81" xr:uid="{753603CB-4B9F-44B9-8098-C17FB3AD921A}"/>
    <cellStyle name="Section Break: parent row" xfId="4" xr:uid="{00000000-0005-0000-0000-000004000000}"/>
    <cellStyle name="Section Break: parent row 2" xfId="78" xr:uid="{9F3E7941-238D-4DEC-B7C1-8CEC74A8EC7A}"/>
    <cellStyle name="Table title" xfId="11" xr:uid="{00000000-0005-0000-0000-00000B000000}"/>
    <cellStyle name="Table title 2" xfId="18" xr:uid="{00000000-0005-0000-0000-000012000000}"/>
    <cellStyle name="Table title 2 2" xfId="92" xr:uid="{4CB82D78-1984-4743-AED4-58524582E82D}"/>
    <cellStyle name="Table title 3" xfId="120" xr:uid="{660B0362-F3F7-4F64-A38A-B0994B7EBD94}"/>
    <cellStyle name="Table title 4" xfId="86" xr:uid="{511AB42B-4612-420F-98AE-10227293DD78}"/>
    <cellStyle name="Title" xfId="41" builtinId="15" customBuiltin="1"/>
    <cellStyle name="Total" xfId="56" builtinId="25" customBuiltin="1"/>
    <cellStyle name="Warning Text" xfId="53" builtinId="11" customBuiltin="1"/>
  </cellStyles>
  <dxfs count="1">
    <dxf>
      <border>
        <left/>
        <right/>
        <top/>
        <bottom style="thick">
          <color theme="4"/>
        </bottom>
        <vertical/>
        <horizontal/>
      </border>
    </dxf>
  </dxfs>
  <tableStyles count="1" defaultTableStyle="TableStyleMedium9" defaultPivotStyle="PivotStyleLight16">
    <tableStyle name="Table Style 1" pivot="0" count="1" xr9:uid="{00000000-0011-0000-FFFF-FFFF00000000}">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externalLink" Target="externalLinks/externalLink2.xml"/><Relationship Id="rId89" Type="http://schemas.openxmlformats.org/officeDocument/2006/relationships/theme" Target="theme/theme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styles" Target="styles.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externalLink" Target="externalLinks/externalLink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externalLink" Target="externalLinks/externalLink1.xml"/><Relationship Id="rId88" Type="http://schemas.openxmlformats.org/officeDocument/2006/relationships/externalLink" Target="externalLinks/externalLink6.xml"/><Relationship Id="rId9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externalLink" Target="externalLinks/externalLink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38713325767414"/>
          <c:y val="0.14367069022208015"/>
          <c:w val="0.3837630749339952"/>
          <c:h val="0.68856299198309023"/>
        </c:manualLayout>
      </c:layout>
      <c:barChart>
        <c:barDir val="col"/>
        <c:grouping val="stacked"/>
        <c:varyColors val="0"/>
        <c:ser>
          <c:idx val="4"/>
          <c:order val="0"/>
          <c:invertIfNegative val="0"/>
          <c:val>
            <c:numRef>
              <c:f>'LCFS dashboard Fig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'LCFS dashboard Fig 2'!#REF!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'LCFS dashboard Fig 2'!#REF!</c15:sqref>
                        </c15:formulaRef>
                      </c:ext>
                    </c:extLst>
                  </c:multiLvlStrRef>
                </c15:cat>
              </c15:filteredCategoryTitle>
            </c:ext>
            <c:ext xmlns:c16="http://schemas.microsoft.com/office/drawing/2014/chart" uri="{C3380CC4-5D6E-409C-BE32-E72D297353CC}">
              <c16:uniqueId val="{00000000-1AC8-4148-88BA-DC22733A445A}"/>
            </c:ext>
          </c:extLst>
        </c:ser>
        <c:ser>
          <c:idx val="0"/>
          <c:order val="1"/>
          <c:invertIfNegative val="0"/>
          <c:val>
            <c:numRef>
              <c:f>'LCFS dashboard Fig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'LCFS dashboard Fig 2'!#REF!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'LCFS dashboard Fig 2'!#REF!</c15:sqref>
                        </c15:formulaRef>
                      </c:ext>
                    </c:extLst>
                  </c:multiLvlStrRef>
                </c15:cat>
              </c15:filteredCategoryTitle>
            </c:ext>
            <c:ext xmlns:c16="http://schemas.microsoft.com/office/drawing/2014/chart" uri="{C3380CC4-5D6E-409C-BE32-E72D297353CC}">
              <c16:uniqueId val="{00000001-1AC8-4148-88BA-DC22733A445A}"/>
            </c:ext>
          </c:extLst>
        </c:ser>
        <c:ser>
          <c:idx val="5"/>
          <c:order val="2"/>
          <c:invertIfNegative val="0"/>
          <c:val>
            <c:numRef>
              <c:f>'LCFS dashboard Fig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'LCFS dashboard Fig 2'!#REF!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'LCFS dashboard Fig 2'!#REF!</c15:sqref>
                        </c15:formulaRef>
                      </c:ext>
                    </c:extLst>
                  </c:multiLvlStrRef>
                </c15:cat>
              </c15:filteredCategoryTitle>
            </c:ext>
            <c:ext xmlns:c16="http://schemas.microsoft.com/office/drawing/2014/chart" uri="{C3380CC4-5D6E-409C-BE32-E72D297353CC}">
              <c16:uniqueId val="{00000002-1AC8-4148-88BA-DC22733A445A}"/>
            </c:ext>
          </c:extLst>
        </c:ser>
        <c:ser>
          <c:idx val="2"/>
          <c:order val="3"/>
          <c:invertIfNegative val="0"/>
          <c:val>
            <c:numRef>
              <c:f>'LCFS dashboard Fig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'LCFS dashboard Fig 2'!#REF!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'LCFS dashboard Fig 2'!#REF!</c15:sqref>
                        </c15:formulaRef>
                      </c:ext>
                    </c:extLst>
                  </c:multiLvlStrRef>
                </c15:cat>
              </c15:filteredCategoryTitle>
            </c:ext>
            <c:ext xmlns:c16="http://schemas.microsoft.com/office/drawing/2014/chart" uri="{C3380CC4-5D6E-409C-BE32-E72D297353CC}">
              <c16:uniqueId val="{00000003-1AC8-4148-88BA-DC22733A445A}"/>
            </c:ext>
          </c:extLst>
        </c:ser>
        <c:ser>
          <c:idx val="1"/>
          <c:order val="4"/>
          <c:invertIfNegative val="0"/>
          <c:val>
            <c:numRef>
              <c:f>'LCFS dashboard Fig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'LCFS dashboard Fig 2'!#REF!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'LCFS dashboard Fig 2'!#REF!</c15:sqref>
                        </c15:formulaRef>
                      </c:ext>
                    </c:extLst>
                  </c:multiLvlStrRef>
                </c15:cat>
              </c15:filteredCategoryTitle>
            </c:ext>
            <c:ext xmlns:c16="http://schemas.microsoft.com/office/drawing/2014/chart" uri="{C3380CC4-5D6E-409C-BE32-E72D297353CC}">
              <c16:uniqueId val="{00000004-1AC8-4148-88BA-DC22733A445A}"/>
            </c:ext>
          </c:extLst>
        </c:ser>
        <c:ser>
          <c:idx val="3"/>
          <c:order val="5"/>
          <c:invertIfNegative val="0"/>
          <c:val>
            <c:numRef>
              <c:f>'LCFS dashboard Fig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'LCFS dashboard Fig 2'!#REF!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'LCFS dashboard Fig 2'!#REF!</c15:sqref>
                        </c15:formulaRef>
                      </c:ext>
                    </c:extLst>
                  </c:multiLvlStrRef>
                </c15:cat>
              </c15:filteredCategoryTitle>
            </c:ext>
            <c:ext xmlns:c16="http://schemas.microsoft.com/office/drawing/2014/chart" uri="{C3380CC4-5D6E-409C-BE32-E72D297353CC}">
              <c16:uniqueId val="{00000005-1AC8-4148-88BA-DC22733A445A}"/>
            </c:ext>
          </c:extLst>
        </c:ser>
        <c:dLbls>
          <c:showLegendKey val="0"/>
          <c:showVal val="0"/>
          <c:showCatName val="0"/>
          <c:showSerName val="0"/>
          <c:showPercent val="0"/>
          <c:showBubbleSize val="0"/>
        </c:dLbls>
        <c:gapWidth val="75"/>
        <c:overlap val="100"/>
        <c:axId val="176571520"/>
        <c:axId val="176573824"/>
      </c:barChart>
      <c:catAx>
        <c:axId val="176571520"/>
        <c:scaling>
          <c:orientation val="minMax"/>
        </c:scaling>
        <c:delete val="0"/>
        <c:axPos val="b"/>
        <c:numFmt formatCode="General" sourceLinked="1"/>
        <c:majorTickMark val="none"/>
        <c:minorTickMark val="none"/>
        <c:tickLblPos val="nextTo"/>
        <c:crossAx val="176573824"/>
        <c:crosses val="autoZero"/>
        <c:auto val="1"/>
        <c:lblAlgn val="ctr"/>
        <c:lblOffset val="100"/>
        <c:noMultiLvlLbl val="0"/>
      </c:catAx>
      <c:valAx>
        <c:axId val="176573824"/>
        <c:scaling>
          <c:orientation val="minMax"/>
        </c:scaling>
        <c:delete val="0"/>
        <c:axPos val="l"/>
        <c:majorGridlines/>
        <c:title>
          <c:tx>
            <c:rich>
              <a:bodyPr rot="-5400000" vert="horz"/>
              <a:lstStyle/>
              <a:p>
                <a:pPr>
                  <a:defRPr/>
                </a:pPr>
                <a:r>
                  <a:rPr lang="en-US"/>
                  <a:t>Fuel Volume (Millon</a:t>
                </a:r>
                <a:r>
                  <a:rPr lang="en-US" baseline="0"/>
                  <a:t> GGE)</a:t>
                </a:r>
                <a:endParaRPr lang="en-US"/>
              </a:p>
            </c:rich>
          </c:tx>
          <c:layout>
            <c:manualLayout>
              <c:xMode val="edge"/>
              <c:yMode val="edge"/>
              <c:x val="3.3772078314647902E-2"/>
              <c:y val="0.29324160399265242"/>
            </c:manualLayout>
          </c:layout>
          <c:overlay val="0"/>
        </c:title>
        <c:numFmt formatCode="#,##0" sourceLinked="0"/>
        <c:majorTickMark val="out"/>
        <c:minorTickMark val="none"/>
        <c:tickLblPos val="nextTo"/>
        <c:crossAx val="176571520"/>
        <c:crosses val="autoZero"/>
        <c:crossBetween val="between"/>
      </c:valAx>
      <c:spPr>
        <a:ln>
          <a:noFill/>
        </a:ln>
      </c:spPr>
    </c:plotArea>
    <c:legend>
      <c:legendPos val="b"/>
      <c:layout>
        <c:manualLayout>
          <c:xMode val="edge"/>
          <c:yMode val="edge"/>
          <c:x val="2.1183351020771572E-2"/>
          <c:y val="0.89134833464247243"/>
          <c:w val="0.96900562143287683"/>
          <c:h val="9.6174317393275685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456189909702146"/>
          <c:y val="6.4026032161426952E-2"/>
          <c:w val="0.78660911328196925"/>
          <c:h val="0.84524706281245376"/>
        </c:manualLayout>
      </c:layout>
      <c:barChart>
        <c:barDir val="col"/>
        <c:grouping val="stacked"/>
        <c:varyColors val="0"/>
        <c:ser>
          <c:idx val="4"/>
          <c:order val="0"/>
          <c:invertIfNegative val="0"/>
          <c:val>
            <c:numRef>
              <c:f>'LCFS dashboard Fig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'LCFS dashboard Fig 2'!#REF!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'LCFS dashboard Fig 2'!#REF!</c15:sqref>
                        </c15:formulaRef>
                      </c:ext>
                    </c:extLst>
                  </c:multiLvlStrRef>
                </c15:cat>
              </c15:filteredCategoryTitle>
            </c:ext>
            <c:ext xmlns:c16="http://schemas.microsoft.com/office/drawing/2014/chart" uri="{C3380CC4-5D6E-409C-BE32-E72D297353CC}">
              <c16:uniqueId val="{00000000-8D09-466C-AD03-1E64234096A3}"/>
            </c:ext>
          </c:extLst>
        </c:ser>
        <c:ser>
          <c:idx val="0"/>
          <c:order val="1"/>
          <c:invertIfNegative val="0"/>
          <c:val>
            <c:numRef>
              <c:f>'LCFS dashboard Fig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'LCFS dashboard Fig 2'!#REF!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'LCFS dashboard Fig 2'!#REF!</c15:sqref>
                        </c15:formulaRef>
                      </c:ext>
                    </c:extLst>
                  </c:multiLvlStrRef>
                </c15:cat>
              </c15:filteredCategoryTitle>
            </c:ext>
            <c:ext xmlns:c16="http://schemas.microsoft.com/office/drawing/2014/chart" uri="{C3380CC4-5D6E-409C-BE32-E72D297353CC}">
              <c16:uniqueId val="{00000001-8D09-466C-AD03-1E64234096A3}"/>
            </c:ext>
          </c:extLst>
        </c:ser>
        <c:ser>
          <c:idx val="5"/>
          <c:order val="2"/>
          <c:invertIfNegative val="0"/>
          <c:val>
            <c:numRef>
              <c:f>'LCFS dashboard Fig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'LCFS dashboard Fig 2'!#REF!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'LCFS dashboard Fig 2'!#REF!</c15:sqref>
                        </c15:formulaRef>
                      </c:ext>
                    </c:extLst>
                  </c:multiLvlStrRef>
                </c15:cat>
              </c15:filteredCategoryTitle>
            </c:ext>
            <c:ext xmlns:c16="http://schemas.microsoft.com/office/drawing/2014/chart" uri="{C3380CC4-5D6E-409C-BE32-E72D297353CC}">
              <c16:uniqueId val="{00000002-8D09-466C-AD03-1E64234096A3}"/>
            </c:ext>
          </c:extLst>
        </c:ser>
        <c:ser>
          <c:idx val="2"/>
          <c:order val="3"/>
          <c:invertIfNegative val="0"/>
          <c:val>
            <c:numRef>
              <c:f>'LCFS dashboard Fig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'LCFS dashboard Fig 2'!#REF!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'LCFS dashboard Fig 2'!#REF!</c15:sqref>
                        </c15:formulaRef>
                      </c:ext>
                    </c:extLst>
                  </c:multiLvlStrRef>
                </c15:cat>
              </c15:filteredCategoryTitle>
            </c:ext>
            <c:ext xmlns:c16="http://schemas.microsoft.com/office/drawing/2014/chart" uri="{C3380CC4-5D6E-409C-BE32-E72D297353CC}">
              <c16:uniqueId val="{00000003-8D09-466C-AD03-1E64234096A3}"/>
            </c:ext>
          </c:extLst>
        </c:ser>
        <c:ser>
          <c:idx val="1"/>
          <c:order val="4"/>
          <c:invertIfNegative val="0"/>
          <c:val>
            <c:numRef>
              <c:f>'LCFS dashboard Fig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'LCFS dashboard Fig 2'!#REF!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'LCFS dashboard Fig 2'!#REF!</c15:sqref>
                        </c15:formulaRef>
                      </c:ext>
                    </c:extLst>
                  </c:multiLvlStrRef>
                </c15:cat>
              </c15:filteredCategoryTitle>
            </c:ext>
            <c:ext xmlns:c16="http://schemas.microsoft.com/office/drawing/2014/chart" uri="{C3380CC4-5D6E-409C-BE32-E72D297353CC}">
              <c16:uniqueId val="{00000004-8D09-466C-AD03-1E64234096A3}"/>
            </c:ext>
          </c:extLst>
        </c:ser>
        <c:ser>
          <c:idx val="3"/>
          <c:order val="5"/>
          <c:invertIfNegative val="0"/>
          <c:val>
            <c:numRef>
              <c:f>'LCFS dashboard Fig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'LCFS dashboard Fig 2'!#REF!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'LCFS dashboard Fig 2'!#REF!</c15:sqref>
                        </c15:formulaRef>
                      </c:ext>
                    </c:extLst>
                  </c:multiLvlStrRef>
                </c15:cat>
              </c15:filteredCategoryTitle>
            </c:ext>
            <c:ext xmlns:c16="http://schemas.microsoft.com/office/drawing/2014/chart" uri="{C3380CC4-5D6E-409C-BE32-E72D297353CC}">
              <c16:uniqueId val="{00000005-8D09-466C-AD03-1E64234096A3}"/>
            </c:ext>
          </c:extLst>
        </c:ser>
        <c:dLbls>
          <c:showLegendKey val="0"/>
          <c:showVal val="0"/>
          <c:showCatName val="0"/>
          <c:showSerName val="0"/>
          <c:showPercent val="0"/>
          <c:showBubbleSize val="0"/>
        </c:dLbls>
        <c:gapWidth val="85"/>
        <c:overlap val="100"/>
        <c:axId val="176587136"/>
        <c:axId val="176588672"/>
      </c:barChart>
      <c:catAx>
        <c:axId val="176587136"/>
        <c:scaling>
          <c:orientation val="minMax"/>
        </c:scaling>
        <c:delete val="0"/>
        <c:axPos val="b"/>
        <c:numFmt formatCode="General" sourceLinked="1"/>
        <c:majorTickMark val="none"/>
        <c:minorTickMark val="none"/>
        <c:tickLblPos val="nextTo"/>
        <c:crossAx val="176588672"/>
        <c:crosses val="autoZero"/>
        <c:auto val="1"/>
        <c:lblAlgn val="ctr"/>
        <c:lblOffset val="100"/>
        <c:noMultiLvlLbl val="0"/>
      </c:catAx>
      <c:valAx>
        <c:axId val="176588672"/>
        <c:scaling>
          <c:orientation val="minMax"/>
        </c:scaling>
        <c:delete val="0"/>
        <c:axPos val="l"/>
        <c:majorGridlines/>
        <c:title>
          <c:tx>
            <c:rich>
              <a:bodyPr rot="-5400000" vert="horz"/>
              <a:lstStyle/>
              <a:p>
                <a:pPr>
                  <a:defRPr/>
                </a:pPr>
                <a:r>
                  <a:rPr lang="en-US"/>
                  <a:t>Credits (Million  MT)</a:t>
                </a:r>
              </a:p>
            </c:rich>
          </c:tx>
          <c:layout>
            <c:manualLayout>
              <c:xMode val="edge"/>
              <c:yMode val="edge"/>
              <c:x val="3.3405772108305476E-2"/>
              <c:y val="0.25802222350296034"/>
            </c:manualLayout>
          </c:layout>
          <c:overlay val="0"/>
        </c:title>
        <c:numFmt formatCode="General" sourceLinked="1"/>
        <c:majorTickMark val="out"/>
        <c:minorTickMark val="none"/>
        <c:tickLblPos val="nextTo"/>
        <c:crossAx val="176587136"/>
        <c:crosses val="autoZero"/>
        <c:crossBetween val="between"/>
      </c:valAx>
      <c:spPr>
        <a:ln>
          <a:noFill/>
        </a:ln>
      </c:spPr>
    </c:plotArea>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'AFDC regional alternative fuels'!$A$4</c:f>
              <c:strCache>
                <c:ptCount val="1"/>
                <c:pt idx="0">
                  <c:v>Gasoline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'AFDC regional alternative fuels'!$B$4:$O$4</c:f>
              <c:numCache>
                <c:formatCode>General</c:formatCode>
                <c:ptCount val="14"/>
                <c:pt idx="0">
                  <c:v>3.03</c:v>
                </c:pt>
                <c:pt idx="1">
                  <c:v>3.39</c:v>
                </c:pt>
                <c:pt idx="2">
                  <c:v>3.52</c:v>
                </c:pt>
                <c:pt idx="3">
                  <c:v>3.63</c:v>
                </c:pt>
                <c:pt idx="4">
                  <c:v>3.17</c:v>
                </c:pt>
                <c:pt idx="5">
                  <c:v>3.57</c:v>
                </c:pt>
                <c:pt idx="6" formatCode="_(&quot;$&quot;* #,##0.00_);_(&quot;$&quot;* \(#,##0.00\);_(&quot;$&quot;* &quot;-&quot;??_);_(@_)">
                  <c:v>3.58</c:v>
                </c:pt>
                <c:pt idx="7" formatCode="_(&quot;$&quot;* #,##0.00_);_(&quot;$&quot;* \(#,##0.00\);_(&quot;$&quot;* &quot;-&quot;??_);_(@_)">
                  <c:v>3.93</c:v>
                </c:pt>
                <c:pt idx="8" formatCode="_(&quot;$&quot;* #,##0.00_);_(&quot;$&quot;* \(#,##0.00\);_(&quot;$&quot;* &quot;-&quot;??_);_(@_)">
                  <c:v>3.47</c:v>
                </c:pt>
                <c:pt idx="9" formatCode="_(&quot;$&quot;* #,##0.00_);_(&quot;$&quot;* \(#,##0.00\);_(&quot;$&quot;* &quot;-&quot;??_);_(@_)">
                  <c:v>2.83</c:v>
                </c:pt>
                <c:pt idx="10" formatCode="_(&quot;$&quot;* #,##0.00_);_(&quot;$&quot;* \(#,##0.00\);_(&quot;$&quot;* &quot;-&quot;??_);_(@_)">
                  <c:v>3</c:v>
                </c:pt>
                <c:pt idx="11" formatCode="_(&quot;$&quot;* #,##0.00_);_(&quot;$&quot;* \(#,##0.00\);_(&quot;$&quot;* &quot;-&quot;??_);_(@_)">
                  <c:v>3.1</c:v>
                </c:pt>
                <c:pt idx="12" formatCode="_(&quot;$&quot;* #,##0.00_);_(&quot;$&quot;* \(#,##0.00\);_(&quot;$&quot;* &quot;-&quot;??_);_(@_)">
                  <c:v>3.18</c:v>
                </c:pt>
                <c:pt idx="13" formatCode="_(&quot;$&quot;* #,##0.00_);_(&quot;$&quot;* \(#,##0.00\);_(&quot;$&quot;* &quot;-&quot;??_);_(@_)">
                  <c:v>3.69</c:v>
                </c:pt>
              </c:numCache>
            </c:numRef>
          </c:val>
          <c:smooth val="0"/>
          <c:extLst>
            <c:ext xmlns:c16="http://schemas.microsoft.com/office/drawing/2014/chart" uri="{C3380CC4-5D6E-409C-BE32-E72D297353CC}">
              <c16:uniqueId val="{00000000-C4FD-4B9F-97D5-2EFAC0655F3E}"/>
            </c:ext>
          </c:extLst>
        </c:ser>
        <c:ser>
          <c:idx val="1"/>
          <c:order val="1"/>
          <c:tx>
            <c:strRef>
              <c:f>'AFDC regional alternative fuels'!$A$5</c:f>
              <c:strCache>
                <c:ptCount val="1"/>
                <c:pt idx="0">
                  <c:v>E85 / GGE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'AFDC regional alternative fuels'!$B$5:$O$5</c:f>
              <c:numCache>
                <c:formatCode>General</c:formatCode>
                <c:ptCount val="14"/>
                <c:pt idx="0">
                  <c:v>3.29</c:v>
                </c:pt>
                <c:pt idx="1">
                  <c:v>3.52</c:v>
                </c:pt>
                <c:pt idx="2">
                  <c:v>3.81</c:v>
                </c:pt>
                <c:pt idx="3">
                  <c:v>3.91</c:v>
                </c:pt>
                <c:pt idx="4">
                  <c:v>3.55</c:v>
                </c:pt>
                <c:pt idx="5">
                  <c:v>3.73</c:v>
                </c:pt>
                <c:pt idx="6" formatCode="_(&quot;$&quot;* #,##0.00_);_(&quot;$&quot;* \(#,##0.00\);_(&quot;$&quot;* &quot;-&quot;??_);_(@_)">
                  <c:v>3.82</c:v>
                </c:pt>
                <c:pt idx="7" formatCode="_(&quot;$&quot;* #,##0.00_);_(&quot;$&quot;* \(#,##0.00\);_(&quot;$&quot;* &quot;-&quot;??_);_(@_)">
                  <c:v>4</c:v>
                </c:pt>
                <c:pt idx="8" formatCode="_(&quot;$&quot;* #,##0.00_);_(&quot;$&quot;* \(#,##0.00\);_(&quot;$&quot;* &quot;-&quot;??_);_(@_)">
                  <c:v>3.86</c:v>
                </c:pt>
                <c:pt idx="9" formatCode="_(&quot;$&quot;* #,##0.00_);_(&quot;$&quot;* \(#,##0.00\);_(&quot;$&quot;* &quot;-&quot;??_);_(@_)">
                  <c:v>3</c:v>
                </c:pt>
                <c:pt idx="10" formatCode="_(&quot;$&quot;* #,##0.00_);_(&quot;$&quot;* \(#,##0.00\);_(&quot;$&quot;* &quot;-&quot;??_);_(@_)">
                  <c:v>3.21</c:v>
                </c:pt>
                <c:pt idx="11" formatCode="_(&quot;$&quot;* #,##0.00_);_(&quot;$&quot;* \(#,##0.00\);_(&quot;$&quot;* &quot;-&quot;??_);_(@_)">
                  <c:v>3.26</c:v>
                </c:pt>
                <c:pt idx="12" formatCode="_(&quot;$&quot;* #,##0.00_);_(&quot;$&quot;* \(#,##0.00\);_(&quot;$&quot;* &quot;-&quot;??_);_(@_)">
                  <c:v>3.2</c:v>
                </c:pt>
                <c:pt idx="13" formatCode="_(&quot;$&quot;* #,##0.00_);_(&quot;$&quot;* \(#,##0.00\);_(&quot;$&quot;* &quot;-&quot;??_);_(@_)">
                  <c:v>3.78</c:v>
                </c:pt>
              </c:numCache>
            </c:numRef>
          </c:val>
          <c:smooth val="0"/>
          <c:extLst>
            <c:ext xmlns:c16="http://schemas.microsoft.com/office/drawing/2014/chart" uri="{C3380CC4-5D6E-409C-BE32-E72D297353CC}">
              <c16:uniqueId val="{00000001-C4FD-4B9F-97D5-2EFAC0655F3E}"/>
            </c:ext>
          </c:extLst>
        </c:ser>
        <c:dLbls>
          <c:showLegendKey val="0"/>
          <c:showVal val="0"/>
          <c:showCatName val="0"/>
          <c:showSerName val="0"/>
          <c:showPercent val="0"/>
          <c:showBubbleSize val="0"/>
        </c:dLbls>
        <c:marker val="1"/>
        <c:smooth val="0"/>
        <c:axId val="741344600"/>
        <c:axId val="741344928"/>
      </c:lineChart>
      <c:catAx>
        <c:axId val="7413446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344928"/>
        <c:crosses val="autoZero"/>
        <c:auto val="1"/>
        <c:lblAlgn val="ctr"/>
        <c:lblOffset val="100"/>
        <c:noMultiLvlLbl val="0"/>
      </c:catAx>
      <c:valAx>
        <c:axId val="74134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344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'Heavy+crude oil+'!$B$73:$AF$73</c:f>
              <c:numCache>
                <c:formatCode>General</c:formatCode>
                <c:ptCount val="31"/>
                <c:pt idx="0">
                  <c:v>6.2967023018801612E-6</c:v>
                </c:pt>
                <c:pt idx="1">
                  <c:v>1.0954911333684765E-5</c:v>
                </c:pt>
                <c:pt idx="2">
                  <c:v>1.6248324490121243E-5</c:v>
                </c:pt>
                <c:pt idx="3">
                  <c:v>1.3648724030637848E-5</c:v>
                </c:pt>
                <c:pt idx="4">
                  <c:v>1.2590160694021306E-5</c:v>
                </c:pt>
                <c:pt idx="5">
                  <c:v>1.1531597357404764E-5</c:v>
                </c:pt>
                <c:pt idx="6">
                  <c:v>1.0473034020788221E-5</c:v>
                </c:pt>
                <c:pt idx="7">
                  <c:v>1.0770636873701749E-5</c:v>
                </c:pt>
                <c:pt idx="8">
                  <c:v>1.0988221255423117E-5</c:v>
                </c:pt>
                <c:pt idx="9">
                  <c:v>1.1149731380257743E-5</c:v>
                </c:pt>
                <c:pt idx="10">
                  <c:v>1.1321160489192164E-5</c:v>
                </c:pt>
                <c:pt idx="11">
                  <c:v>1.1558049560398076E-5</c:v>
                </c:pt>
                <c:pt idx="12">
                  <c:v>1.1743823866767147E-5</c:v>
                </c:pt>
                <c:pt idx="13">
                  <c:v>1.1869431002111521E-5</c:v>
                </c:pt>
                <c:pt idx="14">
                  <c:v>1.1933457777836336E-5</c:v>
                </c:pt>
                <c:pt idx="15">
                  <c:v>1.2046846164622295E-5</c:v>
                </c:pt>
                <c:pt idx="16">
                  <c:v>1.2239553094286917E-5</c:v>
                </c:pt>
                <c:pt idx="17">
                  <c:v>1.2380625312367531E-5</c:v>
                </c:pt>
                <c:pt idx="18">
                  <c:v>1.2544275218046265E-5</c:v>
                </c:pt>
                <c:pt idx="19">
                  <c:v>1.2585224357377609E-5</c:v>
                </c:pt>
                <c:pt idx="20">
                  <c:v>1.2824693164367543E-5</c:v>
                </c:pt>
                <c:pt idx="21">
                  <c:v>1.2971184827389779E-5</c:v>
                </c:pt>
                <c:pt idx="22">
                  <c:v>1.3033005162431106E-5</c:v>
                </c:pt>
                <c:pt idx="23">
                  <c:v>1.3259188663432534E-5</c:v>
                </c:pt>
                <c:pt idx="24">
                  <c:v>1.3531454111397597E-5</c:v>
                </c:pt>
                <c:pt idx="25">
                  <c:v>1.3605886488049684E-5</c:v>
                </c:pt>
                <c:pt idx="26">
                  <c:v>1.3803246274503057E-5</c:v>
                </c:pt>
                <c:pt idx="27">
                  <c:v>1.379520043188985E-5</c:v>
                </c:pt>
                <c:pt idx="28">
                  <c:v>1.3814285143904443E-5</c:v>
                </c:pt>
                <c:pt idx="29">
                  <c:v>1.3862846836893021E-5</c:v>
                </c:pt>
                <c:pt idx="30">
                  <c:v>1.3819171310131023E-5</c:v>
                </c:pt>
              </c:numCache>
            </c:numRef>
          </c:val>
          <c:smooth val="0"/>
          <c:extLst>
            <c:ext xmlns:c16="http://schemas.microsoft.com/office/drawing/2014/chart" uri="{C3380CC4-5D6E-409C-BE32-E72D297353CC}">
              <c16:uniqueId val="{00000000-42AA-4DE4-A2AD-352902F96D46}"/>
            </c:ext>
          </c:extLst>
        </c:ser>
        <c:ser>
          <c:idx val="1"/>
          <c:order val="1"/>
          <c:spPr>
            <a:ln w="28575" cap="rnd">
              <a:solidFill>
                <a:schemeClr val="accent2"/>
              </a:solidFill>
              <a:round/>
            </a:ln>
            <a:effectLst/>
          </c:spPr>
          <c:marker>
            <c:symbol val="none"/>
          </c:marker>
          <c:val>
            <c:numRef>
              <c:f>'Heavy+crude oil+'!$B$74:$AF$74</c:f>
              <c:numCache>
                <c:formatCode>General</c:formatCode>
                <c:ptCount val="31"/>
                <c:pt idx="0">
                  <c:v>5.8433793709365679E-7</c:v>
                </c:pt>
                <c:pt idx="1">
                  <c:v>1.0166226673695307E-6</c:v>
                </c:pt>
                <c:pt idx="2">
                  <c:v>1.5078547402424896E-6</c:v>
                </c:pt>
                <c:pt idx="3">
                  <c:v>1.2666101812756976E-6</c:v>
                </c:pt>
                <c:pt idx="4">
                  <c:v>1.1683748373216428E-6</c:v>
                </c:pt>
                <c:pt idx="5">
                  <c:v>1.0701394933675879E-6</c:v>
                </c:pt>
                <c:pt idx="6">
                  <c:v>9.71904149413533E-7</c:v>
                </c:pt>
                <c:pt idx="7">
                  <c:v>9.9952188149096612E-7</c:v>
                </c:pt>
                <c:pt idx="8">
                  <c:v>1.0197138490738853E-6</c:v>
                </c:pt>
                <c:pt idx="9">
                  <c:v>1.0347020903215974E-6</c:v>
                </c:pt>
                <c:pt idx="10">
                  <c:v>1.0506108195373062E-6</c:v>
                </c:pt>
                <c:pt idx="11">
                  <c:v>1.0725942744557909E-6</c:v>
                </c:pt>
                <c:pt idx="12">
                  <c:v>1.0898342470230651E-6</c:v>
                </c:pt>
                <c:pt idx="13">
                  <c:v>1.1014906682468305E-6</c:v>
                </c:pt>
                <c:pt idx="14">
                  <c:v>1.1074323933359509E-6</c:v>
                </c:pt>
                <c:pt idx="15">
                  <c:v>1.1179549070023659E-6</c:v>
                </c:pt>
                <c:pt idx="16">
                  <c:v>1.1358382313752293E-6</c:v>
                </c:pt>
                <c:pt idx="17">
                  <c:v>1.1489298220114647E-6</c:v>
                </c:pt>
                <c:pt idx="18">
                  <c:v>1.1641166362684021E-6</c:v>
                </c:pt>
                <c:pt idx="19">
                  <c:v>1.1679167421739156E-6</c:v>
                </c:pt>
                <c:pt idx="20">
                  <c:v>1.1901395981969789E-6</c:v>
                </c:pt>
                <c:pt idx="21">
                  <c:v>1.2037341167350837E-6</c:v>
                </c:pt>
                <c:pt idx="22">
                  <c:v>1.209471082739923E-6</c:v>
                </c:pt>
                <c:pt idx="23">
                  <c:v>1.2304610540047771E-6</c:v>
                </c:pt>
                <c:pt idx="24">
                  <c:v>1.2557274589542817E-6</c:v>
                </c:pt>
                <c:pt idx="25">
                  <c:v>1.2626348303592901E-6</c:v>
                </c:pt>
                <c:pt idx="26">
                  <c:v>1.280949942770905E-6</c:v>
                </c:pt>
                <c:pt idx="27">
                  <c:v>1.280203283511919E-6</c:v>
                </c:pt>
                <c:pt idx="28">
                  <c:v>1.2819743567998044E-6</c:v>
                </c:pt>
                <c:pt idx="29">
                  <c:v>1.2864809124764566E-6</c:v>
                </c:pt>
                <c:pt idx="30">
                  <c:v>1.2824277961012444E-6</c:v>
                </c:pt>
              </c:numCache>
            </c:numRef>
          </c:val>
          <c:smooth val="0"/>
          <c:extLst>
            <c:ext xmlns:c16="http://schemas.microsoft.com/office/drawing/2014/chart" uri="{C3380CC4-5D6E-409C-BE32-E72D297353CC}">
              <c16:uniqueId val="{00000001-42AA-4DE4-A2AD-352902F96D46}"/>
            </c:ext>
          </c:extLst>
        </c:ser>
        <c:dLbls>
          <c:showLegendKey val="0"/>
          <c:showVal val="0"/>
          <c:showCatName val="0"/>
          <c:showSerName val="0"/>
          <c:showPercent val="0"/>
          <c:showBubbleSize val="0"/>
        </c:dLbls>
        <c:smooth val="0"/>
        <c:axId val="415265272"/>
        <c:axId val="415273144"/>
      </c:lineChart>
      <c:catAx>
        <c:axId val="4152652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273144"/>
        <c:crosses val="autoZero"/>
        <c:auto val="1"/>
        <c:lblAlgn val="ctr"/>
        <c:lblOffset val="100"/>
        <c:noMultiLvlLbl val="0"/>
      </c:catAx>
      <c:valAx>
        <c:axId val="415273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265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Lpgpropbut!$A$18</c:f>
              <c:strCache>
                <c:ptCount val="1"/>
                <c:pt idx="0">
                  <c:v>Transportation Sector</c:v>
                </c:pt>
              </c:strCache>
            </c:strRef>
          </c:tx>
          <c:spPr>
            <a:ln w="28575" cap="rnd">
              <a:solidFill>
                <a:schemeClr val="accent1"/>
              </a:solidFill>
              <a:round/>
            </a:ln>
            <a:effectLst/>
          </c:spPr>
          <c:marker>
            <c:symbol val="none"/>
          </c:marker>
          <c:cat>
            <c:numRef>
              <c:f>Lpgpropbut!$B$16:$AG$16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cat>
          <c:val>
            <c:numRef>
              <c:f>Lpgpropbut!$B$18:$AG$18</c:f>
              <c:numCache>
                <c:formatCode>General</c:formatCode>
                <c:ptCount val="32"/>
                <c:pt idx="0">
                  <c:v>1.5706978725401608E-5</c:v>
                </c:pt>
                <c:pt idx="1">
                  <c:v>1.3378911440837052E-5</c:v>
                </c:pt>
                <c:pt idx="2">
                  <c:v>1.7513900672870978E-5</c:v>
                </c:pt>
                <c:pt idx="3">
                  <c:v>1.8116167189611474E-5</c:v>
                </c:pt>
                <c:pt idx="4">
                  <c:v>1.662677939828687E-5</c:v>
                </c:pt>
                <c:pt idx="5">
                  <c:v>1.6629182948526835E-5</c:v>
                </c:pt>
                <c:pt idx="6">
                  <c:v>1.6530827895955803E-5</c:v>
                </c:pt>
                <c:pt idx="7">
                  <c:v>1.6659126150386914E-5</c:v>
                </c:pt>
                <c:pt idx="8">
                  <c:v>1.7000303937672959E-5</c:v>
                </c:pt>
                <c:pt idx="9">
                  <c:v>1.7465147592829071E-5</c:v>
                </c:pt>
                <c:pt idx="10">
                  <c:v>1.7764261770289318E-5</c:v>
                </c:pt>
                <c:pt idx="11">
                  <c:v>1.8079972782958913E-5</c:v>
                </c:pt>
                <c:pt idx="12">
                  <c:v>1.8693261082853181E-5</c:v>
                </c:pt>
                <c:pt idx="13">
                  <c:v>1.8919602471220485E-5</c:v>
                </c:pt>
                <c:pt idx="14">
                  <c:v>1.9184728375410643E-5</c:v>
                </c:pt>
                <c:pt idx="15">
                  <c:v>1.931330400052653E-5</c:v>
                </c:pt>
                <c:pt idx="16">
                  <c:v>1.93994557300517E-5</c:v>
                </c:pt>
                <c:pt idx="17">
                  <c:v>1.9520630197180217E-5</c:v>
                </c:pt>
                <c:pt idx="18">
                  <c:v>1.9676828388996372E-5</c:v>
                </c:pt>
                <c:pt idx="19">
                  <c:v>1.9818865869624629E-5</c:v>
                </c:pt>
                <c:pt idx="20">
                  <c:v>1.9886418957005487E-5</c:v>
                </c:pt>
                <c:pt idx="21">
                  <c:v>2.0120308578918996E-5</c:v>
                </c:pt>
                <c:pt idx="22">
                  <c:v>2.0255216349738938E-5</c:v>
                </c:pt>
                <c:pt idx="23">
                  <c:v>2.0263320311738978E-5</c:v>
                </c:pt>
                <c:pt idx="24">
                  <c:v>2.0407999229920479E-5</c:v>
                </c:pt>
                <c:pt idx="25">
                  <c:v>2.0580935409999082E-5</c:v>
                </c:pt>
                <c:pt idx="26">
                  <c:v>2.060235513903695E-5</c:v>
                </c:pt>
                <c:pt idx="27">
                  <c:v>2.0686779471059067E-5</c:v>
                </c:pt>
                <c:pt idx="28">
                  <c:v>2.074186272263645E-5</c:v>
                </c:pt>
                <c:pt idx="29">
                  <c:v>2.076861369391089E-5</c:v>
                </c:pt>
                <c:pt idx="30">
                  <c:v>2.0748363659753659E-5</c:v>
                </c:pt>
                <c:pt idx="31">
                  <c:v>2.0726215462511644E-5</c:v>
                </c:pt>
              </c:numCache>
            </c:numRef>
          </c:val>
          <c:smooth val="0"/>
          <c:extLst>
            <c:ext xmlns:c16="http://schemas.microsoft.com/office/drawing/2014/chart" uri="{C3380CC4-5D6E-409C-BE32-E72D297353CC}">
              <c16:uniqueId val="{00000000-948E-4AC1-93BB-182D735380CF}"/>
            </c:ext>
          </c:extLst>
        </c:ser>
        <c:ser>
          <c:idx val="1"/>
          <c:order val="1"/>
          <c:tx>
            <c:strRef>
              <c:f>Lpgpropbut!$A$19</c:f>
              <c:strCache>
                <c:ptCount val="1"/>
                <c:pt idx="0">
                  <c:v>Electricity Sector</c:v>
                </c:pt>
              </c:strCache>
            </c:strRef>
          </c:tx>
          <c:spPr>
            <a:ln w="28575" cap="rnd">
              <a:solidFill>
                <a:schemeClr val="accent2"/>
              </a:solidFill>
              <a:round/>
            </a:ln>
            <a:effectLst/>
          </c:spPr>
          <c:marker>
            <c:symbol val="none"/>
          </c:marker>
          <c:cat>
            <c:numRef>
              <c:f>Lpgpropbut!$B$16:$AG$16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cat>
          <c:val>
            <c:numRef>
              <c:f>Lpgpropbut!$B$19:$AG$19</c:f>
              <c:numCache>
                <c:formatCode>General</c:formatCode>
                <c:ptCount val="32"/>
                <c:pt idx="0">
                  <c:v>1.5715959273557928E-5</c:v>
                </c:pt>
                <c:pt idx="1">
                  <c:v>1.3386560904210887E-5</c:v>
                </c:pt>
                <c:pt idx="2">
                  <c:v>1.7523914338207098E-5</c:v>
                </c:pt>
                <c:pt idx="3">
                  <c:v>1.8592508502641481E-5</c:v>
                </c:pt>
                <c:pt idx="4">
                  <c:v>1.6301936254276864E-5</c:v>
                </c:pt>
                <c:pt idx="5">
                  <c:v>1.6280213095787388E-5</c:v>
                </c:pt>
                <c:pt idx="6">
                  <c:v>1.6127119486374831E-5</c:v>
                </c:pt>
                <c:pt idx="7">
                  <c:v>1.6319669575957851E-5</c:v>
                </c:pt>
                <c:pt idx="8">
                  <c:v>1.6844762158609296E-5</c:v>
                </c:pt>
                <c:pt idx="9">
                  <c:v>1.7574576016858057E-5</c:v>
                </c:pt>
                <c:pt idx="10">
                  <c:v>1.8057289750137715E-5</c:v>
                </c:pt>
                <c:pt idx="11">
                  <c:v>1.8567638177319807E-5</c:v>
                </c:pt>
                <c:pt idx="12">
                  <c:v>1.9024751956395882E-5</c:v>
                </c:pt>
                <c:pt idx="13">
                  <c:v>1.9400664977527707E-5</c:v>
                </c:pt>
                <c:pt idx="14">
                  <c:v>1.9764450487613517E-5</c:v>
                </c:pt>
                <c:pt idx="15">
                  <c:v>1.9983910780448627E-5</c:v>
                </c:pt>
                <c:pt idx="16">
                  <c:v>2.013237612778102E-5</c:v>
                </c:pt>
                <c:pt idx="17">
                  <c:v>2.0337654901502899E-5</c:v>
                </c:pt>
                <c:pt idx="18">
                  <c:v>2.060253330767917E-5</c:v>
                </c:pt>
                <c:pt idx="19">
                  <c:v>2.0845845271428634E-5</c:v>
                </c:pt>
                <c:pt idx="20">
                  <c:v>2.0965672685145966E-5</c:v>
                </c:pt>
                <c:pt idx="21">
                  <c:v>2.1362590796906368E-5</c:v>
                </c:pt>
                <c:pt idx="22">
                  <c:v>2.1599126717782434E-5</c:v>
                </c:pt>
                <c:pt idx="23">
                  <c:v>2.1620589111020094E-5</c:v>
                </c:pt>
                <c:pt idx="24">
                  <c:v>2.186944137295211E-5</c:v>
                </c:pt>
                <c:pt idx="25">
                  <c:v>2.2170026634815917E-5</c:v>
                </c:pt>
                <c:pt idx="26">
                  <c:v>2.221460593185446E-5</c:v>
                </c:pt>
                <c:pt idx="27">
                  <c:v>2.2363121376944593E-5</c:v>
                </c:pt>
                <c:pt idx="28">
                  <c:v>2.2462602678231268E-5</c:v>
                </c:pt>
                <c:pt idx="29">
                  <c:v>2.2513011298977768E-5</c:v>
                </c:pt>
                <c:pt idx="30">
                  <c:v>2.2482416983695178E-5</c:v>
                </c:pt>
                <c:pt idx="31">
                  <c:v>2.2447619594994249E-5</c:v>
                </c:pt>
              </c:numCache>
            </c:numRef>
          </c:val>
          <c:smooth val="0"/>
          <c:extLst>
            <c:ext xmlns:c16="http://schemas.microsoft.com/office/drawing/2014/chart" uri="{C3380CC4-5D6E-409C-BE32-E72D297353CC}">
              <c16:uniqueId val="{00000001-948E-4AC1-93BB-182D735380CF}"/>
            </c:ext>
          </c:extLst>
        </c:ser>
        <c:ser>
          <c:idx val="2"/>
          <c:order val="2"/>
          <c:tx>
            <c:strRef>
              <c:f>Lpgpropbut!$A$20</c:f>
              <c:strCache>
                <c:ptCount val="1"/>
                <c:pt idx="0">
                  <c:v>Residential Buildings Sector</c:v>
                </c:pt>
              </c:strCache>
            </c:strRef>
          </c:tx>
          <c:spPr>
            <a:ln w="28575" cap="rnd">
              <a:solidFill>
                <a:schemeClr val="accent3"/>
              </a:solidFill>
              <a:round/>
            </a:ln>
            <a:effectLst/>
          </c:spPr>
          <c:marker>
            <c:symbol val="none"/>
          </c:marker>
          <c:cat>
            <c:numRef>
              <c:f>Lpgpropbut!$B$16:$AG$16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cat>
          <c:val>
            <c:numRef>
              <c:f>Lpgpropbut!$B$20:$AG$20</c:f>
              <c:numCache>
                <c:formatCode>General</c:formatCode>
                <c:ptCount val="32"/>
                <c:pt idx="0">
                  <c:v>2.4148693992341303E-5</c:v>
                </c:pt>
                <c:pt idx="1">
                  <c:v>2.0569407012241763E-5</c:v>
                </c:pt>
                <c:pt idx="2">
                  <c:v>2.6926746088822226E-5</c:v>
                </c:pt>
                <c:pt idx="3">
                  <c:v>2.9101820159202273E-5</c:v>
                </c:pt>
                <c:pt idx="4">
                  <c:v>2.8824908079596724E-5</c:v>
                </c:pt>
                <c:pt idx="5">
                  <c:v>2.8880499541572744E-5</c:v>
                </c:pt>
                <c:pt idx="6">
                  <c:v>2.8810266082837123E-5</c:v>
                </c:pt>
                <c:pt idx="7">
                  <c:v>2.8917537539538737E-5</c:v>
                </c:pt>
                <c:pt idx="8">
                  <c:v>2.9311370030142928E-5</c:v>
                </c:pt>
                <c:pt idx="9">
                  <c:v>2.9964899632665428E-5</c:v>
                </c:pt>
                <c:pt idx="10">
                  <c:v>3.0582827488894158E-5</c:v>
                </c:pt>
                <c:pt idx="11">
                  <c:v>3.122211238242328E-5</c:v>
                </c:pt>
                <c:pt idx="12">
                  <c:v>3.2058844282670886E-5</c:v>
                </c:pt>
                <c:pt idx="13">
                  <c:v>3.2607720517272976E-5</c:v>
                </c:pt>
                <c:pt idx="14">
                  <c:v>3.3151702718035625E-5</c:v>
                </c:pt>
                <c:pt idx="15">
                  <c:v>3.355150329804915E-5</c:v>
                </c:pt>
                <c:pt idx="16">
                  <c:v>3.3854757937775393E-5</c:v>
                </c:pt>
                <c:pt idx="17">
                  <c:v>3.4145417176711266E-5</c:v>
                </c:pt>
                <c:pt idx="18">
                  <c:v>3.4460795986312757E-5</c:v>
                </c:pt>
                <c:pt idx="19">
                  <c:v>3.4770284409474962E-5</c:v>
                </c:pt>
                <c:pt idx="20">
                  <c:v>3.4999964362753432E-5</c:v>
                </c:pt>
                <c:pt idx="21">
                  <c:v>3.5370981005458225E-5</c:v>
                </c:pt>
                <c:pt idx="22">
                  <c:v>3.5693973452850905E-5</c:v>
                </c:pt>
                <c:pt idx="23">
                  <c:v>3.5869780182410434E-5</c:v>
                </c:pt>
                <c:pt idx="24">
                  <c:v>3.6125369063105771E-5</c:v>
                </c:pt>
                <c:pt idx="25">
                  <c:v>3.6435972899870305E-5</c:v>
                </c:pt>
                <c:pt idx="26">
                  <c:v>3.6612773475482245E-5</c:v>
                </c:pt>
                <c:pt idx="27">
                  <c:v>3.6803039223839644E-5</c:v>
                </c:pt>
                <c:pt idx="28">
                  <c:v>3.6960056873931568E-5</c:v>
                </c:pt>
                <c:pt idx="29">
                  <c:v>3.707195291062487E-5</c:v>
                </c:pt>
                <c:pt idx="30">
                  <c:v>3.7112150411614987E-5</c:v>
                </c:pt>
                <c:pt idx="31">
                  <c:v>3.7116599533287214E-5</c:v>
                </c:pt>
              </c:numCache>
            </c:numRef>
          </c:val>
          <c:smooth val="0"/>
          <c:extLst>
            <c:ext xmlns:c16="http://schemas.microsoft.com/office/drawing/2014/chart" uri="{C3380CC4-5D6E-409C-BE32-E72D297353CC}">
              <c16:uniqueId val="{00000002-948E-4AC1-93BB-182D735380CF}"/>
            </c:ext>
          </c:extLst>
        </c:ser>
        <c:ser>
          <c:idx val="3"/>
          <c:order val="3"/>
          <c:tx>
            <c:strRef>
              <c:f>Lpgpropbut!$A$21</c:f>
              <c:strCache>
                <c:ptCount val="1"/>
                <c:pt idx="0">
                  <c:v>Commercial Buildings Sector</c:v>
                </c:pt>
              </c:strCache>
            </c:strRef>
          </c:tx>
          <c:spPr>
            <a:ln w="28575" cap="rnd">
              <a:solidFill>
                <a:schemeClr val="accent4"/>
              </a:solidFill>
              <a:round/>
            </a:ln>
            <a:effectLst/>
          </c:spPr>
          <c:marker>
            <c:symbol val="none"/>
          </c:marker>
          <c:cat>
            <c:numRef>
              <c:f>Lpgpropbut!$B$16:$AG$16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cat>
          <c:val>
            <c:numRef>
              <c:f>Lpgpropbut!$B$21:$AG$21</c:f>
              <c:numCache>
                <c:formatCode>General</c:formatCode>
                <c:ptCount val="32"/>
                <c:pt idx="0">
                  <c:v>1.4440721435360657E-5</c:v>
                </c:pt>
                <c:pt idx="1">
                  <c:v>1.2300337105126348E-5</c:v>
                </c:pt>
                <c:pt idx="2">
                  <c:v>1.6101973860478293E-5</c:v>
                </c:pt>
                <c:pt idx="3">
                  <c:v>1.6973674557073229E-5</c:v>
                </c:pt>
                <c:pt idx="4">
                  <c:v>1.5643965957851737E-5</c:v>
                </c:pt>
                <c:pt idx="5">
                  <c:v>1.5580131945594638E-5</c:v>
                </c:pt>
                <c:pt idx="6">
                  <c:v>1.5472416387682926E-5</c:v>
                </c:pt>
                <c:pt idx="7">
                  <c:v>1.5585611462210753E-5</c:v>
                </c:pt>
                <c:pt idx="8">
                  <c:v>1.5916861308524246E-5</c:v>
                </c:pt>
                <c:pt idx="9">
                  <c:v>1.6382769311729473E-5</c:v>
                </c:pt>
                <c:pt idx="10">
                  <c:v>1.6701996781554972E-5</c:v>
                </c:pt>
                <c:pt idx="11">
                  <c:v>1.7029755845899107E-5</c:v>
                </c:pt>
                <c:pt idx="12">
                  <c:v>1.7533190183696905E-5</c:v>
                </c:pt>
                <c:pt idx="13">
                  <c:v>1.7773042206959882E-5</c:v>
                </c:pt>
                <c:pt idx="14">
                  <c:v>1.8031061891022168E-5</c:v>
                </c:pt>
                <c:pt idx="15">
                  <c:v>1.8172394861743381E-5</c:v>
                </c:pt>
                <c:pt idx="16">
                  <c:v>1.8267342588991013E-5</c:v>
                </c:pt>
                <c:pt idx="17">
                  <c:v>1.8392490635652514E-5</c:v>
                </c:pt>
                <c:pt idx="18">
                  <c:v>1.8553098309466701E-5</c:v>
                </c:pt>
                <c:pt idx="19">
                  <c:v>1.8702412780935238E-5</c:v>
                </c:pt>
                <c:pt idx="20">
                  <c:v>1.8779362502471916E-5</c:v>
                </c:pt>
                <c:pt idx="21">
                  <c:v>1.9012975845440611E-5</c:v>
                </c:pt>
                <c:pt idx="22">
                  <c:v>1.91601559188027E-5</c:v>
                </c:pt>
                <c:pt idx="23">
                  <c:v>1.9180215490890254E-5</c:v>
                </c:pt>
                <c:pt idx="24">
                  <c:v>1.9324340915818179E-5</c:v>
                </c:pt>
                <c:pt idx="25">
                  <c:v>1.9502609855698264E-5</c:v>
                </c:pt>
                <c:pt idx="26">
                  <c:v>1.9536617989317296E-5</c:v>
                </c:pt>
                <c:pt idx="27">
                  <c:v>1.9623252617235834E-5</c:v>
                </c:pt>
                <c:pt idx="28">
                  <c:v>1.968340477133821E-5</c:v>
                </c:pt>
                <c:pt idx="29">
                  <c:v>1.9714603313872918E-5</c:v>
                </c:pt>
                <c:pt idx="30">
                  <c:v>1.9698157052429638E-5</c:v>
                </c:pt>
                <c:pt idx="31">
                  <c:v>1.9676792507112004E-5</c:v>
                </c:pt>
              </c:numCache>
            </c:numRef>
          </c:val>
          <c:smooth val="0"/>
          <c:extLst>
            <c:ext xmlns:c16="http://schemas.microsoft.com/office/drawing/2014/chart" uri="{C3380CC4-5D6E-409C-BE32-E72D297353CC}">
              <c16:uniqueId val="{00000003-948E-4AC1-93BB-182D735380CF}"/>
            </c:ext>
          </c:extLst>
        </c:ser>
        <c:ser>
          <c:idx val="4"/>
          <c:order val="4"/>
          <c:tx>
            <c:strRef>
              <c:f>Lpgpropbut!$A$22</c:f>
              <c:strCache>
                <c:ptCount val="1"/>
                <c:pt idx="0">
                  <c:v>Industry Sector</c:v>
                </c:pt>
              </c:strCache>
            </c:strRef>
          </c:tx>
          <c:spPr>
            <a:ln w="28575" cap="rnd">
              <a:solidFill>
                <a:schemeClr val="accent5"/>
              </a:solidFill>
              <a:round/>
            </a:ln>
            <a:effectLst/>
          </c:spPr>
          <c:marker>
            <c:symbol val="none"/>
          </c:marker>
          <c:cat>
            <c:numRef>
              <c:f>Lpgpropbut!$B$16:$AG$16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cat>
          <c:val>
            <c:numRef>
              <c:f>Lpgpropbut!$B$22:$AG$22</c:f>
              <c:numCache>
                <c:formatCode>General</c:formatCode>
                <c:ptCount val="32"/>
                <c:pt idx="0">
                  <c:v>1.5715959273557928E-5</c:v>
                </c:pt>
                <c:pt idx="1">
                  <c:v>1.3386560904210887E-5</c:v>
                </c:pt>
                <c:pt idx="2">
                  <c:v>1.7523914338207098E-5</c:v>
                </c:pt>
                <c:pt idx="3">
                  <c:v>1.8592508502641481E-5</c:v>
                </c:pt>
                <c:pt idx="4">
                  <c:v>1.6301936254276864E-5</c:v>
                </c:pt>
                <c:pt idx="5">
                  <c:v>1.6280213095787388E-5</c:v>
                </c:pt>
                <c:pt idx="6">
                  <c:v>1.6127119486374831E-5</c:v>
                </c:pt>
                <c:pt idx="7">
                  <c:v>1.6319669575957851E-5</c:v>
                </c:pt>
                <c:pt idx="8">
                  <c:v>1.6844762158609296E-5</c:v>
                </c:pt>
                <c:pt idx="9">
                  <c:v>1.7574576016858057E-5</c:v>
                </c:pt>
                <c:pt idx="10">
                  <c:v>1.8057289750137715E-5</c:v>
                </c:pt>
                <c:pt idx="11">
                  <c:v>1.8567638177319807E-5</c:v>
                </c:pt>
                <c:pt idx="12">
                  <c:v>1.9024751956395882E-5</c:v>
                </c:pt>
                <c:pt idx="13">
                  <c:v>1.9400664977527707E-5</c:v>
                </c:pt>
                <c:pt idx="14">
                  <c:v>1.9764450487613517E-5</c:v>
                </c:pt>
                <c:pt idx="15">
                  <c:v>1.9983910780448627E-5</c:v>
                </c:pt>
                <c:pt idx="16">
                  <c:v>2.013237612778102E-5</c:v>
                </c:pt>
                <c:pt idx="17">
                  <c:v>2.0337654901502899E-5</c:v>
                </c:pt>
                <c:pt idx="18">
                  <c:v>2.060253330767917E-5</c:v>
                </c:pt>
                <c:pt idx="19">
                  <c:v>2.0845845271428634E-5</c:v>
                </c:pt>
                <c:pt idx="20">
                  <c:v>2.0965672685145966E-5</c:v>
                </c:pt>
                <c:pt idx="21">
                  <c:v>2.1362590796906368E-5</c:v>
                </c:pt>
                <c:pt idx="22">
                  <c:v>2.1599126717782434E-5</c:v>
                </c:pt>
                <c:pt idx="23">
                  <c:v>2.1620589111020094E-5</c:v>
                </c:pt>
                <c:pt idx="24">
                  <c:v>2.186944137295211E-5</c:v>
                </c:pt>
                <c:pt idx="25">
                  <c:v>2.2170026634815917E-5</c:v>
                </c:pt>
                <c:pt idx="26">
                  <c:v>2.221460593185446E-5</c:v>
                </c:pt>
                <c:pt idx="27">
                  <c:v>2.2363121376944593E-5</c:v>
                </c:pt>
                <c:pt idx="28">
                  <c:v>2.2462602678231268E-5</c:v>
                </c:pt>
                <c:pt idx="29">
                  <c:v>2.2513011298977768E-5</c:v>
                </c:pt>
                <c:pt idx="30">
                  <c:v>2.2482416983695178E-5</c:v>
                </c:pt>
                <c:pt idx="31">
                  <c:v>2.2447619594994249E-5</c:v>
                </c:pt>
              </c:numCache>
            </c:numRef>
          </c:val>
          <c:smooth val="0"/>
          <c:extLst>
            <c:ext xmlns:c16="http://schemas.microsoft.com/office/drawing/2014/chart" uri="{C3380CC4-5D6E-409C-BE32-E72D297353CC}">
              <c16:uniqueId val="{00000004-948E-4AC1-93BB-182D735380CF}"/>
            </c:ext>
          </c:extLst>
        </c:ser>
        <c:dLbls>
          <c:showLegendKey val="0"/>
          <c:showVal val="0"/>
          <c:showCatName val="0"/>
          <c:showSerName val="0"/>
          <c:showPercent val="0"/>
          <c:showBubbleSize val="0"/>
        </c:dLbls>
        <c:smooth val="0"/>
        <c:axId val="769194808"/>
        <c:axId val="769200384"/>
      </c:lineChart>
      <c:catAx>
        <c:axId val="769194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200384"/>
        <c:crosses val="autoZero"/>
        <c:auto val="1"/>
        <c:lblAlgn val="ctr"/>
        <c:lblOffset val="100"/>
        <c:noMultiLvlLbl val="0"/>
      </c:catAx>
      <c:valAx>
        <c:axId val="76920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194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'Gasoline+diesel'!$A$27</c:f>
              <c:strCache>
                <c:ptCount val="1"/>
                <c:pt idx="0">
                  <c:v>Gasoline   </c:v>
                </c:pt>
              </c:strCache>
            </c:strRef>
          </c:tx>
          <c:spPr>
            <a:ln w="28575" cap="rnd">
              <a:solidFill>
                <a:schemeClr val="accent1"/>
              </a:solidFill>
              <a:round/>
            </a:ln>
            <a:effectLst/>
          </c:spPr>
          <c:marker>
            <c:symbol val="none"/>
          </c:marker>
          <c:val>
            <c:numRef>
              <c:f>'Gasoline+diesel'!$B$27:$AB$27</c:f>
              <c:numCache>
                <c:formatCode>General</c:formatCode>
                <c:ptCount val="27"/>
                <c:pt idx="0">
                  <c:v>2.3098522138007802E-5</c:v>
                </c:pt>
                <c:pt idx="1">
                  <c:v>2.8880706767840645E-5</c:v>
                </c:pt>
                <c:pt idx="2">
                  <c:v>3.5505940900383288E-5</c:v>
                </c:pt>
                <c:pt idx="3">
                  <c:v>3.1373111761905292E-5</c:v>
                </c:pt>
                <c:pt idx="4" formatCode="0.00E+00">
                  <c:v>2.9123842727170025E-5</c:v>
                </c:pt>
                <c:pt idx="5" formatCode="0.00E+00">
                  <c:v>2.6874573692434758E-5</c:v>
                </c:pt>
                <c:pt idx="6" formatCode="0.00E+00">
                  <c:v>2.4625304657699491E-5</c:v>
                </c:pt>
                <c:pt idx="7" formatCode="0.00E+00">
                  <c:v>2.4919626916647562E-5</c:v>
                </c:pt>
                <c:pt idx="8" formatCode="0.00E+00">
                  <c:v>2.5188995531039316E-5</c:v>
                </c:pt>
                <c:pt idx="9" formatCode="0.00E+00">
                  <c:v>2.5378037547833529E-5</c:v>
                </c:pt>
                <c:pt idx="10" formatCode="0.00E+00">
                  <c:v>2.6005180856979555E-5</c:v>
                </c:pt>
                <c:pt idx="11" formatCode="0.00E+00">
                  <c:v>2.6838074955575702E-5</c:v>
                </c:pt>
                <c:pt idx="12" formatCode="0.00E+00">
                  <c:v>2.7110523383867912E-5</c:v>
                </c:pt>
                <c:pt idx="13" formatCode="0.00E+00">
                  <c:v>2.7335095009933228E-5</c:v>
                </c:pt>
                <c:pt idx="14" formatCode="0.00E+00">
                  <c:v>2.7546989782266039E-5</c:v>
                </c:pt>
                <c:pt idx="15" formatCode="0.00E+00">
                  <c:v>2.7650676477750066E-5</c:v>
                </c:pt>
                <c:pt idx="16" formatCode="0.00E+00">
                  <c:v>2.7847240347724249E-5</c:v>
                </c:pt>
                <c:pt idx="17" formatCode="0.00E+00">
                  <c:v>2.8021773937860391E-5</c:v>
                </c:pt>
                <c:pt idx="18" formatCode="0.00E+00">
                  <c:v>2.8329110533776799E-5</c:v>
                </c:pt>
                <c:pt idx="19" formatCode="0.00E+00">
                  <c:v>2.8344114010347029E-5</c:v>
                </c:pt>
                <c:pt idx="20" formatCode="0.00E+00">
                  <c:v>2.856669873179877E-5</c:v>
                </c:pt>
                <c:pt idx="21" formatCode="0.00E+00">
                  <c:v>2.8747675793252055E-5</c:v>
                </c:pt>
                <c:pt idx="22" formatCode="0.00E+00">
                  <c:v>2.8793478526321019E-5</c:v>
                </c:pt>
                <c:pt idx="23" formatCode="0.00E+00">
                  <c:v>2.9079221782615314E-5</c:v>
                </c:pt>
                <c:pt idx="24" formatCode="0.00E+00">
                  <c:v>2.9354210275129493E-5</c:v>
                </c:pt>
                <c:pt idx="25" formatCode="0.00E+00">
                  <c:v>2.9448296578298991E-5</c:v>
                </c:pt>
                <c:pt idx="26" formatCode="0.00E+00">
                  <c:v>2.9684120253044907E-5</c:v>
                </c:pt>
              </c:numCache>
            </c:numRef>
          </c:val>
          <c:smooth val="0"/>
          <c:extLst>
            <c:ext xmlns:c16="http://schemas.microsoft.com/office/drawing/2014/chart" uri="{C3380CC4-5D6E-409C-BE32-E72D297353CC}">
              <c16:uniqueId val="{00000000-F2FD-46D1-9D1A-1E5189014D41}"/>
            </c:ext>
          </c:extLst>
        </c:ser>
        <c:ser>
          <c:idx val="1"/>
          <c:order val="1"/>
          <c:tx>
            <c:strRef>
              <c:f>'Gasoline+diesel'!$A$28</c:f>
              <c:strCache>
                <c:ptCount val="1"/>
                <c:pt idx="0">
                  <c:v>Diesel   </c:v>
                </c:pt>
              </c:strCache>
            </c:strRef>
          </c:tx>
          <c:spPr>
            <a:ln w="28575" cap="rnd">
              <a:solidFill>
                <a:schemeClr val="accent2"/>
              </a:solidFill>
              <a:round/>
            </a:ln>
            <a:effectLst/>
          </c:spPr>
          <c:marker>
            <c:symbol val="none"/>
          </c:marker>
          <c:val>
            <c:numRef>
              <c:f>'Gasoline+diesel'!$B$28:$AB$28</c:f>
              <c:numCache>
                <c:formatCode>General</c:formatCode>
                <c:ptCount val="27"/>
                <c:pt idx="0">
                  <c:v>2.180629641978563E-5</c:v>
                </c:pt>
                <c:pt idx="1">
                  <c:v>2.568165993587579E-5</c:v>
                </c:pt>
                <c:pt idx="2">
                  <c:v>3.2417959337056007E-5</c:v>
                </c:pt>
                <c:pt idx="3">
                  <c:v>2.9682862553885235E-5</c:v>
                </c:pt>
                <c:pt idx="4" formatCode="0.00E+00">
                  <c:v>2.7994913342448557E-5</c:v>
                </c:pt>
                <c:pt idx="5" formatCode="0.00E+00">
                  <c:v>2.6306964131011879E-5</c:v>
                </c:pt>
                <c:pt idx="6" formatCode="0.00E+00">
                  <c:v>2.4619014919575205E-5</c:v>
                </c:pt>
                <c:pt idx="7" formatCode="0.00E+00">
                  <c:v>2.4683030932281104E-5</c:v>
                </c:pt>
                <c:pt idx="8" formatCode="0.00E+00">
                  <c:v>2.4876896333305389E-5</c:v>
                </c:pt>
                <c:pt idx="9" formatCode="0.00E+00">
                  <c:v>2.5022519305277984E-5</c:v>
                </c:pt>
                <c:pt idx="10" formatCode="0.00E+00">
                  <c:v>2.4982745267505616E-5</c:v>
                </c:pt>
                <c:pt idx="11" formatCode="0.00E+00">
                  <c:v>2.5646951336908059E-5</c:v>
                </c:pt>
                <c:pt idx="12" formatCode="0.00E+00">
                  <c:v>2.5751784367409597E-5</c:v>
                </c:pt>
                <c:pt idx="13" formatCode="0.00E+00">
                  <c:v>2.5893791025469706E-5</c:v>
                </c:pt>
                <c:pt idx="14" formatCode="0.00E+00">
                  <c:v>2.5936918195279521E-5</c:v>
                </c:pt>
                <c:pt idx="15" formatCode="0.00E+00">
                  <c:v>2.6044506512571523E-5</c:v>
                </c:pt>
                <c:pt idx="16" formatCode="0.00E+00">
                  <c:v>2.6241439119645575E-5</c:v>
                </c:pt>
                <c:pt idx="17" formatCode="0.00E+00">
                  <c:v>2.6458391961122792E-5</c:v>
                </c:pt>
                <c:pt idx="18" formatCode="0.00E+00">
                  <c:v>2.6603438748908071E-5</c:v>
                </c:pt>
                <c:pt idx="19" formatCode="0.00E+00">
                  <c:v>2.6699157888552008E-5</c:v>
                </c:pt>
                <c:pt idx="20" formatCode="0.00E+00">
                  <c:v>2.6919789861014767E-5</c:v>
                </c:pt>
                <c:pt idx="21" formatCode="0.00E+00">
                  <c:v>2.7044179579242472E-5</c:v>
                </c:pt>
                <c:pt idx="22" formatCode="0.00E+00">
                  <c:v>2.705728668645087E-5</c:v>
                </c:pt>
                <c:pt idx="23" formatCode="0.00E+00">
                  <c:v>2.7339654845088894E-5</c:v>
                </c:pt>
                <c:pt idx="24" formatCode="0.00E+00">
                  <c:v>2.7649517386770409E-5</c:v>
                </c:pt>
                <c:pt idx="25" formatCode="0.00E+00">
                  <c:v>2.7760816243584471E-5</c:v>
                </c:pt>
                <c:pt idx="26" formatCode="0.00E+00">
                  <c:v>2.7957771594771176E-5</c:v>
                </c:pt>
              </c:numCache>
            </c:numRef>
          </c:val>
          <c:smooth val="0"/>
          <c:extLst>
            <c:ext xmlns:c16="http://schemas.microsoft.com/office/drawing/2014/chart" uri="{C3380CC4-5D6E-409C-BE32-E72D297353CC}">
              <c16:uniqueId val="{00000001-F2FD-46D1-9D1A-1E5189014D41}"/>
            </c:ext>
          </c:extLst>
        </c:ser>
        <c:dLbls>
          <c:showLegendKey val="0"/>
          <c:showVal val="0"/>
          <c:showCatName val="0"/>
          <c:showSerName val="0"/>
          <c:showPercent val="0"/>
          <c:showBubbleSize val="0"/>
        </c:dLbls>
        <c:smooth val="0"/>
        <c:axId val="594716400"/>
        <c:axId val="594720664"/>
      </c:lineChart>
      <c:catAx>
        <c:axId val="5947164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20664"/>
        <c:crosses val="autoZero"/>
        <c:auto val="1"/>
        <c:lblAlgn val="ctr"/>
        <c:lblOffset val="100"/>
        <c:noMultiLvlLbl val="0"/>
      </c:catAx>
      <c:valAx>
        <c:axId val="594720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16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chart" Target="../charts/chart3.xml"/><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0</xdr:col>
      <xdr:colOff>57150</xdr:colOff>
      <xdr:row>192</xdr:row>
      <xdr:rowOff>57732</xdr:rowOff>
    </xdr:from>
    <xdr:ext cx="4986679" cy="2105258"/>
    <xdr:pic>
      <xdr:nvPicPr>
        <xdr:cNvPr id="2" name="Picture 1">
          <a:extLst>
            <a:ext uri="{FF2B5EF4-FFF2-40B4-BE49-F238E27FC236}">
              <a16:creationId xmlns:a16="http://schemas.microsoft.com/office/drawing/2014/main" id="{82BBAE16-B2EE-4F49-AAE4-92BE76C5FD97}"/>
            </a:ext>
          </a:extLst>
        </xdr:cNvPr>
        <xdr:cNvPicPr>
          <a:picLocks noChangeAspect="1"/>
        </xdr:cNvPicPr>
      </xdr:nvPicPr>
      <xdr:blipFill>
        <a:blip xmlns:r="http://schemas.openxmlformats.org/officeDocument/2006/relationships" r:embed="rId1"/>
        <a:stretch>
          <a:fillRect/>
        </a:stretch>
      </xdr:blipFill>
      <xdr:spPr>
        <a:xfrm>
          <a:off x="57150" y="13500682"/>
          <a:ext cx="4986679" cy="2105258"/>
        </a:xfrm>
        <a:prstGeom prst="rect">
          <a:avLst/>
        </a:prstGeom>
      </xdr:spPr>
    </xdr:pic>
    <xdr:clientData/>
  </xdr:oneCellAnchor>
  <xdr:twoCellAnchor editAs="oneCell">
    <xdr:from>
      <xdr:col>0</xdr:col>
      <xdr:colOff>0</xdr:colOff>
      <xdr:row>217</xdr:row>
      <xdr:rowOff>152400</xdr:rowOff>
    </xdr:from>
    <xdr:to>
      <xdr:col>1</xdr:col>
      <xdr:colOff>2833900</xdr:colOff>
      <xdr:row>225</xdr:row>
      <xdr:rowOff>114725</xdr:rowOff>
    </xdr:to>
    <xdr:pic>
      <xdr:nvPicPr>
        <xdr:cNvPr id="3" name="Picture 2">
          <a:extLst>
            <a:ext uri="{FF2B5EF4-FFF2-40B4-BE49-F238E27FC236}">
              <a16:creationId xmlns:a16="http://schemas.microsoft.com/office/drawing/2014/main" id="{4C69D2EE-B8ED-433D-9DE4-ED058B776DD4}"/>
            </a:ext>
          </a:extLst>
        </xdr:cNvPr>
        <xdr:cNvPicPr>
          <a:picLocks noChangeAspect="1"/>
        </xdr:cNvPicPr>
      </xdr:nvPicPr>
      <xdr:blipFill>
        <a:blip xmlns:r="http://schemas.openxmlformats.org/officeDocument/2006/relationships" r:embed="rId2"/>
        <a:stretch>
          <a:fillRect/>
        </a:stretch>
      </xdr:blipFill>
      <xdr:spPr>
        <a:xfrm>
          <a:off x="0" y="40138350"/>
          <a:ext cx="5405650" cy="14355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19</xdr:col>
      <xdr:colOff>536575</xdr:colOff>
      <xdr:row>65</xdr:row>
      <xdr:rowOff>133350</xdr:rowOff>
    </xdr:from>
    <xdr:to>
      <xdr:col>27</xdr:col>
      <xdr:colOff>231775</xdr:colOff>
      <xdr:row>80</xdr:row>
      <xdr:rowOff>114300</xdr:rowOff>
    </xdr:to>
    <xdr:graphicFrame macro="">
      <xdr:nvGraphicFramePr>
        <xdr:cNvPr id="2" name="Chart 1">
          <a:extLst>
            <a:ext uri="{FF2B5EF4-FFF2-40B4-BE49-F238E27FC236}">
              <a16:creationId xmlns:a16="http://schemas.microsoft.com/office/drawing/2014/main" id="{EE1B2274-5E2E-480B-857A-5A86F7EEC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17</xdr:col>
      <xdr:colOff>377825</xdr:colOff>
      <xdr:row>24</xdr:row>
      <xdr:rowOff>38100</xdr:rowOff>
    </xdr:from>
    <xdr:to>
      <xdr:col>25</xdr:col>
      <xdr:colOff>73025</xdr:colOff>
      <xdr:row>39</xdr:row>
      <xdr:rowOff>19050</xdr:rowOff>
    </xdr:to>
    <xdr:graphicFrame macro="">
      <xdr:nvGraphicFramePr>
        <xdr:cNvPr id="4" name="Chart 3">
          <a:extLst>
            <a:ext uri="{FF2B5EF4-FFF2-40B4-BE49-F238E27FC236}">
              <a16:creationId xmlns:a16="http://schemas.microsoft.com/office/drawing/2014/main" id="{D0B48706-5D84-4145-8D4E-D62386402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223630</xdr:colOff>
      <xdr:row>47</xdr:row>
      <xdr:rowOff>108225</xdr:rowOff>
    </xdr:from>
    <xdr:to>
      <xdr:col>3</xdr:col>
      <xdr:colOff>494195</xdr:colOff>
      <xdr:row>62</xdr:row>
      <xdr:rowOff>118164</xdr:rowOff>
    </xdr:to>
    <xdr:graphicFrame macro="">
      <xdr:nvGraphicFramePr>
        <xdr:cNvPr id="3" name="Chart 2">
          <a:extLst>
            <a:ext uri="{FF2B5EF4-FFF2-40B4-BE49-F238E27FC236}">
              <a16:creationId xmlns:a16="http://schemas.microsoft.com/office/drawing/2014/main" id="{2590DD7F-849E-46D7-81B5-54C02AC16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386675</xdr:colOff>
      <xdr:row>0</xdr:row>
      <xdr:rowOff>127000</xdr:rowOff>
    </xdr:from>
    <xdr:to>
      <xdr:col>15</xdr:col>
      <xdr:colOff>165101</xdr:colOff>
      <xdr:row>12</xdr:row>
      <xdr:rowOff>160775</xdr:rowOff>
    </xdr:to>
    <xdr:pic>
      <xdr:nvPicPr>
        <xdr:cNvPr id="2" name="Picture 1">
          <a:extLst>
            <a:ext uri="{FF2B5EF4-FFF2-40B4-BE49-F238E27FC236}">
              <a16:creationId xmlns:a16="http://schemas.microsoft.com/office/drawing/2014/main" id="{2967DE14-1825-48F2-8410-D7792C931D83}"/>
            </a:ext>
          </a:extLst>
        </xdr:cNvPr>
        <xdr:cNvPicPr>
          <a:picLocks noChangeAspect="1"/>
        </xdr:cNvPicPr>
      </xdr:nvPicPr>
      <xdr:blipFill>
        <a:blip xmlns:r="http://schemas.openxmlformats.org/officeDocument/2006/relationships" r:embed="rId1"/>
        <a:stretch>
          <a:fillRect/>
        </a:stretch>
      </xdr:blipFill>
      <xdr:spPr>
        <a:xfrm>
          <a:off x="5873075" y="127000"/>
          <a:ext cx="3436026" cy="2243575"/>
        </a:xfrm>
        <a:prstGeom prst="rect">
          <a:avLst/>
        </a:prstGeom>
      </xdr:spPr>
    </xdr:pic>
    <xdr:clientData/>
  </xdr:twoCellAnchor>
  <xdr:twoCellAnchor editAs="oneCell">
    <xdr:from>
      <xdr:col>9</xdr:col>
      <xdr:colOff>529180</xdr:colOff>
      <xdr:row>14</xdr:row>
      <xdr:rowOff>165100</xdr:rowOff>
    </xdr:from>
    <xdr:to>
      <xdr:col>15</xdr:col>
      <xdr:colOff>562707</xdr:colOff>
      <xdr:row>29</xdr:row>
      <xdr:rowOff>67745</xdr:rowOff>
    </xdr:to>
    <xdr:pic>
      <xdr:nvPicPr>
        <xdr:cNvPr id="4" name="Picture 3">
          <a:extLst>
            <a:ext uri="{FF2B5EF4-FFF2-40B4-BE49-F238E27FC236}">
              <a16:creationId xmlns:a16="http://schemas.microsoft.com/office/drawing/2014/main" id="{87170181-56A5-4995-9C55-E3CC3156119D}"/>
            </a:ext>
          </a:extLst>
        </xdr:cNvPr>
        <xdr:cNvPicPr>
          <a:picLocks noChangeAspect="1"/>
        </xdr:cNvPicPr>
      </xdr:nvPicPr>
      <xdr:blipFill>
        <a:blip xmlns:r="http://schemas.openxmlformats.org/officeDocument/2006/relationships" r:embed="rId2"/>
        <a:stretch>
          <a:fillRect/>
        </a:stretch>
      </xdr:blipFill>
      <xdr:spPr>
        <a:xfrm>
          <a:off x="6015580" y="2743200"/>
          <a:ext cx="3691127" cy="26648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539750</xdr:colOff>
      <xdr:row>31</xdr:row>
      <xdr:rowOff>127000</xdr:rowOff>
    </xdr:from>
    <xdr:to>
      <xdr:col>11</xdr:col>
      <xdr:colOff>265100</xdr:colOff>
      <xdr:row>41</xdr:row>
      <xdr:rowOff>57397</xdr:rowOff>
    </xdr:to>
    <xdr:pic>
      <xdr:nvPicPr>
        <xdr:cNvPr id="2" name="Picture 1">
          <a:extLst>
            <a:ext uri="{FF2B5EF4-FFF2-40B4-BE49-F238E27FC236}">
              <a16:creationId xmlns:a16="http://schemas.microsoft.com/office/drawing/2014/main" id="{2E55BE2A-2CA3-4AA1-812D-6500FA8829A5}"/>
            </a:ext>
          </a:extLst>
        </xdr:cNvPr>
        <xdr:cNvPicPr>
          <a:picLocks noChangeAspect="1"/>
        </xdr:cNvPicPr>
      </xdr:nvPicPr>
      <xdr:blipFill>
        <a:blip xmlns:r="http://schemas.openxmlformats.org/officeDocument/2006/relationships" r:embed="rId1"/>
        <a:stretch>
          <a:fillRect/>
        </a:stretch>
      </xdr:blipFill>
      <xdr:spPr>
        <a:xfrm>
          <a:off x="539750" y="5835650"/>
          <a:ext cx="11288700" cy="177189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688039</xdr:colOff>
      <xdr:row>32</xdr:row>
      <xdr:rowOff>0</xdr:rowOff>
    </xdr:from>
    <xdr:to>
      <xdr:col>23</xdr:col>
      <xdr:colOff>201704</xdr:colOff>
      <xdr:row>39</xdr:row>
      <xdr:rowOff>168088</xdr:rowOff>
    </xdr:to>
    <xdr:graphicFrame macro="">
      <xdr:nvGraphicFramePr>
        <xdr:cNvPr id="2" name="Chart 1">
          <a:extLst>
            <a:ext uri="{FF2B5EF4-FFF2-40B4-BE49-F238E27FC236}">
              <a16:creationId xmlns:a16="http://schemas.microsoft.com/office/drawing/2014/main" id="{0894F047-C3A4-40BF-BBCA-2D323FC50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134471</xdr:colOff>
      <xdr:row>32</xdr:row>
      <xdr:rowOff>0</xdr:rowOff>
    </xdr:from>
    <xdr:to>
      <xdr:col>22</xdr:col>
      <xdr:colOff>840441</xdr:colOff>
      <xdr:row>37</xdr:row>
      <xdr:rowOff>22412</xdr:rowOff>
    </xdr:to>
    <xdr:graphicFrame macro="">
      <xdr:nvGraphicFramePr>
        <xdr:cNvPr id="3" name="Chart 2">
          <a:extLst>
            <a:ext uri="{FF2B5EF4-FFF2-40B4-BE49-F238E27FC236}">
              <a16:creationId xmlns:a16="http://schemas.microsoft.com/office/drawing/2014/main" id="{F0A88AFB-6743-4903-B126-B21009679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31</xdr:col>
      <xdr:colOff>127000</xdr:colOff>
      <xdr:row>51</xdr:row>
      <xdr:rowOff>7471</xdr:rowOff>
    </xdr:from>
    <xdr:to>
      <xdr:col>37</xdr:col>
      <xdr:colOff>100373</xdr:colOff>
      <xdr:row>91</xdr:row>
      <xdr:rowOff>170980</xdr:rowOff>
    </xdr:to>
    <xdr:pic>
      <xdr:nvPicPr>
        <xdr:cNvPr id="4" name="Picture 3">
          <a:extLst>
            <a:ext uri="{FF2B5EF4-FFF2-40B4-BE49-F238E27FC236}">
              <a16:creationId xmlns:a16="http://schemas.microsoft.com/office/drawing/2014/main" id="{84976307-7759-401B-99F1-AC94A3BCFBB7}"/>
            </a:ext>
          </a:extLst>
        </xdr:cNvPr>
        <xdr:cNvPicPr>
          <a:picLocks noChangeAspect="1"/>
        </xdr:cNvPicPr>
      </xdr:nvPicPr>
      <xdr:blipFill>
        <a:blip xmlns:r="http://schemas.openxmlformats.org/officeDocument/2006/relationships" r:embed="rId3"/>
        <a:stretch>
          <a:fillRect/>
        </a:stretch>
      </xdr:blipFill>
      <xdr:spPr>
        <a:xfrm>
          <a:off x="3593353" y="8128000"/>
          <a:ext cx="5934903" cy="73352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4</xdr:row>
      <xdr:rowOff>19050</xdr:rowOff>
    </xdr:from>
    <xdr:to>
      <xdr:col>11</xdr:col>
      <xdr:colOff>541005</xdr:colOff>
      <xdr:row>9</xdr:row>
      <xdr:rowOff>117617</xdr:rowOff>
    </xdr:to>
    <xdr:pic>
      <xdr:nvPicPr>
        <xdr:cNvPr id="3" name="Picture 2">
          <a:extLst>
            <a:ext uri="{FF2B5EF4-FFF2-40B4-BE49-F238E27FC236}">
              <a16:creationId xmlns:a16="http://schemas.microsoft.com/office/drawing/2014/main" id="{8E2381EE-01B9-404A-A54F-C453E0598DBA}"/>
            </a:ext>
          </a:extLst>
        </xdr:cNvPr>
        <xdr:cNvPicPr>
          <a:picLocks noChangeAspect="1"/>
        </xdr:cNvPicPr>
      </xdr:nvPicPr>
      <xdr:blipFill>
        <a:blip xmlns:r="http://schemas.openxmlformats.org/officeDocument/2006/relationships" r:embed="rId1"/>
        <a:stretch>
          <a:fillRect/>
        </a:stretch>
      </xdr:blipFill>
      <xdr:spPr>
        <a:xfrm>
          <a:off x="0" y="755650"/>
          <a:ext cx="8992855" cy="101931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9</xdr:row>
      <xdr:rowOff>19232</xdr:rowOff>
    </xdr:from>
    <xdr:to>
      <xdr:col>8</xdr:col>
      <xdr:colOff>68655</xdr:colOff>
      <xdr:row>25</xdr:row>
      <xdr:rowOff>137509</xdr:rowOff>
    </xdr:to>
    <xdr:pic>
      <xdr:nvPicPr>
        <xdr:cNvPr id="4" name="Picture 3">
          <a:extLst>
            <a:ext uri="{FF2B5EF4-FFF2-40B4-BE49-F238E27FC236}">
              <a16:creationId xmlns:a16="http://schemas.microsoft.com/office/drawing/2014/main" id="{03ADE5B4-7116-49A0-A960-8445D0C75503}"/>
            </a:ext>
          </a:extLst>
        </xdr:cNvPr>
        <xdr:cNvPicPr>
          <a:picLocks noChangeAspect="1"/>
        </xdr:cNvPicPr>
      </xdr:nvPicPr>
      <xdr:blipFill>
        <a:blip xmlns:r="http://schemas.openxmlformats.org/officeDocument/2006/relationships" r:embed="rId1"/>
        <a:stretch>
          <a:fillRect/>
        </a:stretch>
      </xdr:blipFill>
      <xdr:spPr>
        <a:xfrm>
          <a:off x="0" y="3702232"/>
          <a:ext cx="6158305" cy="306467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12</xdr:row>
      <xdr:rowOff>44450</xdr:rowOff>
    </xdr:from>
    <xdr:to>
      <xdr:col>7</xdr:col>
      <xdr:colOff>183033</xdr:colOff>
      <xdr:row>31</xdr:row>
      <xdr:rowOff>106015</xdr:rowOff>
    </xdr:to>
    <xdr:pic>
      <xdr:nvPicPr>
        <xdr:cNvPr id="2" name="Picture 1">
          <a:extLst>
            <a:ext uri="{FF2B5EF4-FFF2-40B4-BE49-F238E27FC236}">
              <a16:creationId xmlns:a16="http://schemas.microsoft.com/office/drawing/2014/main" id="{EE6730EA-8D61-407F-A613-624FA20AFBE6}"/>
            </a:ext>
          </a:extLst>
        </xdr:cNvPr>
        <xdr:cNvPicPr>
          <a:picLocks noChangeAspect="1"/>
        </xdr:cNvPicPr>
      </xdr:nvPicPr>
      <xdr:blipFill>
        <a:blip xmlns:r="http://schemas.openxmlformats.org/officeDocument/2006/relationships" r:embed="rId1"/>
        <a:stretch>
          <a:fillRect/>
        </a:stretch>
      </xdr:blipFill>
      <xdr:spPr>
        <a:xfrm>
          <a:off x="0" y="1885950"/>
          <a:ext cx="5663083" cy="356041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11</xdr:row>
      <xdr:rowOff>57565</xdr:rowOff>
    </xdr:from>
    <xdr:to>
      <xdr:col>13</xdr:col>
      <xdr:colOff>443483</xdr:colOff>
      <xdr:row>29</xdr:row>
      <xdr:rowOff>137289</xdr:rowOff>
    </xdr:to>
    <xdr:pic>
      <xdr:nvPicPr>
        <xdr:cNvPr id="3" name="Picture 2">
          <a:extLst>
            <a:ext uri="{FF2B5EF4-FFF2-40B4-BE49-F238E27FC236}">
              <a16:creationId xmlns:a16="http://schemas.microsoft.com/office/drawing/2014/main" id="{F60D2490-5E93-4D83-ABEC-706B6C4C1054}"/>
            </a:ext>
          </a:extLst>
        </xdr:cNvPr>
        <xdr:cNvPicPr>
          <a:picLocks noChangeAspect="1"/>
        </xdr:cNvPicPr>
      </xdr:nvPicPr>
      <xdr:blipFill>
        <a:blip xmlns:r="http://schemas.openxmlformats.org/officeDocument/2006/relationships" r:embed="rId1"/>
        <a:stretch>
          <a:fillRect/>
        </a:stretch>
      </xdr:blipFill>
      <xdr:spPr>
        <a:xfrm>
          <a:off x="0" y="4108865"/>
          <a:ext cx="9581133" cy="33944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400050</xdr:colOff>
      <xdr:row>45</xdr:row>
      <xdr:rowOff>63500</xdr:rowOff>
    </xdr:from>
    <xdr:to>
      <xdr:col>4</xdr:col>
      <xdr:colOff>423042</xdr:colOff>
      <xdr:row>74</xdr:row>
      <xdr:rowOff>76947</xdr:rowOff>
    </xdr:to>
    <xdr:pic>
      <xdr:nvPicPr>
        <xdr:cNvPr id="4" name="Picture 3">
          <a:extLst>
            <a:ext uri="{FF2B5EF4-FFF2-40B4-BE49-F238E27FC236}">
              <a16:creationId xmlns:a16="http://schemas.microsoft.com/office/drawing/2014/main" id="{1EFABE3A-9CB9-4220-BA01-C0792D0A8E29}"/>
            </a:ext>
          </a:extLst>
        </xdr:cNvPr>
        <xdr:cNvPicPr>
          <a:picLocks noChangeAspect="1"/>
        </xdr:cNvPicPr>
      </xdr:nvPicPr>
      <xdr:blipFill>
        <a:blip xmlns:r="http://schemas.openxmlformats.org/officeDocument/2006/relationships" r:embed="rId1"/>
        <a:stretch>
          <a:fillRect/>
        </a:stretch>
      </xdr:blipFill>
      <xdr:spPr>
        <a:xfrm>
          <a:off x="400050" y="8166100"/>
          <a:ext cx="5496692" cy="5353797"/>
        </a:xfrm>
        <a:prstGeom prst="rect">
          <a:avLst/>
        </a:prstGeom>
      </xdr:spPr>
    </xdr:pic>
    <xdr:clientData/>
  </xdr:twoCellAnchor>
  <xdr:twoCellAnchor>
    <xdr:from>
      <xdr:col>6</xdr:col>
      <xdr:colOff>168275</xdr:colOff>
      <xdr:row>52</xdr:row>
      <xdr:rowOff>168275</xdr:rowOff>
    </xdr:from>
    <xdr:to>
      <xdr:col>13</xdr:col>
      <xdr:colOff>473075</xdr:colOff>
      <xdr:row>69</xdr:row>
      <xdr:rowOff>149225</xdr:rowOff>
    </xdr:to>
    <xdr:graphicFrame macro="">
      <xdr:nvGraphicFramePr>
        <xdr:cNvPr id="6" name="Chart 5">
          <a:extLst>
            <a:ext uri="{FF2B5EF4-FFF2-40B4-BE49-F238E27FC236}">
              <a16:creationId xmlns:a16="http://schemas.microsoft.com/office/drawing/2014/main" id="{88BAC959-3F7F-4975-AC89-08C5A22A6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36</xdr:row>
      <xdr:rowOff>133350</xdr:rowOff>
    </xdr:from>
    <xdr:to>
      <xdr:col>4</xdr:col>
      <xdr:colOff>461203</xdr:colOff>
      <xdr:row>76</xdr:row>
      <xdr:rowOff>102624</xdr:rowOff>
    </xdr:to>
    <xdr:pic>
      <xdr:nvPicPr>
        <xdr:cNvPr id="8" name="Picture 7">
          <a:extLst>
            <a:ext uri="{FF2B5EF4-FFF2-40B4-BE49-F238E27FC236}">
              <a16:creationId xmlns:a16="http://schemas.microsoft.com/office/drawing/2014/main" id="{5639E9EB-DA79-4C09-947E-F778727FFA07}"/>
            </a:ext>
          </a:extLst>
        </xdr:cNvPr>
        <xdr:cNvPicPr>
          <a:picLocks noChangeAspect="1"/>
        </xdr:cNvPicPr>
      </xdr:nvPicPr>
      <xdr:blipFill>
        <a:blip xmlns:r="http://schemas.openxmlformats.org/officeDocument/2006/relationships" r:embed="rId3"/>
        <a:stretch>
          <a:fillRect/>
        </a:stretch>
      </xdr:blipFill>
      <xdr:spPr>
        <a:xfrm>
          <a:off x="0" y="6210300"/>
          <a:ext cx="5934903" cy="73352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cofys.sharepoint.com/sites/S052/208798/WorkEnvironment/NYSERDA%20NYS%20datase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threesf.sharepoint.com/sites/ExelonCarbonNeutral/Shared%20Documents/General/Analysis/DACCS%20Process%20Energy%20and%20Cos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ChrisB/Dropbox%20(Energy%20Innovation)/Desktop/Current%20CA%20EPS%20update/E3%20comparison_oct2020_carbon_neutrality_study.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hrisB/Dropbox%20(Energy%20Innovation)/Desktop/CA%20EPS/eps-us-3.2.1/InputData/fuels/BFPaT/BAU%20Fuel%20Prices%20and%20Tax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shepard/Downloads/eps-us-3.2.1%20(1)/eps-us-3.2.1/InputData/fuels/BFPaT/USA%20BAU%20Fuel%20Prices%20and%20Tax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 requests"/>
      <sheetName val="Tool"/>
      <sheetName val="Tool_Calc"/>
      <sheetName val="Proc_Emis_Sources"/>
      <sheetName val="Energy_Cost_&amp;_EF"/>
      <sheetName val="CCUS_Data"/>
      <sheetName val="CCUS_Input_Data---&gt;"/>
      <sheetName val="CC_Energy_Calc"/>
      <sheetName val="Enthal_Calc"/>
      <sheetName val="Sup_Calc"/>
      <sheetName val="Emis_Datasets---&gt;"/>
      <sheetName val="Merge_Emis_Sources"/>
      <sheetName val="NYS_Emis_Inventory"/>
      <sheetName val="EPA_Emis_Database"/>
      <sheetName val="Admin"/>
      <sheetName val="Old data emission mapping"/>
      <sheetName val="Admin_SIC"/>
      <sheetName val="Capture cost"/>
      <sheetName val="Emissions split 2015"/>
      <sheetName val="CO2 Storage Resources"/>
    </sheetNames>
    <sheetDataSet>
      <sheetData sheetId="0"/>
      <sheetData sheetId="1"/>
      <sheetData sheetId="2"/>
      <sheetData sheetId="3"/>
      <sheetData sheetId="4"/>
      <sheetData sheetId="5"/>
      <sheetData sheetId="6"/>
      <sheetData sheetId="7">
        <row r="78">
          <cell r="C78" t="str">
            <v>Natural gas power plant</v>
          </cell>
        </row>
        <row r="79">
          <cell r="C79" t="str">
            <v>Wood based power plant</v>
          </cell>
        </row>
        <row r="80">
          <cell r="C80" t="str">
            <v>Solid waste power plant</v>
          </cell>
        </row>
        <row r="81">
          <cell r="C81" t="str">
            <v>Coal power plant</v>
          </cell>
        </row>
        <row r="82">
          <cell r="C82" t="str">
            <v>Natural gas combustion</v>
          </cell>
        </row>
        <row r="83">
          <cell r="C83" t="str">
            <v>Cement production part A</v>
          </cell>
        </row>
        <row r="84">
          <cell r="C84" t="str">
            <v>Cement production part B</v>
          </cell>
        </row>
        <row r="85">
          <cell r="C85" t="str">
            <v>Cement production</v>
          </cell>
        </row>
        <row r="86">
          <cell r="C86" t="str">
            <v>Aluminum smelter</v>
          </cell>
        </row>
        <row r="87">
          <cell r="C87" t="str">
            <v>Paper/pulp/paperboard mill</v>
          </cell>
        </row>
        <row r="88">
          <cell r="C88" t="str">
            <v>Scrap-based steel mill</v>
          </cell>
        </row>
        <row r="89">
          <cell r="C89" t="str">
            <v>Glass production</v>
          </cell>
        </row>
        <row r="90">
          <cell r="C90" t="str">
            <v>Ethanol production</v>
          </cell>
        </row>
        <row r="91">
          <cell r="C91" t="str">
            <v>Hydrogen production</v>
          </cell>
        </row>
        <row r="92">
          <cell r="C92" t="str">
            <v>KOH</v>
          </cell>
        </row>
        <row r="99">
          <cell r="F99">
            <v>92.698093039658474</v>
          </cell>
        </row>
        <row r="100">
          <cell r="F100">
            <v>55.266245094218483</v>
          </cell>
        </row>
        <row r="101">
          <cell r="F101">
            <v>55.266245094218483</v>
          </cell>
        </row>
        <row r="102">
          <cell r="F102">
            <v>49.090377821213067</v>
          </cell>
        </row>
        <row r="103">
          <cell r="F103">
            <v>92.698093039658474</v>
          </cell>
        </row>
        <row r="106">
          <cell r="F106">
            <v>36.108852874796526</v>
          </cell>
        </row>
        <row r="107">
          <cell r="F107">
            <v>77.473941391394305</v>
          </cell>
        </row>
        <row r="108">
          <cell r="F108">
            <v>75.364663380738435</v>
          </cell>
        </row>
        <row r="109">
          <cell r="F109">
            <v>24.113327946631138</v>
          </cell>
        </row>
        <row r="110">
          <cell r="F110">
            <v>48.001624023038175</v>
          </cell>
        </row>
        <row r="111">
          <cell r="F111">
            <v>14.770827527723304</v>
          </cell>
        </row>
        <row r="112">
          <cell r="F112">
            <v>26.94870049326558</v>
          </cell>
        </row>
        <row r="113">
          <cell r="F113">
            <v>163</v>
          </cell>
        </row>
      </sheetData>
      <sheetData sheetId="8">
        <row r="70">
          <cell r="C70" t="str">
            <v>Formaldehyde</v>
          </cell>
          <cell r="J70">
            <v>0.10068995371449503</v>
          </cell>
        </row>
        <row r="71">
          <cell r="C71" t="str">
            <v>Ethylene oxide</v>
          </cell>
          <cell r="J71">
            <v>0.63677639046538026</v>
          </cell>
        </row>
        <row r="72">
          <cell r="C72" t="str">
            <v>Carbon monoxide</v>
          </cell>
          <cell r="J72">
            <v>0.21591003213138166</v>
          </cell>
        </row>
        <row r="73">
          <cell r="C73" t="str">
            <v>Synthetic methane as fuel</v>
          </cell>
          <cell r="J73">
            <v>0.37703491271820455</v>
          </cell>
        </row>
        <row r="74">
          <cell r="C74" t="str">
            <v>Methanol to olefins (total)</v>
          </cell>
          <cell r="J74">
            <v>0.17246941394552975</v>
          </cell>
        </row>
        <row r="75">
          <cell r="C75" t="str">
            <v>Carbonate mineralization - natural minerals</v>
          </cell>
          <cell r="J75">
            <v>0.5</v>
          </cell>
        </row>
        <row r="76">
          <cell r="C76" t="str">
            <v>Refrigerant gas</v>
          </cell>
          <cell r="J76" t="e">
            <v>#N/A</v>
          </cell>
        </row>
        <row r="77">
          <cell r="C77" t="str">
            <v>Acetic acid</v>
          </cell>
          <cell r="J77">
            <v>0.10070672084193699</v>
          </cell>
        </row>
        <row r="78">
          <cell r="C78" t="str">
            <v>Formic Acid</v>
          </cell>
          <cell r="J78">
            <v>0.13138474907668912</v>
          </cell>
        </row>
        <row r="79">
          <cell r="C79" t="str">
            <v>Ethylene glycol</v>
          </cell>
          <cell r="J79">
            <v>9.7432576123731282E-2</v>
          </cell>
        </row>
      </sheetData>
      <sheetData sheetId="9">
        <row r="1">
          <cell r="A1" t="str">
            <v>SupCalc_Product</v>
          </cell>
          <cell r="B1" t="str">
            <v>SupCalc_Type</v>
          </cell>
          <cell r="E1" t="str">
            <v>SupCalc_Data</v>
          </cell>
          <cell r="F1" t="str">
            <v>Electricity demand</v>
          </cell>
          <cell r="G1" t="str">
            <v>Thermal demand</v>
          </cell>
          <cell r="H1" t="str">
            <v>Plant size</v>
          </cell>
          <cell r="I1" t="str">
            <v>CO2 utilization factor</v>
          </cell>
          <cell r="J1" t="str">
            <v>CAPEX</v>
          </cell>
          <cell r="K1" t="str">
            <v>Other OPEX</v>
          </cell>
        </row>
        <row r="3">
          <cell r="C3" t="str">
            <v>The purpose of this sheet is to provide a central location for calculations which are used in other sheets, such as the energy and cost datasheet. In this sheet there will also be additional explanation and references where necessary.</v>
          </cell>
        </row>
        <row r="5">
          <cell r="C5" t="str">
            <v>Supporting calculations</v>
          </cell>
        </row>
        <row r="6">
          <cell r="C6" t="str">
            <v xml:space="preserve">Provides all the supporting calculations for the quantification of attributes </v>
          </cell>
        </row>
        <row r="8">
          <cell r="D8" t="str">
            <v>Emission Factors</v>
          </cell>
        </row>
        <row r="10">
          <cell r="F10" t="str">
            <v>Fuel</v>
          </cell>
          <cell r="G10" t="str">
            <v>Factor</v>
          </cell>
          <cell r="H10" t="str">
            <v>Unit</v>
          </cell>
          <cell r="I10" t="str">
            <v>Reference</v>
          </cell>
        </row>
        <row r="11">
          <cell r="F11" t="str">
            <v>Natural gas</v>
          </cell>
          <cell r="G11">
            <v>56100</v>
          </cell>
          <cell r="H11" t="str">
            <v>kg GHG/TJ</v>
          </cell>
          <cell r="I11" t="str">
            <v xml:space="preserve">https://www.ipcc-nggip.iges.or.jp/public/2006gl/pdf/2_Volume2/V2_2_Ch2_Stationary_Combustion.pdf </v>
          </cell>
        </row>
        <row r="12">
          <cell r="F12" t="str">
            <v>Natural gas</v>
          </cell>
          <cell r="G12">
            <v>15583333333.333334</v>
          </cell>
          <cell r="H12" t="str">
            <v>kg CO2 /kWh</v>
          </cell>
        </row>
        <row r="13">
          <cell r="F13" t="str">
            <v>Electricity North Carolina 2016</v>
          </cell>
          <cell r="G13">
            <v>805.3</v>
          </cell>
          <cell r="H13" t="str">
            <v>lbs CO2/kWh</v>
          </cell>
          <cell r="I13" t="str">
            <v>https://www.epa.gov/energy/power-profiler</v>
          </cell>
        </row>
        <row r="14">
          <cell r="F14" t="str">
            <v>Electricity North Carolina 2016</v>
          </cell>
          <cell r="G14">
            <v>0.36527793556099997</v>
          </cell>
          <cell r="H14" t="str">
            <v>tonne CO2/kWh</v>
          </cell>
        </row>
        <row r="17">
          <cell r="D17" t="str">
            <v>Fuel properties</v>
          </cell>
        </row>
        <row r="19">
          <cell r="F19" t="str">
            <v>Conversion</v>
          </cell>
          <cell r="G19" t="str">
            <v>Factor</v>
          </cell>
          <cell r="H19" t="str">
            <v>Reference</v>
          </cell>
          <cell r="K19" t="str">
            <v>Fuel</v>
          </cell>
          <cell r="L19" t="str">
            <v>LHV</v>
          </cell>
          <cell r="N19" t="str">
            <v>Reference</v>
          </cell>
        </row>
        <row r="20">
          <cell r="F20" t="str">
            <v>Metric tonnes/barrel diesel</v>
          </cell>
          <cell r="G20">
            <v>0.13333333</v>
          </cell>
          <cell r="H20" t="str">
            <v>https://www.cmegroup.com/tools-information/calc_refined.html</v>
          </cell>
          <cell r="I20" t="str">
            <v/>
          </cell>
          <cell r="L20" t="str">
            <v>MJ/kg</v>
          </cell>
          <cell r="M20" t="str">
            <v>MJ/l</v>
          </cell>
        </row>
        <row r="21">
          <cell r="F21" t="str">
            <v>Metric tonnes/barrel kerosene</v>
          </cell>
          <cell r="G21">
            <v>0.12820513</v>
          </cell>
          <cell r="H21" t="str">
            <v>https://www.cmegroup.com/tools-information/calc_refined.html</v>
          </cell>
          <cell r="I21" t="str">
            <v/>
          </cell>
          <cell r="K21" t="str">
            <v>Diesel</v>
          </cell>
          <cell r="L21">
            <v>42.6</v>
          </cell>
          <cell r="M21">
            <v>36</v>
          </cell>
          <cell r="N21" t="str">
            <v>https://www.engineeringtoolbox.com/fuels-higher-calorific-values-d_169.html</v>
          </cell>
          <cell r="O21" t="str">
            <v/>
          </cell>
        </row>
        <row r="22">
          <cell r="F22" t="str">
            <v>Metric tonnes/barrel RFO</v>
          </cell>
          <cell r="G22">
            <v>0.14925373</v>
          </cell>
          <cell r="H22" t="str">
            <v>https://www.cmegroup.com/tools-information/calc_refined.html</v>
          </cell>
          <cell r="I22" t="str">
            <v/>
          </cell>
          <cell r="K22" t="str">
            <v>Ethanol</v>
          </cell>
          <cell r="L22">
            <v>26.7</v>
          </cell>
          <cell r="M22">
            <v>21.1</v>
          </cell>
          <cell r="N22" t="str">
            <v>https://www.engineeringtoolbox.com/fuels-higher-calorific-values-d_169.html</v>
          </cell>
          <cell r="O22" t="str">
            <v/>
          </cell>
        </row>
        <row r="23">
          <cell r="F23" t="str">
            <v>Metric tonnes/barrel gasoline</v>
          </cell>
          <cell r="G23">
            <v>0.1183432</v>
          </cell>
          <cell r="H23" t="str">
            <v>https://www.cmegroup.com/tools-information/calc_refined.html</v>
          </cell>
          <cell r="I23" t="str">
            <v/>
          </cell>
          <cell r="K23" t="str">
            <v>Methane</v>
          </cell>
          <cell r="L23">
            <v>50</v>
          </cell>
          <cell r="M23">
            <v>35.799999999999997</v>
          </cell>
          <cell r="N23" t="str">
            <v>https://www.engineeringtoolbox.com/fuels-higher-calorific-values-d_169.html</v>
          </cell>
          <cell r="O23" t="str">
            <v>MJ/m3 instead of MJ/l</v>
          </cell>
        </row>
        <row r="24">
          <cell r="F24" t="str">
            <v>Metric tonnes/barrel distillate fuel</v>
          </cell>
          <cell r="G24">
            <v>0.13</v>
          </cell>
          <cell r="H24" t="str">
            <v>https://www.cmegroup.com/tools-information/calc_refined.html</v>
          </cell>
          <cell r="I24" t="str">
            <v/>
          </cell>
          <cell r="K24" t="str">
            <v>Hydrogen</v>
          </cell>
          <cell r="L24">
            <v>120</v>
          </cell>
          <cell r="M24">
            <v>10.8</v>
          </cell>
          <cell r="N24" t="str">
            <v>https://www.engineeringtoolbox.com/fuels-higher-calorific-values-d_169.html</v>
          </cell>
          <cell r="O24" t="str">
            <v/>
          </cell>
        </row>
        <row r="25">
          <cell r="F25" t="str">
            <v>Metric tonnes/barrel ethanol</v>
          </cell>
          <cell r="G25">
            <v>0.12486142322097379</v>
          </cell>
          <cell r="H25" t="str">
            <v>https://www.aqua-calc.com/calculate/volume-to-weight</v>
          </cell>
          <cell r="I25" t="str">
            <v/>
          </cell>
        </row>
        <row r="26">
          <cell r="F26" t="str">
            <v>Cubic meter/barrel oil</v>
          </cell>
          <cell r="G26">
            <v>0.158</v>
          </cell>
          <cell r="H26" t="str">
            <v>https://www.cmegroup.com/tools-information/calc_refined.html</v>
          </cell>
          <cell r="I26" t="str">
            <v/>
          </cell>
        </row>
        <row r="27">
          <cell r="F27" t="str">
            <v>kg/metric tonne</v>
          </cell>
          <cell r="G27">
            <v>1000</v>
          </cell>
        </row>
        <row r="28">
          <cell r="F28" t="str">
            <v>g/kg</v>
          </cell>
          <cell r="G28">
            <v>1000</v>
          </cell>
        </row>
        <row r="29">
          <cell r="F29" t="str">
            <v>lbs/tonne</v>
          </cell>
          <cell r="G29">
            <v>4.5359236999999999E-4</v>
          </cell>
          <cell r="H29" t="str">
            <v>https://www.rapidtables.com/convert/weight/pound-to-ton.html</v>
          </cell>
        </row>
        <row r="31">
          <cell r="D31" t="str">
            <v>Chemical conversion</v>
          </cell>
        </row>
        <row r="33">
          <cell r="F33" t="str">
            <v>Conversion</v>
          </cell>
          <cell r="G33" t="str">
            <v>Factor</v>
          </cell>
          <cell r="H33" t="str">
            <v>Reference</v>
          </cell>
        </row>
        <row r="34">
          <cell r="E34" t="str">
            <v>Cst_g/mol_to_tonne/mol</v>
          </cell>
          <cell r="F34" t="str">
            <v>g/mol in tonne/mol</v>
          </cell>
          <cell r="G34">
            <v>1000000</v>
          </cell>
        </row>
        <row r="35">
          <cell r="F35" t="str">
            <v>KJ/ GJ</v>
          </cell>
          <cell r="G35">
            <v>1000000</v>
          </cell>
        </row>
        <row r="38">
          <cell r="D38" t="str">
            <v>Chemicals</v>
          </cell>
        </row>
        <row r="41">
          <cell r="F41" t="str">
            <v>Technology</v>
          </cell>
          <cell r="I41" t="str">
            <v xml:space="preserve">CO2 required                     </v>
          </cell>
          <cell r="J41" t="str">
            <v>Global product demand</v>
          </cell>
          <cell r="K41" t="str">
            <v>Global Demand</v>
          </cell>
          <cell r="M41" t="str">
            <v>USA Production demand</v>
          </cell>
        </row>
        <row r="42">
          <cell r="F42" t="str">
            <v>Application types</v>
          </cell>
          <cell r="G42" t="str">
            <v>Carbon Utilization Family</v>
          </cell>
          <cell r="H42" t="str">
            <v>Carbon Utilization technologies</v>
          </cell>
          <cell r="I42" t="str">
            <v>t CO2/ t product</v>
          </cell>
          <cell r="J42" t="str">
            <v>Mtpa</v>
          </cell>
          <cell r="K42" t="str">
            <v>MtCO2/yr</v>
          </cell>
          <cell r="L42" t="str">
            <v>References</v>
          </cell>
          <cell r="M42" t="str">
            <v>Tonnes product per year</v>
          </cell>
          <cell r="N42" t="str">
            <v>URL</v>
          </cell>
          <cell r="O42" t="str">
            <v>Year</v>
          </cell>
          <cell r="P42" t="str">
            <v>Title</v>
          </cell>
          <cell r="Q42" t="str">
            <v xml:space="preserve">Author or Publication entity </v>
          </cell>
          <cell r="R42" t="str">
            <v>Comment</v>
          </cell>
        </row>
        <row r="43">
          <cell r="F43" t="str">
            <v>Chemicals</v>
          </cell>
          <cell r="G43" t="str">
            <v>Methanol as a feedstock</v>
          </cell>
          <cell r="H43" t="str">
            <v>Methanol to BTX-Benzene</v>
          </cell>
          <cell r="I43">
            <v>3.38</v>
          </cell>
          <cell r="J43">
            <v>48.564874560828429</v>
          </cell>
          <cell r="K43">
            <v>164.14927601560009</v>
          </cell>
          <cell r="L43" t="str">
            <v>1,24,25</v>
          </cell>
          <cell r="M43">
            <v>6735000</v>
          </cell>
          <cell r="N43" t="str">
            <v xml:space="preserve">https://www.argusmedia.com/-/media/Files/sample-reports/argus-benzene-annual-2017-brochure-full-toc.ashx?la=ja&amp;hash=548780C5AD0154DECAA2C29130BCFB8AFE8CA675 </v>
          </cell>
          <cell r="O43">
            <v>2015</v>
          </cell>
          <cell r="P43" t="str">
            <v>Argus Benzene Annual 2017</v>
          </cell>
          <cell r="Q43" t="str">
            <v>Published by Argus</v>
          </cell>
          <cell r="R43" t="str">
            <v>Not USA only data (North America data)</v>
          </cell>
        </row>
        <row r="44">
          <cell r="H44" t="str">
            <v>Methanol to BTX-Toluene</v>
          </cell>
          <cell r="I44">
            <v>3.35</v>
          </cell>
          <cell r="J44">
            <v>29.41495954749999</v>
          </cell>
          <cell r="K44">
            <v>98.54011448412497</v>
          </cell>
          <cell r="L44" t="str">
            <v>1,24,26</v>
          </cell>
          <cell r="M44">
            <v>3550000</v>
          </cell>
          <cell r="N44" t="str">
            <v>https://www.icis.com/explore/resources/news/2018/12/20/10298237/chemical-profile-us-toluene/</v>
          </cell>
          <cell r="O44">
            <v>2018</v>
          </cell>
          <cell r="P44" t="str">
            <v>Chemical profile: US toluene</v>
          </cell>
          <cell r="Q44" t="str">
            <v>Published by ICIS</v>
          </cell>
          <cell r="R44" t="str">
            <v>plant capacity data</v>
          </cell>
        </row>
        <row r="45">
          <cell r="H45" t="str">
            <v>Methanol to BTX-Xylene</v>
          </cell>
          <cell r="I45">
            <v>3.32</v>
          </cell>
          <cell r="J45">
            <v>48.276617048299997</v>
          </cell>
          <cell r="K45">
            <v>160.27836860035598</v>
          </cell>
          <cell r="L45" t="str">
            <v>1,24,27</v>
          </cell>
          <cell r="M45">
            <v>4105000</v>
          </cell>
          <cell r="N45" t="str">
            <v>https://www.icis.com/explore/resources/news/2018/07/19/10243167/chemical-profile-us-paraxylene/</v>
          </cell>
          <cell r="O45">
            <v>2018</v>
          </cell>
          <cell r="P45" t="str">
            <v>Chemical profile: US paraxylene</v>
          </cell>
          <cell r="Q45" t="str">
            <v>Published by ICIS</v>
          </cell>
          <cell r="R45" t="str">
            <v>plant capacity data</v>
          </cell>
        </row>
        <row r="46">
          <cell r="H46" t="str">
            <v>Methanol to Olefins-Ethylene</v>
          </cell>
          <cell r="I46">
            <v>3.14</v>
          </cell>
          <cell r="J46">
            <v>150</v>
          </cell>
          <cell r="K46">
            <v>471</v>
          </cell>
          <cell r="L46" t="str">
            <v>1,24,28</v>
          </cell>
          <cell r="M46">
            <v>33072299.903999999</v>
          </cell>
          <cell r="N46" t="str">
            <v>https://www.icis.com/explore/resources/news/2018/08/29/10255170/interactive-us-august-propylene-contracts-settle-up-2-cents-lb-amid-recent-outages/</v>
          </cell>
          <cell r="O46">
            <v>2018</v>
          </cell>
          <cell r="P46" t="str">
            <v>US August propylene contracts settle up 2 cents/lb amid recent outages</v>
          </cell>
          <cell r="Q46" t="str">
            <v>Published by ICIS</v>
          </cell>
        </row>
        <row r="47">
          <cell r="H47" t="str">
            <v>Methanol to Olefins-Propylene</v>
          </cell>
          <cell r="I47">
            <v>3.14</v>
          </cell>
          <cell r="J47">
            <v>100</v>
          </cell>
          <cell r="K47">
            <v>314</v>
          </cell>
          <cell r="L47" t="str">
            <v>1,24,29</v>
          </cell>
          <cell r="M47">
            <v>4814879.08</v>
          </cell>
          <cell r="N47" t="str">
            <v>https://www.icis.com/explore/resources/news/2018/08/29/10255170/interactive-us-august-propylene-contracts-settle-up-2-cents-lb-amid-recent-outages/</v>
          </cell>
          <cell r="O47">
            <v>2018</v>
          </cell>
          <cell r="P47" t="str">
            <v>US August propylene contracts settle up 2 cents/lb amid recent outages</v>
          </cell>
          <cell r="Q47" t="str">
            <v>Published by ICIS</v>
          </cell>
        </row>
        <row r="49">
          <cell r="I49" t="str">
            <v>Data used in longlist</v>
          </cell>
          <cell r="J49" t="str">
            <v>Named range</v>
          </cell>
          <cell r="K49" t="str">
            <v>Value</v>
          </cell>
        </row>
        <row r="50">
          <cell r="I50" t="str">
            <v>Methanol to BTX global product demand</v>
          </cell>
          <cell r="J50" t="str">
            <v>Prod_Glob_Meth_BTX</v>
          </cell>
          <cell r="K50">
            <v>126.25645115662842</v>
          </cell>
        </row>
        <row r="51">
          <cell r="I51" t="str">
            <v>Methanol to Olefins global product demand</v>
          </cell>
          <cell r="J51" t="str">
            <v>Prod_Glob_Meth_Olef</v>
          </cell>
          <cell r="K51">
            <v>250</v>
          </cell>
        </row>
        <row r="57">
          <cell r="E57" t="str">
            <v>Formaldehyde</v>
          </cell>
        </row>
        <row r="59">
          <cell r="F59" t="str">
            <v>Electricity demand</v>
          </cell>
          <cell r="G59" t="str">
            <v>Thermal demand</v>
          </cell>
          <cell r="H59" t="str">
            <v>Plant size</v>
          </cell>
          <cell r="I59" t="str">
            <v>CO2 utilization factor</v>
          </cell>
          <cell r="J59" t="str">
            <v>CAPEX</v>
          </cell>
          <cell r="K59" t="str">
            <v>Other OPEX</v>
          </cell>
        </row>
        <row r="60">
          <cell r="F60" t="str">
            <v>kWhe/t product</v>
          </cell>
          <cell r="G60" t="str">
            <v>kWhth/t product</v>
          </cell>
          <cell r="H60" t="str">
            <v>tonne/y</v>
          </cell>
          <cell r="I60" t="str">
            <v>tCO2/t product</v>
          </cell>
          <cell r="J60" t="str">
            <v>$/tonne</v>
          </cell>
          <cell r="K60" t="str">
            <v>$/tonne</v>
          </cell>
        </row>
        <row r="61">
          <cell r="A61" t="str">
            <v>Formaldehyde</v>
          </cell>
          <cell r="F61" t="str">
            <v/>
          </cell>
          <cell r="G61" t="str">
            <v/>
          </cell>
          <cell r="H61">
            <v>250000</v>
          </cell>
          <cell r="I61">
            <v>1.47</v>
          </cell>
          <cell r="J61" t="str">
            <v>Not identified</v>
          </cell>
          <cell r="K61">
            <v>0</v>
          </cell>
        </row>
        <row r="63">
          <cell r="F63" t="str">
            <v>Factor</v>
          </cell>
          <cell r="G63" t="str">
            <v>Value</v>
          </cell>
          <cell r="H63" t="str">
            <v>Unit</v>
          </cell>
          <cell r="I63" t="str">
            <v>Reference</v>
          </cell>
        </row>
        <row r="64">
          <cell r="F64" t="str">
            <v>Technology provider</v>
          </cell>
        </row>
        <row r="65">
          <cell r="F65" t="str">
            <v>Plant size</v>
          </cell>
          <cell r="G65">
            <v>250000</v>
          </cell>
          <cell r="H65" t="str">
            <v>tonne/yr</v>
          </cell>
          <cell r="I65" t="str">
            <v>https://www.hydrocarbonprocessing.com/news/2018/05/dynea-announces-successful-commissioning-start-up-of-new-formaldehyde-plant</v>
          </cell>
        </row>
        <row r="66">
          <cell r="F66" t="str">
            <v>CO2 use factor</v>
          </cell>
          <cell r="G66">
            <v>1.47</v>
          </cell>
          <cell r="H66" t="str">
            <v>tCO2/t product</v>
          </cell>
          <cell r="I66" t="str">
            <v>http://carbonnext.eu/Deliverables/_/D2.1%20Value%20Chains%2031%2010%202017.pdf</v>
          </cell>
        </row>
        <row r="67">
          <cell r="F67" t="str">
            <v xml:space="preserve">Energy demand </v>
          </cell>
          <cell r="G67" t="str">
            <v>Not identified</v>
          </cell>
          <cell r="H67" t="str">
            <v>kWhe/t product</v>
          </cell>
        </row>
        <row r="68">
          <cell r="F68" t="str">
            <v xml:space="preserve">Energy demand </v>
          </cell>
          <cell r="G68" t="str">
            <v>Not identified</v>
          </cell>
          <cell r="H68" t="str">
            <v>kWhth/t product</v>
          </cell>
        </row>
        <row r="69">
          <cell r="F69" t="str">
            <v>CAPEX</v>
          </cell>
          <cell r="G69" t="str">
            <v>Not identified</v>
          </cell>
          <cell r="H69" t="str">
            <v>$/tonne</v>
          </cell>
        </row>
        <row r="70">
          <cell r="F70" t="str">
            <v>Other OPEX</v>
          </cell>
          <cell r="H70" t="str">
            <v>$/tonne</v>
          </cell>
        </row>
        <row r="76">
          <cell r="E76" t="str">
            <v>Acetic acid</v>
          </cell>
        </row>
        <row r="78">
          <cell r="F78" t="str">
            <v>Electricity demand</v>
          </cell>
          <cell r="G78" t="str">
            <v>Thermal demand</v>
          </cell>
          <cell r="H78" t="str">
            <v>Plant size</v>
          </cell>
          <cell r="I78" t="str">
            <v>CO2 utilization factor</v>
          </cell>
          <cell r="J78" t="str">
            <v>CAPEX</v>
          </cell>
          <cell r="K78" t="str">
            <v>Other OPEX</v>
          </cell>
        </row>
        <row r="79">
          <cell r="F79" t="str">
            <v>kWhe/t product</v>
          </cell>
          <cell r="G79" t="str">
            <v>kWhth/t product</v>
          </cell>
          <cell r="H79" t="str">
            <v>tonne/y</v>
          </cell>
          <cell r="I79" t="str">
            <v>tCO2/t product</v>
          </cell>
          <cell r="J79" t="str">
            <v>$/tonne</v>
          </cell>
          <cell r="K79" t="str">
            <v>$/tonne</v>
          </cell>
        </row>
        <row r="80">
          <cell r="A80" t="str">
            <v>Acetic acid</v>
          </cell>
          <cell r="F80" t="str">
            <v/>
          </cell>
          <cell r="G80" t="str">
            <v/>
          </cell>
          <cell r="H80">
            <v>1500000</v>
          </cell>
          <cell r="I80">
            <v>1.47</v>
          </cell>
          <cell r="J80" t="str">
            <v>Not identified</v>
          </cell>
          <cell r="K80">
            <v>0</v>
          </cell>
        </row>
        <row r="82">
          <cell r="F82" t="str">
            <v>Factor</v>
          </cell>
          <cell r="G82" t="str">
            <v>Value</v>
          </cell>
          <cell r="H82" t="str">
            <v>Unit</v>
          </cell>
          <cell r="I82" t="str">
            <v>Reference</v>
          </cell>
        </row>
        <row r="83">
          <cell r="F83" t="str">
            <v>Technology provider</v>
          </cell>
        </row>
        <row r="84">
          <cell r="F84" t="str">
            <v>Plant size</v>
          </cell>
          <cell r="G84">
            <v>1500000</v>
          </cell>
          <cell r="H84" t="str">
            <v>tonne/yr</v>
          </cell>
          <cell r="I84" t="str">
            <v>https://www.icis.com/explore/resources/news/2019/01/08/10301264/outlook-19-us-acetic-acid-headed-toward-record-new-year/</v>
          </cell>
        </row>
        <row r="85">
          <cell r="F85" t="str">
            <v>CO2 use factor</v>
          </cell>
          <cell r="G85">
            <v>1.47</v>
          </cell>
          <cell r="H85" t="str">
            <v>tCO2/t product</v>
          </cell>
          <cell r="I85" t="str">
            <v>http://carbonnext.eu/Deliverables/_/D2.1%20Value%20Chains%2031%2010%202017.pdf</v>
          </cell>
        </row>
        <row r="86">
          <cell r="F86" t="str">
            <v xml:space="preserve">Energy demand </v>
          </cell>
          <cell r="G86" t="str">
            <v>Not identified</v>
          </cell>
          <cell r="H86" t="str">
            <v>kWhe/t product</v>
          </cell>
        </row>
        <row r="87">
          <cell r="F87" t="str">
            <v xml:space="preserve">Energy demand </v>
          </cell>
          <cell r="G87" t="str">
            <v>Not identified</v>
          </cell>
          <cell r="H87" t="str">
            <v>kWhth/t product</v>
          </cell>
        </row>
        <row r="88">
          <cell r="F88" t="str">
            <v>CAPEX</v>
          </cell>
          <cell r="G88" t="str">
            <v>Not identified</v>
          </cell>
          <cell r="H88" t="str">
            <v>$/tonne</v>
          </cell>
        </row>
        <row r="89">
          <cell r="F89" t="str">
            <v>Other OPEX</v>
          </cell>
          <cell r="H89" t="str">
            <v>$/tonne</v>
          </cell>
        </row>
        <row r="92">
          <cell r="E92" t="str">
            <v>Ethylene glycol</v>
          </cell>
        </row>
        <row r="94">
          <cell r="F94" t="str">
            <v>Electricity demand</v>
          </cell>
          <cell r="G94" t="str">
            <v>Thermal demand</v>
          </cell>
          <cell r="H94" t="str">
            <v>Plant size</v>
          </cell>
          <cell r="I94" t="str">
            <v>CO2 utilization factor</v>
          </cell>
          <cell r="J94" t="str">
            <v>CAPEX</v>
          </cell>
          <cell r="K94" t="str">
            <v>Other OPEX</v>
          </cell>
        </row>
        <row r="95">
          <cell r="F95" t="str">
            <v>kWhe/t product</v>
          </cell>
          <cell r="G95" t="str">
            <v>kWhth/t product</v>
          </cell>
          <cell r="H95" t="str">
            <v>tonne/y</v>
          </cell>
          <cell r="I95" t="str">
            <v>tCO2/t product</v>
          </cell>
          <cell r="J95" t="str">
            <v>$/tonne</v>
          </cell>
          <cell r="K95" t="str">
            <v>$/tonne</v>
          </cell>
        </row>
        <row r="96">
          <cell r="A96" t="str">
            <v>Ethylene glycol</v>
          </cell>
          <cell r="F96" t="str">
            <v/>
          </cell>
          <cell r="G96" t="str">
            <v/>
          </cell>
          <cell r="H96">
            <v>250000</v>
          </cell>
          <cell r="I96">
            <v>1</v>
          </cell>
          <cell r="J96" t="str">
            <v>Not identified</v>
          </cell>
          <cell r="K96">
            <v>0</v>
          </cell>
        </row>
        <row r="98">
          <cell r="F98" t="str">
            <v>Factor</v>
          </cell>
          <cell r="G98" t="str">
            <v>Value</v>
          </cell>
          <cell r="H98" t="str">
            <v>Unit</v>
          </cell>
          <cell r="I98" t="str">
            <v>Reference</v>
          </cell>
        </row>
        <row r="99">
          <cell r="F99" t="str">
            <v>Technology provider</v>
          </cell>
        </row>
        <row r="100">
          <cell r="F100" t="str">
            <v>Plant size</v>
          </cell>
          <cell r="G100">
            <v>250000</v>
          </cell>
          <cell r="H100" t="str">
            <v>tonne/yr</v>
          </cell>
          <cell r="I100" t="str">
            <v>https://www.plasticsinsight.com/resin-intelligence/resin-prices/mono-ethylene-glycol-meg/</v>
          </cell>
        </row>
        <row r="101">
          <cell r="F101" t="str">
            <v>CO2 use factor</v>
          </cell>
          <cell r="G101">
            <v>1</v>
          </cell>
          <cell r="H101" t="str">
            <v>tCO2/t product</v>
          </cell>
          <cell r="I101" t="str">
            <v>http://carbonnext.eu/Deliverables/_/D2.1%20Value%20Chains%2031%2010%202017.pdf</v>
          </cell>
        </row>
        <row r="102">
          <cell r="F102" t="str">
            <v>Energy demand- electricity</v>
          </cell>
        </row>
        <row r="103">
          <cell r="F103" t="str">
            <v>Energy demand- natural gas</v>
          </cell>
        </row>
        <row r="104">
          <cell r="F104" t="str">
            <v xml:space="preserve">Energy demand </v>
          </cell>
          <cell r="G104" t="str">
            <v>Not identified</v>
          </cell>
          <cell r="H104" t="str">
            <v>kWhe/t product</v>
          </cell>
        </row>
        <row r="105">
          <cell r="F105" t="str">
            <v xml:space="preserve">Energy demand </v>
          </cell>
          <cell r="G105" t="str">
            <v>Not identified</v>
          </cell>
          <cell r="H105" t="str">
            <v>kWhth/t product</v>
          </cell>
        </row>
        <row r="106">
          <cell r="F106" t="str">
            <v>CAPEX</v>
          </cell>
          <cell r="G106" t="str">
            <v>Not identified</v>
          </cell>
          <cell r="H106" t="str">
            <v>$/tonne</v>
          </cell>
        </row>
        <row r="107">
          <cell r="F107" t="str">
            <v>Other OPEX</v>
          </cell>
          <cell r="H107" t="str">
            <v>$/tonne</v>
          </cell>
        </row>
        <row r="109">
          <cell r="E109" t="str">
            <v>Ethylene oxide</v>
          </cell>
        </row>
        <row r="111">
          <cell r="F111" t="str">
            <v>Electricity demand</v>
          </cell>
          <cell r="G111" t="str">
            <v>Thermal demand</v>
          </cell>
          <cell r="H111" t="str">
            <v>Plant size</v>
          </cell>
          <cell r="I111" t="str">
            <v>CO2 utilization factor</v>
          </cell>
          <cell r="J111" t="str">
            <v>CAPEX</v>
          </cell>
          <cell r="K111" t="str">
            <v>Other OPEX</v>
          </cell>
        </row>
        <row r="112">
          <cell r="F112" t="str">
            <v>kWhe/t product</v>
          </cell>
          <cell r="G112" t="str">
            <v>kWhth/t product</v>
          </cell>
          <cell r="H112" t="str">
            <v>tonne/y</v>
          </cell>
          <cell r="I112" t="str">
            <v>tCO2/t product</v>
          </cell>
          <cell r="J112" t="str">
            <v>$/tonne</v>
          </cell>
          <cell r="K112" t="str">
            <v>$/tonne</v>
          </cell>
        </row>
        <row r="113">
          <cell r="A113" t="str">
            <v>Ethylene oxide</v>
          </cell>
          <cell r="F113">
            <v>1.4783263576286343</v>
          </cell>
          <cell r="G113">
            <v>1.531764705882353E-7</v>
          </cell>
          <cell r="H113">
            <v>100000</v>
          </cell>
          <cell r="I113">
            <v>1</v>
          </cell>
          <cell r="J113" t="str">
            <v>Not identified</v>
          </cell>
          <cell r="K113" t="str">
            <v>Not identified</v>
          </cell>
        </row>
        <row r="115">
          <cell r="F115" t="str">
            <v>Factor</v>
          </cell>
          <cell r="G115" t="str">
            <v>Value</v>
          </cell>
          <cell r="H115" t="str">
            <v>Unit</v>
          </cell>
          <cell r="I115" t="str">
            <v>Reference</v>
          </cell>
        </row>
        <row r="116">
          <cell r="F116" t="str">
            <v>Technology provider</v>
          </cell>
          <cell r="G116" t="str">
            <v>RTI International</v>
          </cell>
        </row>
        <row r="117">
          <cell r="F117" t="str">
            <v>Plant size</v>
          </cell>
          <cell r="G117">
            <v>100000</v>
          </cell>
          <cell r="H117" t="str">
            <v>tonne/yr</v>
          </cell>
          <cell r="I117" t="str">
            <v>https://www.hydrocarbonprocessing.com/news/2018/05/dynea-announces-successful-commissioning-start-up-of-new-formaldehyde-plant</v>
          </cell>
        </row>
        <row r="118">
          <cell r="F118" t="str">
            <v>CO2 use factor</v>
          </cell>
          <cell r="G118">
            <v>1</v>
          </cell>
          <cell r="H118" t="str">
            <v>tCO2/t product</v>
          </cell>
          <cell r="I118" t="str">
            <v>http://carbonnext.eu/Deliverables/_/D2.1%20Value%20Chains%2031%2010%202017.pdf</v>
          </cell>
        </row>
        <row r="119">
          <cell r="F119" t="str">
            <v>Energy demand- electricity</v>
          </cell>
          <cell r="G119">
            <v>0.54</v>
          </cell>
          <cell r="H119" t="str">
            <v>tonne CO2/tonne ethylene oxide</v>
          </cell>
          <cell r="I119" t="str">
            <v>http://eralberta.ca/wp-content/uploads/2017/05/K130115-RTI-C3-PEO-Final-Report-Public.pdf</v>
          </cell>
        </row>
        <row r="120">
          <cell r="F120" t="str">
            <v>Energy demand- natural gas</v>
          </cell>
          <cell r="G120">
            <v>2.387</v>
          </cell>
          <cell r="H120" t="str">
            <v>tonne CO2/tonne ethylene oxide</v>
          </cell>
          <cell r="I120" t="str">
            <v>http://eralberta.ca/wp-content/uploads/2017/05/K130115-RTI-C3-PEO-Final-Report-Public.pdf</v>
          </cell>
        </row>
        <row r="121">
          <cell r="F121" t="str">
            <v xml:space="preserve">Energy demand </v>
          </cell>
          <cell r="G121">
            <v>1.4783263576286343</v>
          </cell>
          <cell r="H121" t="str">
            <v>kWhe/t product</v>
          </cell>
        </row>
        <row r="122">
          <cell r="F122" t="str">
            <v xml:space="preserve">Energy demand </v>
          </cell>
          <cell r="G122">
            <v>1.531764705882353E-7</v>
          </cell>
          <cell r="H122" t="str">
            <v>kWhth/t product</v>
          </cell>
        </row>
        <row r="124">
          <cell r="F124" t="str">
            <v>Price</v>
          </cell>
          <cell r="G124" t="str">
            <v>Ethylene oxide market 2018$</v>
          </cell>
          <cell r="H124" t="str">
            <v>Ethylene oxide market 2019$</v>
          </cell>
          <cell r="I124" t="str">
            <v>Global production capacity (tonne)</v>
          </cell>
          <cell r="J124" t="str">
            <v>Price formic acid ($/tonne)</v>
          </cell>
          <cell r="K124" t="str">
            <v>Reference 1</v>
          </cell>
          <cell r="L124" t="str">
            <v>Reference 2</v>
          </cell>
        </row>
        <row r="125">
          <cell r="G125">
            <v>44975756126.488647</v>
          </cell>
          <cell r="H125">
            <v>45875271249.018425</v>
          </cell>
          <cell r="I125">
            <v>34500000</v>
          </cell>
          <cell r="J125">
            <v>1329.7180072179253</v>
          </cell>
          <cell r="K125" t="str">
            <v>https://www.marketwatch.com/press-release/ethylene-oxide-market-to-witness-a-moderate-cagr-of-63-during-2018-2024-2019-05-07?mod=mw_quote_news</v>
          </cell>
          <cell r="L125" t="str">
            <v>https://www.prnewswire.com/news-releases/global-and-china-ethylene-oxide-eo-industry-report-2017---the-market-monopoly-is-gradually-broken-300501896.html</v>
          </cell>
        </row>
        <row r="126">
          <cell r="G126" t="str">
            <v>Back calculated the current worth of the ethylene oxide market based on its worth in 2024 and the CAGR (6.33%)</v>
          </cell>
          <cell r="H126">
            <v>1.02</v>
          </cell>
          <cell r="I126" t="str">
            <v>http://www.in2013dollars.com/us/inflation/2006?amount=1</v>
          </cell>
        </row>
        <row r="130">
          <cell r="E130" t="str">
            <v>Carbon monoxide</v>
          </cell>
        </row>
        <row r="132">
          <cell r="F132" t="str">
            <v>Electricity demand</v>
          </cell>
          <cell r="G132" t="str">
            <v>Thermal demand</v>
          </cell>
          <cell r="H132" t="str">
            <v>Plant size</v>
          </cell>
          <cell r="I132" t="str">
            <v>CO2 utilization factor</v>
          </cell>
          <cell r="J132" t="str">
            <v>CAPEX</v>
          </cell>
          <cell r="K132" t="str">
            <v>Other OPEX</v>
          </cell>
        </row>
        <row r="133">
          <cell r="F133" t="str">
            <v>kWhe/t product</v>
          </cell>
          <cell r="G133" t="str">
            <v>kWhth/t product</v>
          </cell>
          <cell r="H133" t="str">
            <v>tonne/y</v>
          </cell>
          <cell r="I133" t="str">
            <v>tCO2/t product</v>
          </cell>
          <cell r="J133" t="str">
            <v>$/tonne</v>
          </cell>
          <cell r="K133" t="str">
            <v>$/tonne</v>
          </cell>
        </row>
        <row r="134">
          <cell r="A134" t="str">
            <v>Carbon monoxide</v>
          </cell>
          <cell r="F134">
            <v>490.45138888888897</v>
          </cell>
          <cell r="G134">
            <v>0</v>
          </cell>
          <cell r="H134">
            <v>17753.069399161617</v>
          </cell>
          <cell r="I134">
            <v>1.5714285714285716</v>
          </cell>
          <cell r="J134">
            <v>400.11394606359767</v>
          </cell>
          <cell r="K134" t="str">
            <v>Not identified</v>
          </cell>
        </row>
        <row r="136">
          <cell r="F136" t="str">
            <v>Factor</v>
          </cell>
          <cell r="G136" t="str">
            <v>Value</v>
          </cell>
          <cell r="H136" t="str">
            <v>Unit</v>
          </cell>
          <cell r="I136" t="str">
            <v>Reference</v>
          </cell>
        </row>
        <row r="137">
          <cell r="F137" t="str">
            <v>Technology provider</v>
          </cell>
        </row>
        <row r="138">
          <cell r="F138" t="str">
            <v>Plant size</v>
          </cell>
          <cell r="H138" t="str">
            <v>tonne/yr</v>
          </cell>
        </row>
        <row r="139">
          <cell r="F139" t="str">
            <v>CO2 use factor</v>
          </cell>
          <cell r="G139">
            <v>1.5714285714285716</v>
          </cell>
          <cell r="H139" t="str">
            <v>tCO2/t product</v>
          </cell>
        </row>
        <row r="140">
          <cell r="F140" t="str">
            <v>Energy demand- electricity</v>
          </cell>
          <cell r="H140" t="str">
            <v>kWh/tonne CO</v>
          </cell>
        </row>
        <row r="141">
          <cell r="F141" t="str">
            <v>Energy demand- natural gas</v>
          </cell>
          <cell r="H141" t="str">
            <v>tonne CO2/tonne CO</v>
          </cell>
        </row>
        <row r="142">
          <cell r="F142" t="str">
            <v xml:space="preserve">Energy demand </v>
          </cell>
          <cell r="G142">
            <v>490.45138888888897</v>
          </cell>
          <cell r="H142" t="str">
            <v>kWhe/t product</v>
          </cell>
        </row>
        <row r="143">
          <cell r="F143" t="str">
            <v xml:space="preserve">Energy demand </v>
          </cell>
          <cell r="H143" t="str">
            <v>kWhth/t product</v>
          </cell>
        </row>
        <row r="146">
          <cell r="F146" t="str">
            <v>Factor</v>
          </cell>
          <cell r="G146" t="str">
            <v>Value</v>
          </cell>
          <cell r="H146" t="str">
            <v>Unit</v>
          </cell>
          <cell r="I146" t="str">
            <v>Reference</v>
          </cell>
        </row>
        <row r="147">
          <cell r="F147" t="str">
            <v>rWGS energy demand</v>
          </cell>
          <cell r="G147">
            <v>3.5</v>
          </cell>
          <cell r="H147" t="str">
            <v>GJ/t FT fuel</v>
          </cell>
          <cell r="I147" t="str">
            <v>DECHEMA</v>
          </cell>
        </row>
        <row r="148">
          <cell r="F148" t="str">
            <v>Mass of CO needed for FT fuel</v>
          </cell>
          <cell r="G148">
            <v>1.982300884955752</v>
          </cell>
          <cell r="H148" t="str">
            <v>t CO/t FT fuel</v>
          </cell>
          <cell r="I148" t="str">
            <v>GIE report / stochiometry</v>
          </cell>
        </row>
        <row r="149">
          <cell r="F149" t="str">
            <v>Energy demand for CO</v>
          </cell>
          <cell r="G149">
            <v>1.7656250000000002</v>
          </cell>
          <cell r="H149" t="str">
            <v>GJ/t CO</v>
          </cell>
        </row>
        <row r="150">
          <cell r="F150" t="str">
            <v>Mass of H2 needed for rWGS</v>
          </cell>
          <cell r="G150">
            <v>141.59292035398229</v>
          </cell>
          <cell r="H150" t="str">
            <v>kg H2/t FT fuel</v>
          </cell>
          <cell r="I150" t="str">
            <v>GIE report / stochiometry</v>
          </cell>
        </row>
        <row r="151">
          <cell r="F151" t="str">
            <v>Mass of H2 needed for rWGS</v>
          </cell>
          <cell r="G151">
            <v>7.1428571428571425E-2</v>
          </cell>
          <cell r="H151" t="str">
            <v>t H2/t FT fuel</v>
          </cell>
        </row>
        <row r="152">
          <cell r="F152" t="str">
            <v>CO2 needed for fuel</v>
          </cell>
          <cell r="G152">
            <v>3.1150442477876106</v>
          </cell>
          <cell r="H152" t="str">
            <v>tCO2/t FT fuel</v>
          </cell>
          <cell r="I152" t="str">
            <v>GIE report / stochiometry</v>
          </cell>
        </row>
        <row r="153">
          <cell r="F153" t="str">
            <v>CO2 needed for CO</v>
          </cell>
          <cell r="G153">
            <v>1.5714285714285716</v>
          </cell>
        </row>
        <row r="154">
          <cell r="F154" t="str">
            <v>Specific CAPEX rWGS plant</v>
          </cell>
          <cell r="G154">
            <v>3.6</v>
          </cell>
          <cell r="H154" t="str">
            <v>million €/(kgCO/s)</v>
          </cell>
          <cell r="I154" t="str">
            <v>https://kalavasta.com/assets/reports/Kalavasta_Carbon_Neutral_Aviation.pdf</v>
          </cell>
        </row>
        <row r="155">
          <cell r="F155" t="str">
            <v>CO2 to CO conversion</v>
          </cell>
          <cell r="G155">
            <v>0.95</v>
          </cell>
          <cell r="I155" t="str">
            <v>https://kalavasta.com/assets/reports/Kalavasta_Carbon_Neutral_Aviation.pdf</v>
          </cell>
        </row>
        <row r="156">
          <cell r="F156" t="str">
            <v>Capacity industrial scale plant</v>
          </cell>
          <cell r="G156">
            <v>10000000</v>
          </cell>
          <cell r="H156" t="str">
            <v>liters FT fuel</v>
          </cell>
          <cell r="I156" t="str">
            <v>https://bioenergyinternational.com/biofuels-oils/sunfire-build-8-000-tonne-per-annum-power-liquid-facility-norway</v>
          </cell>
        </row>
        <row r="157">
          <cell r="F157" t="str">
            <v>Conversion diesel volume to weight</v>
          </cell>
          <cell r="G157">
            <v>0.8508</v>
          </cell>
          <cell r="H157" t="str">
            <v>kg / l diesel</v>
          </cell>
        </row>
        <row r="158">
          <cell r="F158" t="str">
            <v>Capacity industrial scale plant</v>
          </cell>
          <cell r="G158">
            <v>8508</v>
          </cell>
          <cell r="H158" t="str">
            <v>t FT fuel</v>
          </cell>
        </row>
        <row r="159">
          <cell r="F159" t="str">
            <v>CO (rWGS) requirement industrial scale plant</v>
          </cell>
          <cell r="G159">
            <v>16865.415929203537</v>
          </cell>
          <cell r="H159" t="str">
            <v>t CO</v>
          </cell>
        </row>
        <row r="160">
          <cell r="F160" t="str">
            <v>CO (rWGS) requirement industrial scale plant - corrected for CO2 loss</v>
          </cell>
          <cell r="G160">
            <v>17753.069399161617</v>
          </cell>
          <cell r="H160" t="str">
            <v>t CO</v>
          </cell>
        </row>
        <row r="161">
          <cell r="F161" t="str">
            <v>Capacity factor</v>
          </cell>
          <cell r="G161">
            <v>0.85</v>
          </cell>
          <cell r="I161" t="str">
            <v>Assumption</v>
          </cell>
        </row>
        <row r="162">
          <cell r="F162" t="str">
            <v>Load hours</v>
          </cell>
          <cell r="G162">
            <v>7446</v>
          </cell>
        </row>
        <row r="163">
          <cell r="F163" t="str">
            <v>Flow rate CO</v>
          </cell>
          <cell r="G163">
            <v>2.3842424656408294</v>
          </cell>
          <cell r="H163" t="str">
            <v>t CO/hr</v>
          </cell>
        </row>
        <row r="164">
          <cell r="F164" t="str">
            <v>Flow rate CO</v>
          </cell>
          <cell r="G164">
            <v>8.5832728763069852</v>
          </cell>
          <cell r="H164" t="str">
            <v>kg CO/s</v>
          </cell>
        </row>
        <row r="167">
          <cell r="F167" t="str">
            <v>Factor</v>
          </cell>
          <cell r="G167" t="str">
            <v>Value</v>
          </cell>
          <cell r="H167" t="str">
            <v>Unit</v>
          </cell>
          <cell r="I167" t="str">
            <v>Reference</v>
          </cell>
        </row>
        <row r="168">
          <cell r="F168" t="str">
            <v>CAPEX rWGS plant</v>
          </cell>
          <cell r="G168">
            <v>30.899782354705149</v>
          </cell>
          <cell r="H168" t="str">
            <v>million €</v>
          </cell>
        </row>
        <row r="169">
          <cell r="F169" t="str">
            <v>OPEX rWGS plant</v>
          </cell>
          <cell r="G169">
            <v>0.03</v>
          </cell>
          <cell r="H169" t="str">
            <v>% of CAPEX</v>
          </cell>
          <cell r="I169" t="str">
            <v>https://kalavasta.com/assets/reports/Kalavasta_Carbon_Neutral_Aviation.pdf</v>
          </cell>
        </row>
        <row r="170">
          <cell r="F170" t="str">
            <v>OPEX rWGS plant</v>
          </cell>
          <cell r="G170">
            <v>0.92699347064115445</v>
          </cell>
          <cell r="H170" t="str">
            <v>million €/year</v>
          </cell>
        </row>
        <row r="171">
          <cell r="F171" t="str">
            <v>Capital recovery factor</v>
          </cell>
          <cell r="G171">
            <v>0.11016807219002084</v>
          </cell>
        </row>
        <row r="172">
          <cell r="F172" t="str">
            <v>Annualized CAPEX</v>
          </cell>
          <cell r="G172">
            <v>3.4041694531090889</v>
          </cell>
          <cell r="H172" t="str">
            <v>million €/year</v>
          </cell>
        </row>
        <row r="177">
          <cell r="F177" t="str">
            <v>Price</v>
          </cell>
          <cell r="G177" t="str">
            <v>Market value 2016 ($)</v>
          </cell>
          <cell r="H177" t="str">
            <v>Production 2016 (tonne)</v>
          </cell>
          <cell r="I177" t="str">
            <v>Price 2016 ($/tonne)</v>
          </cell>
          <cell r="J177" t="str">
            <v>Price 2019 ($/tonne)</v>
          </cell>
          <cell r="K177" t="str">
            <v>Reference</v>
          </cell>
        </row>
        <row r="178">
          <cell r="G178">
            <v>2789940000</v>
          </cell>
          <cell r="H178">
            <v>3757000</v>
          </cell>
          <cell r="I178">
            <v>742.597817407506</v>
          </cell>
          <cell r="J178">
            <v>787.15368645195645</v>
          </cell>
          <cell r="K178" t="str">
            <v>https://www.openpr.com/news/558500/Carbon-Monoxide-Market-Size-Worth-USD-3218-87-Million-by-2022.html</v>
          </cell>
        </row>
        <row r="179">
          <cell r="J179">
            <v>1.06</v>
          </cell>
          <cell r="K179" t="str">
            <v>http://www.in2013dollars.com/us/inflation/2006?amount=1</v>
          </cell>
        </row>
        <row r="183">
          <cell r="E183" t="str">
            <v>CO2 to Methanol to Olefins</v>
          </cell>
        </row>
        <row r="185">
          <cell r="F185" t="str">
            <v>Electricity demand</v>
          </cell>
          <cell r="G185" t="str">
            <v>Thermal demand</v>
          </cell>
          <cell r="H185" t="str">
            <v>Plant size</v>
          </cell>
          <cell r="I185" t="str">
            <v>CO2 utilization factor</v>
          </cell>
          <cell r="J185" t="str">
            <v>CAPEX</v>
          </cell>
          <cell r="K185" t="str">
            <v>Other OPEX</v>
          </cell>
        </row>
        <row r="186">
          <cell r="F186" t="str">
            <v>kWhe/t product</v>
          </cell>
          <cell r="G186" t="str">
            <v>kWhth/t product</v>
          </cell>
          <cell r="H186" t="str">
            <v>tonne/y</v>
          </cell>
          <cell r="I186" t="str">
            <v>tCO2/t product</v>
          </cell>
          <cell r="J186" t="str">
            <v>$/tonne</v>
          </cell>
          <cell r="K186" t="str">
            <v>$/tonne</v>
          </cell>
        </row>
        <row r="187">
          <cell r="A187" t="str">
            <v>Methanol to olefins (total)</v>
          </cell>
          <cell r="F187">
            <v>2404.4444444444443</v>
          </cell>
          <cell r="G187">
            <v>2404.4444444444443</v>
          </cell>
          <cell r="H187">
            <v>40000</v>
          </cell>
          <cell r="I187">
            <v>3.14</v>
          </cell>
          <cell r="J187">
            <v>125.04072786048951</v>
          </cell>
          <cell r="K187" t="str">
            <v>Not identified</v>
          </cell>
        </row>
        <row r="189">
          <cell r="F189" t="str">
            <v>Factor</v>
          </cell>
          <cell r="G189" t="str">
            <v>Value</v>
          </cell>
          <cell r="H189" t="str">
            <v>Unit</v>
          </cell>
          <cell r="I189" t="str">
            <v>Reference</v>
          </cell>
        </row>
        <row r="190">
          <cell r="F190" t="str">
            <v>CO2 use factor</v>
          </cell>
          <cell r="G190">
            <v>3.14</v>
          </cell>
          <cell r="H190" t="str">
            <v>tCO2/t olefins</v>
          </cell>
          <cell r="I190" t="str">
            <v>http://carbonnext.eu/Deliverables/_/D2.1%20Value%20Chains%2031%2010%202017.pdf</v>
          </cell>
        </row>
        <row r="191">
          <cell r="F191" t="str">
            <v>Energy demand MTO</v>
          </cell>
          <cell r="G191">
            <v>1388.8888888888889</v>
          </cell>
          <cell r="H191" t="str">
            <v>kWh/t olefins</v>
          </cell>
          <cell r="I191" t="str">
            <v>https://dechema.de/dechema_media/Downloads/Positionspapiere/Technology_study_Low_carbon_energy_and_feedstock_for_the_European_chemical_industry.pdf</v>
          </cell>
        </row>
        <row r="192">
          <cell r="F192" t="str">
            <v>Energy demand Methanol</v>
          </cell>
          <cell r="G192">
            <v>1500.0000000000002</v>
          </cell>
          <cell r="H192" t="str">
            <v>kWh/t methanol</v>
          </cell>
          <cell r="I192" t="str">
            <v>https://dechema.de/dechema_media/Downloads/Positionspapiere/Technology_study_Low_carbon_energy_and_feedstock_for_the_European_chemical_industry.pdf</v>
          </cell>
        </row>
        <row r="193">
          <cell r="F193" t="str">
            <v>Methanol/olefins MTO</v>
          </cell>
          <cell r="G193">
            <v>2.2799999999999998</v>
          </cell>
          <cell r="H193" t="str">
            <v>t methanol / t ethylene or propylene</v>
          </cell>
          <cell r="I193" t="str">
            <v>ibid, p69</v>
          </cell>
        </row>
        <row r="194">
          <cell r="F194" t="str">
            <v>Energy demand Methanol</v>
          </cell>
          <cell r="G194">
            <v>3420</v>
          </cell>
          <cell r="H194" t="str">
            <v>kWh/t olefins</v>
          </cell>
        </row>
        <row r="196">
          <cell r="F196" t="str">
            <v>Methanol production</v>
          </cell>
        </row>
        <row r="197">
          <cell r="F197" t="str">
            <v>CAPEX reference</v>
          </cell>
          <cell r="G197">
            <v>8000000</v>
          </cell>
          <cell r="H197" t="str">
            <v>$2009</v>
          </cell>
          <cell r="I197" t="str">
            <v>https://www.chemicals-technology.com/projects/george-olah-renewable-methanol-plant-iceland/</v>
          </cell>
        </row>
        <row r="198">
          <cell r="F198" t="str">
            <v>Capacity CAPEX reference</v>
          </cell>
          <cell r="G198">
            <v>4000</v>
          </cell>
          <cell r="H198" t="str">
            <v>tonne/yr</v>
          </cell>
          <cell r="I198" t="str">
            <v>https://www.chemicals-technology.com/projects/george-olah-renewable-methanol-plant-iceland/</v>
          </cell>
        </row>
        <row r="199">
          <cell r="F199" t="str">
            <v>Average "large" plant size_2</v>
          </cell>
          <cell r="G199">
            <v>40000</v>
          </cell>
          <cell r="H199" t="str">
            <v>tonne/yr</v>
          </cell>
          <cell r="I199" t="str">
            <v>https://dechema.de/dechema_media/Downloads/Positionspapiere/Technology_study_Low_carbon_energy_and_feedstock_for_the_European_chemical_industry.pdf</v>
          </cell>
          <cell r="J199" t="str">
            <v>The Iceland plant serves as a pilot for a plant about ten times this size, see box 2 on page 64. Producing methanol is likely the limiting factor in terms of capacity hence this is used to scale the full pathway.</v>
          </cell>
        </row>
        <row r="201">
          <cell r="F201" t="str">
            <v>CAPEX Average Large plant size 2</v>
          </cell>
          <cell r="G201">
            <v>37418811.302975871</v>
          </cell>
          <cell r="H201" t="str">
            <v>$2009</v>
          </cell>
          <cell r="I201" t="str">
            <v>https://evcvaluation.com/the-cost-to-capacity-method-and-scale-factors/</v>
          </cell>
          <cell r="J201" t="str">
            <v xml:space="preserve">Using cost to capacity method to estimate costs of average large plant size </v>
          </cell>
        </row>
        <row r="202">
          <cell r="F202" t="str">
            <v>Scaling factor</v>
          </cell>
          <cell r="G202">
            <v>0.67</v>
          </cell>
          <cell r="J202" t="str">
            <v xml:space="preserve">Typical scaling factor </v>
          </cell>
        </row>
        <row r="203">
          <cell r="F203" t="str">
            <v>Inflation</v>
          </cell>
          <cell r="G203">
            <v>0.19120000000000001</v>
          </cell>
          <cell r="H203" t="str">
            <v>2009 to 2019</v>
          </cell>
          <cell r="I203" t="str">
            <v>http://www.in2013dollars.com/us/inflation/2009?amount=1</v>
          </cell>
        </row>
        <row r="204">
          <cell r="F204" t="str">
            <v>CAPEX Average Large plant size 2</v>
          </cell>
          <cell r="G204">
            <v>44573288.024104856</v>
          </cell>
          <cell r="H204" t="str">
            <v>$2019</v>
          </cell>
        </row>
        <row r="206">
          <cell r="F206" t="str">
            <v>Olefins production</v>
          </cell>
        </row>
        <row r="207">
          <cell r="F207" t="str">
            <v>CAPEX reference</v>
          </cell>
          <cell r="G207">
            <v>320000000</v>
          </cell>
          <cell r="H207" t="str">
            <v>$2015</v>
          </cell>
          <cell r="I207" t="str">
            <v>https://www.mdpi.com/2227-9717/3/3/684/htm</v>
          </cell>
        </row>
        <row r="208">
          <cell r="F208" t="str">
            <v>Capacity CAPEX reference</v>
          </cell>
          <cell r="G208">
            <v>1560000</v>
          </cell>
          <cell r="H208" t="str">
            <v>tonne/yr</v>
          </cell>
          <cell r="I208" t="str">
            <v>https://www.mdpi.com/2227-9717/3/3/684/htm</v>
          </cell>
          <cell r="J208" t="str">
            <v>tonnes methanol input</v>
          </cell>
        </row>
        <row r="210">
          <cell r="F210" t="str">
            <v>CAPEX</v>
          </cell>
          <cell r="G210">
            <v>776389.56031436753</v>
          </cell>
          <cell r="H210" t="str">
            <v>$2015</v>
          </cell>
          <cell r="I210" t="str">
            <v>https://evcvaluation.com/the-cost-to-capacity-method-and-scale-factors/</v>
          </cell>
          <cell r="J210" t="str">
            <v>scaled to total methanol produced by methanol plant</v>
          </cell>
        </row>
        <row r="211">
          <cell r="F211" t="str">
            <v>Inflation</v>
          </cell>
          <cell r="G211">
            <v>6.4799999999999996E-2</v>
          </cell>
          <cell r="I211" t="str">
            <v>http://www.in2013dollars.com/us/inflation/2015?amount=1</v>
          </cell>
        </row>
        <row r="212">
          <cell r="F212" t="str">
            <v>CAPEX</v>
          </cell>
          <cell r="G212">
            <v>826699.60382273851</v>
          </cell>
          <cell r="H212" t="str">
            <v>$2019</v>
          </cell>
        </row>
        <row r="214">
          <cell r="F214" t="str">
            <v>Integrated pathway</v>
          </cell>
        </row>
        <row r="215">
          <cell r="F215" t="str">
            <v>Total CAPEX</v>
          </cell>
          <cell r="G215">
            <v>45399987.627927594</v>
          </cell>
          <cell r="H215" t="str">
            <v>$2019</v>
          </cell>
        </row>
        <row r="216">
          <cell r="F216" t="str">
            <v>Discounted Capex</v>
          </cell>
          <cell r="G216">
            <v>5001629.1144195804</v>
          </cell>
          <cell r="H216" t="str">
            <v>$2019/yr</v>
          </cell>
        </row>
        <row r="217">
          <cell r="F217" t="str">
            <v>CAPEX per tonne</v>
          </cell>
          <cell r="G217">
            <v>125.04072786048951</v>
          </cell>
          <cell r="H217" t="str">
            <v>$2019/tonne olefins</v>
          </cell>
        </row>
        <row r="221">
          <cell r="D221" t="str">
            <v>Fuels</v>
          </cell>
        </row>
        <row r="223">
          <cell r="E223" t="str">
            <v>Synthetic methane as fuel</v>
          </cell>
        </row>
        <row r="225">
          <cell r="F225" t="str">
            <v>Electricity demand</v>
          </cell>
          <cell r="G225" t="str">
            <v>Thermal demand</v>
          </cell>
          <cell r="H225" t="str">
            <v>Plant size</v>
          </cell>
          <cell r="I225" t="str">
            <v>CO2 utilization factor</v>
          </cell>
          <cell r="J225" t="str">
            <v>CAPEX</v>
          </cell>
          <cell r="K225" t="str">
            <v>Other OPEX</v>
          </cell>
        </row>
        <row r="226">
          <cell r="F226" t="str">
            <v>kWhe/t product</v>
          </cell>
          <cell r="G226" t="str">
            <v>kWhth/t product</v>
          </cell>
          <cell r="H226" t="str">
            <v>tonne/y</v>
          </cell>
          <cell r="I226" t="str">
            <v>tCO2/t product</v>
          </cell>
          <cell r="J226" t="str">
            <v>$/tonne</v>
          </cell>
          <cell r="K226" t="str">
            <v>$/tonne</v>
          </cell>
        </row>
        <row r="227">
          <cell r="A227" t="str">
            <v>Synthetic methane as fuel</v>
          </cell>
          <cell r="F227">
            <v>750</v>
          </cell>
          <cell r="G227">
            <v>750</v>
          </cell>
          <cell r="H227">
            <v>2730</v>
          </cell>
          <cell r="I227">
            <v>2.75</v>
          </cell>
          <cell r="J227">
            <v>355.02436971917433</v>
          </cell>
          <cell r="K227" t="str">
            <v>Not identified</v>
          </cell>
          <cell r="L227" t="str">
            <v>https://dechema.de/dechema_media/Downloads/Positionspapiere/Technology_study_Low_carbon_energy_and_feedstock_for_the_European_chemical_industry.pdf</v>
          </cell>
        </row>
        <row r="228">
          <cell r="G228" t="str">
            <v>26.9 MWh total energy demand of which 25.4 MWh I used for the lectricity demand associated with hydrogen production. This is accounted for separately here. 1.5 MWh is then assumed to be required across both electricity and thermal energy demand.</v>
          </cell>
          <cell r="H228" t="str">
            <v>Assumes replacement of local consumption of natural gas</v>
          </cell>
          <cell r="I228" t="str">
            <v xml:space="preserve">Multiple routes are possible: (i) Sabatier reaction (2.75), (ii) Electrochemical reduction (5.5) and (iii) Gas fermentation (2.75). We use CO2 use factor from the most advanced route. </v>
          </cell>
        </row>
        <row r="231">
          <cell r="H231" t="str">
            <v>Price ($/tonne)</v>
          </cell>
        </row>
        <row r="232">
          <cell r="H232">
            <v>223.27039459459459</v>
          </cell>
          <cell r="I232" t="str">
            <v>Based on natural gas price see Energy cost &amp; EF tab. Calculation includes conversion from Btu to tonne.</v>
          </cell>
        </row>
        <row r="235">
          <cell r="G235" t="str">
            <v xml:space="preserve">CAPEX SNG plant </v>
          </cell>
          <cell r="H235" t="str">
            <v>Capacity SNG plant</v>
          </cell>
          <cell r="I235" t="str">
            <v>Operating hours</v>
          </cell>
          <cell r="J235" t="str">
            <v xml:space="preserve">CAPEX SNG plant </v>
          </cell>
          <cell r="K235" t="str">
            <v>Reference</v>
          </cell>
        </row>
        <row r="236">
          <cell r="G236" t="str">
            <v>2016€/kW HHV-SNGout</v>
          </cell>
          <cell r="H236" t="str">
            <v>MW</v>
          </cell>
          <cell r="I236" t="str">
            <v xml:space="preserve">hours </v>
          </cell>
          <cell r="J236" t="str">
            <v>€/kWh HHV-SNGout</v>
          </cell>
        </row>
        <row r="237">
          <cell r="G237">
            <v>165.25210828503126</v>
          </cell>
          <cell r="H237">
            <v>5</v>
          </cell>
          <cell r="I237">
            <v>8000</v>
          </cell>
          <cell r="J237">
            <v>2.0656513535628907E-2</v>
          </cell>
          <cell r="K237" t="str">
            <v>http://www.enea-consulting.com/wp-content/uploads/2016/01/ENEA-Consulting-The-potential-of-power-to-gas.pdf</v>
          </cell>
        </row>
        <row r="238">
          <cell r="I238" t="str">
            <v>Assumed</v>
          </cell>
        </row>
        <row r="240">
          <cell r="G240" t="str">
            <v>Capacity SNG plant</v>
          </cell>
          <cell r="H240" t="str">
            <v>Efficiency factor plant</v>
          </cell>
          <cell r="I240" t="str">
            <v>Volume energy delivered</v>
          </cell>
        </row>
        <row r="241">
          <cell r="G241" t="str">
            <v>MWh</v>
          </cell>
          <cell r="H241" t="str">
            <v>%</v>
          </cell>
          <cell r="I241" t="str">
            <v>MWh/year</v>
          </cell>
        </row>
        <row r="242">
          <cell r="G242">
            <v>40000</v>
          </cell>
          <cell r="H242">
            <v>85</v>
          </cell>
          <cell r="I242">
            <v>34000</v>
          </cell>
        </row>
        <row r="243">
          <cell r="H243" t="str">
            <v>Assumed</v>
          </cell>
        </row>
        <row r="244">
          <cell r="G244" t="str">
            <v>Energy density methane</v>
          </cell>
          <cell r="H244" t="str">
            <v>Energy density methane</v>
          </cell>
          <cell r="I244" t="str">
            <v>Energy density methane</v>
          </cell>
          <cell r="J244" t="str">
            <v>CAPEX SNG plant</v>
          </cell>
          <cell r="K244" t="str">
            <v>Reference</v>
          </cell>
        </row>
        <row r="245">
          <cell r="G245" t="str">
            <v>MJ/kg</v>
          </cell>
          <cell r="H245" t="str">
            <v>kWh/kg</v>
          </cell>
          <cell r="I245" t="str">
            <v>kWh/tonne</v>
          </cell>
          <cell r="J245" t="str">
            <v>2016€/tonne</v>
          </cell>
        </row>
        <row r="246">
          <cell r="G246">
            <v>52.75</v>
          </cell>
          <cell r="H246">
            <v>14.652789500000001</v>
          </cell>
          <cell r="I246">
            <v>14652.789500000001</v>
          </cell>
          <cell r="J246">
            <v>302.67554464147116</v>
          </cell>
          <cell r="K246" t="str">
            <v>https://hypertextbook.com/facts/2004/BillyWan.shtml</v>
          </cell>
        </row>
        <row r="247">
          <cell r="G247" t="str">
            <v>Average of a range was used</v>
          </cell>
          <cell r="J247" t="str">
            <v>2016$/tonne</v>
          </cell>
        </row>
        <row r="248">
          <cell r="J248">
            <v>334.92865067846634</v>
          </cell>
          <cell r="K248" t="str">
            <v>https://www.ofx.com/en-gb/forex-news/historical-exchange-rates/</v>
          </cell>
        </row>
        <row r="249">
          <cell r="J249" t="str">
            <v>2016$/tonne</v>
          </cell>
        </row>
        <row r="250">
          <cell r="J250">
            <v>355.02436971917433</v>
          </cell>
          <cell r="K250" t="str">
            <v>http://www.in2013dollars.com/us/inflation/2016?amount=1</v>
          </cell>
        </row>
        <row r="252">
          <cell r="E252" t="str">
            <v>Formic acid</v>
          </cell>
        </row>
        <row r="254">
          <cell r="F254" t="str">
            <v>Electricity demand</v>
          </cell>
          <cell r="G254" t="str">
            <v>Thermal demand</v>
          </cell>
          <cell r="H254" t="str">
            <v>Plant size</v>
          </cell>
          <cell r="I254" t="str">
            <v>CO2 utilization factor</v>
          </cell>
          <cell r="J254" t="str">
            <v>CAPEX</v>
          </cell>
          <cell r="K254" t="str">
            <v>Other OPEX</v>
          </cell>
        </row>
        <row r="255">
          <cell r="F255" t="str">
            <v>kWhe/t product</v>
          </cell>
          <cell r="G255" t="str">
            <v>kWhth/t product</v>
          </cell>
          <cell r="H255" t="str">
            <v>tonne/y</v>
          </cell>
          <cell r="I255" t="str">
            <v>tCO2/t product</v>
          </cell>
          <cell r="J255" t="str">
            <v>$/tonne</v>
          </cell>
          <cell r="K255" t="str">
            <v>$/tonne</v>
          </cell>
        </row>
        <row r="256">
          <cell r="A256" t="str">
            <v>Formic acid</v>
          </cell>
          <cell r="F256">
            <v>2724.666666666667</v>
          </cell>
          <cell r="G256">
            <v>2783</v>
          </cell>
          <cell r="H256">
            <v>10800</v>
          </cell>
          <cell r="I256">
            <v>0.96</v>
          </cell>
          <cell r="J256">
            <v>184.73202680967071</v>
          </cell>
          <cell r="K256" t="str">
            <v>Not identified</v>
          </cell>
        </row>
        <row r="259">
          <cell r="F259" t="str">
            <v>Formic Acid</v>
          </cell>
          <cell r="G259" t="str">
            <v>(DNV Norway)</v>
          </cell>
        </row>
        <row r="261">
          <cell r="F261" t="str">
            <v>Parameter</v>
          </cell>
          <cell r="G261" t="str">
            <v>Factor</v>
          </cell>
          <cell r="H261" t="str">
            <v>Reference</v>
          </cell>
          <cell r="I261" t="str">
            <v>Comment</v>
          </cell>
        </row>
        <row r="262">
          <cell r="F262" t="str">
            <v>output (kg/year)</v>
          </cell>
          <cell r="G262">
            <v>365</v>
          </cell>
          <cell r="H262" t="str">
            <v>https://issuu.com/dnv.com/docs/dnv-position_paper_co2_utilization</v>
          </cell>
        </row>
        <row r="263">
          <cell r="F263" t="str">
            <v>Energy demand (MWh/t)</v>
          </cell>
          <cell r="G263">
            <v>7.5</v>
          </cell>
          <cell r="H263" t="str">
            <v>https://core.ac.uk/download/pdf/52098470.pdf</v>
          </cell>
        </row>
        <row r="264">
          <cell r="F264" t="str">
            <v>Electricity needs (MWh/t)</v>
          </cell>
          <cell r="G264">
            <v>4.0540000000000003</v>
          </cell>
          <cell r="H264" t="str">
            <v>https://www.sciencedirect.com/science/article/pii/S0360319915313835</v>
          </cell>
        </row>
        <row r="265">
          <cell r="F265" t="str">
            <v xml:space="preserve"> - without electrolyser (H2)</v>
          </cell>
          <cell r="G265">
            <v>0.29599999999999999</v>
          </cell>
          <cell r="H265" t="str">
            <v>https://www.sciencedirect.com/science/article/pii/S0360319915313835</v>
          </cell>
        </row>
        <row r="266">
          <cell r="F266" t="str">
            <v>Heating needs</v>
          </cell>
          <cell r="G266">
            <v>2.7829999999999999</v>
          </cell>
          <cell r="H266" t="str">
            <v>https://www.sciencedirect.com/science/article/pii/S0360319915313835</v>
          </cell>
        </row>
        <row r="267">
          <cell r="F267" t="str">
            <v>Cooling needs</v>
          </cell>
          <cell r="G267">
            <v>2.428666666666667</v>
          </cell>
          <cell r="H267" t="str">
            <v>https://www.sciencedirect.com/science/article/pii/S0360319915313835</v>
          </cell>
          <cell r="I267" t="str">
            <v>no integration of heating and cooling assumed in this case study. This is corrected for by taking 1,5t/hr output and 800kW savings poential as cited (but not applied) in the same study</v>
          </cell>
        </row>
        <row r="270">
          <cell r="F270" t="str">
            <v>CO2 utilised</v>
          </cell>
          <cell r="G270" t="str">
            <v>Comments</v>
          </cell>
          <cell r="H270" t="str">
            <v>Reference</v>
          </cell>
        </row>
        <row r="271">
          <cell r="F271">
            <v>0.96</v>
          </cell>
          <cell r="H271" t="str">
            <v>http://carbonnext.eu/Deliverables/_/D2.1%20Value%20Chains%2031%2010%202017.pdf</v>
          </cell>
        </row>
        <row r="274">
          <cell r="F274" t="str">
            <v>Factor</v>
          </cell>
          <cell r="G274" t="str">
            <v>Value</v>
          </cell>
          <cell r="H274" t="str">
            <v>Unit</v>
          </cell>
          <cell r="I274" t="str">
            <v>Reference</v>
          </cell>
        </row>
        <row r="275">
          <cell r="F275" t="str">
            <v>CAPEX</v>
          </cell>
          <cell r="G275">
            <v>16.2</v>
          </cell>
          <cell r="H275" t="str">
            <v xml:space="preserve">M€ </v>
          </cell>
          <cell r="I275" t="str">
            <v>https://www.sciencedirect.com/science/article/pii/S0360319915313835</v>
          </cell>
        </row>
        <row r="276">
          <cell r="F276" t="str">
            <v>Capacity</v>
          </cell>
          <cell r="G276">
            <v>12</v>
          </cell>
          <cell r="H276" t="str">
            <v>ktonne/yr</v>
          </cell>
          <cell r="I276" t="str">
            <v>https://www.sciencedirect.com/science/article/pii/S0360319915313835</v>
          </cell>
        </row>
        <row r="277">
          <cell r="F277" t="str">
            <v>Assumed load factor</v>
          </cell>
          <cell r="G277">
            <v>0.9</v>
          </cell>
          <cell r="I277" t="str">
            <v>https://www.sciencedirect.com/science/article/pii/S0360319915313835, revised downward from 91.3% to 90% to be conservative.</v>
          </cell>
        </row>
        <row r="278">
          <cell r="F278" t="str">
            <v>Exchange rate</v>
          </cell>
          <cell r="G278">
            <v>1.11788</v>
          </cell>
          <cell r="H278" t="str">
            <v>USD/EUR</v>
          </cell>
          <cell r="I278" t="str">
            <v>https://www.xe.com/currencyconverter/convert/?Amount=1&amp;From=EUR&amp;To=USD</v>
          </cell>
        </row>
        <row r="279">
          <cell r="F279" t="str">
            <v>CAPEX annuitised</v>
          </cell>
          <cell r="G279">
            <v>1.9951058895444438</v>
          </cell>
          <cell r="H279" t="str">
            <v>M$/yr</v>
          </cell>
          <cell r="I279" t="str">
            <v>Assumed CRF</v>
          </cell>
        </row>
        <row r="280">
          <cell r="F280" t="str">
            <v>CAPEX per tonne</v>
          </cell>
          <cell r="G280">
            <v>184.73202680967071</v>
          </cell>
          <cell r="H280" t="str">
            <v>$/tonne FA</v>
          </cell>
        </row>
        <row r="283">
          <cell r="F283" t="str">
            <v>Price</v>
          </cell>
          <cell r="G283" t="str">
            <v>Formic acid market 2016$</v>
          </cell>
          <cell r="H283" t="str">
            <v>Formic acid market 2019$</v>
          </cell>
          <cell r="I283" t="str">
            <v>Global production capacity (tonne)</v>
          </cell>
          <cell r="J283" t="str">
            <v>Price formic acid ($/tonne)</v>
          </cell>
          <cell r="K283" t="str">
            <v>Reference 1</v>
          </cell>
          <cell r="L283" t="str">
            <v>Reference 2</v>
          </cell>
        </row>
        <row r="284">
          <cell r="G284">
            <v>516900000</v>
          </cell>
          <cell r="H284">
            <v>547914000</v>
          </cell>
          <cell r="I284">
            <v>1137000</v>
          </cell>
          <cell r="J284">
            <v>481.89445910290237</v>
          </cell>
          <cell r="K284" t="str">
            <v>https://www.ktvn.com/story/40085223/formic-acid-market-price-trend-2019-size-estimation-latest-research-news-growth-opportunities-industry-outline-with-key-players-vendors-and-regions</v>
          </cell>
          <cell r="L284" t="str">
            <v>https://www.mordorintelligence.com/industry-reports/formic-acid-market</v>
          </cell>
        </row>
        <row r="285">
          <cell r="H285">
            <v>1.06</v>
          </cell>
          <cell r="I285" t="str">
            <v>http://www.in2013dollars.com/us/inflation/2006?amount=1</v>
          </cell>
        </row>
        <row r="289">
          <cell r="D289" t="str">
            <v xml:space="preserve">Mineralisation </v>
          </cell>
        </row>
        <row r="291">
          <cell r="F291" t="str">
            <v xml:space="preserve"> </v>
          </cell>
        </row>
        <row r="292">
          <cell r="E292" t="str">
            <v>Carbonate mineralization - natural minerals</v>
          </cell>
        </row>
        <row r="294">
          <cell r="F294" t="str">
            <v>Electricity demand</v>
          </cell>
          <cell r="G294" t="str">
            <v>Thermal demand</v>
          </cell>
          <cell r="H294" t="str">
            <v>Plant size</v>
          </cell>
          <cell r="I294" t="str">
            <v>CO2 utilization factor</v>
          </cell>
          <cell r="J294" t="str">
            <v>CAPEX</v>
          </cell>
          <cell r="K294" t="str">
            <v>Other OPEX</v>
          </cell>
        </row>
        <row r="295">
          <cell r="F295" t="str">
            <v>kWhe/t product</v>
          </cell>
          <cell r="G295" t="str">
            <v>kWhth/t product</v>
          </cell>
          <cell r="H295" t="str">
            <v>tonne/y</v>
          </cell>
          <cell r="I295" t="str">
            <v>tCO2/t product</v>
          </cell>
          <cell r="J295" t="str">
            <v>$/tonne</v>
          </cell>
          <cell r="K295" t="str">
            <v>$/tonne</v>
          </cell>
        </row>
        <row r="296">
          <cell r="A296" t="str">
            <v>Carbonate mineralization - natural minerals</v>
          </cell>
          <cell r="F296">
            <v>168.07692307692307</v>
          </cell>
          <cell r="G296">
            <v>1.816239316239316E-2</v>
          </cell>
          <cell r="H296">
            <v>26000.000000000004</v>
          </cell>
          <cell r="I296">
            <v>0.38461538461538458</v>
          </cell>
          <cell r="J296">
            <v>14.833274000237333</v>
          </cell>
          <cell r="K296">
            <v>19.050798258345431</v>
          </cell>
        </row>
        <row r="299">
          <cell r="F299" t="str">
            <v>Variable</v>
          </cell>
          <cell r="G299" t="str">
            <v>Value</v>
          </cell>
          <cell r="H299" t="str">
            <v>Unit</v>
          </cell>
          <cell r="I299" t="str">
            <v>Reference</v>
          </cell>
        </row>
        <row r="300">
          <cell r="F300" t="str">
            <v>Power requirement</v>
          </cell>
          <cell r="G300">
            <v>437</v>
          </cell>
          <cell r="H300" t="str">
            <v>kWhe/tCO2</v>
          </cell>
          <cell r="I300" t="str">
            <v>Based on Wollastonite, which NYS has quarries of. Source: https://www.ipcc.ch/site/assets/uploads/2018/03/srccs_wholereport-1.pdf; http://www.nysm.nysed.gov/common/nysm/files/nysmrecord-vol3_0.pdf; https://www.psi.ch/sites/default/files/import/eem/PublicationsTabelle/2014_Volkart_Article_LCA_mineral_carbonation.pdf</v>
          </cell>
        </row>
        <row r="301">
          <cell r="F301" t="str">
            <v>Power requirement</v>
          </cell>
          <cell r="G301">
            <v>168.07692307692307</v>
          </cell>
          <cell r="H301" t="str">
            <v>kWhe/tP</v>
          </cell>
        </row>
        <row r="302">
          <cell r="F302" t="str">
            <v>Energy requirements - grinding to 100 μm</v>
          </cell>
          <cell r="G302">
            <v>140</v>
          </cell>
          <cell r="H302" t="str">
            <v>kWh</v>
          </cell>
          <cell r="I302" t="str">
            <v>https://www.researchgate.net/publication/265987710</v>
          </cell>
        </row>
        <row r="303">
          <cell r="F303" t="str">
            <v>Heat requirement</v>
          </cell>
          <cell r="G303">
            <v>0.17</v>
          </cell>
          <cell r="H303" t="str">
            <v>MJ/tCO2</v>
          </cell>
          <cell r="I303" t="str">
            <v>https://www.psi.ch/sites/default/files/import/eem/PublicationsTabelle/2014_Volkart_Article_LCA_mineral_carbonation.pdf</v>
          </cell>
        </row>
        <row r="304">
          <cell r="F304" t="str">
            <v>Costs of activated wollastonite ore</v>
          </cell>
          <cell r="G304">
            <v>19</v>
          </cell>
          <cell r="H304" t="str">
            <v>$/t</v>
          </cell>
          <cell r="I304" t="str">
            <v>https://www.ipcc.ch/site/assets/uploads/2018/03/srccs_wholereport-1.pdf</v>
          </cell>
        </row>
        <row r="305">
          <cell r="F305" t="str">
            <v>CO2 utilised</v>
          </cell>
          <cell r="G305">
            <v>0.38461538461538458</v>
          </cell>
          <cell r="H305" t="str">
            <v>tCO2/t</v>
          </cell>
          <cell r="I305" t="str">
            <v>https://www.ipcc.ch/site/assets/uploads/2018/03/srccs_wholereport-1.pdf</v>
          </cell>
        </row>
        <row r="306">
          <cell r="F306" t="str">
            <v>CO2 utilised per plant</v>
          </cell>
          <cell r="G306">
            <v>10000</v>
          </cell>
          <cell r="H306" t="str">
            <v>t CO2 / y</v>
          </cell>
          <cell r="I306" t="str">
            <v>Based on demonstration phase plans of MCI: https://www.mineralcarbonation.com/</v>
          </cell>
        </row>
        <row r="307">
          <cell r="F307" t="str">
            <v>Plant capacity</v>
          </cell>
          <cell r="G307">
            <v>26000.000000000004</v>
          </cell>
          <cell r="H307" t="str">
            <v>t carbonated material /y</v>
          </cell>
        </row>
        <row r="308">
          <cell r="F308" t="str">
            <v xml:space="preserve">CO2 stored </v>
          </cell>
          <cell r="G308">
            <v>0.318</v>
          </cell>
          <cell r="H308" t="str">
            <v>tCO2/MWh</v>
          </cell>
          <cell r="I308" t="str">
            <v>Supporting calculations: https://www.sciencedirect.com/science/article/abs/pii/S175058361300426X?via%3Dihub</v>
          </cell>
        </row>
        <row r="309">
          <cell r="F309" t="str">
            <v>Levelised CAPEX of mineral carbonation plant</v>
          </cell>
          <cell r="G309">
            <v>1.5</v>
          </cell>
          <cell r="H309" t="str">
            <v>€/MWh</v>
          </cell>
          <cell r="I309" t="str">
            <v>Supporting calculations: https://www.sciencedirect.com/science/article/abs/pii/S175058361300426X?via%3Dihub</v>
          </cell>
        </row>
        <row r="310">
          <cell r="F310" t="str">
            <v>Levelised fixed O&amp;M of mineral carbonation plant</v>
          </cell>
          <cell r="G310">
            <v>0.9</v>
          </cell>
          <cell r="H310" t="str">
            <v>€/MWh</v>
          </cell>
          <cell r="I310" t="str">
            <v>Supporting calculations: https://www.sciencedirect.com/science/article/abs/pii/S175058361300426X?via%3Dihub</v>
          </cell>
        </row>
        <row r="311">
          <cell r="F311" t="str">
            <v>CAPEX mineral carbonation plant</v>
          </cell>
          <cell r="G311">
            <v>4.716981132075472</v>
          </cell>
          <cell r="H311" t="str">
            <v>€/tCO2</v>
          </cell>
        </row>
        <row r="312">
          <cell r="F312" t="str">
            <v>Fixed O&amp;M mineral carbonation plant</v>
          </cell>
          <cell r="G312">
            <v>2.8301886792452828</v>
          </cell>
          <cell r="H312" t="str">
            <v>€/tCO2</v>
          </cell>
        </row>
        <row r="315">
          <cell r="G315" t="str">
            <v>Price</v>
          </cell>
          <cell r="H315" t="str">
            <v>Market value 2018 ($)</v>
          </cell>
          <cell r="I315" t="str">
            <v>Production 2015 (tonne)</v>
          </cell>
          <cell r="J315" t="str">
            <v>Predicted production 2018 (tonne)</v>
          </cell>
          <cell r="K315" t="str">
            <v>Price 2018 ($/tonne)</v>
          </cell>
          <cell r="L315" t="str">
            <v>Price 2019 ($/tonne)</v>
          </cell>
          <cell r="M315" t="str">
            <v>Reference</v>
          </cell>
        </row>
        <row r="316">
          <cell r="H316">
            <v>360000000000</v>
          </cell>
          <cell r="I316">
            <v>1320000000</v>
          </cell>
          <cell r="J316">
            <v>1510667843.5200002</v>
          </cell>
          <cell r="K316">
            <v>238.30519828976148</v>
          </cell>
          <cell r="L316">
            <v>243.0713022555567</v>
          </cell>
          <cell r="M316" t="str">
            <v>https://www.globenewswire.com/news-release/2019/02/20/1738165/0/en/Global-Construction-Aggregates-Market-Will-Reach-USD-490-Billion-by-2025-Zion-Market-Research.html</v>
          </cell>
        </row>
        <row r="317">
          <cell r="H317" t="str">
            <v>Construction aggregates</v>
          </cell>
        </row>
        <row r="318">
          <cell r="J318" t="str">
            <v>CAGR(%)</v>
          </cell>
          <cell r="K318" t="str">
            <v>Number of years</v>
          </cell>
          <cell r="L318" t="str">
            <v>Reference</v>
          </cell>
        </row>
        <row r="319">
          <cell r="J319">
            <v>4.5999999999999996</v>
          </cell>
          <cell r="K319">
            <v>3</v>
          </cell>
          <cell r="L319" t="str">
            <v>https://www.globenewswire.com/news-release/2019/02/20/1738165/0/en/Global-Construction-Aggregates-Market-Will-Reach-USD-490-Billion-by-2025-Zion-Market-Research.html</v>
          </cell>
        </row>
        <row r="321">
          <cell r="J321" t="str">
            <v>2018$</v>
          </cell>
          <cell r="K321" t="str">
            <v>2019$</v>
          </cell>
          <cell r="L321" t="str">
            <v>Reference</v>
          </cell>
        </row>
        <row r="322">
          <cell r="J322">
            <v>1</v>
          </cell>
          <cell r="K322">
            <v>1.02</v>
          </cell>
          <cell r="L322" t="str">
            <v>http://www.in2013dollars.com/us/inflation/2006?amount=1</v>
          </cell>
        </row>
        <row r="325">
          <cell r="D325" t="str">
            <v>Other</v>
          </cell>
        </row>
        <row r="329">
          <cell r="E329" t="str">
            <v>Refrigerant gas - not assessed in model</v>
          </cell>
        </row>
        <row r="331">
          <cell r="F331" t="str">
            <v>Electricity demand</v>
          </cell>
          <cell r="G331" t="str">
            <v>Thermal demand</v>
          </cell>
          <cell r="H331" t="str">
            <v>Plant size</v>
          </cell>
          <cell r="I331" t="str">
            <v>CO2 utilization factor</v>
          </cell>
          <cell r="J331" t="str">
            <v>CAPEX</v>
          </cell>
          <cell r="K331" t="str">
            <v>Other OPEX</v>
          </cell>
        </row>
        <row r="332">
          <cell r="F332" t="str">
            <v>kWhe/t product</v>
          </cell>
          <cell r="G332" t="str">
            <v>kWhth/t product</v>
          </cell>
          <cell r="H332" t="str">
            <v>tonne/y</v>
          </cell>
          <cell r="I332" t="str">
            <v>tCO2/t product</v>
          </cell>
          <cell r="J332" t="str">
            <v>$/tonne</v>
          </cell>
          <cell r="K332" t="str">
            <v>$/tonne</v>
          </cell>
        </row>
        <row r="333">
          <cell r="A333" t="str">
            <v>Refrigerant gas</v>
          </cell>
          <cell r="I333">
            <v>1</v>
          </cell>
          <cell r="J333" t="str">
            <v>Not identified</v>
          </cell>
          <cell r="K333" t="str">
            <v>Not identified</v>
          </cell>
        </row>
        <row r="336">
          <cell r="F336" t="str">
            <v>Cost component</v>
          </cell>
          <cell r="G336" t="str">
            <v>Cost component</v>
          </cell>
          <cell r="H336" t="str">
            <v>Unit</v>
          </cell>
        </row>
        <row r="337">
          <cell r="F337" t="str">
            <v>Investment cost</v>
          </cell>
          <cell r="G337">
            <v>10000</v>
          </cell>
          <cell r="H337" t="str">
            <v>€</v>
          </cell>
        </row>
        <row r="338">
          <cell r="F338" t="str">
            <v>MT power cost - CO2 refrigerant</v>
          </cell>
          <cell r="G338">
            <v>65000</v>
          </cell>
          <cell r="H338" t="str">
            <v>€</v>
          </cell>
        </row>
        <row r="339">
          <cell r="F339" t="str">
            <v>LT power cost - CO2 refrigerant</v>
          </cell>
          <cell r="G339">
            <v>15000</v>
          </cell>
          <cell r="H339" t="str">
            <v>€</v>
          </cell>
        </row>
        <row r="340">
          <cell r="F340" t="str">
            <v>MT power cost - HFC refrigerant</v>
          </cell>
          <cell r="G340">
            <v>50000</v>
          </cell>
          <cell r="H340" t="str">
            <v>€</v>
          </cell>
        </row>
        <row r="341">
          <cell r="F341" t="str">
            <v>LT power cost - HFC refrigerant</v>
          </cell>
          <cell r="G341">
            <v>12000</v>
          </cell>
          <cell r="H341" t="str">
            <v>€</v>
          </cell>
        </row>
        <row r="342">
          <cell r="F342" t="str">
            <v>Assumption power cost study</v>
          </cell>
          <cell r="G342">
            <v>0.15</v>
          </cell>
          <cell r="H342" t="str">
            <v>€/kWh</v>
          </cell>
        </row>
        <row r="343">
          <cell r="F343" t="str">
            <v>MT power consumption</v>
          </cell>
          <cell r="G343">
            <v>433.33333333333337</v>
          </cell>
          <cell r="H343" t="str">
            <v>MWh</v>
          </cell>
        </row>
        <row r="344">
          <cell r="F344" t="str">
            <v>LT power consumption</v>
          </cell>
          <cell r="G344">
            <v>100</v>
          </cell>
          <cell r="H344" t="str">
            <v>MWh</v>
          </cell>
        </row>
        <row r="345">
          <cell r="F345" t="str">
            <v>MT power consumption</v>
          </cell>
          <cell r="G345">
            <v>333.33333333333337</v>
          </cell>
          <cell r="H345" t="str">
            <v>MWh</v>
          </cell>
        </row>
        <row r="346">
          <cell r="F346" t="str">
            <v>LT power consumption</v>
          </cell>
          <cell r="G346">
            <v>80</v>
          </cell>
          <cell r="H346" t="str">
            <v>MWh</v>
          </cell>
        </row>
        <row r="347">
          <cell r="F347" t="str">
            <v>Lifetime CO2e emissions CO2 refrigerant system</v>
          </cell>
          <cell r="G347">
            <v>2000</v>
          </cell>
          <cell r="H347" t="str">
            <v>tCO2e</v>
          </cell>
        </row>
        <row r="348">
          <cell r="F348" t="str">
            <v>Lifetime CO2e emissions HFC refrigerant system</v>
          </cell>
          <cell r="G348">
            <v>2850</v>
          </cell>
          <cell r="H348" t="str">
            <v>tCO2e</v>
          </cell>
        </row>
        <row r="353">
          <cell r="F353" t="str">
            <v>Price</v>
          </cell>
          <cell r="G353" t="str">
            <v>2019$/pound</v>
          </cell>
          <cell r="H353" t="str">
            <v>2019$/tonne</v>
          </cell>
          <cell r="I353" t="str">
            <v>Reference</v>
          </cell>
        </row>
        <row r="354">
          <cell r="G354">
            <v>1</v>
          </cell>
          <cell r="H354">
            <v>2204.6226218000002</v>
          </cell>
          <cell r="I354" t="str">
            <v>http://www.r744.com/files/Hillphoenix_CO2_ROI_WhitePaper_v10_Oct24_2014.pdf</v>
          </cell>
        </row>
        <row r="358">
          <cell r="D358" t="str">
            <v>CO2 storage</v>
          </cell>
        </row>
        <row r="360">
          <cell r="F360" t="str">
            <v>Location</v>
          </cell>
          <cell r="G360" t="str">
            <v>Formation</v>
          </cell>
          <cell r="H360" t="str">
            <v>Storage potential</v>
          </cell>
          <cell r="I360" t="str">
            <v>CAPEX</v>
          </cell>
          <cell r="J360" t="str">
            <v>OPEX</v>
          </cell>
          <cell r="K360" t="str">
            <v>Reference</v>
          </cell>
        </row>
        <row r="361">
          <cell r="F361" t="str">
            <v>-</v>
          </cell>
          <cell r="H361" t="str">
            <v>billion tonnes/year</v>
          </cell>
          <cell r="I361" t="str">
            <v>$/tonne</v>
          </cell>
          <cell r="J361" t="str">
            <v>$/tonne</v>
          </cell>
        </row>
        <row r="362">
          <cell r="F362" t="str">
            <v>Onshore</v>
          </cell>
          <cell r="G362" t="str">
            <v>Oil and natural gas reservoirs</v>
          </cell>
          <cell r="H362">
            <v>0.08</v>
          </cell>
          <cell r="I362">
            <v>18.64</v>
          </cell>
          <cell r="J362">
            <v>0.55920000000000003</v>
          </cell>
          <cell r="K362" t="str">
            <v>Average of 16.1 and 21.2. From: https://ieaghg.org/docs/overviews/2005-3.pdf</v>
          </cell>
        </row>
        <row r="363">
          <cell r="F363" t="str">
            <v>Onshore</v>
          </cell>
          <cell r="G363" t="str">
            <v>Saline formations</v>
          </cell>
          <cell r="H363">
            <v>4.37</v>
          </cell>
          <cell r="I363">
            <v>7</v>
          </cell>
          <cell r="J363">
            <v>0.21</v>
          </cell>
          <cell r="K363" t="str">
            <v>Assumed low-end estimates for onshore: NETL, 2014. Quality Guidelines for Energy System Studies: Carbon Dioxide Transport and Storage in NETL Studies.</v>
          </cell>
        </row>
        <row r="364">
          <cell r="F364" t="str">
            <v>Onshore</v>
          </cell>
          <cell r="G364" t="str">
            <v>Shale formations</v>
          </cell>
          <cell r="H364">
            <v>0.4</v>
          </cell>
          <cell r="I364">
            <v>12</v>
          </cell>
          <cell r="J364">
            <v>0.36</v>
          </cell>
          <cell r="K364" t="str">
            <v>Assumed equal to ECBM</v>
          </cell>
        </row>
        <row r="365">
          <cell r="F365" t="str">
            <v>Offshore</v>
          </cell>
          <cell r="G365" t="str">
            <v>Saline formations</v>
          </cell>
          <cell r="H365">
            <v>9.35</v>
          </cell>
          <cell r="I365">
            <v>16</v>
          </cell>
          <cell r="J365">
            <v>0.48</v>
          </cell>
          <cell r="K365" t="str">
            <v>Assumed high-end estimates for offshore: NETL, 2014. Quality Guidelines for Energy System Studies: Carbon Dioxide Transport and Storage in NETL Studies.</v>
          </cell>
        </row>
        <row r="369">
          <cell r="D369" t="str">
            <v>CO2 transport</v>
          </cell>
        </row>
        <row r="372">
          <cell r="F372" t="str">
            <v>Distance</v>
          </cell>
          <cell r="G372" t="str">
            <v>Cost</v>
          </cell>
          <cell r="H372" t="str">
            <v>Reference</v>
          </cell>
        </row>
        <row r="373">
          <cell r="F373" t="str">
            <v>miles</v>
          </cell>
          <cell r="G373" t="str">
            <v>2011$/tCO2</v>
          </cell>
          <cell r="H373" t="str">
            <v>2011$/tCO2</v>
          </cell>
        </row>
        <row r="374">
          <cell r="F374">
            <v>600</v>
          </cell>
          <cell r="G374">
            <v>18</v>
          </cell>
          <cell r="H374" t="str">
            <v>Assumed 5 MtCO2 capacity pipeline. Source: NETL, 2014. Quality Guidelines for Energy System Studies: Carbon Dioxide Transport and Storage in NETL Studies</v>
          </cell>
        </row>
        <row r="377">
          <cell r="F377" t="str">
            <v>Distance</v>
          </cell>
          <cell r="G377" t="str">
            <v>Cost</v>
          </cell>
        </row>
        <row r="378">
          <cell r="F378" t="str">
            <v>kilometers</v>
          </cell>
          <cell r="G378" t="str">
            <v>2019$/tCO2</v>
          </cell>
        </row>
        <row r="379">
          <cell r="F379">
            <v>965.60640000000012</v>
          </cell>
          <cell r="G379">
            <v>20.093400000000003</v>
          </cell>
        </row>
        <row r="381">
          <cell r="F381" t="str">
            <v>Conversion factors</v>
          </cell>
          <cell r="G381" t="str">
            <v>Conversion factors</v>
          </cell>
        </row>
        <row r="382">
          <cell r="F382" t="str">
            <v>Mi to km</v>
          </cell>
          <cell r="G382">
            <v>1.6093440000000001</v>
          </cell>
        </row>
        <row r="383">
          <cell r="F383" t="str">
            <v>2011$ to 2019$</v>
          </cell>
          <cell r="G383">
            <v>1.1163000000000001</v>
          </cell>
        </row>
        <row r="385">
          <cell r="F385" t="str">
            <v>Distance</v>
          </cell>
          <cell r="G385" t="str">
            <v>Cost</v>
          </cell>
        </row>
        <row r="386">
          <cell r="F386" t="str">
            <v>kilometers</v>
          </cell>
          <cell r="G386" t="str">
            <v>2019$/tCO2/km</v>
          </cell>
        </row>
        <row r="387">
          <cell r="F387">
            <v>1</v>
          </cell>
          <cell r="G387">
            <v>2.0809099856836079E-2</v>
          </cell>
        </row>
        <row r="408">
          <cell r="D408" t="str">
            <v>CO2 capture</v>
          </cell>
        </row>
        <row r="413">
          <cell r="F413" t="str">
            <v>Source</v>
          </cell>
          <cell r="G413" t="str">
            <v>Type</v>
          </cell>
          <cell r="H413" t="str">
            <v>CO2 capture costs</v>
          </cell>
          <cell r="I413" t="str">
            <v>Power purchase</v>
          </cell>
          <cell r="J413" t="str">
            <v>Power</v>
          </cell>
          <cell r="K413" t="str">
            <v>Plant emissions</v>
          </cell>
          <cell r="L413" t="str">
            <v>Indirect emissions</v>
          </cell>
          <cell r="M413" t="str">
            <v>Avoided vs capture factor</v>
          </cell>
          <cell r="N413" t="str">
            <v>CO2 avoided costs</v>
          </cell>
          <cell r="O413" t="str">
            <v>CO2 avoided costs</v>
          </cell>
          <cell r="P413" t="str">
            <v>Reference</v>
          </cell>
        </row>
        <row r="414">
          <cell r="F414" t="str">
            <v>-</v>
          </cell>
          <cell r="H414" t="str">
            <v>2011$/tCO2</v>
          </cell>
          <cell r="I414" t="str">
            <v>$</v>
          </cell>
          <cell r="J414" t="str">
            <v>MWh</v>
          </cell>
          <cell r="K414" t="str">
            <v>tonnes</v>
          </cell>
          <cell r="L414" t="str">
            <v>tCO2</v>
          </cell>
          <cell r="N414" t="str">
            <v>2011$/tCO2</v>
          </cell>
          <cell r="O414" t="str">
            <v>2019$/tCO2</v>
          </cell>
        </row>
        <row r="415">
          <cell r="F415" t="str">
            <v>Power plant</v>
          </cell>
          <cell r="G415" t="str">
            <v>Natural gas power plant</v>
          </cell>
          <cell r="H415">
            <v>94</v>
          </cell>
          <cell r="J415">
            <v>0</v>
          </cell>
          <cell r="M415" t="e">
            <v>#DIV/0!</v>
          </cell>
          <cell r="N415">
            <v>94</v>
          </cell>
          <cell r="O415">
            <v>104.93220000000001</v>
          </cell>
          <cell r="P415" t="str">
            <v>NETL, 2015. Cost and Performance Baseline for Fossil Energy Plants Volume 1a: Bituminous Coal (PC) and Natural Gas to Electricity Revision 3. DOE/NETL-2015/1723</v>
          </cell>
        </row>
        <row r="416">
          <cell r="F416" t="str">
            <v>Power plant</v>
          </cell>
          <cell r="G416" t="str">
            <v>Wood based power plant</v>
          </cell>
          <cell r="J416">
            <v>0</v>
          </cell>
          <cell r="M416" t="e">
            <v>#DIV/0!</v>
          </cell>
          <cell r="N416">
            <v>89.4</v>
          </cell>
          <cell r="O416">
            <v>99.79722000000001</v>
          </cell>
        </row>
        <row r="417">
          <cell r="F417" t="str">
            <v>Power plant</v>
          </cell>
          <cell r="G417" t="str">
            <v>Solid waste power plant</v>
          </cell>
          <cell r="J417">
            <v>0</v>
          </cell>
          <cell r="M417" t="e">
            <v>#DIV/0!</v>
          </cell>
          <cell r="N417">
            <v>89.4</v>
          </cell>
          <cell r="O417">
            <v>99.79722000000001</v>
          </cell>
        </row>
        <row r="418">
          <cell r="F418" t="str">
            <v>Power plant</v>
          </cell>
          <cell r="G418" t="str">
            <v>Coal power plant</v>
          </cell>
          <cell r="H418">
            <v>89.4</v>
          </cell>
          <cell r="J418">
            <v>0</v>
          </cell>
          <cell r="M418" t="e">
            <v>#DIV/0!</v>
          </cell>
          <cell r="N418">
            <v>89.4</v>
          </cell>
          <cell r="O418">
            <v>99.79722000000001</v>
          </cell>
          <cell r="P418" t="str">
            <v>NETL, 2015. Cost and Performance Baseline for Fossil Energy Plants Volume 1a: Bituminous Coal (PC) and Natural Gas to Electricity Revision 3. DOE/NETL-2015/1723</v>
          </cell>
        </row>
        <row r="419">
          <cell r="F419" t="str">
            <v>Various</v>
          </cell>
          <cell r="G419" t="str">
            <v>Natural gas combustion</v>
          </cell>
          <cell r="H419">
            <v>94</v>
          </cell>
          <cell r="J419">
            <v>0</v>
          </cell>
          <cell r="M419" t="e">
            <v>#DIV/0!</v>
          </cell>
          <cell r="N419">
            <v>94</v>
          </cell>
          <cell r="O419">
            <v>104.93220000000001</v>
          </cell>
        </row>
        <row r="420">
          <cell r="F420" t="str">
            <v>Industry</v>
          </cell>
          <cell r="G420" t="str">
            <v>Cement production</v>
          </cell>
          <cell r="H420">
            <v>65.400000000000006</v>
          </cell>
          <cell r="J420">
            <v>0</v>
          </cell>
          <cell r="M420" t="e">
            <v>#DIV/0!</v>
          </cell>
          <cell r="N420">
            <v>65.400000000000006</v>
          </cell>
          <cell r="O420">
            <v>73.006020000000007</v>
          </cell>
          <cell r="P420" t="str">
            <v>NETL, 2014. Cost of Capturing CO2 from Industrial Sources. DOE/NETL-2013/1602</v>
          </cell>
        </row>
        <row r="421">
          <cell r="F421" t="str">
            <v>Industry</v>
          </cell>
          <cell r="G421" t="str">
            <v>Aluminum smelter</v>
          </cell>
          <cell r="J421">
            <v>0</v>
          </cell>
          <cell r="M421" t="e">
            <v>#DIV/0!</v>
          </cell>
          <cell r="O421">
            <v>0</v>
          </cell>
        </row>
        <row r="422">
          <cell r="F422" t="str">
            <v>Industry</v>
          </cell>
          <cell r="G422" t="str">
            <v>Paper/pulp/paperboard mill</v>
          </cell>
          <cell r="J422">
            <v>0</v>
          </cell>
          <cell r="M422" t="e">
            <v>#DIV/0!</v>
          </cell>
          <cell r="O422">
            <v>0</v>
          </cell>
        </row>
        <row r="423">
          <cell r="F423" t="str">
            <v>Industry</v>
          </cell>
          <cell r="G423" t="str">
            <v>Scrap-based steel mill</v>
          </cell>
          <cell r="J423">
            <v>0</v>
          </cell>
          <cell r="M423" t="e">
            <v>#DIV/0!</v>
          </cell>
          <cell r="O423">
            <v>0</v>
          </cell>
        </row>
        <row r="424">
          <cell r="F424" t="str">
            <v>Industry</v>
          </cell>
          <cell r="G424" t="str">
            <v>Glass production</v>
          </cell>
          <cell r="J424">
            <v>0</v>
          </cell>
          <cell r="M424" t="e">
            <v>#DIV/0!</v>
          </cell>
          <cell r="O424">
            <v>0</v>
          </cell>
        </row>
        <row r="425">
          <cell r="F425" t="str">
            <v>Industry</v>
          </cell>
          <cell r="G425" t="str">
            <v>Ethanol production</v>
          </cell>
          <cell r="H425">
            <v>30</v>
          </cell>
          <cell r="I425">
            <v>829000</v>
          </cell>
          <cell r="J425">
            <v>14149.172213688342</v>
          </cell>
          <cell r="K425">
            <v>143045</v>
          </cell>
          <cell r="L425">
            <v>4004.2157364738005</v>
          </cell>
          <cell r="M425">
            <v>1.0279926997551385</v>
          </cell>
          <cell r="N425">
            <v>30.839780992654156</v>
          </cell>
          <cell r="O425">
            <v>34.426447522099835</v>
          </cell>
          <cell r="P425" t="str">
            <v>NETL, 2014. Cost of Capturing CO2 from Industrial Sources. DOE/NETL-2013/1602</v>
          </cell>
        </row>
        <row r="426">
          <cell r="F426" t="str">
            <v>Industry</v>
          </cell>
          <cell r="G426" t="str">
            <v>Hydrogen production</v>
          </cell>
          <cell r="J426">
            <v>0</v>
          </cell>
          <cell r="M426" t="e">
            <v>#DIV/0!</v>
          </cell>
          <cell r="N426">
            <v>44.5</v>
          </cell>
          <cell r="O426">
            <v>49.675350000000002</v>
          </cell>
          <cell r="P426" t="str">
            <v>NETL, 2014. Cost of Capturing CO2 from Industrial Sources. DOE/NETL-2013/1602</v>
          </cell>
        </row>
        <row r="427">
          <cell r="F427" t="str">
            <v>Direct Air Capture</v>
          </cell>
          <cell r="G427" t="str">
            <v>KOH</v>
          </cell>
          <cell r="J427">
            <v>0</v>
          </cell>
          <cell r="M427" t="e">
            <v>#DIV/0!</v>
          </cell>
          <cell r="O427">
            <v>0</v>
          </cell>
        </row>
        <row r="431">
          <cell r="F431" t="str">
            <v>Cost item</v>
          </cell>
          <cell r="G431" t="str">
            <v>Value</v>
          </cell>
          <cell r="H431" t="str">
            <v>Unit</v>
          </cell>
        </row>
        <row r="432">
          <cell r="F432" t="str">
            <v>-</v>
          </cell>
        </row>
        <row r="433">
          <cell r="F433" t="str">
            <v>Power price assumed</v>
          </cell>
          <cell r="G433">
            <v>58.59</v>
          </cell>
          <cell r="H433" t="str">
            <v>$/MWh</v>
          </cell>
        </row>
        <row r="434">
          <cell r="F434" t="str">
            <v>Emission factor NYS</v>
          </cell>
          <cell r="G434">
            <v>283</v>
          </cell>
          <cell r="H434" t="str">
            <v>kgCO2/MWh</v>
          </cell>
        </row>
        <row r="439">
          <cell r="D439" t="str">
            <v>Feedstock price</v>
          </cell>
        </row>
        <row r="441">
          <cell r="F441" t="str">
            <v>Hydrogen</v>
          </cell>
        </row>
        <row r="442">
          <cell r="F442" t="str">
            <v>Hydrogen cost projections. Based on LCoE projection as listed in Energy_Cost_&amp;_EF tab. This is a relatively simpe cost model based on a public source (SINTEF and NTNU), validated with internal  confidential hydrogen cost model.</v>
          </cell>
        </row>
        <row r="444">
          <cell r="G444" t="str">
            <v>Cost item / parameter</v>
          </cell>
          <cell r="H444" t="str">
            <v>Value</v>
          </cell>
          <cell r="I444" t="str">
            <v>Unit</v>
          </cell>
          <cell r="J444" t="str">
            <v>Reference</v>
          </cell>
        </row>
        <row r="445">
          <cell r="G445" t="str">
            <v>CAPEX</v>
          </cell>
          <cell r="H445">
            <v>582.79999999999995</v>
          </cell>
          <cell r="I445" t="str">
            <v>million €</v>
          </cell>
          <cell r="J445" t="str">
            <v>https://ntnuopen.ntnu.no/ntnu-xmlui/bitstream/handle/11250/2402554/15677_FULLTEXT.pdf?sequence=1</v>
          </cell>
        </row>
        <row r="446">
          <cell r="G446" t="str">
            <v>Fixed OPEX</v>
          </cell>
          <cell r="H446">
            <v>53.400000000000006</v>
          </cell>
          <cell r="I446" t="str">
            <v>million €</v>
          </cell>
          <cell r="J446" t="str">
            <v>https://ntnuopen.ntnu.no/ntnu-xmlui/bitstream/handle/11250/2402554/15677_FULLTEXT.pdf?sequence=1</v>
          </cell>
        </row>
        <row r="447">
          <cell r="G447" t="str">
            <v>Variable OPEX</v>
          </cell>
          <cell r="H447">
            <v>187.5</v>
          </cell>
          <cell r="I447" t="str">
            <v>million €</v>
          </cell>
          <cell r="J447" t="str">
            <v>https://ntnuopen.ntnu.no/ntnu-xmlui/bitstream/handle/11250/2402554/15677_FULLTEXT.pdf?sequence=1</v>
          </cell>
        </row>
        <row r="448">
          <cell r="G448" t="str">
            <v>Variable OPEX - levelized</v>
          </cell>
          <cell r="H448">
            <v>9.3609585621567639</v>
          </cell>
          <cell r="I448" t="str">
            <v>million € / MWh</v>
          </cell>
          <cell r="J448" t="str">
            <v>Based on PEMFC electrolyser efficiency of 60%</v>
          </cell>
        </row>
        <row r="449">
          <cell r="G449" t="str">
            <v>Production capacity</v>
          </cell>
          <cell r="H449">
            <v>500</v>
          </cell>
          <cell r="I449" t="str">
            <v>tonnes/day</v>
          </cell>
          <cell r="J449" t="str">
            <v>https://ntnuopen.ntnu.no/ntnu-xmlui/bitstream/handle/11250/2402554/15677_FULLTEXT.pdf?sequence=1</v>
          </cell>
        </row>
        <row r="450">
          <cell r="G450" t="str">
            <v>Price of electricity</v>
          </cell>
          <cell r="H450">
            <v>20.03</v>
          </cell>
          <cell r="I450" t="str">
            <v>€/MWh</v>
          </cell>
          <cell r="J450" t="str">
            <v>https://ntnuopen.ntnu.no/ntnu-xmlui/bitstream/handle/11250/2402554/15677_FULLTEXT.pdf?sequence=1</v>
          </cell>
        </row>
        <row r="451">
          <cell r="G451" t="str">
            <v>Annualized CAPEX</v>
          </cell>
          <cell r="H451">
            <v>64.205952472344137</v>
          </cell>
          <cell r="I451" t="str">
            <v>million €</v>
          </cell>
        </row>
        <row r="452">
          <cell r="G452" t="str">
            <v>Variable OPEX 2030</v>
          </cell>
          <cell r="H452">
            <v>43.685271999999998</v>
          </cell>
          <cell r="I452" t="str">
            <v>€/MWh</v>
          </cell>
        </row>
        <row r="453">
          <cell r="G453" t="str">
            <v>Variable OPEX 2030</v>
          </cell>
          <cell r="H453">
            <v>38.135094000000002</v>
          </cell>
          <cell r="I453" t="str">
            <v>€/MWh</v>
          </cell>
        </row>
        <row r="454">
          <cell r="G454" t="str">
            <v>Recalculated variable OPEX 2030</v>
          </cell>
          <cell r="H454">
            <v>408.9360209685471</v>
          </cell>
          <cell r="I454" t="str">
            <v>million €</v>
          </cell>
        </row>
        <row r="455">
          <cell r="G455" t="str">
            <v>Recalculated variable OPEX 2050</v>
          </cell>
          <cell r="H455">
            <v>356.98103469795308</v>
          </cell>
          <cell r="I455" t="str">
            <v>million €</v>
          </cell>
        </row>
        <row r="456">
          <cell r="G456" t="str">
            <v>Conversion factor USD to EUR</v>
          </cell>
          <cell r="H456">
            <v>0.89519000000000004</v>
          </cell>
          <cell r="J456" t="str">
            <v>https://www.xe.com/currencyconverter/convert/?Amount=1&amp;From=USD&amp;To=EUR</v>
          </cell>
        </row>
        <row r="458">
          <cell r="G458" t="str">
            <v>Total annual costs 2030</v>
          </cell>
          <cell r="H458">
            <v>526.5419734408913</v>
          </cell>
          <cell r="I458" t="str">
            <v>million €</v>
          </cell>
        </row>
        <row r="459">
          <cell r="G459" t="str">
            <v>Total annual costs 2050</v>
          </cell>
          <cell r="H459">
            <v>474.58698717029722</v>
          </cell>
          <cell r="I459" t="str">
            <v>million €</v>
          </cell>
        </row>
        <row r="460">
          <cell r="G460" t="str">
            <v>Total annual production</v>
          </cell>
          <cell r="H460">
            <v>182500</v>
          </cell>
          <cell r="I460" t="str">
            <v>tonnes</v>
          </cell>
        </row>
        <row r="461">
          <cell r="G461" t="str">
            <v>Levelized cost of hydrogen 2030</v>
          </cell>
          <cell r="H461">
            <v>2.8851614983062532</v>
          </cell>
          <cell r="I461" t="str">
            <v>€/kg</v>
          </cell>
        </row>
        <row r="462">
          <cell r="G462" t="str">
            <v>Levelized cost of hydrogen 2030</v>
          </cell>
          <cell r="H462">
            <v>2.600476642029026</v>
          </cell>
          <cell r="I462" t="str">
            <v>€/kg</v>
          </cell>
        </row>
        <row r="463">
          <cell r="G463" t="str">
            <v>Levelized cost of hydrogen 2030</v>
          </cell>
          <cell r="H463">
            <v>3.2229599284020747</v>
          </cell>
          <cell r="I463" t="str">
            <v>$/kg</v>
          </cell>
        </row>
        <row r="464">
          <cell r="G464" t="str">
            <v>Levelized cost of hydrogen 2050</v>
          </cell>
          <cell r="H464">
            <v>2.9049438019068865</v>
          </cell>
          <cell r="I464" t="str">
            <v>$/kg</v>
          </cell>
        </row>
      </sheetData>
      <sheetData sheetId="10"/>
      <sheetData sheetId="11">
        <row r="13">
          <cell r="G13" t="str">
            <v>County</v>
          </cell>
          <cell r="H13" t="str">
            <v>SIC code</v>
          </cell>
          <cell r="I13" t="str">
            <v>SIC name</v>
          </cell>
          <cell r="J13" t="str">
            <v>Emissions</v>
          </cell>
          <cell r="M13" t="str">
            <v>EPA ID</v>
          </cell>
          <cell r="N13" t="str">
            <v>EPA Name</v>
          </cell>
          <cell r="O13" t="str">
            <v>EPA county</v>
          </cell>
          <cell r="P13" t="str">
            <v>Latitude</v>
          </cell>
          <cell r="Q13" t="str">
            <v>Longitude</v>
          </cell>
          <cell r="R13" t="str">
            <v>Specific type</v>
          </cell>
          <cell r="S13" t="str">
            <v>Type</v>
          </cell>
        </row>
        <row r="15">
          <cell r="G15" t="str">
            <v>ONTARIO COUNTY</v>
          </cell>
          <cell r="J15">
            <v>139740.20000000001</v>
          </cell>
          <cell r="L15" t="str">
            <v>GUARDIAN INDUSTRIES LLC</v>
          </cell>
          <cell r="M15">
            <v>110004541434</v>
          </cell>
          <cell r="N15" t="str">
            <v>GUARDIAN INDUSTRIES LLC</v>
          </cell>
          <cell r="O15" t="str">
            <v>ONTARIO COUNTY</v>
          </cell>
          <cell r="P15">
            <v>42.88261</v>
          </cell>
          <cell r="Q15">
            <v>-76.972229999999996</v>
          </cell>
          <cell r="R15" t="str">
            <v>Energy efficient glass for buildings</v>
          </cell>
          <cell r="S15" t="str">
            <v>Glass production</v>
          </cell>
        </row>
        <row r="16">
          <cell r="G16" t="str">
            <v>MONROE</v>
          </cell>
          <cell r="J16">
            <v>134572.6</v>
          </cell>
          <cell r="L16" t="str">
            <v>University of Rochester</v>
          </cell>
          <cell r="M16">
            <v>110004326649</v>
          </cell>
          <cell r="N16" t="str">
            <v>University of Rochester</v>
          </cell>
          <cell r="O16" t="str">
            <v>MONROE</v>
          </cell>
          <cell r="P16">
            <v>43.123064999999997</v>
          </cell>
          <cell r="Q16">
            <v>-77.629543999999996</v>
          </cell>
          <cell r="R16" t="str">
            <v>University campus</v>
          </cell>
          <cell r="S16" t="str">
            <v>Natural gas combustion</v>
          </cell>
        </row>
        <row r="17">
          <cell r="G17" t="str">
            <v>OSWEGO COUNTY</v>
          </cell>
          <cell r="J17">
            <v>116201.9</v>
          </cell>
          <cell r="L17" t="str">
            <v>SUNOCO FULTON ETHANOL PLANT</v>
          </cell>
          <cell r="M17">
            <v>110056972307</v>
          </cell>
          <cell r="N17" t="str">
            <v>SUNOCO FULTON ETHANOL PLANT</v>
          </cell>
          <cell r="O17" t="str">
            <v>OSWEGO COUNTY</v>
          </cell>
          <cell r="P17">
            <v>43.298999999999999</v>
          </cell>
          <cell r="Q17">
            <v>-76.381</v>
          </cell>
          <cell r="R17" t="str">
            <v>Ethanol production</v>
          </cell>
          <cell r="S17" t="str">
            <v>Ethanol production</v>
          </cell>
        </row>
        <row r="18">
          <cell r="G18" t="str">
            <v>RICHMOND COUNTY</v>
          </cell>
          <cell r="J18">
            <v>102811.9</v>
          </cell>
          <cell r="L18" t="str">
            <v>PRATT PAPER (NY), INC.</v>
          </cell>
          <cell r="M18">
            <v>110001600786</v>
          </cell>
          <cell r="N18" t="str">
            <v>PRATT PAPER (NY), INC.</v>
          </cell>
          <cell r="O18" t="str">
            <v>RICHMOND COUNTY</v>
          </cell>
          <cell r="P18">
            <v>40.586289999999998</v>
          </cell>
          <cell r="Q18">
            <v>-74.200609999999998</v>
          </cell>
          <cell r="R18" t="str">
            <v>Paper mill</v>
          </cell>
          <cell r="S18" t="str">
            <v>Paper/pulp/paperboard mill</v>
          </cell>
        </row>
        <row r="19">
          <cell r="G19" t="str">
            <v>ORLEANS COUNTY</v>
          </cell>
          <cell r="J19">
            <v>78756.648000000001</v>
          </cell>
          <cell r="L19" t="str">
            <v>WESTERN NEW YORK ENERGY LLC</v>
          </cell>
          <cell r="M19">
            <v>110032965548</v>
          </cell>
          <cell r="N19" t="str">
            <v>WESTERN NEW YORK ENERGY LLC</v>
          </cell>
          <cell r="O19" t="str">
            <v>ORLEANS COUNTY</v>
          </cell>
          <cell r="P19">
            <v>43.210340000000002</v>
          </cell>
          <cell r="Q19">
            <v>-78.370040000000003</v>
          </cell>
          <cell r="R19" t="str">
            <v>Ethanol production</v>
          </cell>
          <cell r="S19" t="str">
            <v>Ethanol production</v>
          </cell>
        </row>
        <row r="20">
          <cell r="G20" t="str">
            <v>NIAGARA COUNTY</v>
          </cell>
          <cell r="J20">
            <v>30050</v>
          </cell>
          <cell r="L20" t="str">
            <v>Praxair Inc</v>
          </cell>
          <cell r="M20">
            <v>110000554374</v>
          </cell>
          <cell r="N20" t="str">
            <v>Praxair Inc</v>
          </cell>
          <cell r="O20" t="str">
            <v>NIAGARA COUNTY</v>
          </cell>
          <cell r="P20">
            <v>43.086950000000002</v>
          </cell>
          <cell r="Q20">
            <v>-79.011719999999997</v>
          </cell>
          <cell r="R20" t="str">
            <v>Hydrogen production</v>
          </cell>
          <cell r="S20" t="str">
            <v>Hydrogen production</v>
          </cell>
        </row>
        <row r="21">
          <cell r="G21" t="str">
            <v>QUEENS</v>
          </cell>
          <cell r="H21">
            <v>4911</v>
          </cell>
          <cell r="I21" t="str">
            <v>Electric Services</v>
          </cell>
          <cell r="J21">
            <v>2545012.4300000002</v>
          </cell>
          <cell r="L21" t="str">
            <v>ASTORIA ENERGY LLC &amp; ASTORIA ENERGY II LLC</v>
          </cell>
          <cell r="M21">
            <v>110043792401</v>
          </cell>
          <cell r="N21" t="str">
            <v>ASTORIA ENERGY LLC &amp; ASTORIA ENERGY II LLC</v>
          </cell>
          <cell r="O21" t="str">
            <v>QUEENS COUNTY</v>
          </cell>
          <cell r="P21">
            <v>40.782499999999999</v>
          </cell>
          <cell r="Q21">
            <v>-73.8964</v>
          </cell>
          <cell r="R21" t="str">
            <v>Natural gas combined cycle power plant</v>
          </cell>
          <cell r="S21" t="str">
            <v>Natural gas power plant</v>
          </cell>
        </row>
        <row r="22">
          <cell r="G22" t="str">
            <v>ALBANY</v>
          </cell>
          <cell r="H22">
            <v>4911</v>
          </cell>
          <cell r="I22" t="str">
            <v>Electric Services</v>
          </cell>
          <cell r="J22">
            <v>2180009.77</v>
          </cell>
          <cell r="L22" t="str">
            <v>BETHLEHEM ENERGY CENTER</v>
          </cell>
          <cell r="M22">
            <v>110000324177</v>
          </cell>
          <cell r="N22" t="str">
            <v>Bethlehem Energy Center (Albany)</v>
          </cell>
          <cell r="O22" t="str">
            <v>Albany</v>
          </cell>
          <cell r="P22">
            <v>42.590499999999999</v>
          </cell>
          <cell r="Q22">
            <v>-73.763599999999997</v>
          </cell>
          <cell r="R22" t="str">
            <v>Natural gas combined cycle power plant</v>
          </cell>
          <cell r="S22" t="str">
            <v>Natural gas power plant</v>
          </cell>
        </row>
        <row r="23">
          <cell r="G23" t="str">
            <v>NEW YORK</v>
          </cell>
          <cell r="H23">
            <v>4911</v>
          </cell>
          <cell r="I23" t="str">
            <v>Electric Services</v>
          </cell>
          <cell r="J23">
            <v>2097606.94</v>
          </cell>
          <cell r="L23" t="str">
            <v>CON ED-EAST RIVER GENERATING STATION</v>
          </cell>
          <cell r="M23">
            <v>110000322623</v>
          </cell>
          <cell r="N23" t="str">
            <v>East River</v>
          </cell>
          <cell r="O23" t="str">
            <v>New York</v>
          </cell>
          <cell r="P23">
            <v>40.728099999999998</v>
          </cell>
          <cell r="Q23">
            <v>-73.974199999999996</v>
          </cell>
          <cell r="R23" t="str">
            <v>Natural gas combined cycle power plant</v>
          </cell>
          <cell r="S23" t="str">
            <v>Natural gas power plant</v>
          </cell>
        </row>
        <row r="24">
          <cell r="G24" t="str">
            <v>OSWEGO</v>
          </cell>
          <cell r="H24">
            <v>4931</v>
          </cell>
          <cell r="I24" t="str">
            <v>Electric and Other Services Combined</v>
          </cell>
          <cell r="J24">
            <v>1841340.13</v>
          </cell>
          <cell r="L24" t="str">
            <v>INDEPENDENCE STATION</v>
          </cell>
          <cell r="M24">
            <v>110001600009</v>
          </cell>
          <cell r="N24" t="str">
            <v>Independence</v>
          </cell>
          <cell r="O24" t="str">
            <v>Oswego</v>
          </cell>
          <cell r="P24">
            <v>43.494999999999997</v>
          </cell>
          <cell r="Q24">
            <v>-76.450800000000001</v>
          </cell>
          <cell r="R24" t="str">
            <v>Natural gas cogeneration power plant</v>
          </cell>
          <cell r="S24" t="str">
            <v>Natural gas power plant</v>
          </cell>
        </row>
        <row r="25">
          <cell r="G25" t="str">
            <v>QUEENS</v>
          </cell>
          <cell r="H25">
            <v>4911</v>
          </cell>
          <cell r="I25" t="str">
            <v>Electric Services</v>
          </cell>
          <cell r="J25">
            <v>1715671.7</v>
          </cell>
          <cell r="L25" t="str">
            <v>RAVENSWOOD GENERATING STATION</v>
          </cell>
          <cell r="M25">
            <v>110033146165</v>
          </cell>
          <cell r="N25" t="str">
            <v>Ravenswood Generating Station</v>
          </cell>
          <cell r="O25" t="str">
            <v>Queens</v>
          </cell>
          <cell r="P25">
            <v>40.758499999999998</v>
          </cell>
          <cell r="Q25">
            <v>-73.945099999999996</v>
          </cell>
          <cell r="R25" t="str">
            <v>Combustion turbine, Jet engine, Combined cycle, Steam turbine</v>
          </cell>
          <cell r="S25" t="str">
            <v>Natural gas power plant</v>
          </cell>
        </row>
        <row r="26">
          <cell r="G26" t="str">
            <v>GREENE</v>
          </cell>
          <cell r="H26">
            <v>4911</v>
          </cell>
          <cell r="I26" t="str">
            <v>Electric Services</v>
          </cell>
          <cell r="J26">
            <v>1570671.69</v>
          </cell>
          <cell r="L26" t="str">
            <v>ATHENS GENERATING PLANT</v>
          </cell>
          <cell r="M26">
            <v>110019468057</v>
          </cell>
          <cell r="N26" t="str">
            <v>Athens Generating Company</v>
          </cell>
          <cell r="O26" t="str">
            <v>Greene</v>
          </cell>
          <cell r="P26">
            <v>42.272799999999997</v>
          </cell>
          <cell r="Q26">
            <v>-73.849199999999996</v>
          </cell>
          <cell r="R26" t="str">
            <v>Natural gas combined cycle power plant</v>
          </cell>
          <cell r="S26" t="str">
            <v>Natural gas power plant</v>
          </cell>
        </row>
        <row r="27">
          <cell r="G27" t="str">
            <v>KINGS</v>
          </cell>
          <cell r="H27">
            <v>4911</v>
          </cell>
          <cell r="I27" t="str">
            <v>Electric Services</v>
          </cell>
          <cell r="J27">
            <v>1094246.81</v>
          </cell>
          <cell r="L27" t="str">
            <v>BROOKLYN NAVY YARD COGENERATION PLANT</v>
          </cell>
          <cell r="M27">
            <v>110009461910</v>
          </cell>
          <cell r="N27" t="str">
            <v>Brooklyn Navy Yard Cogeneration Project</v>
          </cell>
          <cell r="O27" t="str">
            <v>KINGS COUNTY</v>
          </cell>
          <cell r="P27">
            <v>40.699399999999997</v>
          </cell>
          <cell r="Q27">
            <v>-73.975800000000007</v>
          </cell>
          <cell r="R27" t="str">
            <v>Natural gas combined cycle power plant</v>
          </cell>
          <cell r="S27" t="str">
            <v>Natural gas power plant</v>
          </cell>
        </row>
        <row r="28">
          <cell r="G28" t="str">
            <v>SUFFOLK</v>
          </cell>
          <cell r="H28">
            <v>4911</v>
          </cell>
          <cell r="I28" t="str">
            <v>Electric Services</v>
          </cell>
          <cell r="J28">
            <v>1093892.3400000001</v>
          </cell>
          <cell r="L28" t="str">
            <v>NORTHPORT POWER STATION</v>
          </cell>
          <cell r="M28">
            <v>110000582398</v>
          </cell>
          <cell r="N28" t="str">
            <v>Northport</v>
          </cell>
          <cell r="O28" t="str">
            <v>Suffolk</v>
          </cell>
          <cell r="P28">
            <v>40.923099999999998</v>
          </cell>
          <cell r="Q28">
            <v>-73.341700000000003</v>
          </cell>
          <cell r="R28" t="str">
            <v>Natural gas steam turbine</v>
          </cell>
          <cell r="S28" t="str">
            <v>Natural gas power plant</v>
          </cell>
        </row>
        <row r="29">
          <cell r="G29" t="str">
            <v>RENSSELAER</v>
          </cell>
          <cell r="H29">
            <v>4911</v>
          </cell>
          <cell r="I29" t="str">
            <v>Electric Services</v>
          </cell>
          <cell r="J29">
            <v>1036086.6</v>
          </cell>
          <cell r="L29" t="str">
            <v>EMPIRE POWER PLANT</v>
          </cell>
          <cell r="M29">
            <v>110020996083</v>
          </cell>
          <cell r="N29" t="str">
            <v>Empire Generating Co, LLC</v>
          </cell>
          <cell r="O29" t="str">
            <v>Rensselaer</v>
          </cell>
          <cell r="P29">
            <v>42.629600000000003</v>
          </cell>
          <cell r="Q29">
            <v>-73.748999999999995</v>
          </cell>
          <cell r="R29" t="str">
            <v>Natural gas combined cycle power plant</v>
          </cell>
          <cell r="S29" t="str">
            <v>Natural gas power plant</v>
          </cell>
        </row>
        <row r="30">
          <cell r="G30" t="str">
            <v>QUEENS</v>
          </cell>
          <cell r="H30">
            <v>4911</v>
          </cell>
          <cell r="I30" t="str">
            <v>Electric Services</v>
          </cell>
          <cell r="J30">
            <v>1006896.62</v>
          </cell>
          <cell r="L30" t="str">
            <v>POLETTI POWER PROJECT</v>
          </cell>
          <cell r="M30">
            <v>110069998643</v>
          </cell>
          <cell r="N30" t="str">
            <v>Poletti 500 MW CC</v>
          </cell>
          <cell r="O30" t="str">
            <v>Queens</v>
          </cell>
          <cell r="P30">
            <v>40.7881</v>
          </cell>
          <cell r="Q30">
            <v>-73.905600000000007</v>
          </cell>
          <cell r="R30" t="str">
            <v>Steam-electric power plant</v>
          </cell>
          <cell r="S30" t="str">
            <v>Natural gas power plant</v>
          </cell>
        </row>
        <row r="31">
          <cell r="G31" t="str">
            <v>SUFFOLK</v>
          </cell>
          <cell r="H31">
            <v>4911</v>
          </cell>
          <cell r="I31" t="str">
            <v>Electric Services</v>
          </cell>
          <cell r="J31">
            <v>914433.82</v>
          </cell>
          <cell r="L31" t="str">
            <v>CAITHNESS LONG ISLAND ENERGY CENTER</v>
          </cell>
          <cell r="M31">
            <v>110040566893</v>
          </cell>
          <cell r="N31" t="str">
            <v>Caithness Long Island Energy Center</v>
          </cell>
          <cell r="O31" t="str">
            <v>Suffolk</v>
          </cell>
          <cell r="P31">
            <v>40.8142</v>
          </cell>
          <cell r="Q31">
            <v>-72.940299999999993</v>
          </cell>
          <cell r="R31" t="str">
            <v>Natural gas combined cycle power plant</v>
          </cell>
          <cell r="S31" t="str">
            <v>Natural gas power plant</v>
          </cell>
        </row>
        <row r="32">
          <cell r="G32" t="str">
            <v>NASSAU</v>
          </cell>
          <cell r="H32">
            <v>4911</v>
          </cell>
          <cell r="I32" t="str">
            <v>Electric Services</v>
          </cell>
          <cell r="J32">
            <v>911528.78</v>
          </cell>
          <cell r="L32" t="str">
            <v>EF BARRETT POWER STATION</v>
          </cell>
          <cell r="M32">
            <v>110000582389</v>
          </cell>
          <cell r="N32" t="str">
            <v>E F Barrett</v>
          </cell>
          <cell r="O32" t="str">
            <v>Nassau</v>
          </cell>
          <cell r="P32">
            <v>40.616900000000001</v>
          </cell>
          <cell r="Q32">
            <v>-73.648600000000002</v>
          </cell>
          <cell r="R32" t="str">
            <v>Combustion turbine, Jet engine, Steam turbine</v>
          </cell>
          <cell r="S32" t="str">
            <v>Natural gas power plant</v>
          </cell>
        </row>
        <row r="33">
          <cell r="G33" t="str">
            <v>JEFFERSON</v>
          </cell>
          <cell r="H33">
            <v>4911</v>
          </cell>
          <cell r="I33" t="str">
            <v>Electric Services</v>
          </cell>
          <cell r="J33">
            <v>883995.34</v>
          </cell>
          <cell r="L33" t="str">
            <v>REENERGY BLACK RIVER</v>
          </cell>
          <cell r="M33">
            <v>110008035704</v>
          </cell>
          <cell r="N33" t="str">
            <v>ReEnergy Black River LLC</v>
          </cell>
          <cell r="O33" t="str">
            <v>JEFFERSON COUNTY</v>
          </cell>
          <cell r="P33">
            <v>44.036099999999998</v>
          </cell>
          <cell r="Q33">
            <v>-75.771199999999993</v>
          </cell>
          <cell r="R33" t="str">
            <v>Steam turbine</v>
          </cell>
          <cell r="S33" t="str">
            <v>Wood based power plant</v>
          </cell>
        </row>
        <row r="34">
          <cell r="G34" t="str">
            <v>ROCKLAND</v>
          </cell>
          <cell r="H34">
            <v>4911</v>
          </cell>
          <cell r="I34" t="str">
            <v>Electric Services</v>
          </cell>
          <cell r="J34">
            <v>778163.93</v>
          </cell>
          <cell r="L34" t="str">
            <v>BOWLINE GENERATING STATION</v>
          </cell>
          <cell r="M34">
            <v>110000582352</v>
          </cell>
          <cell r="N34" t="str">
            <v>Bowline Generating Station</v>
          </cell>
          <cell r="O34" t="str">
            <v>Rockland</v>
          </cell>
          <cell r="P34">
            <v>41.2044</v>
          </cell>
          <cell r="Q34">
            <v>-73.968900000000005</v>
          </cell>
          <cell r="R34" t="str">
            <v>Steam turbine</v>
          </cell>
          <cell r="S34" t="str">
            <v>Natural gas power plant</v>
          </cell>
        </row>
        <row r="35">
          <cell r="G35" t="str">
            <v>NIAGARA</v>
          </cell>
          <cell r="H35">
            <v>4953</v>
          </cell>
          <cell r="I35" t="str">
            <v>Refuse Systems</v>
          </cell>
          <cell r="J35">
            <v>774039.2</v>
          </cell>
          <cell r="L35" t="str">
            <v>COVANTA NIAGARA I, LLC</v>
          </cell>
          <cell r="M35">
            <v>110070081785</v>
          </cell>
          <cell r="N35" t="str">
            <v>Covanta Niagara</v>
          </cell>
          <cell r="O35" t="str">
            <v>Niagara</v>
          </cell>
          <cell r="P35">
            <v>43.0839</v>
          </cell>
          <cell r="Q35">
            <v>-79.005600000000001</v>
          </cell>
          <cell r="R35" t="str">
            <v>Steam turbine</v>
          </cell>
          <cell r="S35" t="str">
            <v>Solid waste power plant</v>
          </cell>
        </row>
        <row r="36">
          <cell r="G36" t="str">
            <v>ESSEX</v>
          </cell>
          <cell r="H36">
            <v>2621</v>
          </cell>
          <cell r="I36" t="str">
            <v>Paper Mills</v>
          </cell>
          <cell r="J36">
            <v>752562.23</v>
          </cell>
          <cell r="L36" t="str">
            <v>INTERNATIONAL PAPER TICONDEROGA MILL</v>
          </cell>
          <cell r="M36">
            <v>110000325005</v>
          </cell>
          <cell r="N36" t="str">
            <v>International Paper Ticonderoga Mill</v>
          </cell>
          <cell r="O36" t="str">
            <v>Essex</v>
          </cell>
          <cell r="P36">
            <v>43.891399999999997</v>
          </cell>
          <cell r="Q36">
            <v>-73.396100000000004</v>
          </cell>
          <cell r="R36" t="str">
            <v>Paper mill</v>
          </cell>
          <cell r="S36" t="str">
            <v>Paper/pulp/paperboard mill</v>
          </cell>
        </row>
        <row r="37">
          <cell r="G37" t="str">
            <v>MONROE</v>
          </cell>
          <cell r="H37">
            <v>4931</v>
          </cell>
          <cell r="I37" t="str">
            <v>Electric and Other Services Combined</v>
          </cell>
          <cell r="J37">
            <v>674885.4</v>
          </cell>
          <cell r="L37" t="str">
            <v>RED-ROCHESTER LLC AT EASTMAN BUSINESS PARK</v>
          </cell>
          <cell r="M37">
            <v>110058240292</v>
          </cell>
          <cell r="N37" t="str">
            <v>RED-Rochester, LLC-Eastman Business Park, NY</v>
          </cell>
          <cell r="O37" t="str">
            <v>MONROE</v>
          </cell>
          <cell r="P37">
            <v>43.196899999999999</v>
          </cell>
          <cell r="Q37">
            <v>-77.628900000000002</v>
          </cell>
          <cell r="R37" t="str">
            <v>Natural gas cogeneration power plant</v>
          </cell>
          <cell r="S37" t="str">
            <v>Natural gas power plant</v>
          </cell>
        </row>
        <row r="38">
          <cell r="G38" t="str">
            <v>QUEENS</v>
          </cell>
          <cell r="H38">
            <v>4911</v>
          </cell>
          <cell r="I38" t="str">
            <v>Electric Services</v>
          </cell>
          <cell r="J38">
            <v>555508.09</v>
          </cell>
          <cell r="L38" t="str">
            <v>ASTORIA GENERATING STATION</v>
          </cell>
          <cell r="M38">
            <v>110002093109</v>
          </cell>
          <cell r="N38" t="str">
            <v>Astoria Generating Station</v>
          </cell>
          <cell r="O38" t="str">
            <v>Queens</v>
          </cell>
          <cell r="P38">
            <v>40.786900000000003</v>
          </cell>
          <cell r="Q38">
            <v>-73.912199999999999</v>
          </cell>
          <cell r="R38" t="str">
            <v>Combustion turbine, Steam turbine</v>
          </cell>
          <cell r="S38" t="str">
            <v>Natural gas power plant</v>
          </cell>
        </row>
        <row r="39">
          <cell r="G39" t="str">
            <v>RICHMOND</v>
          </cell>
          <cell r="H39">
            <v>4911</v>
          </cell>
          <cell r="I39" t="str">
            <v>Electric Services</v>
          </cell>
          <cell r="J39">
            <v>545092.62</v>
          </cell>
          <cell r="L39" t="str">
            <v>ARTHUR KILL GENERATING STATION</v>
          </cell>
          <cell r="M39">
            <v>110000866386</v>
          </cell>
          <cell r="N39" t="str">
            <v>Arthur Kill</v>
          </cell>
          <cell r="O39" t="str">
            <v>Richmond</v>
          </cell>
          <cell r="P39">
            <v>40.591500000000003</v>
          </cell>
          <cell r="Q39">
            <v>-74.202699999999993</v>
          </cell>
          <cell r="R39" t="str">
            <v>Combustion turbine, Steam turbine</v>
          </cell>
          <cell r="S39" t="str">
            <v>Natural gas power plant</v>
          </cell>
        </row>
        <row r="40">
          <cell r="G40" t="str">
            <v>SUFFOLK</v>
          </cell>
          <cell r="H40">
            <v>4931</v>
          </cell>
          <cell r="I40" t="str">
            <v>Electric and Other Services Combined</v>
          </cell>
          <cell r="J40">
            <v>474668.37</v>
          </cell>
          <cell r="L40" t="str">
            <v>RICHARD M FLYNN POWER PLANT</v>
          </cell>
          <cell r="M40">
            <v>110000323953</v>
          </cell>
          <cell r="N40" t="str">
            <v>Richard M Flynn (Holtsville)</v>
          </cell>
          <cell r="O40" t="str">
            <v>Suffolk</v>
          </cell>
          <cell r="P40">
            <v>40.815300000000001</v>
          </cell>
          <cell r="Q40">
            <v>-73.064400000000006</v>
          </cell>
          <cell r="R40" t="str">
            <v>Natural gas combined cycle power plant</v>
          </cell>
          <cell r="S40" t="str">
            <v>Natural gas power plant</v>
          </cell>
        </row>
        <row r="41">
          <cell r="G41" t="str">
            <v>NIAGARA</v>
          </cell>
          <cell r="H41">
            <v>4911</v>
          </cell>
          <cell r="I41" t="str">
            <v>Electric Services</v>
          </cell>
          <cell r="J41">
            <v>385732.1</v>
          </cell>
          <cell r="L41" t="str">
            <v>SOMERSET OPERATING COMPANY LLC</v>
          </cell>
          <cell r="M41">
            <v>110000326371</v>
          </cell>
          <cell r="N41" t="str">
            <v>Somerset Operating Compnay, LLC</v>
          </cell>
          <cell r="O41" t="str">
            <v>Niagara</v>
          </cell>
          <cell r="P41">
            <v>43.356099999999998</v>
          </cell>
          <cell r="Q41">
            <v>-78.603899999999996</v>
          </cell>
          <cell r="R41" t="str">
            <v>Steam turbine</v>
          </cell>
          <cell r="S41" t="str">
            <v>Coal power plant</v>
          </cell>
        </row>
        <row r="42">
          <cell r="G42" t="str">
            <v>ONONDAGA</v>
          </cell>
          <cell r="H42">
            <v>4953</v>
          </cell>
          <cell r="I42" t="str">
            <v>Refuse Systems</v>
          </cell>
          <cell r="J42">
            <v>380309.61</v>
          </cell>
          <cell r="L42" t="str">
            <v>ONONDAGA CO RESOURCE RECOVERY FACILITY</v>
          </cell>
          <cell r="M42">
            <v>110000546124</v>
          </cell>
          <cell r="N42" t="str">
            <v>ONONDAGA CO RESOURCE RECOVERY FACILITY</v>
          </cell>
          <cell r="O42" t="str">
            <v>ONONDAGA COUNTY</v>
          </cell>
          <cell r="P42">
            <v>43.004784999999998</v>
          </cell>
          <cell r="Q42">
            <v>-76.114729999999994</v>
          </cell>
          <cell r="R42" t="str">
            <v>Steam turbine</v>
          </cell>
          <cell r="S42" t="str">
            <v>Solid waste power plant</v>
          </cell>
        </row>
        <row r="43">
          <cell r="G43" t="str">
            <v>NASSAU</v>
          </cell>
          <cell r="H43">
            <v>4939</v>
          </cell>
          <cell r="I43" t="str">
            <v>Combination Utilities, Not Elsewhere Classified</v>
          </cell>
          <cell r="J43">
            <v>353169.3</v>
          </cell>
          <cell r="L43" t="str">
            <v>HEMPSTEAD RESOURCE RECOVERY FACILITY</v>
          </cell>
          <cell r="M43">
            <v>110034162643</v>
          </cell>
          <cell r="N43" t="str">
            <v>COVANTA HEMPSTEAD</v>
          </cell>
          <cell r="O43" t="str">
            <v>NASSAU</v>
          </cell>
          <cell r="P43">
            <v>40.738356000000003</v>
          </cell>
          <cell r="Q43">
            <v>-73.593495000000004</v>
          </cell>
          <cell r="R43" t="str">
            <v>Steam turbine</v>
          </cell>
          <cell r="S43" t="str">
            <v>Solid waste power plant</v>
          </cell>
        </row>
        <row r="44">
          <cell r="G44" t="str">
            <v>WESTCHESTER</v>
          </cell>
          <cell r="H44">
            <v>4953</v>
          </cell>
          <cell r="I44" t="str">
            <v>Refuse Systems</v>
          </cell>
          <cell r="J44">
            <v>324949.33</v>
          </cell>
          <cell r="L44" t="str">
            <v>WHEELABRATOR WESTCHESTER LP</v>
          </cell>
          <cell r="M44">
            <v>110010710944</v>
          </cell>
          <cell r="N44" t="str">
            <v>WHEELABRATOR WESTCHESTER LP</v>
          </cell>
          <cell r="O44" t="str">
            <v>WESTCHESTER COUNTY</v>
          </cell>
          <cell r="P44">
            <v>41.277115000000002</v>
          </cell>
          <cell r="Q44">
            <v>-73.942428000000007</v>
          </cell>
          <cell r="R44" t="str">
            <v>Steam turbine</v>
          </cell>
          <cell r="S44" t="str">
            <v>Solid waste power plant</v>
          </cell>
        </row>
        <row r="45">
          <cell r="G45" t="str">
            <v>NASSAU</v>
          </cell>
          <cell r="H45">
            <v>4911</v>
          </cell>
          <cell r="I45" t="str">
            <v>Electric Services</v>
          </cell>
          <cell r="J45">
            <v>324361.88</v>
          </cell>
          <cell r="L45" t="str">
            <v>TBG COGEN FACILITY</v>
          </cell>
          <cell r="M45">
            <v>110001576376</v>
          </cell>
          <cell r="N45" t="str">
            <v>Bethpage Energy Center</v>
          </cell>
          <cell r="O45" t="str">
            <v>Nassau</v>
          </cell>
          <cell r="P45">
            <v>40.746899999999997</v>
          </cell>
          <cell r="Q45">
            <v>-73.499399999999994</v>
          </cell>
          <cell r="R45" t="str">
            <v>Natural gas combined cycle power plant, Combustion turbine</v>
          </cell>
          <cell r="S45" t="str">
            <v>Natural gas power plant</v>
          </cell>
        </row>
        <row r="46">
          <cell r="G46" t="str">
            <v>SARATOGA</v>
          </cell>
          <cell r="H46">
            <v>4911</v>
          </cell>
          <cell r="I46" t="str">
            <v>Electric Services</v>
          </cell>
          <cell r="J46">
            <v>324220.11</v>
          </cell>
          <cell r="L46" t="str">
            <v>INDECK-CORINTH ENERGY CENTER</v>
          </cell>
          <cell r="M46">
            <v>110000324934</v>
          </cell>
          <cell r="N46" t="str">
            <v>Indeck-Corinth Energy Center</v>
          </cell>
          <cell r="O46" t="str">
            <v>Saratoga</v>
          </cell>
          <cell r="P46">
            <v>43.25</v>
          </cell>
          <cell r="Q46">
            <v>-73.8125</v>
          </cell>
          <cell r="R46" t="str">
            <v>Natural gas combined cycle power plant</v>
          </cell>
          <cell r="S46" t="str">
            <v>Natural gas power plant</v>
          </cell>
        </row>
        <row r="47">
          <cell r="G47" t="str">
            <v>QUEENS</v>
          </cell>
          <cell r="H47">
            <v>4931</v>
          </cell>
          <cell r="I47" t="str">
            <v>Electric and Other Services Combined</v>
          </cell>
          <cell r="J47">
            <v>298220.61</v>
          </cell>
          <cell r="L47" t="str">
            <v>CALPINE JFK ENERGY CENTER</v>
          </cell>
          <cell r="M47">
            <v>110007990246</v>
          </cell>
          <cell r="N47" t="str">
            <v>KIAC Cogeneration</v>
          </cell>
          <cell r="O47" t="str">
            <v>Queens</v>
          </cell>
          <cell r="P47">
            <v>40.6417</v>
          </cell>
          <cell r="Q47">
            <v>-73.777799999999999</v>
          </cell>
          <cell r="R47" t="str">
            <v>Natural gas combined cycle power plant</v>
          </cell>
          <cell r="S47" t="str">
            <v>Natural gas power plant</v>
          </cell>
        </row>
        <row r="48">
          <cell r="G48" t="str">
            <v>TOMPKINS</v>
          </cell>
          <cell r="H48">
            <v>4911</v>
          </cell>
          <cell r="I48" t="str">
            <v>Electric Services</v>
          </cell>
          <cell r="J48">
            <v>295133.5</v>
          </cell>
          <cell r="L48" t="str">
            <v>CAYUGA OPERATING COMPANY, LLC</v>
          </cell>
          <cell r="M48">
            <v>110000328547</v>
          </cell>
          <cell r="N48" t="str">
            <v>Cayuga Operating Company, LLC</v>
          </cell>
          <cell r="O48" t="str">
            <v>Tompkins</v>
          </cell>
          <cell r="P48">
            <v>42.602800000000002</v>
          </cell>
          <cell r="Q48">
            <v>-76.633600000000001</v>
          </cell>
          <cell r="R48" t="str">
            <v>Steam turbine, Internal combustion</v>
          </cell>
          <cell r="S48" t="str">
            <v>Coal power plant</v>
          </cell>
        </row>
        <row r="49">
          <cell r="G49" t="str">
            <v>WARREN</v>
          </cell>
          <cell r="H49">
            <v>3241</v>
          </cell>
          <cell r="I49" t="str">
            <v>Cement, Hydraulic</v>
          </cell>
          <cell r="J49">
            <v>294172.90000000002</v>
          </cell>
          <cell r="L49" t="str">
            <v>LEHIGH NORTHEAST CEMENT COMPANY</v>
          </cell>
          <cell r="M49">
            <v>110002380049</v>
          </cell>
          <cell r="N49" t="str">
            <v>Lehigh Northeast Cement Company</v>
          </cell>
          <cell r="O49" t="str">
            <v>Warren</v>
          </cell>
          <cell r="P49">
            <v>43.306399999999996</v>
          </cell>
          <cell r="Q49">
            <v>-73.620800000000003</v>
          </cell>
          <cell r="R49" t="str">
            <v>Cement production</v>
          </cell>
          <cell r="S49" t="str">
            <v>Cement production</v>
          </cell>
        </row>
        <row r="50">
          <cell r="G50" t="str">
            <v>ALBANY</v>
          </cell>
          <cell r="H50">
            <v>3241</v>
          </cell>
          <cell r="I50" t="str">
            <v>Cement, Hydraulic</v>
          </cell>
          <cell r="J50">
            <v>249847.86</v>
          </cell>
          <cell r="L50" t="str">
            <v>LAFARGE RAVENA PLANT</v>
          </cell>
          <cell r="M50">
            <v>110056973182</v>
          </cell>
          <cell r="N50" t="str">
            <v>LAFARGE BUILDING MATERIALS INC</v>
          </cell>
          <cell r="O50" t="str">
            <v>ALBANY COUNTY</v>
          </cell>
          <cell r="P50">
            <v>42.49756</v>
          </cell>
          <cell r="Q50">
            <v>-73.813652000000005</v>
          </cell>
          <cell r="R50" t="str">
            <v>Dry kiln technology</v>
          </cell>
          <cell r="S50" t="str">
            <v>Cement production</v>
          </cell>
        </row>
        <row r="51">
          <cell r="G51" t="str">
            <v>ALBANY</v>
          </cell>
          <cell r="H51">
            <v>4911</v>
          </cell>
          <cell r="I51" t="str">
            <v>Electric Services</v>
          </cell>
          <cell r="J51">
            <v>240090.81</v>
          </cell>
          <cell r="L51" t="str">
            <v>SELKIRK COGENERATION PROJECT</v>
          </cell>
          <cell r="M51">
            <v>110006625633</v>
          </cell>
          <cell r="N51" t="str">
            <v>Selkirk Cogen Partners</v>
          </cell>
          <cell r="O51" t="str">
            <v>Albany</v>
          </cell>
          <cell r="P51">
            <v>42.574399999999997</v>
          </cell>
          <cell r="Q51">
            <v>-73.859200000000001</v>
          </cell>
          <cell r="R51" t="str">
            <v>Natural gas combined cycle power plant</v>
          </cell>
          <cell r="S51" t="str">
            <v>Natural gas power plant</v>
          </cell>
        </row>
        <row r="52">
          <cell r="G52" t="str">
            <v>ORANGE</v>
          </cell>
          <cell r="H52">
            <v>4911</v>
          </cell>
          <cell r="I52" t="str">
            <v>Electric Services</v>
          </cell>
          <cell r="J52">
            <v>236083.57</v>
          </cell>
          <cell r="L52" t="str">
            <v>ROSETON GENERATING STATION</v>
          </cell>
          <cell r="M52">
            <v>110000324747</v>
          </cell>
          <cell r="N52" t="str">
            <v>Roseton Generating Facility</v>
          </cell>
          <cell r="O52" t="str">
            <v>Orange</v>
          </cell>
          <cell r="P52">
            <v>41.571100000000001</v>
          </cell>
          <cell r="Q52">
            <v>-73.9739</v>
          </cell>
          <cell r="R52" t="str">
            <v>Steam turbine</v>
          </cell>
          <cell r="S52" t="str">
            <v>Natural gas power plant</v>
          </cell>
        </row>
        <row r="53">
          <cell r="G53" t="str">
            <v>NEW YORK</v>
          </cell>
          <cell r="H53">
            <v>4961</v>
          </cell>
          <cell r="I53" t="str">
            <v>Steam and Air-Conditioning Supply</v>
          </cell>
          <cell r="J53">
            <v>235064.65</v>
          </cell>
          <cell r="L53" t="str">
            <v>CON ED-59TH ST STATION</v>
          </cell>
          <cell r="M53">
            <v>110019296509</v>
          </cell>
          <cell r="N53" t="str">
            <v>59th Street</v>
          </cell>
          <cell r="O53" t="str">
            <v>New York</v>
          </cell>
          <cell r="P53">
            <v>40.771099999999997</v>
          </cell>
          <cell r="Q53">
            <v>-73.991100000000003</v>
          </cell>
          <cell r="R53" t="str">
            <v>Combustion turbine</v>
          </cell>
          <cell r="S53" t="str">
            <v>Natural gas combustion</v>
          </cell>
        </row>
        <row r="54">
          <cell r="G54" t="str">
            <v>ST LAWRENCE</v>
          </cell>
          <cell r="H54">
            <v>3334</v>
          </cell>
          <cell r="I54" t="str">
            <v>Primary Production of Aluminum</v>
          </cell>
          <cell r="J54">
            <v>233130.43</v>
          </cell>
          <cell r="L54" t="str">
            <v>ALCOA USA CORP</v>
          </cell>
          <cell r="M54">
            <v>110070069670</v>
          </cell>
          <cell r="N54" t="str">
            <v>Alcoa USA Corp.</v>
          </cell>
          <cell r="O54" t="str">
            <v>ST. LAWRENCE COUNTY</v>
          </cell>
          <cell r="P54">
            <v>44.965592000000001</v>
          </cell>
          <cell r="Q54">
            <v>-74.892555999999999</v>
          </cell>
          <cell r="R54" t="str">
            <v>Aluminum smelter</v>
          </cell>
          <cell r="S54" t="str">
            <v>Aluminum smelter</v>
          </cell>
        </row>
        <row r="55">
          <cell r="G55" t="str">
            <v>NEW YORK</v>
          </cell>
          <cell r="H55">
            <v>4961</v>
          </cell>
          <cell r="I55" t="str">
            <v>Steam and Air-Conditioning Supply</v>
          </cell>
          <cell r="J55">
            <v>215192.53</v>
          </cell>
          <cell r="L55" t="str">
            <v>CON ED-74TH STREET STA</v>
          </cell>
          <cell r="M55">
            <v>110019296527</v>
          </cell>
          <cell r="N55" t="str">
            <v>74th Street</v>
          </cell>
          <cell r="O55" t="str">
            <v>New York</v>
          </cell>
          <cell r="P55">
            <v>40.768000000000001</v>
          </cell>
          <cell r="Q55">
            <v>-73.951499999999996</v>
          </cell>
          <cell r="R55" t="str">
            <v>Combustion turbine</v>
          </cell>
          <cell r="S55" t="str">
            <v>Natural gas combustion</v>
          </cell>
        </row>
        <row r="56">
          <cell r="G56" t="str">
            <v>LEWIS</v>
          </cell>
          <cell r="H56">
            <v>4911</v>
          </cell>
          <cell r="I56" t="str">
            <v>Electric Services</v>
          </cell>
          <cell r="J56">
            <v>211797.84</v>
          </cell>
          <cell r="L56" t="str">
            <v>LYONSDALE BIOMASS LLC</v>
          </cell>
          <cell r="M56" t="str">
            <v>Manual1</v>
          </cell>
          <cell r="N56" t="str">
            <v>LYONSDALE BIOMASS LLC</v>
          </cell>
          <cell r="O56" t="str">
            <v>LEWIS</v>
          </cell>
          <cell r="P56">
            <v>43.617977000000003</v>
          </cell>
          <cell r="Q56">
            <v>-75.306668999999999</v>
          </cell>
          <cell r="R56" t="str">
            <v>Steam turbine</v>
          </cell>
          <cell r="S56" t="str">
            <v>Wood based power plant</v>
          </cell>
        </row>
        <row r="57">
          <cell r="G57" t="str">
            <v>NIAGARA</v>
          </cell>
          <cell r="H57">
            <v>3313</v>
          </cell>
          <cell r="I57" t="str">
            <v>Electrometallurgical Products, Except Steel</v>
          </cell>
          <cell r="J57">
            <v>201333.35</v>
          </cell>
          <cell r="L57" t="str">
            <v>GLOBE METALLURGICAL INC</v>
          </cell>
          <cell r="M57">
            <v>110001578221</v>
          </cell>
          <cell r="N57" t="str">
            <v>GLOBE METALLURGICAL INC</v>
          </cell>
          <cell r="O57" t="str">
            <v>NIAGARA COUNTY</v>
          </cell>
          <cell r="P57">
            <v>43.121949999999998</v>
          </cell>
          <cell r="Q57">
            <v>-79.044517999999997</v>
          </cell>
          <cell r="R57" t="str">
            <v>To be closed</v>
          </cell>
          <cell r="S57" t="str">
            <v>To be closed</v>
          </cell>
        </row>
        <row r="58">
          <cell r="G58" t="str">
            <v>NASSAU</v>
          </cell>
          <cell r="H58">
            <v>4911</v>
          </cell>
          <cell r="I58" t="str">
            <v>Electric Services</v>
          </cell>
          <cell r="J58">
            <v>199408.49</v>
          </cell>
          <cell r="L58" t="str">
            <v>NASSAU ENERGY LLC</v>
          </cell>
          <cell r="M58">
            <v>110001575787</v>
          </cell>
          <cell r="N58" t="str">
            <v>Nassau Energy LLC</v>
          </cell>
          <cell r="O58" t="str">
            <v>Nassau</v>
          </cell>
          <cell r="P58">
            <v>40.725900000000003</v>
          </cell>
          <cell r="Q58">
            <v>-73.588499999999996</v>
          </cell>
          <cell r="R58" t="str">
            <v>Natural gas combined cycle power plant</v>
          </cell>
          <cell r="S58" t="str">
            <v>Natural gas power plant</v>
          </cell>
        </row>
        <row r="59">
          <cell r="G59" t="str">
            <v>OSWEGO</v>
          </cell>
          <cell r="H59">
            <v>3353</v>
          </cell>
          <cell r="I59" t="str">
            <v>Aluminum Sheet, Plate, and Foil</v>
          </cell>
          <cell r="J59">
            <v>198299.21</v>
          </cell>
          <cell r="L59" t="str">
            <v>NOVELIS CORPORATION</v>
          </cell>
          <cell r="M59">
            <v>110000325407</v>
          </cell>
          <cell r="N59" t="str">
            <v>NOVELIS CORPORATION</v>
          </cell>
          <cell r="O59" t="str">
            <v>OSWEGO COUNTY</v>
          </cell>
          <cell r="P59">
            <v>43.493834</v>
          </cell>
          <cell r="Q59">
            <v>-76.456711999999996</v>
          </cell>
          <cell r="R59" t="str">
            <v>Auminium automotive finishing line</v>
          </cell>
          <cell r="S59" t="str">
            <v>Natural gas combustion</v>
          </cell>
        </row>
        <row r="60">
          <cell r="G60" t="str">
            <v>ONONDAGA</v>
          </cell>
          <cell r="H60">
            <v>2631</v>
          </cell>
          <cell r="I60" t="str">
            <v>Paperboard Mills</v>
          </cell>
          <cell r="J60">
            <v>191586</v>
          </cell>
          <cell r="L60" t="str">
            <v>WESTROCK-SOLVAY LLC</v>
          </cell>
          <cell r="M60">
            <v>110009824547</v>
          </cell>
          <cell r="N60" t="str">
            <v>WestRock - Solvay, LLC</v>
          </cell>
          <cell r="O60" t="str">
            <v>ONONDAGA COUNTY</v>
          </cell>
          <cell r="P60">
            <v>43.063850000000002</v>
          </cell>
          <cell r="Q60">
            <v>-76.204629999999995</v>
          </cell>
          <cell r="R60" t="str">
            <v>Paper recycling mill and paperboard and cardboard manufacturing</v>
          </cell>
          <cell r="S60" t="str">
            <v>Paper/pulp/paperboard mill</v>
          </cell>
        </row>
        <row r="61">
          <cell r="G61" t="str">
            <v>SUFFOLK</v>
          </cell>
          <cell r="H61">
            <v>4911</v>
          </cell>
          <cell r="I61" t="str">
            <v>Electric Services</v>
          </cell>
          <cell r="J61">
            <v>191349.3</v>
          </cell>
          <cell r="L61" t="str">
            <v>NISSEQUOGUE COGEN PARTNERS PLANT</v>
          </cell>
          <cell r="M61">
            <v>110019611375</v>
          </cell>
          <cell r="N61" t="str">
            <v>Nissequogue Cogen</v>
          </cell>
          <cell r="O61" t="str">
            <v>Suffolk</v>
          </cell>
          <cell r="P61">
            <v>40.916800000000002</v>
          </cell>
          <cell r="Q61">
            <v>-73.129199999999997</v>
          </cell>
          <cell r="R61" t="str">
            <v>Combustion turbine</v>
          </cell>
          <cell r="S61" t="str">
            <v>Natural gas power plant</v>
          </cell>
        </row>
        <row r="62">
          <cell r="G62" t="str">
            <v>TOMPKINS</v>
          </cell>
          <cell r="H62">
            <v>8221</v>
          </cell>
          <cell r="I62" t="str">
            <v>Colleges, Universities, and Professional Schools</v>
          </cell>
          <cell r="J62">
            <v>160710.94</v>
          </cell>
          <cell r="L62" t="str">
            <v>CORNELL UNIVERSITY CENTRAL ENERGY PLANT</v>
          </cell>
          <cell r="M62">
            <v>110028041330</v>
          </cell>
          <cell r="N62" t="str">
            <v>Cornell University Ithaca Campus</v>
          </cell>
          <cell r="O62" t="str">
            <v>Tompkins</v>
          </cell>
          <cell r="P62">
            <v>42.442799999999998</v>
          </cell>
          <cell r="Q62">
            <v>-76.476399999999998</v>
          </cell>
          <cell r="R62" t="str">
            <v>Combined heat and power</v>
          </cell>
          <cell r="S62" t="str">
            <v>Natural gas power plant</v>
          </cell>
        </row>
        <row r="63">
          <cell r="G63" t="str">
            <v>SUFFOLK</v>
          </cell>
          <cell r="H63">
            <v>4911</v>
          </cell>
          <cell r="I63" t="str">
            <v>Electric Services</v>
          </cell>
          <cell r="J63">
            <v>154996.98000000001</v>
          </cell>
          <cell r="L63" t="str">
            <v>PORT JEFFERSON POWER STATION</v>
          </cell>
          <cell r="M63">
            <v>110008025528</v>
          </cell>
          <cell r="N63" t="str">
            <v>Port Jefferson Energy Center</v>
          </cell>
          <cell r="O63" t="str">
            <v>Suffolk</v>
          </cell>
          <cell r="P63">
            <v>40.950299999999999</v>
          </cell>
          <cell r="Q63">
            <v>-73.078599999999994</v>
          </cell>
          <cell r="R63" t="str">
            <v>Combustion turbine, Steam turbine</v>
          </cell>
          <cell r="S63" t="str">
            <v>Natural gas power plant</v>
          </cell>
        </row>
        <row r="64">
          <cell r="G64" t="str">
            <v>WAYNE</v>
          </cell>
          <cell r="H64">
            <v>4953</v>
          </cell>
          <cell r="I64" t="str">
            <v>Refuse Systems</v>
          </cell>
          <cell r="J64">
            <v>149846.94</v>
          </cell>
          <cell r="L64" t="str">
            <v>HIGH ACRES LANDFILL &amp; RECYCLING CENTER</v>
          </cell>
          <cell r="M64">
            <v>110001575420</v>
          </cell>
          <cell r="N64" t="str">
            <v>HIGH ACRES LANDFILL &amp; RECYCLING CENTER</v>
          </cell>
          <cell r="O64" t="str">
            <v>MONROE COUNTY</v>
          </cell>
          <cell r="P64">
            <v>43.086919999999999</v>
          </cell>
          <cell r="Q64">
            <v>-77.387339999999995</v>
          </cell>
          <cell r="R64" t="str">
            <v>Internal combustion</v>
          </cell>
          <cell r="S64" t="str">
            <v>Solid waste power plant</v>
          </cell>
        </row>
        <row r="65">
          <cell r="G65" t="str">
            <v>NASSAU</v>
          </cell>
          <cell r="H65">
            <v>4952</v>
          </cell>
          <cell r="I65" t="str">
            <v>Sewerage Systems</v>
          </cell>
          <cell r="J65">
            <v>137531.98000000001</v>
          </cell>
          <cell r="L65" t="str">
            <v>BAY PARK SEWAGE TREATMENT PLANT</v>
          </cell>
          <cell r="M65" t="str">
            <v>Manual2</v>
          </cell>
          <cell r="N65" t="str">
            <v>BAY PARK SEWAGE TREATMENT PLANT</v>
          </cell>
          <cell r="O65" t="str">
            <v>NASSAU</v>
          </cell>
          <cell r="P65">
            <v>40.631776000000002</v>
          </cell>
          <cell r="Q65">
            <v>-73.663589999999999</v>
          </cell>
          <cell r="R65" t="str">
            <v>Sewage treatment</v>
          </cell>
          <cell r="S65" t="str">
            <v>Natural gas combustion</v>
          </cell>
        </row>
        <row r="66">
          <cell r="G66" t="str">
            <v>SARATOGA</v>
          </cell>
          <cell r="H66">
            <v>2821</v>
          </cell>
          <cell r="I66" t="str">
            <v>Plastics Materials, Synthetic Resins, and Nonvulcanizable Elastomers</v>
          </cell>
          <cell r="J66">
            <v>135893.03</v>
          </cell>
          <cell r="L66" t="str">
            <v>MOMENTIVE PERFORMANCE MATERIALS</v>
          </cell>
          <cell r="M66">
            <v>110000324435</v>
          </cell>
          <cell r="N66" t="str">
            <v>Momentive Performance Materials</v>
          </cell>
          <cell r="O66" t="str">
            <v>Saratoga</v>
          </cell>
          <cell r="P66">
            <v>42.815800000000003</v>
          </cell>
          <cell r="Q66">
            <v>-73.672799999999995</v>
          </cell>
          <cell r="R66" t="str">
            <v>Chemicals plant</v>
          </cell>
          <cell r="S66" t="str">
            <v>Natural gas combustion</v>
          </cell>
        </row>
        <row r="67">
          <cell r="G67" t="str">
            <v>WARREN</v>
          </cell>
          <cell r="H67">
            <v>2611</v>
          </cell>
          <cell r="I67" t="str">
            <v>Pulp Mills</v>
          </cell>
          <cell r="J67">
            <v>133446</v>
          </cell>
          <cell r="L67" t="str">
            <v>FINCH PAPER LLC</v>
          </cell>
          <cell r="M67">
            <v>110000324845</v>
          </cell>
          <cell r="N67" t="str">
            <v>FINCH PAPER LLC</v>
          </cell>
          <cell r="O67" t="str">
            <v>WARREN COUNTY</v>
          </cell>
          <cell r="P67">
            <v>43.308506999999999</v>
          </cell>
          <cell r="Q67">
            <v>-73.634808000000007</v>
          </cell>
          <cell r="R67" t="str">
            <v>Pulp mill</v>
          </cell>
          <cell r="S67" t="str">
            <v>Paper/pulp/paperboard mill</v>
          </cell>
        </row>
        <row r="68">
          <cell r="G68" t="str">
            <v>CAYUGA</v>
          </cell>
          <cell r="H68">
            <v>3312</v>
          </cell>
          <cell r="I68" t="str">
            <v>Steel Works, Blast Furnaces (Including Coke Ovens), and Rolling Mills</v>
          </cell>
          <cell r="J68">
            <v>122285.11</v>
          </cell>
          <cell r="L68" t="str">
            <v>NUCOR STEEL AUBURN INC</v>
          </cell>
          <cell r="M68">
            <v>110000325050</v>
          </cell>
          <cell r="N68" t="str">
            <v>NUCOR STEEL AUBURN INC</v>
          </cell>
          <cell r="O68" t="str">
            <v>CAYUGA COUNTY</v>
          </cell>
          <cell r="P68">
            <v>42.950710000000001</v>
          </cell>
          <cell r="Q68">
            <v>-76.570869999999999</v>
          </cell>
          <cell r="R68" t="str">
            <v>Scrap-based steel mill</v>
          </cell>
          <cell r="S68" t="str">
            <v>Scrap-based steel mill</v>
          </cell>
        </row>
        <row r="69">
          <cell r="G69" t="str">
            <v>PUTNAM</v>
          </cell>
          <cell r="H69">
            <v>4922</v>
          </cell>
          <cell r="I69" t="str">
            <v>Natural Gas Transmission</v>
          </cell>
          <cell r="J69">
            <v>121951.39</v>
          </cell>
          <cell r="L69" t="str">
            <v>ALGONQUIN GAS SOUTHEAST COMPRESSOR STATION</v>
          </cell>
          <cell r="M69">
            <v>110007982861</v>
          </cell>
          <cell r="N69" t="str">
            <v>Southeast</v>
          </cell>
          <cell r="O69" t="str">
            <v>PUTNAM COUNTY</v>
          </cell>
          <cell r="P69">
            <v>41.384399999999999</v>
          </cell>
          <cell r="Q69">
            <v>-73.544600000000003</v>
          </cell>
          <cell r="R69" t="str">
            <v>Natural gas fired turbine, emergy enerator, fuel gas heater, gas cooler</v>
          </cell>
          <cell r="S69" t="str">
            <v>Natural gas power plant</v>
          </cell>
        </row>
        <row r="70">
          <cell r="G70" t="str">
            <v>SUFFOLK</v>
          </cell>
          <cell r="H70">
            <v>4953</v>
          </cell>
          <cell r="I70" t="str">
            <v>Refuse Systems</v>
          </cell>
          <cell r="J70">
            <v>117223.7</v>
          </cell>
          <cell r="L70" t="str">
            <v>HUNTINGTON RESOURCE RECOVERY FACILITY</v>
          </cell>
          <cell r="M70">
            <v>110019785473</v>
          </cell>
          <cell r="N70" t="str">
            <v>COVANTA HUNTINGTON</v>
          </cell>
          <cell r="O70" t="str">
            <v>SUFFOLK COUNTY</v>
          </cell>
          <cell r="P70">
            <v>40.881700000000002</v>
          </cell>
          <cell r="Q70">
            <v>-73.289900000000003</v>
          </cell>
          <cell r="R70" t="str">
            <v>Steam turbine</v>
          </cell>
          <cell r="S70" t="str">
            <v>Solid waste power plant</v>
          </cell>
        </row>
        <row r="71">
          <cell r="G71" t="str">
            <v>CHAUTAUQUA</v>
          </cell>
          <cell r="H71">
            <v>4953</v>
          </cell>
          <cell r="I71" t="str">
            <v>Refuse Systems</v>
          </cell>
          <cell r="J71">
            <v>116362.87</v>
          </cell>
          <cell r="L71" t="str">
            <v>CHAUTAUQUA COUNTY LANDFILL</v>
          </cell>
          <cell r="M71">
            <v>110015651052</v>
          </cell>
          <cell r="N71" t="str">
            <v>Chautauqua County Landfill</v>
          </cell>
          <cell r="O71" t="str">
            <v>CHAUTAUQUA</v>
          </cell>
          <cell r="P71">
            <v>42.202637000000003</v>
          </cell>
          <cell r="Q71">
            <v>-79.312516000000002</v>
          </cell>
          <cell r="R71" t="str">
            <v>Internal combustion</v>
          </cell>
          <cell r="S71" t="str">
            <v>Natural gas power plant</v>
          </cell>
        </row>
        <row r="72">
          <cell r="G72" t="str">
            <v>STEUBEN</v>
          </cell>
          <cell r="H72">
            <v>3299</v>
          </cell>
          <cell r="I72" t="str">
            <v>Nonmetallic Mineral Products, Not Elsewhere Classified</v>
          </cell>
          <cell r="J72">
            <v>110527.2</v>
          </cell>
          <cell r="L72" t="str">
            <v>CORNING DIESEL MANUFACTURING FACILITY</v>
          </cell>
          <cell r="M72">
            <v>110041063274</v>
          </cell>
          <cell r="N72" t="str">
            <v>CORNING DIESEL MANUFACTURING FACILITY</v>
          </cell>
          <cell r="O72" t="str">
            <v>STEUBEN COUNTY</v>
          </cell>
          <cell r="P72">
            <v>42.110550000000003</v>
          </cell>
          <cell r="Q72">
            <v>-77.155799999999999</v>
          </cell>
          <cell r="R72" t="str">
            <v>Large ceramic substrates and filters for heavy-duty diesel engine, truck, construction, and agricultural equipment manufacturers.</v>
          </cell>
          <cell r="S72" t="str">
            <v>Natural gas combustion</v>
          </cell>
        </row>
        <row r="73">
          <cell r="G73" t="str">
            <v>NEW YORK</v>
          </cell>
          <cell r="H73">
            <v>4961</v>
          </cell>
          <cell r="I73" t="str">
            <v>Steam and Air-Conditioning Supply</v>
          </cell>
          <cell r="J73">
            <v>110312.34</v>
          </cell>
          <cell r="L73" t="str">
            <v>CON ED-EAST 60TH STREET STEAM PLANT</v>
          </cell>
          <cell r="M73">
            <v>110019644679</v>
          </cell>
          <cell r="N73" t="str">
            <v>CON ED-EAST 60TH STREET STEAM PLANT</v>
          </cell>
          <cell r="O73" t="str">
            <v>NEW YORK COUNTY</v>
          </cell>
          <cell r="P73">
            <v>40.758600000000001</v>
          </cell>
          <cell r="Q73">
            <v>-73.959199999999996</v>
          </cell>
          <cell r="R73" t="str">
            <v>Steam generation, no additional information found</v>
          </cell>
          <cell r="S73" t="str">
            <v>Natural gas combustion</v>
          </cell>
        </row>
        <row r="74">
          <cell r="G74" t="str">
            <v>DUTCHESS</v>
          </cell>
          <cell r="H74">
            <v>4953</v>
          </cell>
          <cell r="I74" t="str">
            <v>Refuse Systems</v>
          </cell>
          <cell r="J74">
            <v>107244.31</v>
          </cell>
          <cell r="L74" t="str">
            <v>DUTCHESS CO RESOURCE RECOVERY FACILITY</v>
          </cell>
          <cell r="M74">
            <v>110001567849</v>
          </cell>
          <cell r="N74" t="str">
            <v>DUTCHESS CO RESOURCE RECOVERY FACILITY</v>
          </cell>
          <cell r="O74" t="str">
            <v>DUTCHESS COUNTY</v>
          </cell>
          <cell r="P74">
            <v>41.647458</v>
          </cell>
          <cell r="Q74">
            <v>-73.942631000000006</v>
          </cell>
          <cell r="R74" t="str">
            <v>Resource recovery, recycling and waste to electricity plant</v>
          </cell>
          <cell r="S74" t="str">
            <v>Solid waste power plant</v>
          </cell>
        </row>
        <row r="75">
          <cell r="G75" t="str">
            <v>CHEMUNG</v>
          </cell>
          <cell r="H75">
            <v>3221</v>
          </cell>
          <cell r="I75" t="str">
            <v>Glass Containers</v>
          </cell>
          <cell r="J75">
            <v>105771.87</v>
          </cell>
          <cell r="L75" t="str">
            <v>ANCHOR GLASS CONTAINER CORP</v>
          </cell>
          <cell r="M75">
            <v>110000328618</v>
          </cell>
          <cell r="N75" t="str">
            <v>Anchor Glass Container - Plant 41</v>
          </cell>
          <cell r="O75" t="str">
            <v>CHEMUNG COUNTY</v>
          </cell>
          <cell r="P75">
            <v>42.120762999999997</v>
          </cell>
          <cell r="Q75">
            <v>-76.813168000000005</v>
          </cell>
          <cell r="R75" t="str">
            <v>Glass container production</v>
          </cell>
          <cell r="S75" t="str">
            <v>Glass production</v>
          </cell>
        </row>
        <row r="76">
          <cell r="G76" t="str">
            <v>ROCKLAND</v>
          </cell>
          <cell r="H76">
            <v>6512</v>
          </cell>
          <cell r="I76" t="str">
            <v>perators of Nonresidential Buildings</v>
          </cell>
          <cell r="J76">
            <v>104361.25</v>
          </cell>
          <cell r="L76" t="str">
            <v>PEARL RIVER CAMPUS LLC</v>
          </cell>
          <cell r="M76">
            <v>110000323070</v>
          </cell>
          <cell r="N76" t="str">
            <v>Pearl River Campus</v>
          </cell>
          <cell r="O76" t="str">
            <v>ROCKLAND COUNTY</v>
          </cell>
          <cell r="P76">
            <v>41.076799999999999</v>
          </cell>
          <cell r="Q76">
            <v>-74.018100000000004</v>
          </cell>
          <cell r="R76" t="str">
            <v>Building campus</v>
          </cell>
          <cell r="S76" t="str">
            <v>Natural gas combustion</v>
          </cell>
        </row>
        <row r="77">
          <cell r="G77" t="str">
            <v>YATES</v>
          </cell>
          <cell r="H77">
            <v>4911</v>
          </cell>
          <cell r="I77" t="str">
            <v>Electric Services</v>
          </cell>
          <cell r="J77">
            <v>103962.63</v>
          </cell>
          <cell r="L77" t="str">
            <v>GREENIDGE STATION</v>
          </cell>
          <cell r="M77">
            <v>110000327619</v>
          </cell>
          <cell r="N77" t="str">
            <v>Greenidge Generation LLC</v>
          </cell>
          <cell r="O77" t="str">
            <v>Yates</v>
          </cell>
          <cell r="P77">
            <v>42.678899999999999</v>
          </cell>
          <cell r="Q77">
            <v>-76.948300000000003</v>
          </cell>
          <cell r="R77" t="str">
            <v>Steam turbine</v>
          </cell>
          <cell r="S77" t="str">
            <v>Natural gas power plant</v>
          </cell>
        </row>
        <row r="78">
          <cell r="G78" t="str">
            <v/>
          </cell>
          <cell r="H78" t="str">
            <v/>
          </cell>
          <cell r="I78" t="str">
            <v/>
          </cell>
          <cell r="J78" t="str">
            <v/>
          </cell>
          <cell r="N78" t="str">
            <v/>
          </cell>
          <cell r="O78" t="str">
            <v/>
          </cell>
          <cell r="P78" t="str">
            <v/>
          </cell>
          <cell r="Q78" t="str">
            <v/>
          </cell>
        </row>
        <row r="79">
          <cell r="G79" t="str">
            <v/>
          </cell>
          <cell r="H79" t="str">
            <v/>
          </cell>
          <cell r="I79" t="str">
            <v/>
          </cell>
          <cell r="J79" t="str">
            <v/>
          </cell>
          <cell r="N79" t="str">
            <v/>
          </cell>
          <cell r="O79" t="str">
            <v/>
          </cell>
          <cell r="P79" t="str">
            <v/>
          </cell>
          <cell r="Q79" t="str">
            <v/>
          </cell>
        </row>
        <row r="80">
          <cell r="G80" t="str">
            <v/>
          </cell>
          <cell r="H80" t="str">
            <v/>
          </cell>
          <cell r="I80" t="str">
            <v/>
          </cell>
          <cell r="J80" t="str">
            <v/>
          </cell>
          <cell r="N80" t="str">
            <v/>
          </cell>
          <cell r="O80" t="str">
            <v/>
          </cell>
          <cell r="P80" t="str">
            <v/>
          </cell>
          <cell r="Q80" t="str">
            <v/>
          </cell>
        </row>
        <row r="81">
          <cell r="G81" t="str">
            <v/>
          </cell>
          <cell r="H81" t="str">
            <v/>
          </cell>
          <cell r="I81" t="str">
            <v/>
          </cell>
          <cell r="J81" t="str">
            <v/>
          </cell>
          <cell r="N81" t="str">
            <v/>
          </cell>
          <cell r="O81" t="str">
            <v/>
          </cell>
          <cell r="P81" t="str">
            <v/>
          </cell>
          <cell r="Q81" t="str">
            <v/>
          </cell>
        </row>
        <row r="82">
          <cell r="G82" t="str">
            <v/>
          </cell>
          <cell r="H82" t="str">
            <v/>
          </cell>
          <cell r="I82" t="str">
            <v/>
          </cell>
          <cell r="J82" t="str">
            <v/>
          </cell>
          <cell r="N82" t="str">
            <v/>
          </cell>
          <cell r="O82" t="str">
            <v/>
          </cell>
          <cell r="P82" t="str">
            <v/>
          </cell>
          <cell r="Q82" t="str">
            <v/>
          </cell>
        </row>
        <row r="83">
          <cell r="G83" t="str">
            <v/>
          </cell>
          <cell r="H83" t="str">
            <v/>
          </cell>
          <cell r="I83" t="str">
            <v/>
          </cell>
          <cell r="J83" t="str">
            <v/>
          </cell>
          <cell r="N83" t="str">
            <v/>
          </cell>
          <cell r="O83" t="str">
            <v/>
          </cell>
          <cell r="P83" t="str">
            <v/>
          </cell>
          <cell r="Q83" t="str">
            <v/>
          </cell>
        </row>
        <row r="84">
          <cell r="G84" t="str">
            <v/>
          </cell>
          <cell r="H84" t="str">
            <v/>
          </cell>
          <cell r="I84" t="str">
            <v/>
          </cell>
          <cell r="J84" t="str">
            <v/>
          </cell>
          <cell r="N84" t="str">
            <v/>
          </cell>
          <cell r="O84" t="str">
            <v/>
          </cell>
          <cell r="P84" t="str">
            <v/>
          </cell>
          <cell r="Q84" t="str">
            <v/>
          </cell>
        </row>
        <row r="85">
          <cell r="G85" t="str">
            <v/>
          </cell>
          <cell r="H85" t="str">
            <v/>
          </cell>
          <cell r="I85" t="str">
            <v/>
          </cell>
          <cell r="J85" t="str">
            <v/>
          </cell>
          <cell r="N85" t="str">
            <v/>
          </cell>
          <cell r="O85" t="str">
            <v/>
          </cell>
          <cell r="P85" t="str">
            <v/>
          </cell>
          <cell r="Q85" t="str">
            <v/>
          </cell>
        </row>
        <row r="86">
          <cell r="G86" t="str">
            <v/>
          </cell>
          <cell r="H86" t="str">
            <v/>
          </cell>
          <cell r="I86" t="str">
            <v/>
          </cell>
          <cell r="J86" t="str">
            <v/>
          </cell>
          <cell r="N86" t="str">
            <v/>
          </cell>
          <cell r="O86" t="str">
            <v/>
          </cell>
          <cell r="P86" t="str">
            <v/>
          </cell>
          <cell r="Q86" t="str">
            <v/>
          </cell>
        </row>
        <row r="87">
          <cell r="G87" t="str">
            <v/>
          </cell>
          <cell r="H87" t="str">
            <v/>
          </cell>
          <cell r="I87" t="str">
            <v/>
          </cell>
          <cell r="J87" t="str">
            <v/>
          </cell>
          <cell r="N87" t="str">
            <v/>
          </cell>
          <cell r="O87" t="str">
            <v/>
          </cell>
          <cell r="P87" t="str">
            <v/>
          </cell>
          <cell r="Q87" t="str">
            <v/>
          </cell>
        </row>
        <row r="88">
          <cell r="G88" t="str">
            <v/>
          </cell>
          <cell r="H88" t="str">
            <v/>
          </cell>
          <cell r="I88" t="str">
            <v/>
          </cell>
          <cell r="J88" t="str">
            <v/>
          </cell>
          <cell r="N88" t="str">
            <v/>
          </cell>
          <cell r="O88" t="str">
            <v/>
          </cell>
          <cell r="P88" t="str">
            <v/>
          </cell>
          <cell r="Q88" t="str">
            <v/>
          </cell>
        </row>
      </sheetData>
      <sheetData sheetId="12"/>
      <sheetData sheetId="13"/>
      <sheetData sheetId="14">
        <row r="28">
          <cell r="F28">
            <v>0.90800000000000003</v>
          </cell>
        </row>
        <row r="33">
          <cell r="F33">
            <v>100</v>
          </cell>
        </row>
        <row r="34">
          <cell r="F34">
            <v>0.45359237001003538</v>
          </cell>
        </row>
        <row r="42">
          <cell r="F42">
            <v>1000</v>
          </cell>
        </row>
        <row r="44">
          <cell r="F44">
            <v>293.29722222222</v>
          </cell>
        </row>
        <row r="70">
          <cell r="E70">
            <v>1.5</v>
          </cell>
        </row>
      </sheetData>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puts"/>
      <sheetName val="BECCS Negative Emissions"/>
      <sheetName val="NAS Report"/>
      <sheetName val="T&amp;S Cost and Potential"/>
      <sheetName val="DAC Cost and Energy Requirement"/>
      <sheetName val="Industrial CCS Costs"/>
      <sheetName val="DAC Model"/>
      <sheetName val="Navigant - datasheet"/>
    </sheetNames>
    <sheetDataSet>
      <sheetData sheetId="0">
        <row r="2">
          <cell r="C2">
            <v>0.09</v>
          </cell>
        </row>
      </sheetData>
      <sheetData sheetId="1"/>
      <sheetData sheetId="2">
        <row r="16">
          <cell r="E16">
            <v>0.44999999999999996</v>
          </cell>
        </row>
      </sheetData>
      <sheetData sheetId="3"/>
      <sheetData sheetId="4">
        <row r="2">
          <cell r="D2">
            <v>3.6</v>
          </cell>
        </row>
      </sheetData>
      <sheetData sheetId="5"/>
      <sheetData sheetId="6">
        <row r="59">
          <cell r="B59" t="str">
            <v xml:space="preserve">Nuclear </v>
          </cell>
        </row>
      </sheetData>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45 hydrogen comparison"/>
      <sheetName val="Hydrogen"/>
      <sheetName val="Cover"/>
      <sheetName val="Summary"/>
      <sheetName val="BFPaT-pretax-hydrogen"/>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4">
          <cell r="D4">
            <v>3412.14</v>
          </cell>
        </row>
        <row r="7">
          <cell r="D7">
            <v>0.13450999999999999</v>
          </cell>
        </row>
        <row r="17">
          <cell r="D17">
            <v>53.07</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2"/>
      <sheetName val="Gas Futures"/>
      <sheetName val="Henry Hub Historicals"/>
      <sheetName val="NG Sector Price Historicals"/>
      <sheetName val="Historical Monthly Gas Cons"/>
      <sheetName val="NG Calcs"/>
      <sheetName val="AEO Table 3"/>
      <sheetName val="AEO Table 12"/>
      <sheetName val="AEO Table 57"/>
      <sheetName val="Hard Coal and Lig Multipliers"/>
      <sheetName val="Hydrogen"/>
      <sheetName val="Other Fuels"/>
      <sheetName val="Tax Percentages"/>
      <sheetName val="Pretax &gt;"/>
      <sheetName val="BFPaT-pretax-electricity"/>
      <sheetName val="BFPaT-pretax-coal"/>
      <sheetName val="BFPaT-pretax-natgas"/>
      <sheetName val="BFPaT-pretax-nuclear"/>
      <sheetName val="BFPaT-pretax-hydro"/>
      <sheetName val="BFPaT-pretax-wind"/>
      <sheetName val="BFPaT-pretax-solar"/>
      <sheetName val="BFPaT-pretax-biomass"/>
      <sheetName val="BFPaT-pretax-petgas"/>
      <sheetName val="BFPaT-pretax-petdies"/>
      <sheetName val="BFPaT-pretax-biogas"/>
      <sheetName val="BFPaT-pretax-biodies"/>
      <sheetName val="BFPaT-pretax-jetkerosene"/>
      <sheetName val="BFPaT-pretax-heat"/>
      <sheetName val="BFPaT-pretax-geothermal"/>
      <sheetName val="BFPaT-pretax-lignite"/>
      <sheetName val="BFPaT-pretax-crude"/>
      <sheetName val="BFPaT-pretax-heavyfueloil"/>
      <sheetName val="BFPaT-pretax-lpgpropbut"/>
      <sheetName val="BFPaT-pretax-msw"/>
      <sheetName val="BFPaT-pretax-hydrogen"/>
      <sheetName val="Summary_pretax"/>
      <sheetName val="Fuel Tax &gt;"/>
      <sheetName val="BFPaT-fueltax-electricity"/>
      <sheetName val="BFPaT-fueltax-coal"/>
      <sheetName val="BFPaT-fueltax-natgas"/>
      <sheetName val="BFPaT-fueltax-nuclear"/>
      <sheetName val="BFPaT-fueltax-hydro"/>
      <sheetName val="BFPaT-fueltax-wind"/>
      <sheetName val="BFPaT-fueltax-solar"/>
      <sheetName val="BFPaT-fueltax-biomass"/>
      <sheetName val="BFPaT-fueltax-petgas"/>
      <sheetName val="BFPaT-fueltax-petdies"/>
      <sheetName val="BFPaT-fueltax-biogas"/>
      <sheetName val="BFPaT-fueltax-biodies"/>
      <sheetName val="BFPaT-fueltax-jetkerosene"/>
      <sheetName val="BFPaT-fueltax-heat"/>
      <sheetName val="BFPaT-fueltax-geothermal"/>
      <sheetName val="BFPaT-fueltax-lignite"/>
      <sheetName val="BFPaT-fueltax-crude"/>
      <sheetName val="BFPaT-fueltax-heavyfueloil"/>
      <sheetName val="BFPaT-fueltax-lpgpropbut"/>
      <sheetName val="BFPaT-fueltax-msw"/>
      <sheetName val="BFPaT-fueltax-hydrogen"/>
      <sheetName val="Summary_tax"/>
    </sheetNames>
    <sheetDataSet>
      <sheetData sheetId="0">
        <row r="103">
          <cell r="A103">
            <v>0.88711067149387013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2"/>
      <sheetName val="Gas Futures"/>
      <sheetName val="Henry Hub Historicals"/>
      <sheetName val="NG Sector Price Historicals"/>
      <sheetName val="Historical Monthly Gas Cons"/>
      <sheetName val="NG Calcs"/>
      <sheetName val="AEO Table 3"/>
      <sheetName val="AEO Table 12"/>
      <sheetName val="AEO Table 57"/>
      <sheetName val="Hard Coal and Lig Multipliers"/>
      <sheetName val="Hydrogen"/>
      <sheetName val="Other Fuels"/>
      <sheetName val="Tax Percentages"/>
      <sheetName val="Pretax &gt;"/>
      <sheetName val="BFPaT-pretax-electricity"/>
      <sheetName val="BFPaT-pretax-coal"/>
      <sheetName val="BFPaT-pretax-natgas"/>
      <sheetName val="BFPaT-pretax-nuclear"/>
      <sheetName val="BFPaT-pretax-hydro"/>
      <sheetName val="BFPaT-pretax-wind"/>
      <sheetName val="BFPaT-pretax-solar"/>
      <sheetName val="BFPaT-pretax-biomass"/>
      <sheetName val="BFPaT-pretax-petgas"/>
      <sheetName val="BFPaT-pretax-petdies"/>
      <sheetName val="BFPaT-pretax-biogas"/>
      <sheetName val="BFPaT-pretax-biodies"/>
      <sheetName val="BFPaT-pretax-jetkerosene"/>
      <sheetName val="BFPaT-pretax-heat"/>
      <sheetName val="BFPaT-pretax-geothermal"/>
      <sheetName val="BFPaT-pretax-lignite"/>
      <sheetName val="BFPaT-pretax-crude"/>
      <sheetName val="BFPaT-pretax-heavyfueloil"/>
      <sheetName val="BFPaT-pretax-lpgpropbut"/>
      <sheetName val="BFPaT-pretax-msw"/>
      <sheetName val="BFPaT-pretax-hydrogen"/>
      <sheetName val="Summary_pretax"/>
      <sheetName val="Fuel Tax &gt;"/>
      <sheetName val="BFPaT-fueltax-electricity"/>
      <sheetName val="BFPaT-fueltax-coal"/>
      <sheetName val="BFPaT-fueltax-natgas"/>
      <sheetName val="BFPaT-fueltax-nuclear"/>
      <sheetName val="BFPaT-fueltax-hydro"/>
      <sheetName val="BFPaT-fueltax-wind"/>
      <sheetName val="BFPaT-fueltax-solar"/>
      <sheetName val="BFPaT-fueltax-biomass"/>
      <sheetName val="BFPaT-fueltax-petgas"/>
      <sheetName val="BFPaT-fueltax-petdies"/>
      <sheetName val="BFPaT-fueltax-biogas"/>
      <sheetName val="BFPaT-fueltax-biodies"/>
      <sheetName val="BFPaT-fueltax-jetkerosene"/>
      <sheetName val="BFPaT-fueltax-heat"/>
      <sheetName val="BFPaT-fueltax-geothermal"/>
      <sheetName val="BFPaT-fueltax-lignite"/>
      <sheetName val="BFPaT-fueltax-crude"/>
      <sheetName val="BFPaT-fueltax-heavyfueloil"/>
      <sheetName val="BFPaT-fueltax-lpgpropbut"/>
      <sheetName val="BFPaT-fueltax-msw"/>
      <sheetName val="BFPaT-fueltax-hydrogen"/>
      <sheetName val="Summary_tax"/>
    </sheetNames>
    <sheetDataSet>
      <sheetData sheetId="0">
        <row r="103">
          <cell r="A103">
            <v>0.88711067149387013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eia_report">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2">
      <a:majorFont>
        <a:latin typeface="Times New Roman"/>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fdc.energy.gov/files/u/publication/alternative_fuel_price_report_april_2021.pdf" TargetMode="External"/><Relationship Id="rId3" Type="http://schemas.openxmlformats.org/officeDocument/2006/relationships/hyperlink" Target="http://www.euroheat.org/United-States-156.aspx" TargetMode="External"/><Relationship Id="rId7" Type="http://schemas.openxmlformats.org/officeDocument/2006/relationships/hyperlink" Target="https://www.cdtfa.ca.gov/taxes-and-fees/sales-tax-rates-for-fuels.htm" TargetMode="External"/><Relationship Id="rId2" Type="http://schemas.openxmlformats.org/officeDocument/2006/relationships/hyperlink" Target="https://www.eia.gov/state/seds/archive/seper2019.pdf" TargetMode="External"/><Relationship Id="rId1" Type="http://schemas.openxmlformats.org/officeDocument/2006/relationships/hyperlink" Target="https://www.eia.gov/outlooks/steo/" TargetMode="External"/><Relationship Id="rId6" Type="http://schemas.openxmlformats.org/officeDocument/2006/relationships/hyperlink" Target="https://www.salestaxhandbook.com/pdf/datasheets/CaliforniaSalesTax.pdf" TargetMode="External"/><Relationship Id="rId11" Type="http://schemas.openxmlformats.org/officeDocument/2006/relationships/drawing" Target="../drawings/drawing1.xml"/><Relationship Id="rId5" Type="http://schemas.openxmlformats.org/officeDocument/2006/relationships/hyperlink" Target="https://www.eia.gov/electricity/data/eia923/" TargetMode="External"/><Relationship Id="rId10" Type="http://schemas.openxmlformats.org/officeDocument/2006/relationships/printerSettings" Target="../printerSettings/printerSettings1.bin"/><Relationship Id="rId4" Type="http://schemas.openxmlformats.org/officeDocument/2006/relationships/hyperlink" Target="https://ww2.energy.ca.gov/2015publications/CEC-600-2015-016/CEC-600-2015-016.pdf" TargetMode="External"/><Relationship Id="rId9" Type="http://schemas.openxmlformats.org/officeDocument/2006/relationships/hyperlink" Target="https://www.eia.gov/energyexplained/units-and-calculators/"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eia.gov/outlooks/steo/data/browser/"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hyperlink" Target="mailto:infoctr@eia.gov" TargetMode="External"/><Relationship Id="rId2" Type="http://schemas.openxmlformats.org/officeDocument/2006/relationships/hyperlink" Target="http://www.eia.gov/" TargetMode="External"/><Relationship Id="rId1" Type="http://schemas.openxmlformats.org/officeDocument/2006/relationships/hyperlink" Target="http://www.eia.gov/dnav/pet/pet_pri_gnd_dcus_sca_a.ht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infoctr@eia.gov" TargetMode="External"/><Relationship Id="rId2" Type="http://schemas.openxmlformats.org/officeDocument/2006/relationships/hyperlink" Target="http://www.eia.gov/" TargetMode="External"/><Relationship Id="rId1" Type="http://schemas.openxmlformats.org/officeDocument/2006/relationships/hyperlink" Target="http://www.eia.gov/dnav/ng/ng_pri_sum_dcu_sca_a.ht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infoctr@eia.gov" TargetMode="External"/><Relationship Id="rId2" Type="http://schemas.openxmlformats.org/officeDocument/2006/relationships/hyperlink" Target="http://www.eia.gov/" TargetMode="External"/><Relationship Id="rId1" Type="http://schemas.openxmlformats.org/officeDocument/2006/relationships/hyperlink" Target="http://www.eia.gov/dnav/ng/ng_pri_sum_dcu_sca_m.htm" TargetMode="Externa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7"/>
  <sheetViews>
    <sheetView topLeftCell="A171" workbookViewId="0">
      <selection activeCell="A132" sqref="A131:B132"/>
    </sheetView>
  </sheetViews>
  <sheetFormatPr defaultColWidth="9.1796875" defaultRowHeight="14.5"/>
  <cols>
    <col min="1" max="1" width="36.81640625" style="14" customWidth="1"/>
    <col min="2" max="2" width="91.54296875" style="14" customWidth="1"/>
    <col min="3" max="3" width="9.1796875" style="14" customWidth="1"/>
    <col min="4" max="4" width="70.54296875" style="14" customWidth="1"/>
    <col min="5" max="6" width="9.1796875" style="14" customWidth="1"/>
    <col min="7" max="8" width="8.1796875" style="32" customWidth="1"/>
    <col min="9" max="16384" width="9.1796875" style="14"/>
  </cols>
  <sheetData>
    <row r="1" spans="1:10">
      <c r="A1" s="13" t="s">
        <v>0</v>
      </c>
      <c r="B1" s="14" t="s">
        <v>221</v>
      </c>
      <c r="C1" s="27">
        <v>44348</v>
      </c>
      <c r="G1" s="28" t="s">
        <v>217</v>
      </c>
      <c r="H1" s="28" t="s">
        <v>174</v>
      </c>
      <c r="J1" s="14" t="s">
        <v>262</v>
      </c>
    </row>
    <row r="2" spans="1:10">
      <c r="A2" s="13" t="s">
        <v>1</v>
      </c>
      <c r="B2" s="14" t="str">
        <f ca="1">LOOKUP(B1,G1:H93,H1:H92)</f>
        <v>CA</v>
      </c>
      <c r="G2" s="28" t="s">
        <v>218</v>
      </c>
      <c r="H2" s="28" t="s">
        <v>173</v>
      </c>
      <c r="J2" s="14" t="s">
        <v>263</v>
      </c>
    </row>
    <row r="3" spans="1:10" ht="15" thickBot="1">
      <c r="G3" s="28" t="s">
        <v>219</v>
      </c>
      <c r="H3" s="28" t="s">
        <v>176</v>
      </c>
      <c r="J3" s="14" t="s">
        <v>264</v>
      </c>
    </row>
    <row r="4" spans="1:10" s="32" customFormat="1" ht="15" thickBot="1">
      <c r="A4" s="29" t="s">
        <v>261</v>
      </c>
      <c r="B4" s="31" t="s">
        <v>264</v>
      </c>
      <c r="C4" s="30" t="s">
        <v>265</v>
      </c>
      <c r="G4" s="28" t="s">
        <v>220</v>
      </c>
      <c r="H4" s="28" t="s">
        <v>175</v>
      </c>
    </row>
    <row r="5" spans="1:10">
      <c r="A5" s="13" t="s">
        <v>2</v>
      </c>
      <c r="B5" s="6" t="s">
        <v>757</v>
      </c>
      <c r="G5" s="28" t="s">
        <v>221</v>
      </c>
      <c r="H5" s="28" t="s">
        <v>177</v>
      </c>
    </row>
    <row r="6" spans="1:10">
      <c r="B6" t="s">
        <v>5</v>
      </c>
      <c r="G6" s="28" t="s">
        <v>222</v>
      </c>
      <c r="H6" s="28" t="s">
        <v>178</v>
      </c>
    </row>
    <row r="7" spans="1:10">
      <c r="B7" s="3">
        <v>2020</v>
      </c>
      <c r="G7" s="28" t="s">
        <v>223</v>
      </c>
      <c r="H7" s="28" t="s">
        <v>179</v>
      </c>
    </row>
    <row r="8" spans="1:10">
      <c r="B8" t="s">
        <v>744</v>
      </c>
      <c r="G8" s="28" t="s">
        <v>224</v>
      </c>
      <c r="H8" s="28" t="s">
        <v>180</v>
      </c>
    </row>
    <row r="9" spans="1:10">
      <c r="B9" s="110" t="s">
        <v>745</v>
      </c>
      <c r="G9" s="28" t="s">
        <v>225</v>
      </c>
      <c r="H9" s="28" t="s">
        <v>181</v>
      </c>
    </row>
    <row r="10" spans="1:10">
      <c r="D10"/>
      <c r="G10" s="28" t="s">
        <v>226</v>
      </c>
      <c r="H10" s="28" t="s">
        <v>182</v>
      </c>
    </row>
    <row r="11" spans="1:10">
      <c r="B11" s="6" t="s">
        <v>130</v>
      </c>
      <c r="G11" s="28" t="s">
        <v>227</v>
      </c>
      <c r="H11" s="28" t="s">
        <v>183</v>
      </c>
    </row>
    <row r="12" spans="1:10" s="113" customFormat="1">
      <c r="B12" s="113" t="s">
        <v>925</v>
      </c>
      <c r="G12" s="28"/>
      <c r="H12" s="28"/>
    </row>
    <row r="13" spans="1:10" s="113" customFormat="1">
      <c r="B13" s="117">
        <v>2021</v>
      </c>
      <c r="G13" s="28"/>
      <c r="H13" s="28"/>
    </row>
    <row r="14" spans="1:10" s="113" customFormat="1">
      <c r="B14" s="117" t="s">
        <v>924</v>
      </c>
      <c r="G14" s="28"/>
      <c r="H14" s="28"/>
    </row>
    <row r="15" spans="1:10" s="113" customFormat="1">
      <c r="B15" s="113" t="s">
        <v>919</v>
      </c>
      <c r="G15" s="28"/>
      <c r="H15" s="28"/>
    </row>
    <row r="16" spans="1:10" s="113" customFormat="1">
      <c r="B16" s="113" t="s">
        <v>923</v>
      </c>
      <c r="G16" s="28"/>
      <c r="H16" s="28"/>
    </row>
    <row r="17" spans="2:8" s="113" customFormat="1">
      <c r="B17" s="113" t="s">
        <v>926</v>
      </c>
      <c r="G17" s="28"/>
      <c r="H17" s="28"/>
    </row>
    <row r="18" spans="2:8" s="113" customFormat="1">
      <c r="G18" s="28"/>
      <c r="H18" s="28"/>
    </row>
    <row r="19" spans="2:8" s="113" customFormat="1">
      <c r="B19" s="6" t="s">
        <v>758</v>
      </c>
      <c r="G19" s="28"/>
      <c r="H19" s="28"/>
    </row>
    <row r="20" spans="2:8">
      <c r="B20" t="s">
        <v>3</v>
      </c>
      <c r="G20" s="28" t="s">
        <v>228</v>
      </c>
      <c r="H20" s="28" t="s">
        <v>184</v>
      </c>
    </row>
    <row r="21" spans="2:8">
      <c r="B21" s="3">
        <v>2020</v>
      </c>
      <c r="G21" s="28" t="s">
        <v>229</v>
      </c>
      <c r="H21" s="28" t="s">
        <v>187</v>
      </c>
    </row>
    <row r="22" spans="2:8">
      <c r="B22" t="s">
        <v>917</v>
      </c>
      <c r="G22" s="28" t="s">
        <v>230</v>
      </c>
      <c r="H22" s="28" t="s">
        <v>186</v>
      </c>
    </row>
    <row r="23" spans="2:8">
      <c r="B23" s="4" t="s">
        <v>751</v>
      </c>
      <c r="G23" s="28" t="s">
        <v>231</v>
      </c>
      <c r="H23" s="28" t="s">
        <v>185</v>
      </c>
    </row>
    <row r="24" spans="2:8">
      <c r="B24" t="s">
        <v>752</v>
      </c>
      <c r="G24" s="28" t="s">
        <v>232</v>
      </c>
      <c r="H24" s="28" t="s">
        <v>188</v>
      </c>
    </row>
    <row r="25" spans="2:8">
      <c r="B25" s="14" t="s">
        <v>753</v>
      </c>
      <c r="G25" s="28" t="s">
        <v>233</v>
      </c>
      <c r="H25" s="28" t="s">
        <v>189</v>
      </c>
    </row>
    <row r="26" spans="2:8">
      <c r="G26" s="28" t="s">
        <v>234</v>
      </c>
      <c r="H26" s="28" t="s">
        <v>191</v>
      </c>
    </row>
    <row r="27" spans="2:8">
      <c r="B27" s="6" t="s">
        <v>754</v>
      </c>
      <c r="G27" s="28" t="s">
        <v>235</v>
      </c>
      <c r="H27" s="28" t="s">
        <v>190</v>
      </c>
    </row>
    <row r="28" spans="2:8">
      <c r="B28" t="s">
        <v>3</v>
      </c>
      <c r="G28" s="28" t="s">
        <v>236</v>
      </c>
      <c r="H28" s="28" t="s">
        <v>192</v>
      </c>
    </row>
    <row r="29" spans="2:8">
      <c r="B29" s="3">
        <v>2020</v>
      </c>
      <c r="G29" s="28" t="s">
        <v>237</v>
      </c>
      <c r="H29" s="28" t="s">
        <v>195</v>
      </c>
    </row>
    <row r="30" spans="2:8">
      <c r="B30" t="s">
        <v>755</v>
      </c>
      <c r="G30" s="28" t="s">
        <v>238</v>
      </c>
      <c r="H30" s="28" t="s">
        <v>199</v>
      </c>
    </row>
    <row r="31" spans="2:8">
      <c r="B31" s="110" t="s">
        <v>756</v>
      </c>
      <c r="G31" s="28" t="s">
        <v>239</v>
      </c>
      <c r="H31" s="28" t="s">
        <v>196</v>
      </c>
    </row>
    <row r="32" spans="2:8">
      <c r="G32" s="28" t="s">
        <v>240</v>
      </c>
      <c r="H32" s="28" t="s">
        <v>197</v>
      </c>
    </row>
    <row r="33" spans="2:8">
      <c r="B33" s="6" t="s">
        <v>750</v>
      </c>
      <c r="G33" s="28" t="s">
        <v>241</v>
      </c>
      <c r="H33" s="28" t="s">
        <v>198</v>
      </c>
    </row>
    <row r="34" spans="2:8">
      <c r="B34" t="s">
        <v>12</v>
      </c>
      <c r="G34" s="28" t="s">
        <v>242</v>
      </c>
      <c r="H34" s="28" t="s">
        <v>200</v>
      </c>
    </row>
    <row r="35" spans="2:8">
      <c r="B35" s="3">
        <v>2020</v>
      </c>
      <c r="G35" s="28" t="s">
        <v>243</v>
      </c>
      <c r="H35" s="28" t="s">
        <v>193</v>
      </c>
    </row>
    <row r="36" spans="2:8">
      <c r="B36" t="s">
        <v>746</v>
      </c>
      <c r="G36" s="28" t="s">
        <v>244</v>
      </c>
      <c r="H36" s="28" t="s">
        <v>194</v>
      </c>
    </row>
    <row r="37" spans="2:8">
      <c r="B37" s="9" t="s">
        <v>747</v>
      </c>
      <c r="G37" s="28" t="s">
        <v>245</v>
      </c>
      <c r="H37" s="28" t="s">
        <v>201</v>
      </c>
    </row>
    <row r="38" spans="2:8">
      <c r="B38" t="s">
        <v>748</v>
      </c>
      <c r="G38" s="28" t="s">
        <v>246</v>
      </c>
      <c r="H38" s="28" t="s">
        <v>202</v>
      </c>
    </row>
    <row r="39" spans="2:8">
      <c r="B39" s="110" t="s">
        <v>749</v>
      </c>
      <c r="G39" s="28" t="s">
        <v>247</v>
      </c>
      <c r="H39" s="28" t="s">
        <v>203</v>
      </c>
    </row>
    <row r="40" spans="2:8">
      <c r="B40" s="6" t="s">
        <v>13</v>
      </c>
      <c r="G40" s="28" t="s">
        <v>248</v>
      </c>
      <c r="H40" s="28" t="s">
        <v>204</v>
      </c>
    </row>
    <row r="41" spans="2:8">
      <c r="B41" t="s">
        <v>14</v>
      </c>
      <c r="G41" s="28" t="s">
        <v>249</v>
      </c>
      <c r="H41" s="28" t="s">
        <v>205</v>
      </c>
    </row>
    <row r="42" spans="2:8">
      <c r="B42" t="s">
        <v>7</v>
      </c>
      <c r="G42" s="28" t="s">
        <v>250</v>
      </c>
      <c r="H42" s="28" t="s">
        <v>206</v>
      </c>
    </row>
    <row r="43" spans="2:8">
      <c r="B43" t="s">
        <v>15</v>
      </c>
      <c r="G43" s="28" t="s">
        <v>251</v>
      </c>
      <c r="H43" s="28" t="s">
        <v>207</v>
      </c>
    </row>
    <row r="44" spans="2:8">
      <c r="B44" s="9" t="s">
        <v>16</v>
      </c>
      <c r="G44" s="28" t="s">
        <v>252</v>
      </c>
      <c r="H44" s="28" t="s">
        <v>208</v>
      </c>
    </row>
    <row r="45" spans="2:8">
      <c r="B45" t="s">
        <v>17</v>
      </c>
      <c r="G45" s="28" t="s">
        <v>253</v>
      </c>
      <c r="H45" s="28" t="s">
        <v>209</v>
      </c>
    </row>
    <row r="46" spans="2:8">
      <c r="G46" s="28" t="s">
        <v>254</v>
      </c>
      <c r="H46" s="28" t="s">
        <v>210</v>
      </c>
    </row>
    <row r="47" spans="2:8">
      <c r="B47" s="6" t="s">
        <v>18</v>
      </c>
      <c r="D47" s="6" t="s">
        <v>19</v>
      </c>
      <c r="G47" s="28" t="s">
        <v>255</v>
      </c>
      <c r="H47" s="28" t="s">
        <v>212</v>
      </c>
    </row>
    <row r="48" spans="2:8">
      <c r="B48" t="s">
        <v>20</v>
      </c>
      <c r="D48" t="s">
        <v>21</v>
      </c>
      <c r="G48" s="28" t="s">
        <v>256</v>
      </c>
      <c r="H48" s="28" t="s">
        <v>211</v>
      </c>
    </row>
    <row r="49" spans="2:8">
      <c r="B49" s="3">
        <v>2015</v>
      </c>
      <c r="D49" s="3">
        <v>2020</v>
      </c>
      <c r="G49" s="28" t="s">
        <v>257</v>
      </c>
      <c r="H49" s="28" t="s">
        <v>213</v>
      </c>
    </row>
    <row r="50" spans="2:8" s="113" customFormat="1">
      <c r="B50" t="s">
        <v>22</v>
      </c>
      <c r="D50" t="s">
        <v>23</v>
      </c>
      <c r="G50" s="28"/>
      <c r="H50" s="28"/>
    </row>
    <row r="51" spans="2:8" s="113" customFormat="1">
      <c r="B51" s="9" t="s">
        <v>24</v>
      </c>
      <c r="D51" s="9" t="s">
        <v>25</v>
      </c>
      <c r="G51" s="28"/>
      <c r="H51" s="28"/>
    </row>
    <row r="52" spans="2:8" s="113" customFormat="1">
      <c r="B52" t="s">
        <v>26</v>
      </c>
      <c r="D52" t="s">
        <v>27</v>
      </c>
      <c r="G52" s="28"/>
      <c r="H52" s="28"/>
    </row>
    <row r="53" spans="2:8" s="113" customFormat="1">
      <c r="B53" s="14"/>
      <c r="G53" s="28"/>
      <c r="H53" s="28"/>
    </row>
    <row r="54" spans="2:8" s="113" customFormat="1">
      <c r="B54" s="6" t="s">
        <v>28</v>
      </c>
      <c r="G54" s="28"/>
      <c r="H54" s="28"/>
    </row>
    <row r="55" spans="2:8" s="113" customFormat="1">
      <c r="B55" t="s">
        <v>3</v>
      </c>
      <c r="G55" s="28"/>
      <c r="H55" s="28"/>
    </row>
    <row r="56" spans="2:8" s="113" customFormat="1">
      <c r="B56" s="3">
        <v>2019</v>
      </c>
      <c r="G56" s="28"/>
      <c r="H56" s="28"/>
    </row>
    <row r="57" spans="2:8" s="113" customFormat="1">
      <c r="B57" t="s">
        <v>29</v>
      </c>
      <c r="G57" s="28"/>
      <c r="H57" s="28"/>
    </row>
    <row r="58" spans="2:8" s="113" customFormat="1">
      <c r="B58" s="15" t="s">
        <v>30</v>
      </c>
      <c r="G58" s="28"/>
      <c r="H58" s="28"/>
    </row>
    <row r="59" spans="2:8" s="113" customFormat="1">
      <c r="B59" t="s">
        <v>31</v>
      </c>
      <c r="G59" s="28"/>
      <c r="H59" s="28"/>
    </row>
    <row r="60" spans="2:8" s="113" customFormat="1">
      <c r="B60" s="14"/>
      <c r="G60" s="28"/>
      <c r="H60" s="28"/>
    </row>
    <row r="61" spans="2:8" s="113" customFormat="1">
      <c r="B61" s="6" t="s">
        <v>719</v>
      </c>
    </row>
    <row r="62" spans="2:8" s="113" customFormat="1">
      <c r="B62" s="113" t="s">
        <v>718</v>
      </c>
      <c r="G62" s="28"/>
      <c r="H62" s="28"/>
    </row>
    <row r="63" spans="2:8" s="113" customFormat="1">
      <c r="B63" s="113" t="s">
        <v>717</v>
      </c>
      <c r="G63" s="28"/>
      <c r="H63" s="28"/>
    </row>
    <row r="64" spans="2:8" s="113" customFormat="1">
      <c r="B64" s="15" t="s">
        <v>716</v>
      </c>
      <c r="G64" s="28"/>
      <c r="H64" s="28"/>
    </row>
    <row r="65" spans="1:8" s="113" customFormat="1">
      <c r="G65" s="28"/>
      <c r="H65" s="28"/>
    </row>
    <row r="66" spans="1:8" s="113" customFormat="1">
      <c r="B66" s="113" t="s">
        <v>720</v>
      </c>
      <c r="G66" s="28"/>
      <c r="H66" s="28"/>
    </row>
    <row r="67" spans="1:8" s="113" customFormat="1">
      <c r="B67" s="15" t="s">
        <v>721</v>
      </c>
      <c r="G67" s="28"/>
      <c r="H67" s="28"/>
    </row>
    <row r="68" spans="1:8" s="113" customFormat="1">
      <c r="B68" s="113" t="s">
        <v>722</v>
      </c>
      <c r="G68" s="28"/>
      <c r="H68" s="28"/>
    </row>
    <row r="69" spans="1:8" s="113" customFormat="1">
      <c r="B69" s="113" t="s">
        <v>723</v>
      </c>
      <c r="G69" s="28"/>
      <c r="H69" s="28"/>
    </row>
    <row r="70" spans="1:8" s="113" customFormat="1">
      <c r="G70" s="28"/>
      <c r="H70" s="28"/>
    </row>
    <row r="71" spans="1:8" s="113" customFormat="1">
      <c r="A71" s="6" t="s">
        <v>32</v>
      </c>
      <c r="B71" s="38"/>
      <c r="G71" s="28"/>
      <c r="H71" s="28"/>
    </row>
    <row r="72" spans="1:8" s="113" customFormat="1">
      <c r="A72" t="s">
        <v>50</v>
      </c>
      <c r="G72" s="28"/>
      <c r="H72" s="28"/>
    </row>
    <row r="73" spans="1:8" s="113" customFormat="1">
      <c r="A73" t="s">
        <v>55</v>
      </c>
      <c r="G73" s="28"/>
      <c r="H73" s="28"/>
    </row>
    <row r="74" spans="1:8" s="113" customFormat="1">
      <c r="A74" t="s">
        <v>51</v>
      </c>
      <c r="G74" s="28"/>
      <c r="H74" s="28"/>
    </row>
    <row r="75" spans="1:8" s="113" customFormat="1">
      <c r="A75" t="s">
        <v>52</v>
      </c>
      <c r="G75" s="28"/>
      <c r="H75" s="28"/>
    </row>
    <row r="76" spans="1:8" s="113" customFormat="1">
      <c r="A76" t="s">
        <v>53</v>
      </c>
      <c r="G76" s="28"/>
      <c r="H76" s="28"/>
    </row>
    <row r="77" spans="1:8" s="113" customFormat="1">
      <c r="A77" t="s">
        <v>54</v>
      </c>
      <c r="G77" s="28"/>
      <c r="H77" s="28"/>
    </row>
    <row r="78" spans="1:8" s="113" customFormat="1">
      <c r="B78" s="14"/>
      <c r="G78" s="28"/>
      <c r="H78" s="28"/>
    </row>
    <row r="79" spans="1:8" s="113" customFormat="1">
      <c r="A79" s="20" t="s">
        <v>766</v>
      </c>
      <c r="B79" s="14"/>
      <c r="G79" s="28"/>
      <c r="H79" s="28"/>
    </row>
    <row r="80" spans="1:8" s="113" customFormat="1">
      <c r="A80" s="113" t="s">
        <v>1261</v>
      </c>
      <c r="B80" s="14"/>
      <c r="G80" s="28"/>
      <c r="H80" s="28"/>
    </row>
    <row r="81" spans="1:8" s="113" customFormat="1">
      <c r="B81" s="14"/>
      <c r="G81" s="28"/>
      <c r="H81" s="28"/>
    </row>
    <row r="82" spans="1:8" s="113" customFormat="1">
      <c r="A82" s="113" t="s">
        <v>767</v>
      </c>
      <c r="B82" s="14"/>
      <c r="G82" s="28"/>
      <c r="H82" s="28"/>
    </row>
    <row r="83" spans="1:8" s="113" customFormat="1">
      <c r="A83" s="113" t="s">
        <v>1262</v>
      </c>
      <c r="B83" s="14"/>
      <c r="G83" s="28"/>
      <c r="H83" s="28"/>
    </row>
    <row r="84" spans="1:8" s="113" customFormat="1">
      <c r="A84" s="113" t="s">
        <v>1263</v>
      </c>
      <c r="B84" s="14"/>
      <c r="G84" s="28"/>
      <c r="H84" s="28"/>
    </row>
    <row r="85" spans="1:8" s="113" customFormat="1">
      <c r="A85" s="113" t="s">
        <v>1264</v>
      </c>
      <c r="B85" s="14"/>
      <c r="G85" s="28"/>
      <c r="H85" s="28"/>
    </row>
    <row r="86" spans="1:8" s="113" customFormat="1">
      <c r="B86" s="14"/>
      <c r="G86" s="28"/>
      <c r="H86" s="28"/>
    </row>
    <row r="87" spans="1:8" s="113" customFormat="1">
      <c r="A87" s="113" t="s">
        <v>768</v>
      </c>
      <c r="B87" s="14"/>
      <c r="G87" s="28"/>
      <c r="H87" s="28"/>
    </row>
    <row r="88" spans="1:8" s="113" customFormat="1">
      <c r="A88" s="113" t="s">
        <v>1265</v>
      </c>
      <c r="G88" s="28"/>
      <c r="H88" s="28"/>
    </row>
    <row r="89" spans="1:8" s="113" customFormat="1">
      <c r="B89" s="14"/>
      <c r="D89" s="14"/>
      <c r="G89" s="28"/>
      <c r="H89" s="28"/>
    </row>
    <row r="90" spans="1:8">
      <c r="A90" s="20" t="s">
        <v>33</v>
      </c>
      <c r="B90" s="113"/>
      <c r="G90" s="28" t="s">
        <v>258</v>
      </c>
      <c r="H90" s="28" t="s">
        <v>215</v>
      </c>
    </row>
    <row r="91" spans="1:8">
      <c r="A91" t="s">
        <v>34</v>
      </c>
      <c r="B91" s="113"/>
      <c r="G91" s="28" t="s">
        <v>259</v>
      </c>
      <c r="H91" s="28" t="s">
        <v>214</v>
      </c>
    </row>
    <row r="92" spans="1:8">
      <c r="B92" s="113"/>
      <c r="G92" s="28" t="s">
        <v>260</v>
      </c>
      <c r="H92" s="28" t="s">
        <v>216</v>
      </c>
    </row>
    <row r="93" spans="1:8">
      <c r="A93" s="20" t="s">
        <v>35</v>
      </c>
      <c r="B93" s="113"/>
    </row>
    <row r="94" spans="1:8">
      <c r="A94" t="s">
        <v>36</v>
      </c>
      <c r="B94" s="113"/>
    </row>
    <row r="95" spans="1:8">
      <c r="A95" s="13" t="s">
        <v>37</v>
      </c>
      <c r="B95" s="113"/>
    </row>
    <row r="96" spans="1:8">
      <c r="A96" s="50" t="s">
        <v>38</v>
      </c>
      <c r="B96" s="113"/>
    </row>
    <row r="97" spans="1:4">
      <c r="A97" t="s">
        <v>39</v>
      </c>
      <c r="B97" s="113"/>
    </row>
    <row r="98" spans="1:4">
      <c r="B98" s="113"/>
      <c r="D98" s="113"/>
    </row>
    <row r="99" spans="1:4" s="113" customFormat="1">
      <c r="A99" t="s">
        <v>56</v>
      </c>
    </row>
    <row r="100" spans="1:4" s="113" customFormat="1">
      <c r="A100" t="s">
        <v>765</v>
      </c>
    </row>
    <row r="101" spans="1:4" s="113" customFormat="1">
      <c r="A101" t="s">
        <v>57</v>
      </c>
    </row>
    <row r="102" spans="1:4" s="113" customFormat="1">
      <c r="A102" t="s">
        <v>759</v>
      </c>
    </row>
    <row r="103" spans="1:4" s="113" customFormat="1">
      <c r="D103" s="14"/>
    </row>
    <row r="104" spans="1:4">
      <c r="A104" s="20" t="s">
        <v>40</v>
      </c>
      <c r="B104" s="113"/>
    </row>
    <row r="105" spans="1:4">
      <c r="A105" s="13" t="s">
        <v>41</v>
      </c>
      <c r="B105" s="113"/>
    </row>
    <row r="106" spans="1:4">
      <c r="A106" t="s">
        <v>42</v>
      </c>
      <c r="B106" s="113"/>
    </row>
    <row r="107" spans="1:4">
      <c r="A107" t="s">
        <v>43</v>
      </c>
    </row>
    <row r="108" spans="1:4">
      <c r="A108" t="s">
        <v>44</v>
      </c>
    </row>
    <row r="109" spans="1:4">
      <c r="A109" t="s">
        <v>45</v>
      </c>
    </row>
    <row r="110" spans="1:4">
      <c r="A110" t="s">
        <v>46</v>
      </c>
    </row>
    <row r="111" spans="1:4">
      <c r="A111" t="s">
        <v>47</v>
      </c>
    </row>
    <row r="112" spans="1:4">
      <c r="A112" t="s">
        <v>48</v>
      </c>
    </row>
    <row r="113" spans="1:4">
      <c r="A113" t="s">
        <v>49</v>
      </c>
      <c r="B113" s="50"/>
    </row>
    <row r="116" spans="1:4">
      <c r="A116" s="13" t="s">
        <v>68</v>
      </c>
    </row>
    <row r="117" spans="1:4">
      <c r="A117" t="s">
        <v>69</v>
      </c>
    </row>
    <row r="118" spans="1:4">
      <c r="A118" t="s">
        <v>70</v>
      </c>
    </row>
    <row r="119" spans="1:4">
      <c r="A119" t="s">
        <v>71</v>
      </c>
    </row>
    <row r="120" spans="1:4">
      <c r="A120" t="s">
        <v>72</v>
      </c>
      <c r="B120" t="s">
        <v>66</v>
      </c>
    </row>
    <row r="121" spans="1:4">
      <c r="A121" t="s">
        <v>73</v>
      </c>
      <c r="B121" t="s">
        <v>67</v>
      </c>
    </row>
    <row r="122" spans="1:4">
      <c r="A122" t="s">
        <v>74</v>
      </c>
    </row>
    <row r="123" spans="1:4">
      <c r="A123" t="s">
        <v>75</v>
      </c>
    </row>
    <row r="124" spans="1:4">
      <c r="A124" s="13"/>
      <c r="B124" s="113"/>
      <c r="D124" s="113"/>
    </row>
    <row r="125" spans="1:4" s="113" customFormat="1">
      <c r="A125" s="33" t="s">
        <v>769</v>
      </c>
      <c r="B125" s="14"/>
      <c r="D125" s="14"/>
    </row>
    <row r="126" spans="1:4">
      <c r="A126" s="110" t="s">
        <v>510</v>
      </c>
      <c r="B126" t="s">
        <v>762</v>
      </c>
      <c r="D126"/>
    </row>
    <row r="127" spans="1:4">
      <c r="A127"/>
      <c r="B127" s="117">
        <f>About!C128</f>
        <v>120286</v>
      </c>
      <c r="C127"/>
      <c r="D127">
        <v>120286</v>
      </c>
    </row>
    <row r="128" spans="1:4">
      <c r="A128" t="s">
        <v>512</v>
      </c>
      <c r="B128" s="117">
        <f>About!C129</f>
        <v>137381</v>
      </c>
      <c r="C128">
        <v>120286</v>
      </c>
      <c r="D128"/>
    </row>
    <row r="129" spans="1:13">
      <c r="A129" s="32" t="s">
        <v>760</v>
      </c>
      <c r="B129" s="117">
        <v>5691000</v>
      </c>
      <c r="C129">
        <v>137381</v>
      </c>
      <c r="D129"/>
    </row>
    <row r="130" spans="1:13">
      <c r="A130" t="s">
        <v>761</v>
      </c>
      <c r="B130" s="153">
        <v>5691000</v>
      </c>
      <c r="C130"/>
    </row>
    <row r="131" spans="1:13">
      <c r="A131" t="s">
        <v>763</v>
      </c>
      <c r="B131" s="117">
        <v>1037</v>
      </c>
      <c r="C131"/>
    </row>
    <row r="132" spans="1:13">
      <c r="A132" s="14" t="s">
        <v>969</v>
      </c>
      <c r="B132" s="155">
        <v>100000</v>
      </c>
    </row>
    <row r="133" spans="1:13" s="113" customFormat="1">
      <c r="A133" s="13" t="s">
        <v>58</v>
      </c>
    </row>
    <row r="134" spans="1:13">
      <c r="A134" s="32" t="s">
        <v>326</v>
      </c>
      <c r="B134" s="32"/>
      <c r="C134" s="32"/>
      <c r="D134" s="32"/>
      <c r="E134" s="32"/>
      <c r="F134" s="32"/>
      <c r="I134" s="32"/>
      <c r="J134" s="32"/>
      <c r="K134" s="32"/>
      <c r="L134" s="32"/>
      <c r="M134" s="32"/>
    </row>
    <row r="135" spans="1:13">
      <c r="A135" s="32" t="s">
        <v>327</v>
      </c>
      <c r="B135" s="32"/>
      <c r="C135" s="32"/>
      <c r="D135" s="32"/>
      <c r="E135" s="32"/>
      <c r="F135" s="32"/>
      <c r="I135" s="32"/>
      <c r="J135" s="32"/>
      <c r="K135" s="32"/>
      <c r="L135" s="32"/>
      <c r="M135" s="32"/>
    </row>
    <row r="136" spans="1:13">
      <c r="A136" s="32" t="s">
        <v>328</v>
      </c>
      <c r="B136" s="32"/>
      <c r="C136" s="32"/>
      <c r="D136" s="32"/>
      <c r="E136" s="32"/>
      <c r="F136" s="32"/>
      <c r="I136" s="32"/>
      <c r="J136" s="32"/>
      <c r="K136" s="32"/>
      <c r="L136" s="32"/>
      <c r="M136" s="32"/>
    </row>
    <row r="137" spans="1:13">
      <c r="A137" s="32" t="s">
        <v>325</v>
      </c>
      <c r="B137" s="32" t="s">
        <v>329</v>
      </c>
      <c r="C137" s="32"/>
      <c r="D137" s="32" t="s">
        <v>330</v>
      </c>
      <c r="E137" s="32" t="s">
        <v>331</v>
      </c>
      <c r="F137" s="32"/>
      <c r="G137" s="33" t="s">
        <v>332</v>
      </c>
      <c r="I137" s="32"/>
      <c r="J137" s="32"/>
      <c r="K137" s="32"/>
      <c r="L137" s="32"/>
      <c r="M137" s="32"/>
    </row>
    <row r="138" spans="1:13">
      <c r="A138" s="32"/>
      <c r="B138" s="32" t="s">
        <v>333</v>
      </c>
      <c r="C138" s="32" t="s">
        <v>334</v>
      </c>
      <c r="D138" s="32"/>
      <c r="E138" s="32" t="s">
        <v>335</v>
      </c>
      <c r="F138" s="32" t="s">
        <v>330</v>
      </c>
      <c r="I138" s="32"/>
      <c r="J138" s="32"/>
      <c r="K138" s="32"/>
      <c r="L138" s="32"/>
      <c r="M138" s="32"/>
    </row>
    <row r="139" spans="1:13">
      <c r="A139" s="32" t="s">
        <v>337</v>
      </c>
      <c r="B139" s="32" t="s">
        <v>336</v>
      </c>
      <c r="C139" s="32" t="s">
        <v>336</v>
      </c>
      <c r="D139" s="32">
        <v>96.5</v>
      </c>
      <c r="E139" s="32">
        <v>3.8</v>
      </c>
      <c r="F139" s="32">
        <v>6.2</v>
      </c>
      <c r="I139" s="32"/>
      <c r="J139" s="32"/>
      <c r="K139" s="32"/>
      <c r="L139" s="32"/>
      <c r="M139" s="32"/>
    </row>
    <row r="140" spans="1:13">
      <c r="A140" s="32" t="s">
        <v>338</v>
      </c>
      <c r="B140" s="32" t="s">
        <v>336</v>
      </c>
      <c r="C140" s="32" t="s">
        <v>336</v>
      </c>
      <c r="D140" s="32">
        <v>99.6</v>
      </c>
      <c r="E140" s="32">
        <v>3.8</v>
      </c>
      <c r="F140" s="32">
        <v>3.2</v>
      </c>
      <c r="I140" s="32"/>
      <c r="J140" s="32"/>
      <c r="K140" s="32"/>
      <c r="L140" s="32"/>
      <c r="M140" s="32"/>
    </row>
    <row r="141" spans="1:13">
      <c r="A141" s="32" t="s">
        <v>339</v>
      </c>
      <c r="B141" s="32">
        <v>102.9</v>
      </c>
      <c r="C141" s="32">
        <v>104.9</v>
      </c>
      <c r="D141" s="32">
        <v>103.9</v>
      </c>
      <c r="E141" s="32">
        <v>3.9</v>
      </c>
      <c r="F141" s="32">
        <v>4.3</v>
      </c>
      <c r="I141" s="32"/>
      <c r="J141" s="32"/>
      <c r="K141" s="32"/>
      <c r="L141" s="32"/>
      <c r="M141" s="32"/>
    </row>
    <row r="142" spans="1:13">
      <c r="A142" s="32" t="s">
        <v>340</v>
      </c>
      <c r="B142" s="32">
        <v>106.6</v>
      </c>
      <c r="C142" s="32">
        <v>108.5</v>
      </c>
      <c r="D142" s="32">
        <v>107.6</v>
      </c>
      <c r="E142" s="32">
        <v>3.8</v>
      </c>
      <c r="F142" s="32">
        <v>3.6</v>
      </c>
      <c r="I142" s="32"/>
      <c r="J142" s="32"/>
      <c r="K142" s="32"/>
      <c r="L142" s="32"/>
      <c r="M142" s="32"/>
    </row>
    <row r="143" spans="1:13">
      <c r="A143" s="32" t="s">
        <v>341</v>
      </c>
      <c r="B143" s="32">
        <v>109.1</v>
      </c>
      <c r="C143" s="32">
        <v>110.1</v>
      </c>
      <c r="D143" s="32">
        <v>109.6</v>
      </c>
      <c r="E143" s="32">
        <v>1.1000000000000001</v>
      </c>
      <c r="F143" s="32">
        <v>1.9</v>
      </c>
      <c r="I143" s="32"/>
      <c r="J143" s="32"/>
      <c r="K143" s="32"/>
      <c r="L143" s="32"/>
      <c r="M143" s="32"/>
    </row>
    <row r="144" spans="1:13">
      <c r="A144" s="32" t="s">
        <v>342</v>
      </c>
      <c r="B144" s="32">
        <v>112.4</v>
      </c>
      <c r="C144" s="32">
        <v>114.9</v>
      </c>
      <c r="D144" s="32">
        <v>113.6</v>
      </c>
      <c r="E144" s="32">
        <v>4.4000000000000004</v>
      </c>
      <c r="F144" s="32">
        <v>3.6</v>
      </c>
      <c r="I144" s="32"/>
      <c r="J144" s="32"/>
      <c r="K144" s="32"/>
      <c r="L144" s="32"/>
      <c r="M144" s="32"/>
    </row>
    <row r="145" spans="1:13">
      <c r="A145" s="32" t="s">
        <v>343</v>
      </c>
      <c r="B145" s="32">
        <v>116.8</v>
      </c>
      <c r="C145" s="32">
        <v>119.7</v>
      </c>
      <c r="D145" s="32">
        <v>118.3</v>
      </c>
      <c r="E145" s="32">
        <v>4.4000000000000004</v>
      </c>
      <c r="F145" s="32">
        <v>4.0999999999999996</v>
      </c>
      <c r="I145" s="32"/>
      <c r="J145" s="32"/>
      <c r="K145" s="32"/>
      <c r="L145" s="32"/>
      <c r="M145" s="32"/>
    </row>
    <row r="146" spans="1:13">
      <c r="A146" s="32" t="s">
        <v>344</v>
      </c>
      <c r="B146" s="32">
        <v>122.7</v>
      </c>
      <c r="C146" s="32">
        <v>125.3</v>
      </c>
      <c r="D146" s="32">
        <v>124</v>
      </c>
      <c r="E146" s="32">
        <v>4.5999999999999996</v>
      </c>
      <c r="F146" s="32">
        <v>4.8</v>
      </c>
      <c r="I146" s="32"/>
      <c r="J146" s="32"/>
      <c r="K146" s="32"/>
      <c r="L146" s="32"/>
      <c r="M146" s="32"/>
    </row>
    <row r="147" spans="1:13">
      <c r="A147" s="32" t="s">
        <v>345</v>
      </c>
      <c r="B147" s="32">
        <v>128.69999999999999</v>
      </c>
      <c r="C147" s="32">
        <v>132.6</v>
      </c>
      <c r="D147" s="32">
        <v>130.69999999999999</v>
      </c>
      <c r="E147" s="32">
        <v>6.1</v>
      </c>
      <c r="F147" s="32">
        <v>5.4</v>
      </c>
      <c r="G147" s="23">
        <f t="shared" ref="G147:G176" si="0">$D$169/D147</f>
        <v>1.7566488140780414</v>
      </c>
      <c r="I147" s="32"/>
      <c r="J147" s="32"/>
      <c r="K147" s="32"/>
      <c r="L147" s="32"/>
      <c r="M147" s="32"/>
    </row>
    <row r="148" spans="1:13">
      <c r="A148" s="32" t="s">
        <v>346</v>
      </c>
      <c r="B148" s="32">
        <v>135.19999999999999</v>
      </c>
      <c r="C148" s="32">
        <v>137.19999999999999</v>
      </c>
      <c r="D148" s="32">
        <v>136.19999999999999</v>
      </c>
      <c r="E148" s="32">
        <v>3.1</v>
      </c>
      <c r="F148" s="32">
        <v>4.2</v>
      </c>
      <c r="G148" s="23">
        <f t="shared" si="0"/>
        <v>1.6857121879588841</v>
      </c>
      <c r="I148" s="32"/>
      <c r="J148" s="32"/>
      <c r="K148" s="32"/>
      <c r="L148" s="32"/>
      <c r="M148" s="33"/>
    </row>
    <row r="149" spans="1:13">
      <c r="A149" s="32" t="s">
        <v>347</v>
      </c>
      <c r="B149" s="32">
        <v>139.19999999999999</v>
      </c>
      <c r="C149" s="32">
        <v>141.4</v>
      </c>
      <c r="D149" s="32">
        <v>140.30000000000001</v>
      </c>
      <c r="E149" s="32">
        <v>2.9</v>
      </c>
      <c r="F149" s="32">
        <v>3</v>
      </c>
      <c r="G149" s="23">
        <f t="shared" si="0"/>
        <v>1.6364504632929435</v>
      </c>
      <c r="I149" s="32"/>
      <c r="J149" s="32"/>
      <c r="K149" s="32"/>
      <c r="L149" s="32"/>
      <c r="M149" s="35"/>
    </row>
    <row r="150" spans="1:13">
      <c r="A150" s="32" t="s">
        <v>348</v>
      </c>
      <c r="B150" s="32">
        <v>143.69999999999999</v>
      </c>
      <c r="C150" s="32">
        <v>145.30000000000001</v>
      </c>
      <c r="D150" s="32">
        <v>144.5</v>
      </c>
      <c r="E150" s="32">
        <v>2.7</v>
      </c>
      <c r="F150" s="32">
        <v>3</v>
      </c>
      <c r="G150" s="23">
        <f t="shared" si="0"/>
        <v>1.5888858131487889</v>
      </c>
      <c r="I150" s="32"/>
      <c r="J150" s="32"/>
      <c r="K150" s="32"/>
      <c r="L150" s="32"/>
      <c r="M150" s="35"/>
    </row>
    <row r="151" spans="1:13">
      <c r="A151" s="32" t="s">
        <v>349</v>
      </c>
      <c r="B151" s="32">
        <v>147.19999999999999</v>
      </c>
      <c r="C151" s="32">
        <v>149.30000000000001</v>
      </c>
      <c r="D151" s="32">
        <v>148.19999999999999</v>
      </c>
      <c r="E151" s="32">
        <v>2.7</v>
      </c>
      <c r="F151" s="32">
        <v>2.6</v>
      </c>
      <c r="G151" s="23">
        <f t="shared" si="0"/>
        <v>1.5492172739541161</v>
      </c>
      <c r="I151" s="32"/>
      <c r="J151" s="32"/>
      <c r="K151" s="32"/>
      <c r="L151" s="32"/>
      <c r="M151" s="35"/>
    </row>
    <row r="152" spans="1:13">
      <c r="A152" s="32" t="s">
        <v>350</v>
      </c>
      <c r="B152" s="32">
        <v>151.5</v>
      </c>
      <c r="C152" s="32">
        <v>153.19999999999999</v>
      </c>
      <c r="D152" s="32">
        <v>152.4</v>
      </c>
      <c r="E152" s="32">
        <v>2.5</v>
      </c>
      <c r="F152" s="32">
        <v>2.8</v>
      </c>
      <c r="G152" s="23">
        <f t="shared" si="0"/>
        <v>1.5065223097112861</v>
      </c>
      <c r="I152" s="32"/>
      <c r="J152" s="32"/>
      <c r="K152" s="32"/>
      <c r="L152" s="32"/>
      <c r="M152" s="35"/>
    </row>
    <row r="153" spans="1:13">
      <c r="A153" s="32" t="s">
        <v>351</v>
      </c>
      <c r="B153" s="32">
        <v>155.80000000000001</v>
      </c>
      <c r="C153" s="32">
        <v>157.9</v>
      </c>
      <c r="D153" s="32">
        <v>156.9</v>
      </c>
      <c r="E153" s="32">
        <v>3.3</v>
      </c>
      <c r="F153" s="32">
        <v>3</v>
      </c>
      <c r="G153" s="23">
        <f t="shared" si="0"/>
        <v>1.4633142128744423</v>
      </c>
      <c r="I153" s="32"/>
      <c r="J153" s="32"/>
      <c r="K153" s="32"/>
      <c r="L153" s="32"/>
      <c r="M153" s="35"/>
    </row>
    <row r="154" spans="1:13">
      <c r="A154" s="32" t="s">
        <v>352</v>
      </c>
      <c r="B154" s="32">
        <v>159.9</v>
      </c>
      <c r="C154" s="32">
        <v>161.19999999999999</v>
      </c>
      <c r="D154" s="32">
        <v>160.5</v>
      </c>
      <c r="E154" s="32">
        <v>1.7</v>
      </c>
      <c r="F154" s="32">
        <v>2.2999999999999998</v>
      </c>
      <c r="G154" s="23">
        <f t="shared" si="0"/>
        <v>1.4304922118380061</v>
      </c>
      <c r="I154" s="32"/>
      <c r="J154" s="32"/>
      <c r="K154" s="32"/>
      <c r="L154" s="32"/>
      <c r="M154" s="35"/>
    </row>
    <row r="155" spans="1:13">
      <c r="A155" s="32" t="s">
        <v>353</v>
      </c>
      <c r="B155" s="32">
        <v>162.30000000000001</v>
      </c>
      <c r="C155" s="32">
        <v>163.69999999999999</v>
      </c>
      <c r="D155" s="32">
        <v>163</v>
      </c>
      <c r="E155" s="32">
        <v>1.6</v>
      </c>
      <c r="F155" s="32">
        <v>1.6</v>
      </c>
      <c r="G155" s="23">
        <f t="shared" si="0"/>
        <v>1.4085521472392637</v>
      </c>
      <c r="I155" s="32"/>
      <c r="J155" s="32"/>
      <c r="K155" s="32"/>
      <c r="L155" s="32"/>
      <c r="M155" s="35"/>
    </row>
    <row r="156" spans="1:13">
      <c r="A156" s="32" t="s">
        <v>354</v>
      </c>
      <c r="B156" s="32">
        <v>165.4</v>
      </c>
      <c r="C156" s="32">
        <v>167.8</v>
      </c>
      <c r="D156" s="32">
        <v>166.6</v>
      </c>
      <c r="E156" s="32">
        <v>2.7</v>
      </c>
      <c r="F156" s="32">
        <v>2.2000000000000002</v>
      </c>
      <c r="G156" s="23">
        <f t="shared" si="0"/>
        <v>1.3781152460984394</v>
      </c>
      <c r="I156" s="32"/>
      <c r="J156" s="32"/>
      <c r="K156" s="32"/>
      <c r="L156" s="32"/>
      <c r="M156" s="35"/>
    </row>
    <row r="157" spans="1:13">
      <c r="A157" s="32" t="s">
        <v>355</v>
      </c>
      <c r="B157" s="32">
        <v>170.8</v>
      </c>
      <c r="C157" s="32">
        <v>173.6</v>
      </c>
      <c r="D157" s="32">
        <v>172.2</v>
      </c>
      <c r="E157" s="32">
        <v>3.4</v>
      </c>
      <c r="F157" s="32">
        <v>3.4</v>
      </c>
      <c r="G157" s="23">
        <f t="shared" si="0"/>
        <v>1.3332984901277585</v>
      </c>
      <c r="I157" s="32"/>
      <c r="J157" s="32"/>
      <c r="K157" s="32"/>
      <c r="L157" s="32"/>
      <c r="M157" s="35"/>
    </row>
    <row r="158" spans="1:13">
      <c r="A158" s="32" t="s">
        <v>356</v>
      </c>
      <c r="B158" s="32">
        <v>176.6</v>
      </c>
      <c r="C158" s="32">
        <v>177.5</v>
      </c>
      <c r="D158" s="32">
        <v>177.1</v>
      </c>
      <c r="E158" s="32">
        <v>1.6</v>
      </c>
      <c r="F158" s="32">
        <v>2.8</v>
      </c>
      <c r="G158" s="23">
        <f t="shared" si="0"/>
        <v>1.2964088085827217</v>
      </c>
      <c r="I158" s="32"/>
      <c r="J158" s="32"/>
      <c r="K158" s="32"/>
      <c r="L158" s="32"/>
      <c r="M158" s="35"/>
    </row>
    <row r="159" spans="1:13">
      <c r="A159" s="32" t="s">
        <v>357</v>
      </c>
      <c r="B159" s="32">
        <v>178.9</v>
      </c>
      <c r="C159" s="32">
        <v>180.9</v>
      </c>
      <c r="D159" s="32">
        <v>179.9</v>
      </c>
      <c r="E159" s="32">
        <v>2.4</v>
      </c>
      <c r="F159" s="32">
        <v>1.6</v>
      </c>
      <c r="G159" s="23">
        <f t="shared" si="0"/>
        <v>1.276231239577543</v>
      </c>
      <c r="I159" s="32"/>
      <c r="J159" s="32"/>
      <c r="K159" s="32"/>
      <c r="L159" s="32"/>
      <c r="M159" s="35"/>
    </row>
    <row r="160" spans="1:13">
      <c r="A160" s="32" t="s">
        <v>358</v>
      </c>
      <c r="B160" s="32">
        <v>183.3</v>
      </c>
      <c r="C160" s="32">
        <v>184.6</v>
      </c>
      <c r="D160" s="32">
        <v>184</v>
      </c>
      <c r="E160" s="32">
        <v>1.9</v>
      </c>
      <c r="F160" s="32">
        <v>2.2999999999999998</v>
      </c>
      <c r="G160" s="23">
        <f t="shared" si="0"/>
        <v>1.2477934782608695</v>
      </c>
      <c r="I160" s="32"/>
      <c r="J160" s="32"/>
      <c r="K160" s="32"/>
      <c r="L160" s="32"/>
      <c r="M160" s="35"/>
    </row>
    <row r="161" spans="1:13">
      <c r="A161" s="32" t="s">
        <v>359</v>
      </c>
      <c r="B161" s="32">
        <v>187.6</v>
      </c>
      <c r="C161" s="32">
        <v>190.2</v>
      </c>
      <c r="D161" s="32">
        <v>188.9</v>
      </c>
      <c r="E161" s="32">
        <v>3.3</v>
      </c>
      <c r="F161" s="32">
        <v>2.7</v>
      </c>
      <c r="G161" s="23">
        <f t="shared" si="0"/>
        <v>1.2154261514028586</v>
      </c>
      <c r="I161" s="32"/>
      <c r="J161" s="32"/>
      <c r="K161" s="32"/>
      <c r="L161" s="32"/>
      <c r="M161" s="35"/>
    </row>
    <row r="162" spans="1:13">
      <c r="A162" s="32" t="s">
        <v>360</v>
      </c>
      <c r="B162" s="32">
        <v>193.2</v>
      </c>
      <c r="C162" s="32">
        <v>197.4</v>
      </c>
      <c r="D162" s="32">
        <v>195.3</v>
      </c>
      <c r="E162" s="32">
        <v>3.4</v>
      </c>
      <c r="F162" s="32">
        <v>3.4</v>
      </c>
      <c r="G162" s="23">
        <f t="shared" si="0"/>
        <v>1.1755965181771633</v>
      </c>
      <c r="I162" s="32"/>
      <c r="J162" s="32"/>
      <c r="K162" s="32"/>
      <c r="L162" s="32"/>
      <c r="M162" s="35"/>
    </row>
    <row r="163" spans="1:13">
      <c r="A163" s="32" t="s">
        <v>361</v>
      </c>
      <c r="B163" s="32">
        <v>200.6</v>
      </c>
      <c r="C163" s="32">
        <v>202.6</v>
      </c>
      <c r="D163" s="32">
        <v>201.6</v>
      </c>
      <c r="E163" s="32">
        <v>2.5</v>
      </c>
      <c r="F163" s="32">
        <v>3.2</v>
      </c>
      <c r="G163" s="23">
        <f t="shared" si="0"/>
        <v>1.1388591269841271</v>
      </c>
      <c r="I163" s="32"/>
      <c r="J163" s="32"/>
      <c r="K163" s="32"/>
      <c r="L163" s="32"/>
      <c r="M163" s="35"/>
    </row>
    <row r="164" spans="1:13">
      <c r="A164" s="32" t="s">
        <v>362</v>
      </c>
      <c r="B164" s="32">
        <v>205.709</v>
      </c>
      <c r="C164" s="32">
        <v>208.976</v>
      </c>
      <c r="D164" s="32">
        <v>207.34200000000001</v>
      </c>
      <c r="E164" s="32">
        <v>4.0999999999999996</v>
      </c>
      <c r="F164" s="32">
        <v>2.8</v>
      </c>
      <c r="G164" s="23">
        <f t="shared" si="0"/>
        <v>1.107320272786025</v>
      </c>
      <c r="I164" s="32"/>
      <c r="J164" s="32"/>
      <c r="K164" s="32"/>
      <c r="L164" s="32"/>
      <c r="M164" s="35"/>
    </row>
    <row r="165" spans="1:13">
      <c r="A165" s="32" t="s">
        <v>363</v>
      </c>
      <c r="B165" s="32">
        <v>214.429</v>
      </c>
      <c r="C165" s="32">
        <v>216.17699999999999</v>
      </c>
      <c r="D165" s="32">
        <v>215.303</v>
      </c>
      <c r="E165" s="32">
        <v>0.1</v>
      </c>
      <c r="F165" s="32">
        <v>3.8</v>
      </c>
      <c r="G165" s="23">
        <f t="shared" si="0"/>
        <v>1.0663762232760343</v>
      </c>
      <c r="I165" s="32"/>
      <c r="J165" s="32"/>
      <c r="K165" s="32"/>
      <c r="L165" s="32"/>
      <c r="M165" s="35"/>
    </row>
    <row r="166" spans="1:13">
      <c r="A166" s="32" t="s">
        <v>364</v>
      </c>
      <c r="B166" s="32">
        <v>213.13900000000001</v>
      </c>
      <c r="C166" s="32">
        <v>215.935</v>
      </c>
      <c r="D166" s="32">
        <v>214.53700000000001</v>
      </c>
      <c r="E166" s="32">
        <v>2.7</v>
      </c>
      <c r="F166" s="32">
        <v>-0.4</v>
      </c>
      <c r="G166" s="23">
        <f t="shared" si="0"/>
        <v>1.0701836979169095</v>
      </c>
      <c r="I166" s="32"/>
      <c r="J166" s="32"/>
      <c r="K166" s="32"/>
      <c r="L166" s="32"/>
      <c r="M166" s="35"/>
    </row>
    <row r="167" spans="1:13">
      <c r="A167" s="32" t="s">
        <v>365</v>
      </c>
      <c r="B167" s="32">
        <v>217.535</v>
      </c>
      <c r="C167" s="32">
        <v>218.57599999999999</v>
      </c>
      <c r="D167" s="32">
        <v>218.05600000000001</v>
      </c>
      <c r="E167" s="32">
        <v>1.5</v>
      </c>
      <c r="F167" s="32">
        <v>1.6</v>
      </c>
      <c r="G167" s="23">
        <f t="shared" si="0"/>
        <v>1.0529130131709286</v>
      </c>
      <c r="I167" s="32"/>
      <c r="J167" s="32"/>
      <c r="K167" s="32"/>
      <c r="L167" s="32"/>
      <c r="M167" s="35"/>
    </row>
    <row r="168" spans="1:13">
      <c r="A168" s="32" t="s">
        <v>366</v>
      </c>
      <c r="B168" s="32">
        <v>223.59800000000001</v>
      </c>
      <c r="C168" s="32">
        <v>226.28</v>
      </c>
      <c r="D168" s="32">
        <v>224.93899999999999</v>
      </c>
      <c r="E168" s="32">
        <v>3</v>
      </c>
      <c r="F168" s="32">
        <v>3.2</v>
      </c>
      <c r="G168" s="23">
        <f t="shared" si="0"/>
        <v>1.0206944993976144</v>
      </c>
      <c r="I168" s="32"/>
      <c r="J168" s="32"/>
      <c r="K168" s="32"/>
      <c r="L168" s="32"/>
      <c r="M168" s="35"/>
    </row>
    <row r="169" spans="1:13">
      <c r="A169" s="32" t="s">
        <v>367</v>
      </c>
      <c r="B169" s="32">
        <v>228.85</v>
      </c>
      <c r="C169" s="32">
        <v>230.33799999999999</v>
      </c>
      <c r="D169" s="32">
        <v>229.59399999999999</v>
      </c>
      <c r="E169" s="32">
        <v>1.7</v>
      </c>
      <c r="F169" s="32">
        <v>2.1</v>
      </c>
      <c r="G169" s="23">
        <f t="shared" si="0"/>
        <v>1</v>
      </c>
      <c r="I169" s="32"/>
      <c r="J169" s="32"/>
      <c r="K169" s="32"/>
      <c r="L169" s="32"/>
      <c r="M169" s="35"/>
    </row>
    <row r="170" spans="1:13">
      <c r="A170" s="32" t="s">
        <v>368</v>
      </c>
      <c r="B170" s="32">
        <v>232.36600000000001</v>
      </c>
      <c r="C170" s="32">
        <v>233.548</v>
      </c>
      <c r="D170" s="32">
        <v>232.95699999999999</v>
      </c>
      <c r="E170" s="32">
        <v>1.5</v>
      </c>
      <c r="F170" s="32">
        <v>1.5</v>
      </c>
      <c r="G170" s="23">
        <f t="shared" si="0"/>
        <v>0.98556385942470071</v>
      </c>
      <c r="I170" s="32"/>
      <c r="J170" s="32"/>
      <c r="K170" s="32"/>
      <c r="L170" s="32"/>
      <c r="M170" s="35"/>
    </row>
    <row r="171" spans="1:13">
      <c r="A171" s="32" t="s">
        <v>369</v>
      </c>
      <c r="B171" s="32">
        <v>236.38399999999999</v>
      </c>
      <c r="C171" s="32">
        <v>237.08799999999999</v>
      </c>
      <c r="D171" s="32">
        <v>236.73599999999999</v>
      </c>
      <c r="E171" s="32">
        <v>0.8</v>
      </c>
      <c r="F171" s="32">
        <v>1.6</v>
      </c>
      <c r="G171" s="23">
        <f t="shared" si="0"/>
        <v>0.96983137334414704</v>
      </c>
      <c r="I171" s="32"/>
      <c r="J171" s="32"/>
      <c r="K171" s="32"/>
      <c r="L171" s="32"/>
      <c r="M171" s="35"/>
    </row>
    <row r="172" spans="1:13">
      <c r="A172" s="32" t="s">
        <v>370</v>
      </c>
      <c r="B172" s="32">
        <v>236.26499999999999</v>
      </c>
      <c r="C172" s="32">
        <v>237.76900000000001</v>
      </c>
      <c r="D172" s="32">
        <v>237.017</v>
      </c>
      <c r="E172" s="32">
        <v>0.7</v>
      </c>
      <c r="F172" s="32">
        <v>0.1</v>
      </c>
      <c r="G172" s="23">
        <f t="shared" si="0"/>
        <v>0.9686815713640794</v>
      </c>
      <c r="I172" s="32"/>
      <c r="J172" s="32"/>
      <c r="K172" s="32"/>
      <c r="L172" s="32"/>
      <c r="M172" s="35"/>
    </row>
    <row r="173" spans="1:13">
      <c r="A173" s="32" t="s">
        <v>371</v>
      </c>
      <c r="B173" s="32">
        <v>238.77799999999999</v>
      </c>
      <c r="C173" s="32">
        <v>241.23699999999999</v>
      </c>
      <c r="D173" s="32">
        <v>240.00700000000001</v>
      </c>
      <c r="E173" s="32">
        <v>2.1</v>
      </c>
      <c r="F173" s="32">
        <v>1.3</v>
      </c>
      <c r="G173" s="23">
        <f t="shared" si="0"/>
        <v>0.95661376543184151</v>
      </c>
      <c r="I173" s="32"/>
      <c r="J173" s="32"/>
      <c r="K173" s="32"/>
      <c r="L173" s="32"/>
      <c r="M173" s="35"/>
    </row>
    <row r="174" spans="1:13">
      <c r="A174" s="32" t="s">
        <v>372</v>
      </c>
      <c r="B174" s="32">
        <v>244.07599999999999</v>
      </c>
      <c r="C174" s="32">
        <v>246.16300000000001</v>
      </c>
      <c r="D174" s="32">
        <v>245.12</v>
      </c>
      <c r="E174" s="32">
        <v>2.1</v>
      </c>
      <c r="F174" s="32">
        <v>2.1</v>
      </c>
      <c r="G174" s="23">
        <f t="shared" si="0"/>
        <v>0.93665959530026111</v>
      </c>
      <c r="I174" s="32"/>
      <c r="J174" s="32"/>
      <c r="K174" s="32"/>
      <c r="L174" s="32"/>
      <c r="M174" s="35"/>
    </row>
    <row r="175" spans="1:13">
      <c r="A175" s="32" t="s">
        <v>373</v>
      </c>
      <c r="B175" s="32">
        <v>250.089</v>
      </c>
      <c r="C175" s="32">
        <v>252.125</v>
      </c>
      <c r="D175" s="32">
        <v>251.107</v>
      </c>
      <c r="E175" s="32">
        <v>1.9</v>
      </c>
      <c r="F175" s="32">
        <v>2.4</v>
      </c>
      <c r="G175" s="23">
        <f t="shared" si="0"/>
        <v>0.9143273584567535</v>
      </c>
      <c r="I175" s="32"/>
      <c r="J175" s="32"/>
      <c r="K175" s="32"/>
      <c r="L175" s="32"/>
      <c r="M175" s="35"/>
    </row>
    <row r="176" spans="1:13">
      <c r="A176" s="32" t="s">
        <v>374</v>
      </c>
      <c r="B176" s="32">
        <v>254.41200000000001</v>
      </c>
      <c r="C176" s="32">
        <v>256.90300000000002</v>
      </c>
      <c r="D176" s="32">
        <v>255.65700000000001</v>
      </c>
      <c r="E176" s="32">
        <v>2.2999999999999998</v>
      </c>
      <c r="F176" s="32">
        <v>1.8</v>
      </c>
      <c r="G176" s="23">
        <f t="shared" si="0"/>
        <v>0.89805481563188172</v>
      </c>
      <c r="I176" s="32"/>
      <c r="J176" s="32"/>
      <c r="K176" s="32"/>
      <c r="L176" s="32"/>
      <c r="M176" s="32"/>
    </row>
    <row r="177" spans="1:13">
      <c r="A177" s="32"/>
      <c r="B177" s="32"/>
      <c r="C177" s="32"/>
      <c r="D177" s="32"/>
      <c r="E177" s="32"/>
      <c r="F177" s="32"/>
      <c r="I177" s="32"/>
      <c r="J177" s="32"/>
      <c r="K177" s="32"/>
      <c r="L177" s="32"/>
      <c r="M177" s="32"/>
    </row>
    <row r="178" spans="1:13">
      <c r="A178" s="32" t="s">
        <v>375</v>
      </c>
      <c r="B178" s="32"/>
      <c r="C178" s="32"/>
      <c r="D178" s="32">
        <f>G174/G173</f>
        <v>0.97914082898172328</v>
      </c>
      <c r="E178" s="32"/>
      <c r="F178" s="32"/>
      <c r="I178" s="32"/>
      <c r="J178" s="32"/>
      <c r="K178" s="32"/>
      <c r="L178" s="32"/>
      <c r="M178" s="32"/>
    </row>
    <row r="179" spans="1:13">
      <c r="A179" s="32"/>
      <c r="B179" s="32"/>
      <c r="C179" s="32"/>
      <c r="D179" s="32"/>
      <c r="E179" s="32"/>
      <c r="F179" s="32"/>
      <c r="I179" s="32"/>
      <c r="J179" s="32"/>
      <c r="K179" s="32"/>
      <c r="L179" s="32"/>
      <c r="M179" s="32"/>
    </row>
    <row r="180" spans="1:13">
      <c r="A180" s="32" t="s">
        <v>377</v>
      </c>
      <c r="B180" s="32">
        <v>271.69600000000003</v>
      </c>
      <c r="C180" s="32"/>
      <c r="D180" s="32"/>
      <c r="E180" s="32"/>
      <c r="F180" s="32"/>
      <c r="I180" s="32"/>
      <c r="J180" s="32"/>
      <c r="K180" s="32"/>
      <c r="L180" s="32"/>
      <c r="M180" s="32"/>
    </row>
    <row r="181" spans="1:13">
      <c r="A181" s="32">
        <v>2020</v>
      </c>
      <c r="B181" s="32">
        <f>B189</f>
        <v>258.81116666666668</v>
      </c>
      <c r="C181" s="32"/>
      <c r="D181" s="32"/>
      <c r="E181" s="32"/>
      <c r="F181" s="32"/>
      <c r="I181" s="32"/>
      <c r="J181" s="32"/>
      <c r="K181" s="32"/>
      <c r="L181" s="32"/>
      <c r="M181" s="32"/>
    </row>
    <row r="182" spans="1:13">
      <c r="A182" s="32" t="s">
        <v>376</v>
      </c>
      <c r="B182" s="32">
        <f>D169/G169</f>
        <v>229.59399999999999</v>
      </c>
      <c r="C182" s="32"/>
      <c r="D182" s="32"/>
      <c r="E182" s="32"/>
      <c r="F182" s="32"/>
      <c r="I182" s="32"/>
      <c r="J182" s="32"/>
      <c r="K182" s="32"/>
      <c r="L182" s="32"/>
      <c r="M182" s="32"/>
    </row>
    <row r="183" spans="1:13">
      <c r="A183" s="32"/>
      <c r="B183" s="32"/>
      <c r="C183" s="32"/>
      <c r="D183" s="32"/>
      <c r="E183" s="32"/>
      <c r="F183" s="32"/>
      <c r="I183" s="32"/>
      <c r="J183" s="32"/>
      <c r="K183" s="32"/>
      <c r="L183" s="32"/>
      <c r="M183" s="32"/>
    </row>
    <row r="184" spans="1:13">
      <c r="A184" s="32"/>
      <c r="B184" s="32"/>
      <c r="C184" s="32"/>
      <c r="D184" s="32"/>
      <c r="E184" s="32"/>
      <c r="F184" s="32"/>
      <c r="I184" s="32"/>
      <c r="J184" s="32"/>
      <c r="K184" s="32"/>
      <c r="L184" s="32"/>
      <c r="M184" s="32"/>
    </row>
    <row r="185" spans="1:13">
      <c r="A185" s="32" t="s">
        <v>378</v>
      </c>
      <c r="B185" s="32"/>
      <c r="C185" s="32">
        <f>B182/B181</f>
        <v>0.88711010022107484</v>
      </c>
      <c r="D185" s="32"/>
      <c r="E185" s="32"/>
      <c r="F185" s="32"/>
      <c r="I185" s="32"/>
      <c r="J185" s="32"/>
      <c r="K185" s="32"/>
      <c r="L185" s="32"/>
      <c r="M185" s="32"/>
    </row>
    <row r="186" spans="1:13">
      <c r="A186" s="32" t="s">
        <v>1194</v>
      </c>
      <c r="B186" s="32"/>
      <c r="C186" s="32">
        <f>C185/$B$217</f>
        <v>0.84730358396987315</v>
      </c>
      <c r="D186" s="32"/>
      <c r="E186" s="32"/>
      <c r="F186" s="32"/>
      <c r="I186" s="32"/>
      <c r="J186" s="32"/>
      <c r="K186" s="32"/>
      <c r="L186" s="32"/>
      <c r="M186" s="32"/>
    </row>
    <row r="187" spans="1:13">
      <c r="A187" s="37" t="s">
        <v>379</v>
      </c>
      <c r="B187" s="38"/>
      <c r="C187" s="38"/>
      <c r="D187" s="38"/>
      <c r="E187" s="38"/>
      <c r="F187" s="38"/>
      <c r="G187" s="38"/>
      <c r="I187" s="32"/>
      <c r="J187" s="32"/>
      <c r="K187" s="32"/>
      <c r="L187" s="32"/>
      <c r="M187" s="32"/>
    </row>
    <row r="188" spans="1:13">
      <c r="A188" s="32"/>
      <c r="B188" s="32"/>
      <c r="C188" s="32"/>
      <c r="D188" s="32"/>
      <c r="E188" s="32"/>
      <c r="F188" s="32"/>
      <c r="I188" s="32"/>
      <c r="J188" s="32"/>
      <c r="K188" s="32"/>
      <c r="L188" s="32"/>
      <c r="M188" s="32"/>
    </row>
    <row r="189" spans="1:13">
      <c r="A189" s="32" t="s">
        <v>380</v>
      </c>
      <c r="B189" s="32">
        <f>AVERAGE(A191:L191)</f>
        <v>258.81116666666668</v>
      </c>
      <c r="C189" s="32"/>
      <c r="D189" s="32"/>
      <c r="E189" s="32"/>
      <c r="F189" s="32"/>
      <c r="I189" s="32"/>
      <c r="J189" s="32"/>
      <c r="K189" s="32"/>
      <c r="L189" s="32"/>
      <c r="M189" s="32"/>
    </row>
    <row r="190" spans="1:13" ht="15" thickBot="1">
      <c r="A190" s="32"/>
      <c r="B190" s="32"/>
      <c r="C190" s="32"/>
      <c r="D190" s="32"/>
      <c r="E190" s="32"/>
      <c r="F190" s="32"/>
      <c r="I190" s="32"/>
      <c r="J190" s="32"/>
      <c r="K190" s="32"/>
      <c r="L190" s="32"/>
      <c r="M190" s="32"/>
    </row>
    <row r="191" spans="1:13" ht="15" thickBot="1">
      <c r="A191" s="48">
        <v>257.971</v>
      </c>
      <c r="B191" s="48">
        <v>258.678</v>
      </c>
      <c r="C191" s="48">
        <v>258.11500000000001</v>
      </c>
      <c r="D191" s="48">
        <v>256.38900000000001</v>
      </c>
      <c r="E191" s="48">
        <v>256.39400000000001</v>
      </c>
      <c r="F191" s="48">
        <v>257.79700000000003</v>
      </c>
      <c r="G191" s="48">
        <v>259.101</v>
      </c>
      <c r="H191" s="48">
        <v>259.91800000000001</v>
      </c>
      <c r="I191" s="48">
        <v>260.27999999999997</v>
      </c>
      <c r="J191" s="48">
        <v>260.38799999999998</v>
      </c>
      <c r="K191" s="48">
        <v>260.22899999999998</v>
      </c>
      <c r="L191" s="48">
        <v>260.47399999999999</v>
      </c>
      <c r="M191" s="32"/>
    </row>
    <row r="192" spans="1:13">
      <c r="A192" s="32"/>
      <c r="B192" s="32"/>
      <c r="C192" s="32"/>
      <c r="D192" s="32"/>
      <c r="E192" s="32"/>
      <c r="F192" s="32"/>
      <c r="I192" s="32"/>
      <c r="J192" s="32"/>
      <c r="K192" s="32"/>
      <c r="L192" s="32"/>
      <c r="M192" s="32"/>
    </row>
    <row r="193" spans="1:13">
      <c r="A193" s="32"/>
      <c r="B193" s="32"/>
      <c r="C193" s="32"/>
      <c r="D193" s="32"/>
      <c r="E193" s="32"/>
      <c r="F193" s="32"/>
      <c r="I193" s="32"/>
      <c r="J193" s="32"/>
      <c r="K193" s="32"/>
      <c r="L193" s="32"/>
      <c r="M193" s="32"/>
    </row>
    <row r="194" spans="1:13">
      <c r="A194" s="32"/>
      <c r="B194" s="32"/>
      <c r="C194" s="32"/>
      <c r="D194" s="32"/>
      <c r="E194" s="32"/>
      <c r="F194" s="32"/>
      <c r="I194" s="32"/>
      <c r="J194" s="32"/>
      <c r="K194" s="32"/>
      <c r="L194" s="32"/>
      <c r="M194" s="32"/>
    </row>
    <row r="195" spans="1:13">
      <c r="A195" s="32"/>
      <c r="B195" s="32"/>
      <c r="C195" s="32"/>
      <c r="D195" s="32"/>
      <c r="E195" s="32"/>
      <c r="F195" s="32"/>
      <c r="I195" s="32"/>
      <c r="J195" s="32"/>
      <c r="K195" s="32"/>
      <c r="L195" s="32"/>
      <c r="M195" s="32"/>
    </row>
    <row r="196" spans="1:13">
      <c r="A196" s="32"/>
      <c r="B196" s="32"/>
      <c r="C196" s="32"/>
      <c r="D196" s="32"/>
      <c r="E196" s="32"/>
      <c r="F196" s="32"/>
      <c r="I196" s="32"/>
      <c r="J196" s="32"/>
      <c r="K196" s="32"/>
      <c r="L196" s="32"/>
      <c r="M196" s="32"/>
    </row>
    <row r="197" spans="1:13">
      <c r="A197" s="32"/>
      <c r="B197" s="32"/>
      <c r="C197" s="32"/>
      <c r="D197" s="32"/>
      <c r="E197" s="32"/>
      <c r="F197" s="32"/>
      <c r="I197" s="32"/>
      <c r="J197" s="32"/>
      <c r="K197" s="32"/>
      <c r="L197" s="32"/>
      <c r="M197" s="32"/>
    </row>
    <row r="198" spans="1:13">
      <c r="A198" s="32"/>
      <c r="B198" s="32"/>
      <c r="C198" s="32"/>
      <c r="D198" s="32"/>
      <c r="E198" s="32"/>
      <c r="F198" s="32"/>
      <c r="I198" s="32"/>
      <c r="J198" s="32"/>
      <c r="K198" s="32"/>
      <c r="L198" s="32"/>
      <c r="M198" s="32"/>
    </row>
    <row r="199" spans="1:13">
      <c r="A199" s="32"/>
      <c r="B199" s="32"/>
      <c r="C199" s="32"/>
      <c r="D199" s="32"/>
      <c r="E199" s="32"/>
      <c r="F199" s="32"/>
      <c r="I199" s="32"/>
      <c r="J199" s="32"/>
      <c r="K199" s="32"/>
      <c r="L199" s="32"/>
      <c r="M199" s="32"/>
    </row>
    <row r="200" spans="1:13">
      <c r="A200" s="32"/>
      <c r="B200" s="32"/>
      <c r="C200" s="32"/>
      <c r="D200" s="32"/>
      <c r="E200" s="32"/>
      <c r="F200" s="32"/>
      <c r="I200" s="32"/>
      <c r="J200" s="32"/>
      <c r="K200" s="32"/>
      <c r="L200" s="32"/>
      <c r="M200" s="32"/>
    </row>
    <row r="201" spans="1:13">
      <c r="A201" s="32"/>
      <c r="B201" s="32"/>
      <c r="C201" s="32"/>
      <c r="D201" s="32"/>
      <c r="E201" s="32"/>
      <c r="F201" s="32"/>
      <c r="I201" s="32"/>
      <c r="J201" s="32"/>
      <c r="K201" s="32"/>
      <c r="L201" s="32"/>
      <c r="M201" s="32"/>
    </row>
    <row r="202" spans="1:13">
      <c r="A202" s="32"/>
      <c r="B202" s="32"/>
      <c r="C202" s="32"/>
      <c r="D202" s="32"/>
      <c r="E202" s="32"/>
      <c r="F202" s="32"/>
      <c r="I202" s="32"/>
      <c r="J202" s="32"/>
      <c r="K202" s="32"/>
      <c r="L202" s="32"/>
      <c r="M202" s="32"/>
    </row>
    <row r="203" spans="1:13">
      <c r="A203" s="32"/>
      <c r="B203" s="32"/>
      <c r="C203" s="32"/>
      <c r="D203" s="32"/>
      <c r="E203" s="32"/>
      <c r="F203" s="32"/>
      <c r="I203" s="32"/>
      <c r="J203" s="32"/>
      <c r="K203" s="32"/>
      <c r="L203" s="32"/>
      <c r="M203" s="32"/>
    </row>
    <row r="204" spans="1:13">
      <c r="A204" s="32"/>
      <c r="B204" s="32"/>
      <c r="C204" s="32"/>
      <c r="D204" s="32"/>
      <c r="E204" s="32"/>
      <c r="F204" s="32"/>
      <c r="I204" s="32"/>
      <c r="J204" s="32"/>
      <c r="K204" s="32"/>
      <c r="L204" s="32"/>
      <c r="M204" s="32"/>
    </row>
    <row r="205" spans="1:13">
      <c r="A205" s="32"/>
      <c r="B205" s="32"/>
      <c r="C205" s="32"/>
      <c r="D205" s="32"/>
      <c r="E205" s="32"/>
      <c r="F205" s="32"/>
      <c r="I205" s="32"/>
      <c r="J205" s="32"/>
      <c r="K205" s="32"/>
      <c r="L205" s="32"/>
      <c r="M205" s="32"/>
    </row>
    <row r="206" spans="1:13">
      <c r="A206" t="s">
        <v>59</v>
      </c>
      <c r="C206" s="32"/>
      <c r="D206" s="32"/>
      <c r="E206" s="32"/>
      <c r="F206" s="32"/>
      <c r="I206" s="32"/>
      <c r="J206" s="32"/>
      <c r="K206" s="32"/>
      <c r="L206" s="32"/>
      <c r="M206" s="32"/>
    </row>
    <row r="207" spans="1:13">
      <c r="A207" t="s">
        <v>60</v>
      </c>
      <c r="C207" s="32"/>
      <c r="D207" s="32"/>
      <c r="E207" s="32"/>
      <c r="F207" s="32"/>
      <c r="I207" s="32"/>
      <c r="J207" s="32"/>
      <c r="K207" s="32"/>
      <c r="L207" s="32"/>
      <c r="M207" s="32"/>
    </row>
    <row r="208" spans="1:13">
      <c r="A208" s="22">
        <v>0.89805481563188172</v>
      </c>
      <c r="B208" t="s">
        <v>61</v>
      </c>
      <c r="C208" s="32"/>
      <c r="D208" s="32"/>
      <c r="E208" s="32"/>
      <c r="F208" s="32"/>
      <c r="I208" s="32"/>
      <c r="J208" s="32"/>
      <c r="K208" s="32"/>
      <c r="L208" s="32"/>
      <c r="M208" s="32"/>
    </row>
    <row r="209" spans="1:13">
      <c r="A209" s="23">
        <v>0.91400000000000003</v>
      </c>
      <c r="B209" t="s">
        <v>62</v>
      </c>
      <c r="C209" s="32"/>
      <c r="D209" s="32"/>
      <c r="E209" s="32"/>
      <c r="F209" s="32"/>
      <c r="I209" s="32"/>
      <c r="J209" s="32"/>
      <c r="K209" s="32"/>
      <c r="L209" s="32"/>
      <c r="M209" s="32"/>
    </row>
    <row r="210" spans="1:13">
      <c r="A210" s="23">
        <v>0.9686815713640794</v>
      </c>
      <c r="B210" t="s">
        <v>63</v>
      </c>
      <c r="C210" s="32"/>
      <c r="D210" s="32"/>
      <c r="E210" s="32"/>
      <c r="F210" s="32"/>
      <c r="I210" s="32"/>
      <c r="J210" s="32"/>
      <c r="K210" s="32"/>
      <c r="L210" s="32"/>
      <c r="M210" s="32"/>
    </row>
    <row r="211" spans="1:13">
      <c r="A211">
        <v>1.022</v>
      </c>
      <c r="B211" t="s">
        <v>64</v>
      </c>
      <c r="C211" s="32"/>
      <c r="D211" s="32"/>
      <c r="E211" s="32"/>
      <c r="F211" s="32"/>
      <c r="I211" s="32"/>
      <c r="J211" s="32"/>
      <c r="K211" s="32"/>
      <c r="L211" s="32"/>
      <c r="M211" s="32"/>
    </row>
    <row r="212" spans="1:13">
      <c r="A212" t="s">
        <v>65</v>
      </c>
      <c r="C212" s="32"/>
      <c r="D212" s="32"/>
      <c r="E212" s="32"/>
      <c r="F212" s="32"/>
      <c r="I212" s="32"/>
      <c r="J212" s="32"/>
      <c r="K212" s="32"/>
      <c r="L212" s="32"/>
      <c r="M212" s="32"/>
    </row>
    <row r="213" spans="1:13">
      <c r="A213" s="32"/>
      <c r="B213" s="32"/>
      <c r="C213" s="32"/>
      <c r="D213" s="32"/>
      <c r="E213" s="32"/>
      <c r="F213" s="32"/>
      <c r="I213" s="32"/>
      <c r="J213" s="32"/>
      <c r="K213" s="32"/>
      <c r="L213" s="32"/>
      <c r="M213" s="32"/>
    </row>
    <row r="214" spans="1:13">
      <c r="A214" s="113" t="s">
        <v>1192</v>
      </c>
      <c r="B214" s="113"/>
      <c r="C214" s="113"/>
    </row>
    <row r="215" spans="1:13">
      <c r="A215" s="113" t="s">
        <v>1193</v>
      </c>
      <c r="B215" s="113"/>
      <c r="C215" s="113"/>
    </row>
    <row r="217" spans="1:13">
      <c r="A217" s="14" t="s">
        <v>1195</v>
      </c>
      <c r="B217" s="14">
        <f>270.97/258.811</f>
        <v>1.0469802288156225</v>
      </c>
    </row>
  </sheetData>
  <dataValidations count="1">
    <dataValidation type="list" allowBlank="1" showInputMessage="1" showErrorMessage="1" prompt="Select a geographic level" sqref="B4:B11 B14:B15 B16:B18" xr:uid="{87DC8608-85BA-4FBB-8566-724F6E5B0B02}">
      <formula1>$J$1:$J$3</formula1>
    </dataValidation>
  </dataValidations>
  <hyperlinks>
    <hyperlink ref="B31" r:id="rId1" xr:uid="{00000000-0004-0000-0000-000001000000}"/>
    <hyperlink ref="B9" r:id="rId2" xr:uid="{00000000-0004-0000-0000-000002000000}"/>
    <hyperlink ref="B44" r:id="rId3" xr:uid="{00000000-0004-0000-0000-000004000000}"/>
    <hyperlink ref="B51" r:id="rId4" xr:uid="{00000000-0004-0000-0000-000005000000}"/>
    <hyperlink ref="B58" r:id="rId5" xr:uid="{00000000-0004-0000-0000-000006000000}"/>
    <hyperlink ref="B64" r:id="rId6" xr:uid="{3B13FEB8-1EE4-409A-B082-F5C0EC2D8341}"/>
    <hyperlink ref="B67" r:id="rId7" xr:uid="{C0B30D6E-2CC9-4C2F-8299-6A0C1B40EA9D}"/>
    <hyperlink ref="B39" r:id="rId8" xr:uid="{808A5982-214A-4F53-8428-ED320B4BDD60}"/>
    <hyperlink ref="A126" r:id="rId9" xr:uid="{095D3AD9-A87B-49FB-8C36-4A02758148CD}"/>
  </hyperlinks>
  <pageMargins left="0.7" right="0.7" top="0.75" bottom="0.75" header="0.3" footer="0.3"/>
  <pageSetup orientation="portrait" horizontalDpi="1200" verticalDpi="1200" r:id="rId10"/>
  <drawing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DDD70-BF21-4EBF-8F83-AD79E3DB8232}">
  <sheetPr>
    <tabColor theme="0" tint="-0.14999847407452621"/>
  </sheetPr>
  <dimension ref="A1:N66"/>
  <sheetViews>
    <sheetView workbookViewId="0">
      <selection activeCell="H17" sqref="H17"/>
    </sheetView>
  </sheetViews>
  <sheetFormatPr defaultRowHeight="14.5"/>
  <sheetData>
    <row r="1" spans="1:14">
      <c r="A1" s="32">
        <f>AggregateSEDS!C1</f>
        <v>2019</v>
      </c>
      <c r="B1" s="32">
        <f>AggregateSEDS!D1</f>
        <v>2019</v>
      </c>
      <c r="C1" s="32">
        <f>AggregateSEDS!E1</f>
        <v>2019</v>
      </c>
      <c r="D1" s="32">
        <f>AggregateSEDS!F1</f>
        <v>2019</v>
      </c>
      <c r="E1" s="32">
        <f>AggregateSEDS!G1</f>
        <v>2019</v>
      </c>
      <c r="F1" s="32">
        <v>2019</v>
      </c>
    </row>
    <row r="2" spans="1:14">
      <c r="A2" s="32" t="str">
        <f>AggregateSEDS!C2</f>
        <v>Natural gas</v>
      </c>
      <c r="B2" s="32" t="str">
        <f>AggregateSEDS!D2</f>
        <v>Diesel / Distallate Fuel Oil</v>
      </c>
      <c r="C2" s="32" t="str">
        <f>AggregateSEDS!E2</f>
        <v>HGLs/Propane</v>
      </c>
      <c r="D2" s="32" t="str">
        <f>AggregateSEDS!F2</f>
        <v>Kerosene/Jet fuel</v>
      </c>
      <c r="E2" s="32" t="str">
        <f>AggregateSEDS!G2</f>
        <v>Wood</v>
      </c>
      <c r="F2" s="32" t="s">
        <v>645</v>
      </c>
    </row>
    <row r="3" spans="1:14">
      <c r="A3" s="32">
        <f>C66</f>
        <v>3.74</v>
      </c>
      <c r="B3" s="32">
        <f>E66</f>
        <v>14.8</v>
      </c>
      <c r="C3" s="32" t="str">
        <f>G66</f>
        <v>—</v>
      </c>
      <c r="D3" s="32">
        <f>I66</f>
        <v>0.67</v>
      </c>
      <c r="E3" s="99">
        <f>J66</f>
        <v>2.33</v>
      </c>
      <c r="F3" s="32" t="str">
        <f>G66</f>
        <v>—</v>
      </c>
    </row>
    <row r="5" spans="1:14" ht="21">
      <c r="A5" s="95" t="s">
        <v>636</v>
      </c>
    </row>
    <row r="6" spans="1:14" ht="15" thickBot="1">
      <c r="A6" s="96"/>
    </row>
    <row r="7" spans="1:14">
      <c r="A7" s="212" t="s">
        <v>325</v>
      </c>
      <c r="B7" s="212" t="s">
        <v>96</v>
      </c>
      <c r="C7" s="224"/>
      <c r="D7" s="225"/>
      <c r="E7" s="215" t="s">
        <v>98</v>
      </c>
      <c r="F7" s="216"/>
      <c r="G7" s="216"/>
      <c r="H7" s="217"/>
      <c r="I7" s="85"/>
      <c r="J7" s="212" t="s">
        <v>604</v>
      </c>
      <c r="K7" s="224"/>
      <c r="L7" s="225"/>
      <c r="M7" s="224"/>
      <c r="N7" s="225"/>
    </row>
    <row r="8" spans="1:14">
      <c r="A8" s="213"/>
      <c r="B8" s="213"/>
      <c r="C8" s="226"/>
      <c r="D8" s="227"/>
      <c r="E8" s="218"/>
      <c r="F8" s="219"/>
      <c r="G8" s="219"/>
      <c r="H8" s="220"/>
      <c r="I8" s="86"/>
      <c r="J8" s="213"/>
      <c r="K8" s="226"/>
      <c r="L8" s="227"/>
      <c r="M8" s="226"/>
      <c r="N8" s="227"/>
    </row>
    <row r="9" spans="1:14" ht="15" thickBot="1">
      <c r="A9" s="213"/>
      <c r="B9" s="213"/>
      <c r="C9" s="218" t="s">
        <v>602</v>
      </c>
      <c r="D9" s="220"/>
      <c r="E9" s="221"/>
      <c r="F9" s="222"/>
      <c r="G9" s="222"/>
      <c r="H9" s="223"/>
      <c r="I9" s="87" t="s">
        <v>637</v>
      </c>
      <c r="J9" s="214"/>
      <c r="K9" s="218" t="s">
        <v>130</v>
      </c>
      <c r="L9" s="220"/>
      <c r="M9" s="218" t="s">
        <v>599</v>
      </c>
      <c r="N9" s="220"/>
    </row>
    <row r="10" spans="1:14">
      <c r="A10" s="213"/>
      <c r="B10" s="213"/>
      <c r="C10" s="218" t="s">
        <v>614</v>
      </c>
      <c r="D10" s="220"/>
      <c r="E10" s="84" t="s">
        <v>606</v>
      </c>
      <c r="F10" s="84" t="s">
        <v>98</v>
      </c>
      <c r="G10" s="84" t="s">
        <v>619</v>
      </c>
      <c r="H10" s="212" t="s">
        <v>599</v>
      </c>
      <c r="I10" s="87" t="s">
        <v>125</v>
      </c>
      <c r="J10" s="84" t="s">
        <v>621</v>
      </c>
      <c r="K10" s="218" t="s">
        <v>638</v>
      </c>
      <c r="L10" s="220"/>
      <c r="M10" s="218" t="s">
        <v>639</v>
      </c>
      <c r="N10" s="220"/>
    </row>
    <row r="11" spans="1:14" ht="15" thickBot="1">
      <c r="A11" s="213"/>
      <c r="B11" s="214"/>
      <c r="C11" s="221"/>
      <c r="D11" s="223"/>
      <c r="E11" s="88" t="s">
        <v>415</v>
      </c>
      <c r="F11" s="88" t="s">
        <v>640</v>
      </c>
      <c r="G11" s="88" t="s">
        <v>415</v>
      </c>
      <c r="H11" s="214"/>
      <c r="I11" s="88"/>
      <c r="J11" s="88" t="s">
        <v>641</v>
      </c>
      <c r="K11" s="221"/>
      <c r="L11" s="223"/>
      <c r="M11" s="221"/>
      <c r="N11" s="223"/>
    </row>
    <row r="12" spans="1:14" ht="15" thickBot="1">
      <c r="A12" s="214"/>
      <c r="B12" s="228" t="s">
        <v>610</v>
      </c>
      <c r="C12" s="229"/>
      <c r="D12" s="229"/>
      <c r="E12" s="229"/>
      <c r="F12" s="229"/>
      <c r="G12" s="229"/>
      <c r="H12" s="229"/>
      <c r="I12" s="229"/>
      <c r="J12" s="229"/>
      <c r="K12" s="229"/>
      <c r="L12" s="229"/>
      <c r="M12" s="229"/>
      <c r="N12" s="230"/>
    </row>
    <row r="13" spans="1:14" s="32" customFormat="1">
      <c r="A13" s="100"/>
      <c r="B13" s="100"/>
      <c r="C13" s="100"/>
      <c r="D13" s="100"/>
      <c r="E13" s="100"/>
      <c r="F13" s="100"/>
      <c r="G13" s="100"/>
      <c r="H13" s="100"/>
      <c r="I13" s="100"/>
      <c r="J13" s="100"/>
      <c r="K13" s="100"/>
      <c r="L13" s="100"/>
      <c r="M13" s="100"/>
      <c r="N13" s="100"/>
    </row>
    <row r="14" spans="1:14" s="32" customFormat="1">
      <c r="A14" s="100"/>
      <c r="B14" s="100"/>
      <c r="C14" s="100"/>
      <c r="D14" s="100"/>
      <c r="E14" s="100"/>
      <c r="F14" s="100"/>
      <c r="G14" s="100"/>
      <c r="H14" s="100"/>
      <c r="I14" s="100"/>
      <c r="J14" s="100"/>
      <c r="K14" s="100"/>
      <c r="L14" s="100"/>
      <c r="M14" s="100"/>
      <c r="N14" s="100"/>
    </row>
    <row r="15" spans="1:14" s="32" customFormat="1">
      <c r="A15" s="100"/>
      <c r="B15" s="100"/>
      <c r="C15" s="100"/>
      <c r="D15" s="100"/>
      <c r="E15" s="100"/>
      <c r="F15" s="100"/>
      <c r="G15" s="100"/>
      <c r="H15" s="100"/>
      <c r="I15" s="100"/>
      <c r="J15" s="100"/>
      <c r="K15" s="100"/>
      <c r="L15" s="100"/>
      <c r="M15" s="100"/>
      <c r="N15" s="100"/>
    </row>
    <row r="16" spans="1:14" s="32" customFormat="1">
      <c r="A16" s="100"/>
      <c r="B16" s="100"/>
      <c r="C16" s="100"/>
      <c r="D16" s="100"/>
      <c r="E16" s="100"/>
      <c r="F16" s="100"/>
      <c r="G16" s="100"/>
      <c r="H16" s="100"/>
      <c r="I16" s="100"/>
      <c r="J16" s="100"/>
      <c r="K16" s="100"/>
      <c r="L16" s="100"/>
      <c r="M16" s="100"/>
      <c r="N16" s="100"/>
    </row>
    <row r="17" spans="1:14" ht="15" thickBot="1">
      <c r="A17" s="89">
        <v>1970</v>
      </c>
      <c r="B17" s="90" t="s">
        <v>611</v>
      </c>
      <c r="C17" s="90">
        <v>0.33</v>
      </c>
      <c r="D17" s="90"/>
      <c r="E17" s="90">
        <v>0.36</v>
      </c>
      <c r="F17" s="90" t="s">
        <v>611</v>
      </c>
      <c r="G17" s="90">
        <v>0.4</v>
      </c>
      <c r="H17" s="90">
        <v>0.4</v>
      </c>
      <c r="I17" s="90">
        <v>0.19</v>
      </c>
      <c r="J17" s="90">
        <v>0.65</v>
      </c>
      <c r="K17" s="90" t="s">
        <v>611</v>
      </c>
      <c r="L17" s="90"/>
      <c r="M17" s="90">
        <v>0.34</v>
      </c>
      <c r="N17" s="90"/>
    </row>
    <row r="18" spans="1:14" ht="15" thickBot="1">
      <c r="A18" s="89">
        <v>1971</v>
      </c>
      <c r="B18" s="90" t="s">
        <v>611</v>
      </c>
      <c r="C18" s="90">
        <v>0.35</v>
      </c>
      <c r="D18" s="90"/>
      <c r="E18" s="90">
        <v>0.59</v>
      </c>
      <c r="F18" s="90" t="s">
        <v>611</v>
      </c>
      <c r="G18" s="90">
        <v>0.63</v>
      </c>
      <c r="H18" s="90">
        <v>0.63</v>
      </c>
      <c r="I18" s="90">
        <v>0.19</v>
      </c>
      <c r="J18" s="90">
        <v>0.69</v>
      </c>
      <c r="K18" s="90" t="s">
        <v>611</v>
      </c>
      <c r="L18" s="90"/>
      <c r="M18" s="90">
        <v>0.41</v>
      </c>
      <c r="N18" s="90"/>
    </row>
    <row r="19" spans="1:14" ht="15" thickBot="1">
      <c r="A19" s="89">
        <v>1972</v>
      </c>
      <c r="B19" s="90" t="s">
        <v>611</v>
      </c>
      <c r="C19" s="90">
        <v>0.38</v>
      </c>
      <c r="D19" s="90"/>
      <c r="E19" s="90">
        <v>1.69</v>
      </c>
      <c r="F19" s="90" t="s">
        <v>611</v>
      </c>
      <c r="G19" s="90">
        <v>0.79</v>
      </c>
      <c r="H19" s="90">
        <v>0.8</v>
      </c>
      <c r="I19" s="90">
        <v>0.19</v>
      </c>
      <c r="J19" s="90">
        <v>0.72</v>
      </c>
      <c r="K19" s="90" t="s">
        <v>611</v>
      </c>
      <c r="L19" s="90"/>
      <c r="M19" s="90">
        <v>0.49</v>
      </c>
      <c r="N19" s="90"/>
    </row>
    <row r="20" spans="1:14" ht="15" thickBot="1">
      <c r="A20" s="89">
        <v>1973</v>
      </c>
      <c r="B20" s="90" t="s">
        <v>611</v>
      </c>
      <c r="C20" s="90">
        <v>0.42</v>
      </c>
      <c r="D20" s="90"/>
      <c r="E20" s="90">
        <v>1.5</v>
      </c>
      <c r="F20" s="90" t="s">
        <v>611</v>
      </c>
      <c r="G20" s="90">
        <v>0.94</v>
      </c>
      <c r="H20" s="90">
        <v>0.94</v>
      </c>
      <c r="I20" s="90">
        <v>0.18</v>
      </c>
      <c r="J20" s="90">
        <v>0.77</v>
      </c>
      <c r="K20" s="90" t="s">
        <v>611</v>
      </c>
      <c r="L20" s="90"/>
      <c r="M20" s="90">
        <v>0.67</v>
      </c>
      <c r="N20" s="90"/>
    </row>
    <row r="21" spans="1:14" ht="15" thickBot="1">
      <c r="A21" s="89">
        <v>1974</v>
      </c>
      <c r="B21" s="90" t="s">
        <v>611</v>
      </c>
      <c r="C21" s="90">
        <v>0.59</v>
      </c>
      <c r="D21" s="90"/>
      <c r="E21" s="90">
        <v>2.23</v>
      </c>
      <c r="F21" s="90" t="s">
        <v>611</v>
      </c>
      <c r="G21" s="90">
        <v>2.0099999999999998</v>
      </c>
      <c r="H21" s="90">
        <v>2.0099999999999998</v>
      </c>
      <c r="I21" s="90">
        <v>0.12</v>
      </c>
      <c r="J21" s="90">
        <v>0.84</v>
      </c>
      <c r="K21" s="90" t="s">
        <v>611</v>
      </c>
      <c r="L21" s="90"/>
      <c r="M21" s="90">
        <v>1.33</v>
      </c>
      <c r="N21" s="90"/>
    </row>
    <row r="22" spans="1:14" ht="15" thickBot="1">
      <c r="A22" s="89">
        <v>1975</v>
      </c>
      <c r="B22" s="90" t="s">
        <v>611</v>
      </c>
      <c r="C22" s="90">
        <v>1.05</v>
      </c>
      <c r="D22" s="90"/>
      <c r="E22" s="90">
        <v>2.4300000000000002</v>
      </c>
      <c r="F22" s="90" t="s">
        <v>611</v>
      </c>
      <c r="G22" s="90">
        <v>2.5</v>
      </c>
      <c r="H22" s="90">
        <v>2.5</v>
      </c>
      <c r="I22" s="90">
        <v>0.21</v>
      </c>
      <c r="J22" s="90">
        <v>0.92</v>
      </c>
      <c r="K22" s="90" t="s">
        <v>611</v>
      </c>
      <c r="L22" s="90"/>
      <c r="M22" s="90">
        <v>1.82</v>
      </c>
      <c r="N22" s="90"/>
    </row>
    <row r="23" spans="1:14" ht="15" thickBot="1">
      <c r="A23" s="89">
        <v>1976</v>
      </c>
      <c r="B23" s="90" t="s">
        <v>611</v>
      </c>
      <c r="C23" s="90">
        <v>1.56</v>
      </c>
      <c r="D23" s="90"/>
      <c r="E23" s="90">
        <v>2.59</v>
      </c>
      <c r="F23" s="90" t="s">
        <v>611</v>
      </c>
      <c r="G23" s="90">
        <v>2.34</v>
      </c>
      <c r="H23" s="90">
        <v>2.34</v>
      </c>
      <c r="I23" s="90">
        <v>0.28000000000000003</v>
      </c>
      <c r="J23" s="90">
        <v>0.98</v>
      </c>
      <c r="K23" s="90" t="s">
        <v>611</v>
      </c>
      <c r="L23" s="90"/>
      <c r="M23" s="90">
        <v>1.98</v>
      </c>
      <c r="N23" s="90"/>
    </row>
    <row r="24" spans="1:14" ht="15" thickBot="1">
      <c r="A24" s="89">
        <v>1977</v>
      </c>
      <c r="B24" s="90" t="s">
        <v>611</v>
      </c>
      <c r="C24" s="90">
        <v>2.1</v>
      </c>
      <c r="D24" s="90"/>
      <c r="E24" s="90">
        <v>2.63</v>
      </c>
      <c r="F24" s="90" t="s">
        <v>611</v>
      </c>
      <c r="G24" s="90">
        <v>2.37</v>
      </c>
      <c r="H24" s="90">
        <v>2.37</v>
      </c>
      <c r="I24" s="90">
        <v>0.28000000000000003</v>
      </c>
      <c r="J24" s="90">
        <v>1.04</v>
      </c>
      <c r="K24" s="90" t="s">
        <v>611</v>
      </c>
      <c r="L24" s="90"/>
      <c r="M24" s="90">
        <v>2.15</v>
      </c>
      <c r="N24" s="90"/>
    </row>
    <row r="25" spans="1:14" ht="15" thickBot="1">
      <c r="A25" s="89">
        <v>1978</v>
      </c>
      <c r="B25" s="90" t="s">
        <v>611</v>
      </c>
      <c r="C25" s="90">
        <v>2.1800000000000002</v>
      </c>
      <c r="D25" s="90"/>
      <c r="E25" s="90">
        <v>2.86</v>
      </c>
      <c r="F25" s="90" t="s">
        <v>611</v>
      </c>
      <c r="G25" s="90">
        <v>2.58</v>
      </c>
      <c r="H25" s="90">
        <v>2.59</v>
      </c>
      <c r="I25" s="90">
        <v>0.28999999999999998</v>
      </c>
      <c r="J25" s="90">
        <v>1.1200000000000001</v>
      </c>
      <c r="K25" s="90" t="s">
        <v>611</v>
      </c>
      <c r="L25" s="90"/>
      <c r="M25" s="90">
        <v>2.2799999999999998</v>
      </c>
      <c r="N25" s="90"/>
    </row>
    <row r="26" spans="1:14" ht="15" thickBot="1">
      <c r="A26" s="89">
        <v>1979</v>
      </c>
      <c r="B26" s="90" t="s">
        <v>611</v>
      </c>
      <c r="C26" s="90">
        <v>2.4500000000000002</v>
      </c>
      <c r="D26" s="90"/>
      <c r="E26" s="90">
        <v>3.68</v>
      </c>
      <c r="F26" s="90" t="s">
        <v>611</v>
      </c>
      <c r="G26" s="90">
        <v>3.14</v>
      </c>
      <c r="H26" s="90">
        <v>3.16</v>
      </c>
      <c r="I26" s="90">
        <v>0.37</v>
      </c>
      <c r="J26" s="90">
        <v>1.56</v>
      </c>
      <c r="K26" s="90" t="s">
        <v>611</v>
      </c>
      <c r="L26" s="90"/>
      <c r="M26" s="90">
        <v>2.66</v>
      </c>
      <c r="N26" s="90"/>
    </row>
    <row r="27" spans="1:14" ht="15" thickBot="1">
      <c r="A27" s="89">
        <v>1980</v>
      </c>
      <c r="B27" s="90" t="s">
        <v>611</v>
      </c>
      <c r="C27" s="90">
        <v>3.53</v>
      </c>
      <c r="D27" s="90"/>
      <c r="E27" s="90">
        <v>5.84</v>
      </c>
      <c r="F27" s="90" t="s">
        <v>611</v>
      </c>
      <c r="G27" s="90">
        <v>5.03</v>
      </c>
      <c r="H27" s="90">
        <v>5.0599999999999996</v>
      </c>
      <c r="I27" s="90">
        <v>0.49</v>
      </c>
      <c r="J27" s="90">
        <v>1.74</v>
      </c>
      <c r="K27" s="90">
        <v>6.94</v>
      </c>
      <c r="L27" s="90"/>
      <c r="M27" s="90">
        <v>3.99</v>
      </c>
      <c r="N27" s="90"/>
    </row>
    <row r="28" spans="1:14" ht="15" thickBot="1">
      <c r="A28" s="89">
        <v>1981</v>
      </c>
      <c r="B28" s="90" t="s">
        <v>611</v>
      </c>
      <c r="C28" s="90">
        <v>3.99</v>
      </c>
      <c r="D28" s="90"/>
      <c r="E28" s="90">
        <v>7.46</v>
      </c>
      <c r="F28" s="90" t="s">
        <v>611</v>
      </c>
      <c r="G28" s="90">
        <v>6.62</v>
      </c>
      <c r="H28" s="90">
        <v>6.64</v>
      </c>
      <c r="I28" s="90">
        <v>0.85</v>
      </c>
      <c r="J28" s="90">
        <v>1.24</v>
      </c>
      <c r="K28" s="90">
        <v>8.06</v>
      </c>
      <c r="L28" s="90"/>
      <c r="M28" s="90">
        <v>4.6399999999999997</v>
      </c>
      <c r="N28" s="90"/>
    </row>
    <row r="29" spans="1:14" ht="15" thickBot="1">
      <c r="A29" s="89">
        <v>1982</v>
      </c>
      <c r="B29" s="90" t="s">
        <v>611</v>
      </c>
      <c r="C29" s="90">
        <v>5.0199999999999996</v>
      </c>
      <c r="D29" s="90"/>
      <c r="E29" s="90">
        <v>6.71</v>
      </c>
      <c r="F29" s="90" t="s">
        <v>611</v>
      </c>
      <c r="G29" s="90">
        <v>6.77</v>
      </c>
      <c r="H29" s="90">
        <v>6.77</v>
      </c>
      <c r="I29" s="90">
        <v>0.77</v>
      </c>
      <c r="J29" s="90">
        <v>1.28</v>
      </c>
      <c r="K29" s="90">
        <v>9.31</v>
      </c>
      <c r="L29" s="90"/>
      <c r="M29" s="90">
        <v>5.0199999999999996</v>
      </c>
      <c r="N29" s="90"/>
    </row>
    <row r="30" spans="1:14" ht="15" thickBot="1">
      <c r="A30" s="89">
        <v>1983</v>
      </c>
      <c r="B30" s="90" t="s">
        <v>611</v>
      </c>
      <c r="C30" s="90">
        <v>5.08</v>
      </c>
      <c r="D30" s="90"/>
      <c r="E30" s="90">
        <v>6.57</v>
      </c>
      <c r="F30" s="90" t="s">
        <v>611</v>
      </c>
      <c r="G30" s="90">
        <v>6.06</v>
      </c>
      <c r="H30" s="90">
        <v>6.07</v>
      </c>
      <c r="I30" s="90">
        <v>1.07</v>
      </c>
      <c r="J30" s="90">
        <v>1.1200000000000001</v>
      </c>
      <c r="K30" s="90">
        <v>9.32</v>
      </c>
      <c r="L30" s="90"/>
      <c r="M30" s="90">
        <v>4.79</v>
      </c>
      <c r="N30" s="90"/>
    </row>
    <row r="31" spans="1:14" ht="15" thickBot="1">
      <c r="A31" s="89">
        <v>1984</v>
      </c>
      <c r="B31" s="90" t="s">
        <v>611</v>
      </c>
      <c r="C31" s="90">
        <v>5.09</v>
      </c>
      <c r="D31" s="90"/>
      <c r="E31" s="90">
        <v>5.95</v>
      </c>
      <c r="F31" s="90" t="s">
        <v>611</v>
      </c>
      <c r="G31" s="90">
        <v>5.97</v>
      </c>
      <c r="H31" s="90">
        <v>5.97</v>
      </c>
      <c r="I31" s="90">
        <v>1.1100000000000001</v>
      </c>
      <c r="J31" s="90">
        <v>1.28</v>
      </c>
      <c r="K31" s="90">
        <v>9.08</v>
      </c>
      <c r="L31" s="90"/>
      <c r="M31" s="90">
        <v>4.3499999999999996</v>
      </c>
      <c r="N31" s="90"/>
    </row>
    <row r="32" spans="1:14" ht="15" thickBot="1">
      <c r="A32" s="89">
        <v>1985</v>
      </c>
      <c r="B32" s="90" t="s">
        <v>611</v>
      </c>
      <c r="C32" s="90">
        <v>4.47</v>
      </c>
      <c r="D32" s="90"/>
      <c r="E32" s="90">
        <v>5.69</v>
      </c>
      <c r="F32" s="90" t="s">
        <v>611</v>
      </c>
      <c r="G32" s="90">
        <v>5.31</v>
      </c>
      <c r="H32" s="90">
        <v>5.33</v>
      </c>
      <c r="I32" s="90">
        <v>0.96</v>
      </c>
      <c r="J32" s="90">
        <v>0.79</v>
      </c>
      <c r="K32" s="90">
        <v>9.34</v>
      </c>
      <c r="L32" s="90"/>
      <c r="M32" s="90">
        <v>3.8</v>
      </c>
      <c r="N32" s="90"/>
    </row>
    <row r="33" spans="1:14" ht="15" thickBot="1">
      <c r="A33" s="89">
        <v>1986</v>
      </c>
      <c r="B33" s="90" t="s">
        <v>611</v>
      </c>
      <c r="C33" s="90">
        <v>2.81</v>
      </c>
      <c r="D33" s="90"/>
      <c r="E33" s="90">
        <v>4.79</v>
      </c>
      <c r="F33" s="90" t="s">
        <v>611</v>
      </c>
      <c r="G33" s="90">
        <v>3.16</v>
      </c>
      <c r="H33" s="90">
        <v>3.26</v>
      </c>
      <c r="I33" s="90">
        <v>0.97</v>
      </c>
      <c r="J33" s="90">
        <v>0.32</v>
      </c>
      <c r="K33" s="90">
        <v>9.27</v>
      </c>
      <c r="L33" s="90"/>
      <c r="M33" s="90">
        <v>2.29</v>
      </c>
      <c r="N33" s="90"/>
    </row>
    <row r="34" spans="1:14" ht="15" thickBot="1">
      <c r="A34" s="89">
        <v>1987</v>
      </c>
      <c r="B34" s="90" t="s">
        <v>611</v>
      </c>
      <c r="C34" s="90">
        <v>2.5</v>
      </c>
      <c r="D34" s="90"/>
      <c r="E34" s="90">
        <v>4.0999999999999996</v>
      </c>
      <c r="F34" s="90" t="s">
        <v>611</v>
      </c>
      <c r="G34" s="90">
        <v>2.82</v>
      </c>
      <c r="H34" s="90">
        <v>2.93</v>
      </c>
      <c r="I34" s="90">
        <v>0.99</v>
      </c>
      <c r="J34" s="90">
        <v>0.95</v>
      </c>
      <c r="K34" s="90">
        <v>8.9700000000000006</v>
      </c>
      <c r="L34" s="90"/>
      <c r="M34" s="90">
        <v>2.21</v>
      </c>
      <c r="N34" s="90"/>
    </row>
    <row r="35" spans="1:14" ht="15" thickBot="1">
      <c r="A35" s="89">
        <v>1988</v>
      </c>
      <c r="B35" s="90" t="s">
        <v>611</v>
      </c>
      <c r="C35" s="90">
        <v>2.83</v>
      </c>
      <c r="D35" s="90"/>
      <c r="E35" s="90">
        <v>4.03</v>
      </c>
      <c r="F35" s="90" t="s">
        <v>611</v>
      </c>
      <c r="G35" s="90">
        <v>2.66</v>
      </c>
      <c r="H35" s="90">
        <v>2.67</v>
      </c>
      <c r="I35" s="90">
        <v>0.9</v>
      </c>
      <c r="J35" s="90">
        <v>0.87</v>
      </c>
      <c r="K35" s="90">
        <v>8.84</v>
      </c>
      <c r="L35" s="90"/>
      <c r="M35" s="90">
        <v>2.34</v>
      </c>
      <c r="N35" s="90"/>
    </row>
    <row r="36" spans="1:14" ht="15" thickBot="1">
      <c r="A36" s="89">
        <v>1989</v>
      </c>
      <c r="B36" s="90">
        <v>1.56</v>
      </c>
      <c r="C36" s="90">
        <v>2.92</v>
      </c>
      <c r="D36" s="90"/>
      <c r="E36" s="90">
        <v>3.64</v>
      </c>
      <c r="F36" s="90" t="s">
        <v>611</v>
      </c>
      <c r="G36" s="90">
        <v>3.08</v>
      </c>
      <c r="H36" s="90">
        <v>3.09</v>
      </c>
      <c r="I36" s="90">
        <v>0.85</v>
      </c>
      <c r="J36" s="90" t="s">
        <v>611</v>
      </c>
      <c r="K36" s="90">
        <v>8.8800000000000008</v>
      </c>
      <c r="L36" s="90"/>
      <c r="M36" s="90">
        <v>2.31</v>
      </c>
      <c r="N36" s="90"/>
    </row>
    <row r="37" spans="1:14" ht="15" thickBot="1">
      <c r="A37" s="89">
        <v>1990</v>
      </c>
      <c r="B37" s="90">
        <v>1.49</v>
      </c>
      <c r="C37" s="90">
        <v>3.03</v>
      </c>
      <c r="D37" s="90"/>
      <c r="E37" s="90">
        <v>4.57</v>
      </c>
      <c r="F37" s="90">
        <v>0.8</v>
      </c>
      <c r="G37" s="90">
        <v>4.3600000000000003</v>
      </c>
      <c r="H37" s="90">
        <v>4.0199999999999996</v>
      </c>
      <c r="I37" s="90">
        <v>0.72</v>
      </c>
      <c r="J37" s="90" t="s">
        <v>611</v>
      </c>
      <c r="K37" s="90">
        <v>8.3699999999999992</v>
      </c>
      <c r="L37" s="90"/>
      <c r="M37" s="90">
        <v>2.25</v>
      </c>
      <c r="N37" s="90"/>
    </row>
    <row r="38" spans="1:14" ht="15" thickBot="1">
      <c r="A38" s="89">
        <v>1991</v>
      </c>
      <c r="B38" s="90">
        <v>1.43</v>
      </c>
      <c r="C38" s="90">
        <v>2.87</v>
      </c>
      <c r="D38" s="90"/>
      <c r="E38" s="90">
        <v>4.9000000000000004</v>
      </c>
      <c r="F38" s="90">
        <v>0.78</v>
      </c>
      <c r="G38" s="90">
        <v>3.06</v>
      </c>
      <c r="H38" s="90">
        <v>1.95</v>
      </c>
      <c r="I38" s="90">
        <v>0.67</v>
      </c>
      <c r="J38" s="90" t="s">
        <v>611</v>
      </c>
      <c r="K38" s="90">
        <v>7.2</v>
      </c>
      <c r="L38" s="90"/>
      <c r="M38" s="90">
        <v>2.02</v>
      </c>
      <c r="N38" s="90"/>
    </row>
    <row r="39" spans="1:14" ht="15" thickBot="1">
      <c r="A39" s="89">
        <v>1992</v>
      </c>
      <c r="B39" s="90">
        <v>1.3</v>
      </c>
      <c r="C39" s="90">
        <v>2.72</v>
      </c>
      <c r="D39" s="90"/>
      <c r="E39" s="90">
        <v>4.57</v>
      </c>
      <c r="F39" s="90">
        <v>0.75</v>
      </c>
      <c r="G39" s="90">
        <v>2.1800000000000002</v>
      </c>
      <c r="H39" s="90">
        <v>1.33</v>
      </c>
      <c r="I39" s="90">
        <v>0.55000000000000004</v>
      </c>
      <c r="J39" s="90" t="s">
        <v>611</v>
      </c>
      <c r="K39" s="90">
        <v>6.6</v>
      </c>
      <c r="L39" s="90"/>
      <c r="M39" s="90">
        <v>1.91</v>
      </c>
      <c r="N39" s="90"/>
    </row>
    <row r="40" spans="1:14" ht="15" thickBot="1">
      <c r="A40" s="89">
        <v>1993</v>
      </c>
      <c r="B40" s="90">
        <v>1.3</v>
      </c>
      <c r="C40" s="90">
        <v>2.96</v>
      </c>
      <c r="D40" s="90"/>
      <c r="E40" s="90">
        <v>5.39</v>
      </c>
      <c r="F40" s="90">
        <v>0.67</v>
      </c>
      <c r="G40" s="90">
        <v>2.31</v>
      </c>
      <c r="H40" s="90">
        <v>1.89</v>
      </c>
      <c r="I40" s="90">
        <v>0.44</v>
      </c>
      <c r="J40" s="90" t="s">
        <v>611</v>
      </c>
      <c r="K40" s="90">
        <v>6.61</v>
      </c>
      <c r="L40" s="90"/>
      <c r="M40" s="90">
        <v>2.0099999999999998</v>
      </c>
      <c r="N40" s="90"/>
    </row>
    <row r="41" spans="1:14" ht="15" thickBot="1">
      <c r="A41" s="89">
        <v>1994</v>
      </c>
      <c r="B41" s="90">
        <v>1.28</v>
      </c>
      <c r="C41" s="90">
        <v>2.48</v>
      </c>
      <c r="D41" s="90"/>
      <c r="E41" s="90">
        <v>2.68</v>
      </c>
      <c r="F41" s="90">
        <v>0.69</v>
      </c>
      <c r="G41" s="90">
        <v>2.16</v>
      </c>
      <c r="H41" s="90">
        <v>1.6</v>
      </c>
      <c r="I41" s="90">
        <v>0.47</v>
      </c>
      <c r="J41" s="90">
        <v>2.44</v>
      </c>
      <c r="K41" s="90">
        <v>6.35</v>
      </c>
      <c r="L41" s="90"/>
      <c r="M41" s="90">
        <v>1.92</v>
      </c>
      <c r="N41" s="90"/>
    </row>
    <row r="42" spans="1:14" ht="15" thickBot="1">
      <c r="A42" s="89">
        <v>1995</v>
      </c>
      <c r="B42" s="90">
        <v>1.36</v>
      </c>
      <c r="C42" s="90">
        <v>2.2200000000000002</v>
      </c>
      <c r="D42" s="90"/>
      <c r="E42" s="90">
        <v>4.62</v>
      </c>
      <c r="F42" s="90">
        <v>0.69</v>
      </c>
      <c r="G42" s="90">
        <v>2.16</v>
      </c>
      <c r="H42" s="90">
        <v>1.1299999999999999</v>
      </c>
      <c r="I42" s="90">
        <v>0.43</v>
      </c>
      <c r="J42" s="90">
        <v>2.59</v>
      </c>
      <c r="K42" s="90">
        <v>6.21</v>
      </c>
      <c r="L42" s="90"/>
      <c r="M42" s="90">
        <v>1.69</v>
      </c>
      <c r="N42" s="90"/>
    </row>
    <row r="43" spans="1:14" ht="15" thickBot="1">
      <c r="A43" s="89">
        <v>1996</v>
      </c>
      <c r="B43" s="90">
        <v>1.49</v>
      </c>
      <c r="C43" s="90">
        <v>2.68</v>
      </c>
      <c r="D43" s="90"/>
      <c r="E43" s="90">
        <v>5.08</v>
      </c>
      <c r="F43" s="90">
        <v>0.64</v>
      </c>
      <c r="G43" s="90">
        <v>2.16</v>
      </c>
      <c r="H43" s="90">
        <v>1.18</v>
      </c>
      <c r="I43" s="90">
        <v>0.44</v>
      </c>
      <c r="J43" s="90">
        <v>1.54</v>
      </c>
      <c r="K43" s="90">
        <v>6.37</v>
      </c>
      <c r="L43" s="90"/>
      <c r="M43" s="90">
        <v>1.77</v>
      </c>
      <c r="N43" s="90"/>
    </row>
    <row r="44" spans="1:14" ht="15" thickBot="1">
      <c r="A44" s="89">
        <v>1997</v>
      </c>
      <c r="B44" s="90">
        <v>1.54</v>
      </c>
      <c r="C44" s="90">
        <v>3.02</v>
      </c>
      <c r="D44" s="90"/>
      <c r="E44" s="90">
        <v>4.9400000000000004</v>
      </c>
      <c r="F44" s="90">
        <v>0.66</v>
      </c>
      <c r="G44" s="90">
        <v>3.48</v>
      </c>
      <c r="H44" s="90">
        <v>1.0900000000000001</v>
      </c>
      <c r="I44" s="90">
        <v>0.45</v>
      </c>
      <c r="J44" s="90">
        <v>0.82</v>
      </c>
      <c r="K44" s="90">
        <v>6.71</v>
      </c>
      <c r="L44" s="90"/>
      <c r="M44" s="90">
        <v>2.0499999999999998</v>
      </c>
      <c r="N44" s="90"/>
    </row>
    <row r="45" spans="1:14" ht="15" thickBot="1">
      <c r="A45" s="89">
        <v>1998</v>
      </c>
      <c r="B45" s="90">
        <v>1.38</v>
      </c>
      <c r="C45" s="90">
        <v>2.69</v>
      </c>
      <c r="D45" s="90"/>
      <c r="E45" s="90">
        <v>2.75</v>
      </c>
      <c r="F45" s="90">
        <v>0.64</v>
      </c>
      <c r="G45" s="90">
        <v>6.16</v>
      </c>
      <c r="H45" s="90">
        <v>0.82</v>
      </c>
      <c r="I45" s="90">
        <v>0.45</v>
      </c>
      <c r="J45" s="90">
        <v>0.92</v>
      </c>
      <c r="K45" s="90">
        <v>7.87</v>
      </c>
      <c r="L45" s="90"/>
      <c r="M45" s="90">
        <v>1.84</v>
      </c>
      <c r="N45" s="90"/>
    </row>
    <row r="46" spans="1:14" ht="15" thickBot="1">
      <c r="A46" s="89">
        <v>1999</v>
      </c>
      <c r="B46" s="90">
        <v>1.41</v>
      </c>
      <c r="C46" s="90">
        <v>2.73</v>
      </c>
      <c r="D46" s="90"/>
      <c r="E46" s="90">
        <v>3.27</v>
      </c>
      <c r="F46" s="90">
        <v>0.6</v>
      </c>
      <c r="G46" s="90">
        <v>3.39</v>
      </c>
      <c r="H46" s="90">
        <v>0.82</v>
      </c>
      <c r="I46" s="90">
        <v>0.42</v>
      </c>
      <c r="J46" s="90">
        <v>0.67</v>
      </c>
      <c r="K46" s="90">
        <v>8.69</v>
      </c>
      <c r="L46" s="90"/>
      <c r="M46" s="90">
        <v>1.91</v>
      </c>
      <c r="N46" s="90"/>
    </row>
    <row r="47" spans="1:14" ht="15" thickBot="1">
      <c r="A47" s="89">
        <v>2000</v>
      </c>
      <c r="B47" s="90">
        <v>1.36</v>
      </c>
      <c r="C47" s="90">
        <v>5.81</v>
      </c>
      <c r="D47" s="90"/>
      <c r="E47" s="90">
        <v>6.19</v>
      </c>
      <c r="F47" s="90">
        <v>0.43</v>
      </c>
      <c r="G47" s="90">
        <v>6.16</v>
      </c>
      <c r="H47" s="90">
        <v>1.72</v>
      </c>
      <c r="I47" s="90">
        <v>0.45</v>
      </c>
      <c r="J47" s="90">
        <v>1.48</v>
      </c>
      <c r="K47" s="90">
        <v>16.78</v>
      </c>
      <c r="L47" s="90"/>
      <c r="M47" s="90">
        <v>4.21</v>
      </c>
      <c r="N47" s="90"/>
    </row>
    <row r="48" spans="1:14" ht="15" thickBot="1">
      <c r="A48" s="89">
        <v>2001</v>
      </c>
      <c r="B48" s="90">
        <v>1.1100000000000001</v>
      </c>
      <c r="C48" s="90">
        <v>9.2799999999999994</v>
      </c>
      <c r="D48" s="90"/>
      <c r="E48" s="90">
        <v>6.32</v>
      </c>
      <c r="F48" s="90">
        <v>0.53</v>
      </c>
      <c r="G48" s="90">
        <v>5.95</v>
      </c>
      <c r="H48" s="90">
        <v>2.61</v>
      </c>
      <c r="I48" s="90">
        <v>0.43</v>
      </c>
      <c r="J48" s="90">
        <v>1.74</v>
      </c>
      <c r="K48" s="90">
        <v>20.47</v>
      </c>
      <c r="L48" s="90"/>
      <c r="M48" s="90">
        <v>6.72</v>
      </c>
      <c r="N48" s="90"/>
    </row>
    <row r="49" spans="1:14" ht="15" thickBot="1">
      <c r="A49" s="89">
        <v>2002</v>
      </c>
      <c r="B49" s="90">
        <v>1.87</v>
      </c>
      <c r="C49" s="90">
        <v>3.74</v>
      </c>
      <c r="D49" s="90"/>
      <c r="E49" s="90">
        <v>5.72</v>
      </c>
      <c r="F49" s="90">
        <v>0.54</v>
      </c>
      <c r="G49" s="90">
        <v>5.92</v>
      </c>
      <c r="H49" s="90">
        <v>0.91</v>
      </c>
      <c r="I49" s="90">
        <v>0.49</v>
      </c>
      <c r="J49" s="90">
        <v>2.27</v>
      </c>
      <c r="K49" s="90">
        <v>8.94</v>
      </c>
      <c r="L49" s="90"/>
      <c r="M49" s="90">
        <v>2.64</v>
      </c>
      <c r="N49" s="90"/>
    </row>
    <row r="50" spans="1:14" ht="15" thickBot="1">
      <c r="A50" s="89">
        <v>2003</v>
      </c>
      <c r="B50" s="90">
        <v>1.77</v>
      </c>
      <c r="C50" s="90">
        <v>5.37</v>
      </c>
      <c r="D50" s="90"/>
      <c r="E50" s="90">
        <v>6.16</v>
      </c>
      <c r="F50" s="90">
        <v>0.5</v>
      </c>
      <c r="G50" s="90">
        <v>5.92</v>
      </c>
      <c r="H50" s="90">
        <v>0.87</v>
      </c>
      <c r="I50" s="90">
        <v>0.46</v>
      </c>
      <c r="J50" s="90">
        <v>2.76</v>
      </c>
      <c r="K50" s="90">
        <v>13.21</v>
      </c>
      <c r="L50" s="90"/>
      <c r="M50" s="90">
        <v>3.67</v>
      </c>
      <c r="N50" s="90"/>
    </row>
    <row r="51" spans="1:14" ht="15" thickBot="1">
      <c r="A51" s="89">
        <v>2004</v>
      </c>
      <c r="B51" s="90">
        <v>1.94</v>
      </c>
      <c r="C51" s="90">
        <v>5.88</v>
      </c>
      <c r="D51" s="90"/>
      <c r="E51" s="90">
        <v>9.25</v>
      </c>
      <c r="F51" s="90">
        <v>0.5</v>
      </c>
      <c r="G51" s="90" t="s">
        <v>611</v>
      </c>
      <c r="H51" s="90">
        <v>1.06</v>
      </c>
      <c r="I51" s="90">
        <v>0.47</v>
      </c>
      <c r="J51" s="90">
        <v>3.2</v>
      </c>
      <c r="K51" s="90">
        <v>13.84</v>
      </c>
      <c r="L51" s="90"/>
      <c r="M51" s="90">
        <v>4.21</v>
      </c>
      <c r="N51" s="90"/>
    </row>
    <row r="52" spans="1:14" ht="15" thickBot="1">
      <c r="A52" s="89">
        <v>2005</v>
      </c>
      <c r="B52" s="90">
        <v>1.43</v>
      </c>
      <c r="C52" s="90">
        <v>7.85</v>
      </c>
      <c r="D52" s="90"/>
      <c r="E52" s="90">
        <v>9.91</v>
      </c>
      <c r="F52" s="90">
        <v>0.5</v>
      </c>
      <c r="G52" s="90">
        <v>5.59</v>
      </c>
      <c r="H52" s="90">
        <v>1.07</v>
      </c>
      <c r="I52" s="90">
        <v>0.44</v>
      </c>
      <c r="J52" s="90">
        <v>3.77</v>
      </c>
      <c r="K52" s="90">
        <v>16.53</v>
      </c>
      <c r="L52" s="90"/>
      <c r="M52" s="90">
        <v>5.22</v>
      </c>
      <c r="N52" s="90"/>
    </row>
    <row r="53" spans="1:14" ht="15" thickBot="1">
      <c r="A53" s="89">
        <v>2006</v>
      </c>
      <c r="B53" s="90">
        <v>1.68</v>
      </c>
      <c r="C53" s="90">
        <v>6.5</v>
      </c>
      <c r="D53" s="90"/>
      <c r="E53" s="90">
        <v>13.84</v>
      </c>
      <c r="F53" s="90">
        <v>0.9</v>
      </c>
      <c r="G53" s="90">
        <v>7.1</v>
      </c>
      <c r="H53" s="90">
        <v>1.63</v>
      </c>
      <c r="I53" s="90">
        <v>0.45</v>
      </c>
      <c r="J53" s="90">
        <v>4.17</v>
      </c>
      <c r="K53" s="90">
        <v>17.32</v>
      </c>
      <c r="L53" s="90"/>
      <c r="M53" s="90">
        <v>4.67</v>
      </c>
      <c r="N53" s="90"/>
    </row>
    <row r="54" spans="1:14" ht="15" thickBot="1">
      <c r="A54" s="89">
        <v>2007</v>
      </c>
      <c r="B54" s="90">
        <v>1.85</v>
      </c>
      <c r="C54" s="90">
        <v>6.52</v>
      </c>
      <c r="D54" s="90"/>
      <c r="E54" s="90">
        <v>16.190000000000001</v>
      </c>
      <c r="F54" s="90">
        <v>1.41</v>
      </c>
      <c r="G54" s="90">
        <v>7.85</v>
      </c>
      <c r="H54" s="90">
        <v>2.12</v>
      </c>
      <c r="I54" s="90">
        <v>0.47</v>
      </c>
      <c r="J54" s="90">
        <v>7.78</v>
      </c>
      <c r="K54" s="90">
        <v>18.25</v>
      </c>
      <c r="L54" s="90"/>
      <c r="M54" s="90">
        <v>4.95</v>
      </c>
      <c r="N54" s="90"/>
    </row>
    <row r="55" spans="1:14" ht="15" thickBot="1">
      <c r="A55" s="89">
        <v>2008</v>
      </c>
      <c r="B55" s="90">
        <v>2.19</v>
      </c>
      <c r="C55" s="90">
        <v>8</v>
      </c>
      <c r="D55" s="90"/>
      <c r="E55" s="90">
        <v>22.58</v>
      </c>
      <c r="F55" s="90">
        <v>1.56</v>
      </c>
      <c r="G55" s="90">
        <v>16.68</v>
      </c>
      <c r="H55" s="90">
        <v>2.75</v>
      </c>
      <c r="I55" s="90">
        <v>0.48</v>
      </c>
      <c r="J55" s="90">
        <v>2.66</v>
      </c>
      <c r="K55" s="90">
        <v>18.28</v>
      </c>
      <c r="L55" s="90"/>
      <c r="M55" s="90">
        <v>5.79</v>
      </c>
      <c r="N55" s="90"/>
    </row>
    <row r="56" spans="1:14" ht="15" thickBot="1">
      <c r="A56" s="89">
        <v>2009</v>
      </c>
      <c r="B56" s="90">
        <v>2.2400000000000002</v>
      </c>
      <c r="C56" s="90">
        <v>4.32</v>
      </c>
      <c r="D56" s="90"/>
      <c r="E56" s="90">
        <v>14.38</v>
      </c>
      <c r="F56" s="90">
        <v>1.56</v>
      </c>
      <c r="G56" s="90">
        <v>12.41</v>
      </c>
      <c r="H56" s="90">
        <v>2.08</v>
      </c>
      <c r="I56" s="90">
        <v>0.54</v>
      </c>
      <c r="J56" s="90">
        <v>3.25</v>
      </c>
      <c r="K56" s="90">
        <v>12.1</v>
      </c>
      <c r="L56" s="90"/>
      <c r="M56" s="90">
        <v>3.28</v>
      </c>
      <c r="N56" s="90"/>
    </row>
    <row r="57" spans="1:14" ht="15" thickBot="1">
      <c r="A57" s="89">
        <v>2010</v>
      </c>
      <c r="B57" s="90">
        <v>2.2200000000000002</v>
      </c>
      <c r="C57" s="90">
        <v>4.8600000000000003</v>
      </c>
      <c r="D57" s="90"/>
      <c r="E57" s="90">
        <v>18.440000000000001</v>
      </c>
      <c r="F57" s="90">
        <v>2.19</v>
      </c>
      <c r="G57" s="90">
        <v>16.95</v>
      </c>
      <c r="H57" s="90">
        <v>2.8</v>
      </c>
      <c r="I57" s="90">
        <v>0.57999999999999996</v>
      </c>
      <c r="J57" s="90">
        <v>3.5</v>
      </c>
      <c r="K57" s="90">
        <v>13.31</v>
      </c>
      <c r="L57" s="90"/>
      <c r="M57" s="90">
        <v>3.6</v>
      </c>
      <c r="N57" s="90"/>
    </row>
    <row r="58" spans="1:14" ht="15" thickBot="1">
      <c r="A58" s="89">
        <v>2011</v>
      </c>
      <c r="B58" s="90">
        <v>2.21</v>
      </c>
      <c r="C58" s="90">
        <v>4.6100000000000003</v>
      </c>
      <c r="D58" s="90"/>
      <c r="E58" s="90">
        <v>23.74</v>
      </c>
      <c r="F58" s="90">
        <v>2.88</v>
      </c>
      <c r="G58" s="90">
        <v>25.21</v>
      </c>
      <c r="H58" s="90">
        <v>3.59</v>
      </c>
      <c r="I58" s="90">
        <v>0.67</v>
      </c>
      <c r="J58" s="90">
        <v>3.6</v>
      </c>
      <c r="K58" s="90">
        <v>11.53</v>
      </c>
      <c r="L58" s="90"/>
      <c r="M58" s="90">
        <v>3.29</v>
      </c>
      <c r="N58" s="90"/>
    </row>
    <row r="59" spans="1:14" ht="15" thickBot="1">
      <c r="A59" s="89">
        <v>2012</v>
      </c>
      <c r="B59" s="90">
        <v>1.89</v>
      </c>
      <c r="C59" s="90">
        <v>3.59</v>
      </c>
      <c r="D59" s="90"/>
      <c r="E59" s="90">
        <v>26.89</v>
      </c>
      <c r="F59" s="90">
        <v>2.13</v>
      </c>
      <c r="G59" s="90" t="s">
        <v>611</v>
      </c>
      <c r="H59" s="90">
        <v>5.75</v>
      </c>
      <c r="I59" s="90">
        <v>0.73</v>
      </c>
      <c r="J59" s="90">
        <v>2.89</v>
      </c>
      <c r="K59" s="90">
        <v>9.51</v>
      </c>
      <c r="L59" s="90"/>
      <c r="M59" s="90">
        <v>3.22</v>
      </c>
      <c r="N59" s="90"/>
    </row>
    <row r="60" spans="1:14" ht="15" thickBot="1">
      <c r="A60" s="89">
        <v>2013</v>
      </c>
      <c r="B60" s="90">
        <v>1.96</v>
      </c>
      <c r="C60" s="90">
        <v>4.4000000000000004</v>
      </c>
      <c r="D60" s="90"/>
      <c r="E60" s="90">
        <v>23.23</v>
      </c>
      <c r="F60" s="90">
        <v>2.11</v>
      </c>
      <c r="G60" s="90" t="s">
        <v>611</v>
      </c>
      <c r="H60" s="90">
        <v>14.1</v>
      </c>
      <c r="I60" s="90">
        <v>0.71</v>
      </c>
      <c r="J60" s="90">
        <v>2.2599999999999998</v>
      </c>
      <c r="K60" s="90">
        <v>11.49</v>
      </c>
      <c r="L60" s="90"/>
      <c r="M60" s="90">
        <v>3.89</v>
      </c>
      <c r="N60" s="90"/>
    </row>
    <row r="61" spans="1:14" ht="15" thickBot="1">
      <c r="A61" s="89">
        <v>2014</v>
      </c>
      <c r="B61" s="90">
        <v>2.4900000000000002</v>
      </c>
      <c r="C61" s="90">
        <v>5.05</v>
      </c>
      <c r="D61" s="90"/>
      <c r="E61" s="90">
        <v>19.63</v>
      </c>
      <c r="F61" s="90">
        <v>1.94</v>
      </c>
      <c r="G61" s="90" t="s">
        <v>611</v>
      </c>
      <c r="H61" s="90">
        <v>12.71</v>
      </c>
      <c r="I61" s="90">
        <v>0.65</v>
      </c>
      <c r="J61" s="90">
        <v>2.73</v>
      </c>
      <c r="K61" s="90">
        <v>13.31</v>
      </c>
      <c r="L61" s="90"/>
      <c r="M61" s="90">
        <v>4.51</v>
      </c>
      <c r="N61" s="90"/>
    </row>
    <row r="62" spans="1:14" ht="15" thickBot="1">
      <c r="A62" s="89">
        <v>2015</v>
      </c>
      <c r="B62" s="90" t="s">
        <v>611</v>
      </c>
      <c r="C62" s="90">
        <v>3.29</v>
      </c>
      <c r="D62" s="90"/>
      <c r="E62" s="90">
        <v>11.19</v>
      </c>
      <c r="F62" s="90" t="s">
        <v>611</v>
      </c>
      <c r="G62" s="90">
        <v>12.76</v>
      </c>
      <c r="H62" s="90">
        <v>11.21</v>
      </c>
      <c r="I62" s="90">
        <v>0.65</v>
      </c>
      <c r="J62" s="90">
        <v>2.62</v>
      </c>
      <c r="K62" s="90">
        <v>10.54</v>
      </c>
      <c r="L62" s="90"/>
      <c r="M62" s="90">
        <v>3.1</v>
      </c>
      <c r="N62" s="90"/>
    </row>
    <row r="63" spans="1:14" ht="15" thickBot="1">
      <c r="A63" s="89">
        <v>2016</v>
      </c>
      <c r="B63" s="90" t="s">
        <v>611</v>
      </c>
      <c r="C63" s="90">
        <v>3.06</v>
      </c>
      <c r="D63" s="90"/>
      <c r="E63" s="90">
        <v>11.43</v>
      </c>
      <c r="F63" s="90" t="s">
        <v>611</v>
      </c>
      <c r="G63" s="90" t="s">
        <v>611</v>
      </c>
      <c r="H63" s="90">
        <v>11.43</v>
      </c>
      <c r="I63" s="90">
        <v>0.65</v>
      </c>
      <c r="J63" s="90">
        <v>2.54</v>
      </c>
      <c r="K63" s="90">
        <v>8.74</v>
      </c>
      <c r="L63" s="90"/>
      <c r="M63" s="90">
        <v>2.88</v>
      </c>
      <c r="N63" s="90" t="s">
        <v>642</v>
      </c>
    </row>
    <row r="64" spans="1:14" ht="15" thickBot="1">
      <c r="A64" s="89">
        <v>2017</v>
      </c>
      <c r="B64" s="90" t="s">
        <v>611</v>
      </c>
      <c r="C64" s="90">
        <v>3.64</v>
      </c>
      <c r="D64" s="90"/>
      <c r="E64" s="90">
        <v>13.87</v>
      </c>
      <c r="F64" s="90" t="s">
        <v>611</v>
      </c>
      <c r="G64" s="90" t="s">
        <v>611</v>
      </c>
      <c r="H64" s="90">
        <v>13.87</v>
      </c>
      <c r="I64" s="90">
        <v>0.67</v>
      </c>
      <c r="J64" s="90">
        <v>2.4</v>
      </c>
      <c r="K64" s="90">
        <v>9.18</v>
      </c>
      <c r="L64" s="90"/>
      <c r="M64" s="90">
        <v>3.25</v>
      </c>
      <c r="N64" s="90"/>
    </row>
    <row r="65" spans="1:14" ht="15" thickBot="1">
      <c r="A65" s="89">
        <v>2018</v>
      </c>
      <c r="B65" s="90" t="s">
        <v>611</v>
      </c>
      <c r="C65" s="90">
        <v>4.49</v>
      </c>
      <c r="D65" s="90"/>
      <c r="E65" s="90">
        <v>17.239999999999998</v>
      </c>
      <c r="F65" s="90" t="s">
        <v>611</v>
      </c>
      <c r="G65" s="90" t="s">
        <v>611</v>
      </c>
      <c r="H65" s="90">
        <v>17.239999999999998</v>
      </c>
      <c r="I65" s="90">
        <v>0.68</v>
      </c>
      <c r="J65" s="90">
        <v>2.2200000000000002</v>
      </c>
      <c r="K65" s="90">
        <v>10.74</v>
      </c>
      <c r="L65" s="90"/>
      <c r="M65" s="90">
        <v>3.68</v>
      </c>
      <c r="N65" s="90"/>
    </row>
    <row r="66" spans="1:14">
      <c r="A66" s="97">
        <v>2019</v>
      </c>
      <c r="B66" s="98" t="s">
        <v>611</v>
      </c>
      <c r="C66" s="98">
        <v>3.74</v>
      </c>
      <c r="D66" s="98"/>
      <c r="E66" s="98">
        <v>14.8</v>
      </c>
      <c r="F66" s="98" t="s">
        <v>611</v>
      </c>
      <c r="G66" s="98" t="s">
        <v>611</v>
      </c>
      <c r="H66" s="98">
        <v>14.8</v>
      </c>
      <c r="I66" s="98">
        <v>0.67</v>
      </c>
      <c r="J66" s="98">
        <v>2.33</v>
      </c>
      <c r="K66" s="98">
        <v>9.1999999999999993</v>
      </c>
      <c r="L66" s="98"/>
      <c r="M66" s="98">
        <v>3.17</v>
      </c>
      <c r="N66" s="83"/>
    </row>
  </sheetData>
  <mergeCells count="21">
    <mergeCell ref="H10:H11"/>
    <mergeCell ref="A7:A12"/>
    <mergeCell ref="B7:B11"/>
    <mergeCell ref="C7:D7"/>
    <mergeCell ref="C8:D8"/>
    <mergeCell ref="C9:D9"/>
    <mergeCell ref="C10:D10"/>
    <mergeCell ref="C11:D11"/>
    <mergeCell ref="B12:N12"/>
    <mergeCell ref="E7:H9"/>
    <mergeCell ref="J7:J9"/>
    <mergeCell ref="K7:L7"/>
    <mergeCell ref="K8:L8"/>
    <mergeCell ref="K9:L9"/>
    <mergeCell ref="K11:L11"/>
    <mergeCell ref="M7:N7"/>
    <mergeCell ref="M8:N8"/>
    <mergeCell ref="M9:N9"/>
    <mergeCell ref="M10:N10"/>
    <mergeCell ref="M11:N11"/>
    <mergeCell ref="K10:L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C667F-1BA3-456F-91A9-70BBF13BD6CA}">
  <sheetPr>
    <tabColor theme="0" tint="-0.14999847407452621"/>
  </sheetPr>
  <dimension ref="A1:AF83"/>
  <sheetViews>
    <sheetView topLeftCell="A21" workbookViewId="0">
      <selection activeCell="B7" sqref="B7"/>
    </sheetView>
  </sheetViews>
  <sheetFormatPr defaultColWidth="8.7265625" defaultRowHeight="14.5"/>
  <cols>
    <col min="1" max="1" width="48.1796875" style="32" customWidth="1"/>
    <col min="2" max="2" width="41.1796875" style="32" customWidth="1"/>
    <col min="3" max="6" width="8.7265625" style="32"/>
    <col min="7" max="28" width="0" style="32" hidden="1" customWidth="1"/>
    <col min="29" max="32" width="8.7265625" style="32"/>
    <col min="33" max="33" width="7.54296875" style="32" customWidth="1"/>
    <col min="34" max="16384" width="8.7265625" style="32"/>
  </cols>
  <sheetData>
    <row r="1" spans="1:32">
      <c r="A1" s="32" t="s">
        <v>384</v>
      </c>
    </row>
    <row r="2" spans="1:32">
      <c r="A2" s="110" t="s">
        <v>385</v>
      </c>
    </row>
    <row r="3" spans="1:32">
      <c r="A3" s="32" t="s">
        <v>386</v>
      </c>
    </row>
    <row r="4" spans="1:32">
      <c r="A4" s="32" t="s">
        <v>299</v>
      </c>
    </row>
    <row r="5" spans="1:32">
      <c r="A5" s="32" t="s">
        <v>387</v>
      </c>
      <c r="C5" s="32" t="s">
        <v>388</v>
      </c>
      <c r="D5" s="32" t="s">
        <v>389</v>
      </c>
      <c r="E5" s="32" t="s">
        <v>302</v>
      </c>
      <c r="F5" s="32" t="s">
        <v>390</v>
      </c>
      <c r="G5" s="32">
        <v>1997</v>
      </c>
      <c r="H5" s="32">
        <v>1998</v>
      </c>
      <c r="I5" s="32">
        <v>1999</v>
      </c>
      <c r="J5" s="32">
        <v>2000</v>
      </c>
      <c r="K5" s="32">
        <v>2001</v>
      </c>
      <c r="L5" s="32">
        <v>2002</v>
      </c>
      <c r="M5" s="32">
        <v>2003</v>
      </c>
      <c r="N5" s="32">
        <v>2004</v>
      </c>
      <c r="O5" s="32">
        <v>2005</v>
      </c>
      <c r="P5" s="32">
        <v>2006</v>
      </c>
      <c r="Q5" s="32">
        <v>2007</v>
      </c>
      <c r="R5" s="32">
        <v>2008</v>
      </c>
      <c r="S5" s="32">
        <v>2009</v>
      </c>
      <c r="T5" s="32">
        <v>2010</v>
      </c>
      <c r="U5" s="32">
        <v>2011</v>
      </c>
      <c r="V5" s="32">
        <v>2012</v>
      </c>
      <c r="W5" s="32">
        <v>2013</v>
      </c>
      <c r="X5" s="32">
        <v>2014</v>
      </c>
      <c r="Y5" s="32">
        <v>2015</v>
      </c>
      <c r="Z5" s="32">
        <v>2016</v>
      </c>
      <c r="AA5" s="32">
        <v>2017</v>
      </c>
      <c r="AB5" s="32">
        <v>2018</v>
      </c>
      <c r="AC5" s="32">
        <v>2019</v>
      </c>
      <c r="AD5" s="32">
        <v>2020</v>
      </c>
      <c r="AE5" s="32">
        <v>2021</v>
      </c>
      <c r="AF5" s="32">
        <v>2022</v>
      </c>
    </row>
    <row r="6" spans="1:32">
      <c r="A6" s="32" t="s">
        <v>391</v>
      </c>
      <c r="B6" s="32" t="s">
        <v>391</v>
      </c>
      <c r="C6" s="32">
        <v>1</v>
      </c>
      <c r="D6" s="32">
        <v>1</v>
      </c>
      <c r="E6" s="32" t="s">
        <v>392</v>
      </c>
      <c r="F6" s="32" t="s">
        <v>393</v>
      </c>
      <c r="G6" s="32">
        <v>119.4</v>
      </c>
      <c r="H6" s="32">
        <v>104.4</v>
      </c>
      <c r="I6" s="32">
        <v>112.5</v>
      </c>
      <c r="J6" s="32">
        <v>149.5</v>
      </c>
      <c r="K6" s="32">
        <v>140.5</v>
      </c>
      <c r="L6" s="32">
        <v>131.80000000000001</v>
      </c>
      <c r="M6" s="32">
        <v>150.6</v>
      </c>
      <c r="N6" s="32">
        <v>181.1</v>
      </c>
      <c r="O6" s="32">
        <v>240.4</v>
      </c>
      <c r="P6" s="32">
        <v>270.8</v>
      </c>
      <c r="Q6" s="32">
        <v>288.39999999999998</v>
      </c>
      <c r="R6" s="32">
        <v>382.7</v>
      </c>
      <c r="S6" s="32">
        <v>246.9</v>
      </c>
      <c r="T6" s="32">
        <v>299.39999999999998</v>
      </c>
      <c r="U6" s="32">
        <v>385.3</v>
      </c>
      <c r="V6" s="32">
        <v>397.1</v>
      </c>
      <c r="W6" s="32">
        <v>392</v>
      </c>
      <c r="X6" s="32">
        <v>382.7</v>
      </c>
      <c r="Y6" s="32">
        <v>270.7</v>
      </c>
      <c r="Z6" s="32">
        <v>231</v>
      </c>
      <c r="AA6" s="32">
        <v>265.39999999999998</v>
      </c>
      <c r="AB6" s="32">
        <v>318.3</v>
      </c>
      <c r="AD6" s="49">
        <f>('EIA Short Run'!AD47-'EIA Short Run'!AC47)/'EIA Short Run'!AC47</f>
        <v>-0.16426701570680632</v>
      </c>
      <c r="AE6" s="49">
        <f>('EIA Short Run'!AE47-'EIA Short Run'!AD47)/'EIA Short Run'!AD47</f>
        <v>0.23610023492560681</v>
      </c>
      <c r="AF6" s="49">
        <f>('EIA Short Run'!AF47-'EIA Short Run'!AE47)/'EIA Short Run'!AE47</f>
        <v>-2.2489705416534576E-2</v>
      </c>
    </row>
    <row r="7" spans="1:32">
      <c r="A7" s="32" t="s">
        <v>384</v>
      </c>
      <c r="B7" s="32" t="s">
        <v>384</v>
      </c>
      <c r="C7" s="32">
        <v>0</v>
      </c>
      <c r="D7" s="32">
        <v>0</v>
      </c>
      <c r="AD7" s="49"/>
      <c r="AE7" s="49"/>
      <c r="AF7" s="49"/>
    </row>
    <row r="8" spans="1:32">
      <c r="A8" s="32" t="s">
        <v>394</v>
      </c>
      <c r="B8" s="32" t="s">
        <v>394</v>
      </c>
      <c r="C8" s="32">
        <v>0</v>
      </c>
      <c r="D8" s="32">
        <v>0</v>
      </c>
      <c r="E8" s="32" t="s">
        <v>395</v>
      </c>
      <c r="AD8" s="49"/>
      <c r="AE8" s="49"/>
      <c r="AF8" s="49"/>
    </row>
    <row r="9" spans="1:32">
      <c r="A9" s="32" t="s">
        <v>396</v>
      </c>
      <c r="B9" s="32" t="s">
        <v>397</v>
      </c>
      <c r="C9" s="32">
        <v>1</v>
      </c>
      <c r="D9" s="32">
        <v>1</v>
      </c>
      <c r="E9" s="32" t="s">
        <v>395</v>
      </c>
      <c r="F9" s="32" t="s">
        <v>398</v>
      </c>
      <c r="G9" s="32">
        <v>20.59</v>
      </c>
      <c r="H9" s="32">
        <v>14.42</v>
      </c>
      <c r="I9" s="32">
        <v>19.399999999999999</v>
      </c>
      <c r="J9" s="32">
        <v>30.36</v>
      </c>
      <c r="K9" s="32">
        <v>25.93</v>
      </c>
      <c r="L9" s="32">
        <v>26.19</v>
      </c>
      <c r="M9" s="32">
        <v>31.08</v>
      </c>
      <c r="N9" s="32">
        <v>41.5</v>
      </c>
      <c r="O9" s="32">
        <v>56.65</v>
      </c>
      <c r="P9" s="32">
        <v>66.06</v>
      </c>
      <c r="Q9" s="32">
        <v>72.34</v>
      </c>
      <c r="R9" s="32">
        <v>99.67</v>
      </c>
      <c r="S9" s="32">
        <v>61.96</v>
      </c>
      <c r="T9" s="32">
        <v>79.5</v>
      </c>
      <c r="U9" s="32">
        <v>94.9</v>
      </c>
      <c r="V9" s="32">
        <v>94.08</v>
      </c>
      <c r="W9" s="32">
        <v>97.98</v>
      </c>
      <c r="X9" s="32">
        <v>93.17</v>
      </c>
      <c r="Y9" s="32">
        <v>48.67</v>
      </c>
      <c r="Z9" s="32">
        <v>43.33</v>
      </c>
      <c r="AA9" s="32">
        <v>50.79</v>
      </c>
      <c r="AB9" s="32">
        <v>65.069999999999993</v>
      </c>
      <c r="AD9" s="49">
        <f>('EIA Short Run'!AD50-'EIA Short Run'!AC50)/'EIA Short Run'!AC50</f>
        <v>-0.31268643621688014</v>
      </c>
      <c r="AE9" s="49">
        <f>('EIA Short Run'!AE50-'EIA Short Run'!AD50)/'EIA Short Run'!AD50</f>
        <v>0.68113352055144216</v>
      </c>
      <c r="AF9" s="49">
        <f>('EIA Short Run'!AF50-'EIA Short Run'!AE50)/'EIA Short Run'!AE50</f>
        <v>-4.3735763097949819E-2</v>
      </c>
    </row>
    <row r="10" spans="1:32">
      <c r="A10" s="32" t="s">
        <v>399</v>
      </c>
      <c r="B10" s="32" t="s">
        <v>400</v>
      </c>
      <c r="C10" s="32">
        <v>1</v>
      </c>
      <c r="D10" s="32">
        <v>1</v>
      </c>
      <c r="E10" s="32" t="s">
        <v>395</v>
      </c>
      <c r="F10" s="32" t="s">
        <v>401</v>
      </c>
      <c r="G10" s="32">
        <v>18.489999999999998</v>
      </c>
      <c r="H10" s="32">
        <v>12.07</v>
      </c>
      <c r="I10" s="32">
        <v>17.27</v>
      </c>
      <c r="J10" s="32">
        <v>27.72</v>
      </c>
      <c r="K10" s="32">
        <v>21.99</v>
      </c>
      <c r="L10" s="32">
        <v>23.71</v>
      </c>
      <c r="M10" s="32">
        <v>27.73</v>
      </c>
      <c r="N10" s="32">
        <v>35.89</v>
      </c>
      <c r="O10" s="32">
        <v>48.89</v>
      </c>
      <c r="P10" s="32">
        <v>59.05</v>
      </c>
      <c r="Q10" s="32">
        <v>67.19</v>
      </c>
      <c r="R10" s="32">
        <v>92.57</v>
      </c>
      <c r="S10" s="32">
        <v>59.04</v>
      </c>
      <c r="T10" s="32">
        <v>75.83</v>
      </c>
      <c r="U10" s="32">
        <v>102.58</v>
      </c>
      <c r="V10" s="32">
        <v>101.09</v>
      </c>
      <c r="W10" s="32">
        <v>98.12</v>
      </c>
      <c r="X10" s="32">
        <v>89.63</v>
      </c>
      <c r="Y10" s="32">
        <v>46.34</v>
      </c>
      <c r="Z10" s="32">
        <v>38.700000000000003</v>
      </c>
      <c r="AA10" s="32">
        <v>48.98</v>
      </c>
      <c r="AB10" s="32">
        <v>61.34</v>
      </c>
      <c r="AD10" s="49">
        <f>('EIA Short Run'!AD51-'EIA Short Run'!AC51)/'EIA Short Run'!AC51</f>
        <v>-0.35720448662640208</v>
      </c>
      <c r="AE10" s="49">
        <f>('EIA Short Run'!AE51-'EIA Short Run'!AD51)/'EIA Short Run'!AD51</f>
        <v>0.72697986577181206</v>
      </c>
      <c r="AF10" s="49">
        <f>('EIA Short Run'!AF51-'EIA Short Run'!AE51)/'EIA Short Run'!AE51</f>
        <v>-5.8448624281050805E-2</v>
      </c>
    </row>
    <row r="11" spans="1:32">
      <c r="A11" s="32" t="s">
        <v>402</v>
      </c>
      <c r="B11" s="32" t="s">
        <v>403</v>
      </c>
      <c r="C11" s="32">
        <v>1</v>
      </c>
      <c r="D11" s="32">
        <v>1</v>
      </c>
      <c r="E11" s="32" t="s">
        <v>395</v>
      </c>
      <c r="F11" s="32" t="s">
        <v>404</v>
      </c>
      <c r="G11" s="32">
        <v>18.989999999999998</v>
      </c>
      <c r="H11" s="32">
        <v>12.51</v>
      </c>
      <c r="I11" s="32">
        <v>17.48</v>
      </c>
      <c r="J11" s="32">
        <v>28.26</v>
      </c>
      <c r="K11" s="32">
        <v>22.96</v>
      </c>
      <c r="L11" s="32">
        <v>24.09</v>
      </c>
      <c r="M11" s="32">
        <v>28.53</v>
      </c>
      <c r="N11" s="32">
        <v>36.950000000000003</v>
      </c>
      <c r="O11" s="32">
        <v>50.25</v>
      </c>
      <c r="P11" s="32">
        <v>60.25</v>
      </c>
      <c r="Q11" s="32">
        <v>68.14</v>
      </c>
      <c r="R11" s="32">
        <v>94.74</v>
      </c>
      <c r="S11" s="32">
        <v>59.36</v>
      </c>
      <c r="T11" s="32">
        <v>76.7</v>
      </c>
      <c r="U11" s="32">
        <v>101.86</v>
      </c>
      <c r="V11" s="32">
        <v>100.82</v>
      </c>
      <c r="W11" s="32">
        <v>100.46</v>
      </c>
      <c r="X11" s="32">
        <v>92.05</v>
      </c>
      <c r="Y11" s="32">
        <v>48.4</v>
      </c>
      <c r="Z11" s="32">
        <v>40.69</v>
      </c>
      <c r="AA11" s="32">
        <v>50.68</v>
      </c>
      <c r="AB11" s="32">
        <v>64.48</v>
      </c>
      <c r="AD11" s="49">
        <f>('EIA Short Run'!AD52-'EIA Short Run'!AC52)/'EIA Short Run'!AC52</f>
        <v>-0.33086253369272239</v>
      </c>
      <c r="AE11" s="49">
        <f>('EIA Short Run'!AE52-'EIA Short Run'!AD52)/'EIA Short Run'!AD52</f>
        <v>0.63947633434038287</v>
      </c>
      <c r="AF11" s="49">
        <f>('EIA Short Run'!AF52-'EIA Short Run'!AE52)/'EIA Short Run'!AE52</f>
        <v>-5.4668304668304697E-2</v>
      </c>
    </row>
    <row r="12" spans="1:32">
      <c r="A12" s="32" t="s">
        <v>405</v>
      </c>
      <c r="B12" s="32" t="s">
        <v>406</v>
      </c>
      <c r="C12" s="32">
        <v>1</v>
      </c>
      <c r="D12" s="32">
        <v>1</v>
      </c>
      <c r="E12" s="32" t="s">
        <v>395</v>
      </c>
      <c r="F12" s="32" t="s">
        <v>407</v>
      </c>
      <c r="G12" s="32">
        <v>19.09</v>
      </c>
      <c r="H12" s="32">
        <v>12.74</v>
      </c>
      <c r="I12" s="32">
        <v>18</v>
      </c>
      <c r="J12" s="32">
        <v>28.59</v>
      </c>
      <c r="K12" s="32">
        <v>24.43</v>
      </c>
      <c r="L12" s="32">
        <v>25.03</v>
      </c>
      <c r="M12" s="32">
        <v>28.86</v>
      </c>
      <c r="N12" s="32">
        <v>38.299999999999997</v>
      </c>
      <c r="O12" s="32">
        <v>54.6</v>
      </c>
      <c r="P12" s="32">
        <v>65.180000000000007</v>
      </c>
      <c r="Q12" s="32">
        <v>72.489999999999995</v>
      </c>
      <c r="R12" s="32">
        <v>96.94</v>
      </c>
      <c r="S12" s="32">
        <v>61.75</v>
      </c>
      <c r="T12" s="32">
        <v>79.64</v>
      </c>
      <c r="U12" s="32">
        <v>111.33</v>
      </c>
      <c r="V12" s="32">
        <v>111.65</v>
      </c>
      <c r="W12" s="32">
        <v>108.56</v>
      </c>
      <c r="X12" s="32">
        <v>98.89</v>
      </c>
      <c r="Y12" s="32">
        <v>52.32</v>
      </c>
      <c r="Z12" s="32">
        <v>43.74</v>
      </c>
      <c r="AA12" s="32">
        <v>54.16</v>
      </c>
      <c r="AB12" s="32">
        <v>71.209999999999994</v>
      </c>
      <c r="AD12" s="49">
        <f>('EIA Short Run'!AD53-'EIA Short Run'!AC53)/'EIA Short Run'!AC53</f>
        <v>-0.35203605843954</v>
      </c>
      <c r="AE12" s="49">
        <f>('EIA Short Run'!AE53-'EIA Short Run'!AD53)/'EIA Short Run'!AD53</f>
        <v>0.64979611417606153</v>
      </c>
      <c r="AF12" s="49">
        <f>('EIA Short Run'!AF53-'EIA Short Run'!AE53)/'EIA Short Run'!AE53</f>
        <v>-3.111369584181449E-2</v>
      </c>
    </row>
    <row r="13" spans="1:32">
      <c r="A13" s="37" t="s">
        <v>408</v>
      </c>
      <c r="B13" s="37" t="s">
        <v>408</v>
      </c>
      <c r="C13" s="32">
        <v>0</v>
      </c>
      <c r="D13" s="32">
        <v>0</v>
      </c>
      <c r="E13" s="32" t="s">
        <v>392</v>
      </c>
      <c r="AD13" s="49"/>
      <c r="AE13" s="49"/>
      <c r="AF13" s="49"/>
    </row>
    <row r="14" spans="1:32">
      <c r="A14" s="80" t="s">
        <v>588</v>
      </c>
      <c r="B14" s="79"/>
      <c r="C14" s="50"/>
      <c r="AD14" s="49">
        <f>('EIA Short Run'!AD52-'EIA Short Run'!AC52)/'EIA Short Run'!AC52</f>
        <v>-0.33086253369272239</v>
      </c>
      <c r="AE14" s="49">
        <f>('EIA Short Run'!AE52-'EIA Short Run'!AD52)/'EIA Short Run'!AD52</f>
        <v>0.63947633434038287</v>
      </c>
      <c r="AF14" s="49">
        <f>('EIA Short Run'!AF52-'EIA Short Run'!AE52)/'EIA Short Run'!AE52</f>
        <v>-5.4668304668304697E-2</v>
      </c>
    </row>
    <row r="15" spans="1:32">
      <c r="A15" s="80" t="s">
        <v>581</v>
      </c>
      <c r="B15" s="79"/>
      <c r="C15" s="50"/>
      <c r="D15" s="50"/>
      <c r="AD15" s="49">
        <f>('EIA Short Run'!AD60-'EIA Short Run'!AC60)/'EIA Short Run'!AC60</f>
        <v>-0.3350253807106599</v>
      </c>
      <c r="AE15" s="49">
        <f>('EIA Short Run'!AE60-'EIA Short Run'!AD60)/'EIA Short Run'!AD60</f>
        <v>0.44274809160305345</v>
      </c>
      <c r="AF15" s="49">
        <f>('EIA Short Run'!AF60-'EIA Short Run'!AE60)/'EIA Short Run'!AE60</f>
        <v>5.2910052910052907E-2</v>
      </c>
    </row>
    <row r="16" spans="1:32">
      <c r="A16" s="79"/>
      <c r="B16" s="79"/>
      <c r="C16" s="50"/>
      <c r="D16" s="50"/>
      <c r="AD16" s="49"/>
      <c r="AE16" s="49"/>
      <c r="AF16" s="49"/>
    </row>
    <row r="17" spans="1:32">
      <c r="A17" s="33" t="s">
        <v>424</v>
      </c>
      <c r="B17" s="32" t="s">
        <v>424</v>
      </c>
      <c r="C17" s="32">
        <v>0</v>
      </c>
      <c r="D17" s="32">
        <v>0</v>
      </c>
      <c r="AD17" s="49"/>
      <c r="AE17" s="49"/>
      <c r="AF17" s="49"/>
    </row>
    <row r="18" spans="1:32">
      <c r="A18" s="32" t="s">
        <v>425</v>
      </c>
      <c r="B18" s="32" t="s">
        <v>426</v>
      </c>
      <c r="C18" s="32">
        <v>1</v>
      </c>
      <c r="D18" s="32">
        <v>1</v>
      </c>
      <c r="E18" s="32" t="s">
        <v>392</v>
      </c>
      <c r="F18" s="32" t="s">
        <v>427</v>
      </c>
      <c r="G18" s="32">
        <v>120</v>
      </c>
      <c r="H18" s="32">
        <v>103</v>
      </c>
      <c r="I18" s="32">
        <v>114</v>
      </c>
      <c r="J18" s="32">
        <v>149</v>
      </c>
      <c r="K18" s="32">
        <v>143</v>
      </c>
      <c r="L18" s="32">
        <v>134</v>
      </c>
      <c r="M18" s="32">
        <v>156</v>
      </c>
      <c r="N18" s="32">
        <v>185</v>
      </c>
      <c r="O18" s="32">
        <v>227</v>
      </c>
      <c r="P18" s="32">
        <v>258</v>
      </c>
      <c r="Q18" s="32">
        <v>281</v>
      </c>
      <c r="R18" s="32">
        <v>326</v>
      </c>
      <c r="S18" s="32">
        <v>235</v>
      </c>
      <c r="T18" s="32">
        <v>278</v>
      </c>
      <c r="U18" s="32">
        <v>353</v>
      </c>
      <c r="V18" s="32">
        <v>363</v>
      </c>
      <c r="W18" s="32">
        <v>351</v>
      </c>
      <c r="X18" s="32">
        <v>336</v>
      </c>
      <c r="Y18" s="32">
        <v>243</v>
      </c>
      <c r="Z18" s="32">
        <v>215</v>
      </c>
      <c r="AA18" s="32">
        <v>242</v>
      </c>
      <c r="AB18" s="32">
        <v>273</v>
      </c>
      <c r="AD18" s="49">
        <f>('EIA Short Run'!AD63-'EIA Short Run'!AC63)/'EIA Short Run'!AC63</f>
        <v>-0.16153846153846155</v>
      </c>
      <c r="AE18" s="49">
        <f>('EIA Short Run'!AE63-'EIA Short Run'!AD63)/'EIA Short Run'!AD63</f>
        <v>0.30733944954128439</v>
      </c>
      <c r="AF18" s="49">
        <f>('EIA Short Run'!AF63-'EIA Short Run'!AE63)/'EIA Short Run'!AE63</f>
        <v>-3.8596491228070177E-2</v>
      </c>
    </row>
    <row r="19" spans="1:32">
      <c r="A19" s="32" t="s">
        <v>428</v>
      </c>
      <c r="B19" s="32" t="s">
        <v>429</v>
      </c>
      <c r="C19" s="32">
        <v>1</v>
      </c>
      <c r="D19" s="32">
        <v>1</v>
      </c>
      <c r="E19" s="32" t="s">
        <v>392</v>
      </c>
      <c r="F19" s="32" t="s">
        <v>430</v>
      </c>
      <c r="G19" s="32">
        <v>124</v>
      </c>
      <c r="H19" s="32">
        <v>107</v>
      </c>
      <c r="I19" s="32">
        <v>118</v>
      </c>
      <c r="J19" s="32">
        <v>153</v>
      </c>
      <c r="K19" s="32">
        <v>147</v>
      </c>
      <c r="L19" s="32">
        <v>139</v>
      </c>
      <c r="M19" s="32">
        <v>160</v>
      </c>
      <c r="N19" s="32">
        <v>189</v>
      </c>
      <c r="O19" s="32">
        <v>231</v>
      </c>
      <c r="P19" s="32">
        <v>262</v>
      </c>
      <c r="Q19" s="32">
        <v>285</v>
      </c>
      <c r="R19" s="32">
        <v>331</v>
      </c>
      <c r="S19" s="32">
        <v>240</v>
      </c>
      <c r="T19" s="32">
        <v>283</v>
      </c>
      <c r="U19" s="32">
        <v>358</v>
      </c>
      <c r="V19" s="32">
        <v>369</v>
      </c>
      <c r="W19" s="32">
        <v>358</v>
      </c>
      <c r="X19" s="32">
        <v>344</v>
      </c>
      <c r="Y19" s="32">
        <v>252</v>
      </c>
      <c r="Z19" s="32">
        <v>226</v>
      </c>
      <c r="AA19" s="32">
        <v>253</v>
      </c>
      <c r="AB19" s="32">
        <v>282</v>
      </c>
      <c r="AD19" s="49">
        <f>('EIA Short Run'!AD64-'EIA Short Run'!AC64)/'EIA Short Run'!AC64</f>
        <v>-0.15613382899628253</v>
      </c>
      <c r="AE19" s="49">
        <f>('EIA Short Run'!AE64-'EIA Short Run'!AD64)/'EIA Short Run'!AD64</f>
        <v>0.30396475770925108</v>
      </c>
      <c r="AF19" s="49">
        <f>('EIA Short Run'!AF64-'EIA Short Run'!AE64)/'EIA Short Run'!AE64</f>
        <v>-2.7027027027027029E-2</v>
      </c>
    </row>
    <row r="20" spans="1:32">
      <c r="A20" s="32" t="s">
        <v>431</v>
      </c>
      <c r="B20" s="32" t="s">
        <v>432</v>
      </c>
      <c r="C20" s="32">
        <v>1</v>
      </c>
      <c r="D20" s="32">
        <v>1</v>
      </c>
      <c r="E20" s="32" t="s">
        <v>392</v>
      </c>
      <c r="F20" s="32" t="s">
        <v>393</v>
      </c>
      <c r="G20" s="32">
        <v>119</v>
      </c>
      <c r="H20" s="32">
        <v>104</v>
      </c>
      <c r="I20" s="32">
        <v>112</v>
      </c>
      <c r="J20" s="32">
        <v>150</v>
      </c>
      <c r="K20" s="32">
        <v>141</v>
      </c>
      <c r="L20" s="32">
        <v>132</v>
      </c>
      <c r="M20" s="32">
        <v>151</v>
      </c>
      <c r="N20" s="32">
        <v>181</v>
      </c>
      <c r="O20" s="32">
        <v>240</v>
      </c>
      <c r="P20" s="32">
        <v>271</v>
      </c>
      <c r="Q20" s="32">
        <v>288</v>
      </c>
      <c r="R20" s="32">
        <v>383</v>
      </c>
      <c r="S20" s="32">
        <v>247</v>
      </c>
      <c r="T20" s="32">
        <v>299</v>
      </c>
      <c r="U20" s="32">
        <v>385</v>
      </c>
      <c r="V20" s="32">
        <v>397</v>
      </c>
      <c r="W20" s="32">
        <v>392</v>
      </c>
      <c r="X20" s="32">
        <v>383</v>
      </c>
      <c r="Y20" s="32">
        <v>271</v>
      </c>
      <c r="Z20" s="32">
        <v>231</v>
      </c>
      <c r="AA20" s="32">
        <v>265</v>
      </c>
      <c r="AB20" s="32">
        <v>318</v>
      </c>
      <c r="AD20" s="49">
        <f>('EIA Short Run'!AD65-'EIA Short Run'!AC65)/'EIA Short Run'!AC65</f>
        <v>-0.16666666666666666</v>
      </c>
      <c r="AE20" s="49">
        <f>('EIA Short Run'!AE65-'EIA Short Run'!AD65)/'EIA Short Run'!AD65</f>
        <v>0.23921568627450981</v>
      </c>
      <c r="AF20" s="49">
        <f>('EIA Short Run'!AF65-'EIA Short Run'!AE65)/'EIA Short Run'!AE65</f>
        <v>-2.2151898734177215E-2</v>
      </c>
    </row>
    <row r="21" spans="1:32">
      <c r="A21" s="32" t="s">
        <v>433</v>
      </c>
      <c r="B21" s="32" t="s">
        <v>434</v>
      </c>
      <c r="C21" s="32">
        <v>1</v>
      </c>
      <c r="D21" s="32">
        <v>1</v>
      </c>
      <c r="E21" s="32" t="s">
        <v>392</v>
      </c>
      <c r="F21" s="32" t="s">
        <v>435</v>
      </c>
      <c r="G21" s="32">
        <v>103</v>
      </c>
      <c r="H21" s="32">
        <v>89</v>
      </c>
      <c r="I21" s="32">
        <v>90</v>
      </c>
      <c r="J21" s="32">
        <v>138</v>
      </c>
      <c r="K21" s="32">
        <v>133</v>
      </c>
      <c r="L21" s="32">
        <v>117</v>
      </c>
      <c r="M21" s="32">
        <v>143</v>
      </c>
      <c r="N21" s="32">
        <v>165</v>
      </c>
      <c r="O21" s="32">
        <v>220</v>
      </c>
      <c r="P21" s="32">
        <v>247</v>
      </c>
      <c r="Q21" s="32">
        <v>266</v>
      </c>
      <c r="R21" s="32">
        <v>351</v>
      </c>
      <c r="S21" s="32">
        <v>252</v>
      </c>
      <c r="T21" s="32">
        <v>297</v>
      </c>
      <c r="U21" s="32">
        <v>366</v>
      </c>
      <c r="V21" s="32">
        <v>379</v>
      </c>
      <c r="W21" s="32">
        <v>378</v>
      </c>
      <c r="X21" s="32">
        <v>371</v>
      </c>
      <c r="Y21" s="32">
        <v>265</v>
      </c>
      <c r="Z21" s="32">
        <v>210</v>
      </c>
      <c r="AA21" s="32">
        <v>251</v>
      </c>
      <c r="AB21" s="32">
        <v>301</v>
      </c>
      <c r="AD21" s="49">
        <f>('EIA Short Run'!AD66-'EIA Short Run'!AC66)/'EIA Short Run'!AC66</f>
        <v>-0.18666666666666668</v>
      </c>
      <c r="AE21" s="49">
        <f>('EIA Short Run'!AE66-'EIA Short Run'!AD66)/'EIA Short Run'!AD66</f>
        <v>0.21721311475409835</v>
      </c>
      <c r="AF21" s="49">
        <f>('EIA Short Run'!AF66-'EIA Short Run'!AE66)/'EIA Short Run'!AE66</f>
        <v>2.6936026936026935E-2</v>
      </c>
    </row>
    <row r="22" spans="1:32">
      <c r="A22" s="33" t="s">
        <v>97</v>
      </c>
      <c r="B22" s="32" t="s">
        <v>97</v>
      </c>
      <c r="E22" s="32" t="s">
        <v>436</v>
      </c>
      <c r="AD22" s="49"/>
      <c r="AE22" s="49"/>
      <c r="AF22" s="49"/>
    </row>
    <row r="23" spans="1:32">
      <c r="AD23" s="49"/>
      <c r="AE23" s="49"/>
      <c r="AF23" s="49"/>
    </row>
    <row r="24" spans="1:32">
      <c r="AD24" s="49"/>
      <c r="AE24" s="49"/>
      <c r="AF24" s="49"/>
    </row>
    <row r="25" spans="1:32">
      <c r="A25" s="33" t="s">
        <v>442</v>
      </c>
      <c r="B25" s="32" t="s">
        <v>443</v>
      </c>
      <c r="E25" s="32" t="s">
        <v>436</v>
      </c>
      <c r="AD25" s="49"/>
      <c r="AE25" s="49"/>
      <c r="AF25" s="49"/>
    </row>
    <row r="26" spans="1:32">
      <c r="A26" s="32" t="s">
        <v>444</v>
      </c>
      <c r="B26" s="32" t="s">
        <v>445</v>
      </c>
      <c r="C26" s="32">
        <v>1</v>
      </c>
      <c r="D26" s="32">
        <v>1</v>
      </c>
      <c r="E26" s="32" t="s">
        <v>436</v>
      </c>
      <c r="F26" s="32" t="s">
        <v>446</v>
      </c>
      <c r="G26" s="32" t="s">
        <v>447</v>
      </c>
      <c r="H26" s="32" t="s">
        <v>447</v>
      </c>
      <c r="I26" s="32" t="s">
        <v>447</v>
      </c>
      <c r="J26" s="32" t="s">
        <v>447</v>
      </c>
      <c r="K26" s="32">
        <v>5.24</v>
      </c>
      <c r="L26" s="32">
        <v>4.0199999999999996</v>
      </c>
      <c r="M26" s="32">
        <v>5.89</v>
      </c>
      <c r="N26" s="32">
        <v>6.53</v>
      </c>
      <c r="O26" s="32">
        <v>8.56</v>
      </c>
      <c r="P26" s="32">
        <v>7.87</v>
      </c>
      <c r="Q26" s="32">
        <v>7.68</v>
      </c>
      <c r="R26" s="32">
        <v>9.65</v>
      </c>
      <c r="S26" s="32">
        <v>5.33</v>
      </c>
      <c r="T26" s="32">
        <v>5.49</v>
      </c>
      <c r="U26" s="32">
        <v>5.13</v>
      </c>
      <c r="V26" s="32">
        <v>3.88</v>
      </c>
      <c r="W26" s="32">
        <v>4.6399999999999997</v>
      </c>
      <c r="X26" s="32">
        <v>5.61</v>
      </c>
      <c r="Y26" s="32">
        <v>3.93</v>
      </c>
      <c r="Z26" s="32">
        <v>3.51</v>
      </c>
      <c r="AA26" s="32">
        <v>4.08</v>
      </c>
      <c r="AB26" s="32">
        <v>4.1900000000000004</v>
      </c>
      <c r="AD26" s="49">
        <f>('EIA Short Run'!AD71-'EIA Short Run'!AC71)/'EIA Short Run'!AC71</f>
        <v>-0.15641025641025638</v>
      </c>
      <c r="AE26" s="49">
        <f>('EIA Short Run'!AE71-'EIA Short Run'!AD71)/'EIA Short Run'!AD71</f>
        <v>0.40729483282674767</v>
      </c>
      <c r="AF26" s="49">
        <f>('EIA Short Run'!AF71-'EIA Short Run'!AE71)/'EIA Short Run'!AE71</f>
        <v>-9.2872570194384385E-2</v>
      </c>
    </row>
    <row r="27" spans="1:32">
      <c r="A27" s="32" t="s">
        <v>448</v>
      </c>
      <c r="B27" s="32" t="s">
        <v>449</v>
      </c>
      <c r="C27" s="32">
        <v>1</v>
      </c>
      <c r="D27" s="32">
        <v>1</v>
      </c>
      <c r="E27" s="32" t="s">
        <v>436</v>
      </c>
      <c r="F27" s="32" t="s">
        <v>450</v>
      </c>
      <c r="G27" s="32">
        <v>5.8</v>
      </c>
      <c r="H27" s="32">
        <v>5.49</v>
      </c>
      <c r="I27" s="32">
        <v>5.33</v>
      </c>
      <c r="J27" s="32">
        <v>6.59</v>
      </c>
      <c r="K27" s="32">
        <v>8.43</v>
      </c>
      <c r="L27" s="32">
        <v>6.63</v>
      </c>
      <c r="M27" s="32">
        <v>8.4</v>
      </c>
      <c r="N27" s="32">
        <v>9.43</v>
      </c>
      <c r="O27" s="32">
        <v>11.34</v>
      </c>
      <c r="P27" s="32">
        <v>12</v>
      </c>
      <c r="Q27" s="32">
        <v>11.34</v>
      </c>
      <c r="R27" s="32">
        <v>12.22</v>
      </c>
      <c r="S27" s="32">
        <v>10.06</v>
      </c>
      <c r="T27" s="32">
        <v>9.4499999999999993</v>
      </c>
      <c r="U27" s="32">
        <v>8.9</v>
      </c>
      <c r="V27" s="32">
        <v>8.11</v>
      </c>
      <c r="W27" s="32">
        <v>8.07</v>
      </c>
      <c r="X27" s="32">
        <v>8.8800000000000008</v>
      </c>
      <c r="Y27" s="32">
        <v>7.9</v>
      </c>
      <c r="Z27" s="32">
        <v>7.29</v>
      </c>
      <c r="AA27" s="32">
        <v>7.86</v>
      </c>
      <c r="AB27" s="32">
        <v>7.77</v>
      </c>
      <c r="AD27" s="49">
        <f>('EIA Short Run'!AD72-'EIA Short Run'!AC72)/'EIA Short Run'!AC72</f>
        <v>-1.4492753623188331E-2</v>
      </c>
      <c r="AE27" s="49">
        <f>('EIA Short Run'!AE72-'EIA Short Run'!AD72)/'EIA Short Run'!AD72</f>
        <v>8.0213903743315454E-2</v>
      </c>
      <c r="AF27" s="49">
        <f>('EIA Short Run'!AF72-'EIA Short Run'!AE72)/'EIA Short Run'!AE72</f>
        <v>-1.6089108910891076E-2</v>
      </c>
    </row>
    <row r="28" spans="1:32">
      <c r="A28" s="32" t="s">
        <v>451</v>
      </c>
      <c r="B28" s="32" t="s">
        <v>452</v>
      </c>
      <c r="C28" s="32">
        <v>1</v>
      </c>
      <c r="D28" s="32">
        <v>1</v>
      </c>
      <c r="E28" s="32" t="s">
        <v>436</v>
      </c>
      <c r="F28" s="32" t="s">
        <v>453</v>
      </c>
      <c r="G28" s="32">
        <v>6.95</v>
      </c>
      <c r="H28" s="32">
        <v>6.83</v>
      </c>
      <c r="I28" s="32">
        <v>6.69</v>
      </c>
      <c r="J28" s="32">
        <v>7.77</v>
      </c>
      <c r="K28" s="32">
        <v>9.6300000000000008</v>
      </c>
      <c r="L28" s="32">
        <v>7.9</v>
      </c>
      <c r="M28" s="32">
        <v>9.6300000000000008</v>
      </c>
      <c r="N28" s="32">
        <v>10.75</v>
      </c>
      <c r="O28" s="32">
        <v>12.7</v>
      </c>
      <c r="P28" s="32">
        <v>13.73</v>
      </c>
      <c r="Q28" s="32">
        <v>13.08</v>
      </c>
      <c r="R28" s="32">
        <v>13.9</v>
      </c>
      <c r="S28" s="32">
        <v>12.14</v>
      </c>
      <c r="T28" s="32">
        <v>11.39</v>
      </c>
      <c r="U28" s="32">
        <v>11.03</v>
      </c>
      <c r="V28" s="32">
        <v>10.65</v>
      </c>
      <c r="W28" s="32">
        <v>10.29</v>
      </c>
      <c r="X28" s="32">
        <v>10.94</v>
      </c>
      <c r="Y28" s="32">
        <v>10.36</v>
      </c>
      <c r="Z28" s="32">
        <v>10.039999999999999</v>
      </c>
      <c r="AA28" s="32">
        <v>10.86</v>
      </c>
      <c r="AB28" s="32">
        <v>10.46</v>
      </c>
      <c r="AD28" s="49">
        <f>('EIA Short Run'!AD73-'EIA Short Run'!AC73)/'EIA Short Run'!AC73</f>
        <v>3.5372848948374683E-2</v>
      </c>
      <c r="AE28" s="49">
        <f>('EIA Short Run'!AE73-'EIA Short Run'!AD73)/'EIA Short Run'!AD73</f>
        <v>3.7857802400738702E-2</v>
      </c>
      <c r="AF28" s="49">
        <f>('EIA Short Run'!AF73-'EIA Short Run'!AE73)/'EIA Short Run'!AE73</f>
        <v>-2.0462633451957334E-2</v>
      </c>
    </row>
    <row r="29" spans="1:32">
      <c r="A29" s="32" t="s">
        <v>454</v>
      </c>
      <c r="B29" s="32" t="s">
        <v>454</v>
      </c>
      <c r="C29" s="32">
        <v>0</v>
      </c>
      <c r="D29" s="32">
        <v>0</v>
      </c>
      <c r="E29" s="32" t="s">
        <v>440</v>
      </c>
      <c r="AD29" s="49"/>
      <c r="AE29" s="49"/>
      <c r="AF29" s="49"/>
    </row>
    <row r="30" spans="1:32">
      <c r="A30" s="33" t="s">
        <v>455</v>
      </c>
      <c r="B30" s="32" t="s">
        <v>455</v>
      </c>
      <c r="C30" s="32">
        <v>0</v>
      </c>
      <c r="D30" s="32">
        <v>0</v>
      </c>
      <c r="E30" s="32" t="s">
        <v>440</v>
      </c>
      <c r="AD30" s="49"/>
      <c r="AE30" s="49"/>
      <c r="AF30" s="49"/>
    </row>
    <row r="31" spans="1:32">
      <c r="A31" s="32" t="s">
        <v>96</v>
      </c>
      <c r="B31" s="32" t="s">
        <v>456</v>
      </c>
      <c r="C31" s="32">
        <v>1</v>
      </c>
      <c r="D31" s="32">
        <v>1</v>
      </c>
      <c r="E31" s="32" t="s">
        <v>440</v>
      </c>
      <c r="F31" s="32" t="s">
        <v>457</v>
      </c>
      <c r="G31" s="32">
        <v>1.27</v>
      </c>
      <c r="H31" s="32">
        <v>1.25</v>
      </c>
      <c r="I31" s="32">
        <v>1.22</v>
      </c>
      <c r="J31" s="32">
        <v>1.2</v>
      </c>
      <c r="K31" s="32">
        <v>1.23</v>
      </c>
      <c r="L31" s="32">
        <v>1.25</v>
      </c>
      <c r="M31" s="32">
        <v>1.28</v>
      </c>
      <c r="N31" s="32">
        <v>1.36</v>
      </c>
      <c r="O31" s="32">
        <v>1.54</v>
      </c>
      <c r="P31" s="32">
        <v>1.69</v>
      </c>
      <c r="Q31" s="32">
        <v>1.77</v>
      </c>
      <c r="R31" s="32">
        <v>2.0699999999999998</v>
      </c>
      <c r="S31" s="32">
        <v>2.21</v>
      </c>
      <c r="T31" s="32">
        <v>2.27</v>
      </c>
      <c r="U31" s="32">
        <v>2.39</v>
      </c>
      <c r="V31" s="32">
        <v>2.38</v>
      </c>
      <c r="W31" s="32">
        <v>2.34</v>
      </c>
      <c r="X31" s="32">
        <v>2.36</v>
      </c>
      <c r="Y31" s="32">
        <v>2.23</v>
      </c>
      <c r="Z31" s="32">
        <v>2.11</v>
      </c>
      <c r="AA31" s="32">
        <v>2.06</v>
      </c>
      <c r="AB31" s="32">
        <v>2.06</v>
      </c>
      <c r="AD31" s="49">
        <f>('EIA Short Run'!AD76-'EIA Short Run'!AC76)/'EIA Short Run'!AC76</f>
        <v>-4.9504950495049549E-2</v>
      </c>
      <c r="AE31" s="49">
        <f>('EIA Short Run'!AE76-'EIA Short Run'!AD76)/'EIA Short Run'!AD76</f>
        <v>-2.0833333333333353E-2</v>
      </c>
      <c r="AF31" s="49">
        <f>('EIA Short Run'!AF76-'EIA Short Run'!AE76)/'EIA Short Run'!AE76</f>
        <v>-1.5957446808510536E-2</v>
      </c>
    </row>
    <row r="32" spans="1:32">
      <c r="A32" s="32" t="s">
        <v>97</v>
      </c>
      <c r="B32" s="32" t="s">
        <v>458</v>
      </c>
      <c r="C32" s="32">
        <v>1</v>
      </c>
      <c r="D32" s="32">
        <v>1</v>
      </c>
      <c r="E32" s="32" t="s">
        <v>440</v>
      </c>
      <c r="F32" s="32" t="s">
        <v>459</v>
      </c>
      <c r="G32" s="32">
        <v>2.76</v>
      </c>
      <c r="H32" s="32">
        <v>2.38</v>
      </c>
      <c r="I32" s="32">
        <v>2.57</v>
      </c>
      <c r="J32" s="32">
        <v>4.33</v>
      </c>
      <c r="K32" s="32">
        <v>4.4400000000000004</v>
      </c>
      <c r="L32" s="32">
        <v>3.55</v>
      </c>
      <c r="M32" s="32">
        <v>5.39</v>
      </c>
      <c r="N32" s="32">
        <v>5.96</v>
      </c>
      <c r="O32" s="32">
        <v>8.23</v>
      </c>
      <c r="P32" s="32">
        <v>6.92</v>
      </c>
      <c r="Q32" s="32">
        <v>7.09</v>
      </c>
      <c r="R32" s="32">
        <v>9.0399999999999991</v>
      </c>
      <c r="S32" s="32">
        <v>4.7300000000000004</v>
      </c>
      <c r="T32" s="32">
        <v>5.09</v>
      </c>
      <c r="U32" s="32">
        <v>4.7300000000000004</v>
      </c>
      <c r="V32" s="32">
        <v>3.42</v>
      </c>
      <c r="W32" s="32">
        <v>4.33</v>
      </c>
      <c r="X32" s="32">
        <v>4.9800000000000004</v>
      </c>
      <c r="Y32" s="32">
        <v>3.23</v>
      </c>
      <c r="Z32" s="32">
        <v>2.87</v>
      </c>
      <c r="AA32" s="32">
        <v>3.37</v>
      </c>
      <c r="AB32" s="32">
        <v>3.55</v>
      </c>
      <c r="AD32" s="49">
        <f>('EIA Short Run'!AD77-'EIA Short Run'!AC77)/'EIA Short Run'!AC77</f>
        <v>-0.17013888888888881</v>
      </c>
      <c r="AE32" s="49">
        <f>('EIA Short Run'!AE77-'EIA Short Run'!AD77)/'EIA Short Run'!AD77</f>
        <v>0.77405857740585771</v>
      </c>
      <c r="AF32" s="49">
        <f>('EIA Short Run'!AF77-'EIA Short Run'!AE77)/'EIA Short Run'!AE77</f>
        <v>-0.2311320754716982</v>
      </c>
    </row>
    <row r="33" spans="1:32">
      <c r="A33" s="32" t="s">
        <v>307</v>
      </c>
      <c r="B33" s="32" t="s">
        <v>460</v>
      </c>
      <c r="C33" s="32">
        <v>1</v>
      </c>
      <c r="D33" s="32">
        <v>1</v>
      </c>
      <c r="E33" s="32" t="s">
        <v>440</v>
      </c>
      <c r="F33" s="32" t="s">
        <v>461</v>
      </c>
      <c r="G33" s="32">
        <v>2.79</v>
      </c>
      <c r="H33" s="32">
        <v>2.0699999999999998</v>
      </c>
      <c r="I33" s="32">
        <v>2.38</v>
      </c>
      <c r="J33" s="32">
        <v>4.26</v>
      </c>
      <c r="K33" s="32">
        <v>3.73</v>
      </c>
      <c r="L33" s="32">
        <v>3.67</v>
      </c>
      <c r="M33" s="32">
        <v>4.7</v>
      </c>
      <c r="N33" s="32">
        <v>4.7300000000000004</v>
      </c>
      <c r="O33" s="32">
        <v>7</v>
      </c>
      <c r="P33" s="32">
        <v>7.8</v>
      </c>
      <c r="Q33" s="32">
        <v>8.59</v>
      </c>
      <c r="R33" s="32">
        <v>13.68</v>
      </c>
      <c r="S33" s="32">
        <v>9.11</v>
      </c>
      <c r="T33" s="32">
        <v>12.57</v>
      </c>
      <c r="U33" s="32">
        <v>18.3</v>
      </c>
      <c r="V33" s="32">
        <v>21.05</v>
      </c>
      <c r="W33" s="32">
        <v>19.32</v>
      </c>
      <c r="X33" s="32">
        <v>19.190000000000001</v>
      </c>
      <c r="Y33" s="32">
        <v>10.36</v>
      </c>
      <c r="Z33" s="32">
        <v>8.4600000000000009</v>
      </c>
      <c r="AA33" s="32">
        <v>11.01</v>
      </c>
      <c r="AB33" s="32">
        <v>12.92</v>
      </c>
      <c r="AD33" s="49">
        <f>('EIA Short Run'!AD78-'EIA Short Run'!AC78)/'EIA Short Run'!AC78</f>
        <v>-0.28122545168892382</v>
      </c>
      <c r="AE33" s="49">
        <f>('EIA Short Run'!AE78-'EIA Short Run'!AD78)/'EIA Short Run'!AD78</f>
        <v>0.37049180327868836</v>
      </c>
      <c r="AF33" s="49">
        <f>('EIA Short Run'!AF78-'EIA Short Run'!AE78)/'EIA Short Run'!AE78</f>
        <v>9.5693779904307014E-3</v>
      </c>
    </row>
    <row r="34" spans="1:32">
      <c r="A34" s="32" t="s">
        <v>305</v>
      </c>
      <c r="B34" s="32" t="s">
        <v>462</v>
      </c>
      <c r="C34" s="32">
        <v>1</v>
      </c>
      <c r="D34" s="32">
        <v>1</v>
      </c>
      <c r="E34" s="32" t="s">
        <v>440</v>
      </c>
      <c r="F34" s="32" t="s">
        <v>463</v>
      </c>
      <c r="G34" s="32" t="s">
        <v>447</v>
      </c>
      <c r="H34" s="32" t="s">
        <v>447</v>
      </c>
      <c r="I34" s="32" t="s">
        <v>447</v>
      </c>
      <c r="J34" s="32" t="s">
        <v>447</v>
      </c>
      <c r="K34" s="32">
        <v>6.25</v>
      </c>
      <c r="L34" s="32">
        <v>5.29</v>
      </c>
      <c r="M34" s="32">
        <v>6.79</v>
      </c>
      <c r="N34" s="32">
        <v>7.97</v>
      </c>
      <c r="O34" s="32">
        <v>11.5</v>
      </c>
      <c r="P34" s="32">
        <v>13.39</v>
      </c>
      <c r="Q34" s="32">
        <v>14.66</v>
      </c>
      <c r="R34" s="32">
        <v>21.46</v>
      </c>
      <c r="S34" s="32">
        <v>13.24</v>
      </c>
      <c r="T34" s="32">
        <v>16.600000000000001</v>
      </c>
      <c r="U34" s="32">
        <v>22.43</v>
      </c>
      <c r="V34" s="32">
        <v>23.51</v>
      </c>
      <c r="W34" s="32">
        <v>23.05</v>
      </c>
      <c r="X34" s="32">
        <v>22.32</v>
      </c>
      <c r="Y34" s="32">
        <v>14.47</v>
      </c>
      <c r="Z34" s="32">
        <v>10.82</v>
      </c>
      <c r="AA34" s="32">
        <v>13.28</v>
      </c>
      <c r="AB34" s="32">
        <v>16.2</v>
      </c>
      <c r="AD34" s="49">
        <f>('EIA Short Run'!AD79-'EIA Short Run'!AC79)/'EIA Short Run'!AC79</f>
        <v>-0.29221635883905012</v>
      </c>
      <c r="AE34" s="49">
        <f>('EIA Short Run'!AE79-'EIA Short Run'!AD79)/'EIA Short Run'!AD79</f>
        <v>0.42497670083876965</v>
      </c>
      <c r="AF34" s="49">
        <f>('EIA Short Run'!AF79-'EIA Short Run'!AE79)/'EIA Short Run'!AE79</f>
        <v>3.2701111837802485E-2</v>
      </c>
    </row>
    <row r="35" spans="1:32">
      <c r="A35" s="37" t="s">
        <v>464</v>
      </c>
      <c r="B35" s="32" t="s">
        <v>465</v>
      </c>
      <c r="C35" s="32">
        <v>0</v>
      </c>
      <c r="D35" s="32">
        <v>0</v>
      </c>
      <c r="E35" s="32" t="s">
        <v>466</v>
      </c>
      <c r="AD35" s="49"/>
      <c r="AE35" s="49"/>
      <c r="AF35" s="49"/>
    </row>
    <row r="36" spans="1:32">
      <c r="A36" s="32" t="s">
        <v>444</v>
      </c>
      <c r="B36" s="32" t="s">
        <v>467</v>
      </c>
      <c r="C36" s="32">
        <v>1</v>
      </c>
      <c r="D36" s="32">
        <v>1</v>
      </c>
      <c r="E36" s="32" t="s">
        <v>466</v>
      </c>
      <c r="F36" s="32" t="s">
        <v>468</v>
      </c>
      <c r="G36" s="32">
        <v>4.53</v>
      </c>
      <c r="H36" s="32">
        <v>4.4800000000000004</v>
      </c>
      <c r="I36" s="32">
        <v>4.43</v>
      </c>
      <c r="J36" s="32">
        <v>4.6399999999999997</v>
      </c>
      <c r="K36" s="32">
        <v>5.05</v>
      </c>
      <c r="L36" s="32">
        <v>4.88</v>
      </c>
      <c r="M36" s="32">
        <v>5.1100000000000003</v>
      </c>
      <c r="N36" s="32">
        <v>5.26</v>
      </c>
      <c r="O36" s="32">
        <v>5.57</v>
      </c>
      <c r="P36" s="32">
        <v>6.16</v>
      </c>
      <c r="Q36" s="32">
        <v>6.39</v>
      </c>
      <c r="R36" s="32">
        <v>6.96</v>
      </c>
      <c r="S36" s="32">
        <v>6.83</v>
      </c>
      <c r="T36" s="32">
        <v>6.77</v>
      </c>
      <c r="U36" s="32">
        <v>6.82</v>
      </c>
      <c r="V36" s="32">
        <v>6.67</v>
      </c>
      <c r="W36" s="32">
        <v>6.89</v>
      </c>
      <c r="X36" s="32">
        <v>7.1</v>
      </c>
      <c r="Y36" s="32">
        <v>6.91</v>
      </c>
      <c r="Z36" s="32">
        <v>6.76</v>
      </c>
      <c r="AA36" s="32">
        <v>6.88</v>
      </c>
      <c r="AB36" s="32">
        <v>6.92</v>
      </c>
      <c r="AD36" s="49">
        <f>('EIA Short Run'!AD81-'EIA Short Run'!AC81)/'EIA Short Run'!AC81</f>
        <v>-2.2026431718061595E-2</v>
      </c>
      <c r="AE36" s="49">
        <f>('EIA Short Run'!AE81-'EIA Short Run'!AD81)/'EIA Short Run'!AD81</f>
        <v>4.9549549549549557E-2</v>
      </c>
      <c r="AF36" s="49">
        <f>('EIA Short Run'!AF81-'EIA Short Run'!AE81)/'EIA Short Run'!AE81</f>
        <v>-7.1530758226036936E-3</v>
      </c>
    </row>
    <row r="37" spans="1:32">
      <c r="A37" s="32" t="s">
        <v>448</v>
      </c>
      <c r="B37" s="32" t="s">
        <v>469</v>
      </c>
      <c r="C37" s="32">
        <v>1</v>
      </c>
      <c r="D37" s="32">
        <v>1</v>
      </c>
      <c r="E37" s="32" t="s">
        <v>466</v>
      </c>
      <c r="F37" s="32" t="s">
        <v>470</v>
      </c>
      <c r="G37" s="32">
        <v>7.59</v>
      </c>
      <c r="H37" s="32">
        <v>7.41</v>
      </c>
      <c r="I37" s="32">
        <v>7.26</v>
      </c>
      <c r="J37" s="32">
        <v>7.43</v>
      </c>
      <c r="K37" s="32">
        <v>7.92</v>
      </c>
      <c r="L37" s="32">
        <v>7.89</v>
      </c>
      <c r="M37" s="32">
        <v>8.0299999999999994</v>
      </c>
      <c r="N37" s="32">
        <v>8.17</v>
      </c>
      <c r="O37" s="32">
        <v>8.7200000000000006</v>
      </c>
      <c r="P37" s="32">
        <v>9.4600000000000009</v>
      </c>
      <c r="Q37" s="32">
        <v>9.65</v>
      </c>
      <c r="R37" s="32">
        <v>10.26</v>
      </c>
      <c r="S37" s="32">
        <v>10.16</v>
      </c>
      <c r="T37" s="32">
        <v>10.19</v>
      </c>
      <c r="U37" s="32">
        <v>10.23</v>
      </c>
      <c r="V37" s="32">
        <v>10.09</v>
      </c>
      <c r="W37" s="32">
        <v>10.26</v>
      </c>
      <c r="X37" s="32">
        <v>10.74</v>
      </c>
      <c r="Y37" s="32">
        <v>10.64</v>
      </c>
      <c r="Z37" s="32">
        <v>10.43</v>
      </c>
      <c r="AA37" s="32">
        <v>10.66</v>
      </c>
      <c r="AB37" s="32">
        <v>10.67</v>
      </c>
      <c r="AD37" s="49">
        <f>('EIA Short Run'!AD82-'EIA Short Run'!AC82)/'EIA Short Run'!AC82</f>
        <v>-1.8744142455482263E-3</v>
      </c>
      <c r="AE37" s="49">
        <f>('EIA Short Run'!AE82-'EIA Short Run'!AD82)/'EIA Short Run'!AD82</f>
        <v>5.0704225352112595E-2</v>
      </c>
      <c r="AF37" s="49">
        <f>('EIA Short Run'!AF82-'EIA Short Run'!AE82)/'EIA Short Run'!AE82</f>
        <v>1.6085790884718475E-2</v>
      </c>
    </row>
    <row r="38" spans="1:32">
      <c r="A38" s="32" t="s">
        <v>451</v>
      </c>
      <c r="B38" s="32" t="s">
        <v>471</v>
      </c>
      <c r="C38" s="32">
        <v>1</v>
      </c>
      <c r="D38" s="32">
        <v>1</v>
      </c>
      <c r="E38" s="32" t="s">
        <v>466</v>
      </c>
      <c r="F38" s="32" t="s">
        <v>472</v>
      </c>
      <c r="G38" s="32">
        <v>8.43</v>
      </c>
      <c r="H38" s="32">
        <v>8.26</v>
      </c>
      <c r="I38" s="32">
        <v>8.16</v>
      </c>
      <c r="J38" s="32">
        <v>8.24</v>
      </c>
      <c r="K38" s="32">
        <v>8.58</v>
      </c>
      <c r="L38" s="32">
        <v>8.4499999999999993</v>
      </c>
      <c r="M38" s="32">
        <v>8.7200000000000006</v>
      </c>
      <c r="N38" s="32">
        <v>8.9499999999999993</v>
      </c>
      <c r="O38" s="32">
        <v>9.43</v>
      </c>
      <c r="P38" s="32">
        <v>10.4</v>
      </c>
      <c r="Q38" s="32">
        <v>10.65</v>
      </c>
      <c r="R38" s="32">
        <v>11.26</v>
      </c>
      <c r="S38" s="32">
        <v>11.51</v>
      </c>
      <c r="T38" s="32">
        <v>11.54</v>
      </c>
      <c r="U38" s="32">
        <v>11.72</v>
      </c>
      <c r="V38" s="32">
        <v>11.88</v>
      </c>
      <c r="W38" s="32">
        <v>12.13</v>
      </c>
      <c r="X38" s="32">
        <v>12.52</v>
      </c>
      <c r="Y38" s="32">
        <v>12.65</v>
      </c>
      <c r="Z38" s="32">
        <v>12.55</v>
      </c>
      <c r="AA38" s="32">
        <v>12.89</v>
      </c>
      <c r="AB38" s="32">
        <v>12.87</v>
      </c>
      <c r="AD38" s="49">
        <f>('EIA Short Run'!AD83-'EIA Short Run'!AC83)/'EIA Short Run'!AC83</f>
        <v>1.4604150653343544E-2</v>
      </c>
      <c r="AE38" s="49">
        <f>('EIA Short Run'!AE83-'EIA Short Run'!AD83)/'EIA Short Run'!AD83</f>
        <v>2.8030303030303107E-2</v>
      </c>
      <c r="AF38" s="49">
        <f>('EIA Short Run'!AF83-'EIA Short Run'!AE83)/'EIA Short Run'!AE83</f>
        <v>1.7686072218128238E-2</v>
      </c>
    </row>
    <row r="41" spans="1:32">
      <c r="A41" s="33" t="s">
        <v>653</v>
      </c>
    </row>
    <row r="42" spans="1:32">
      <c r="A42" s="32" t="s">
        <v>384</v>
      </c>
    </row>
    <row r="43" spans="1:32">
      <c r="A43" s="32" t="s">
        <v>385</v>
      </c>
    </row>
    <row r="44" spans="1:32">
      <c r="A44" s="32" t="s">
        <v>386</v>
      </c>
    </row>
    <row r="45" spans="1:32">
      <c r="A45" s="32" t="s">
        <v>299</v>
      </c>
    </row>
    <row r="46" spans="1:32">
      <c r="A46" s="32" t="s">
        <v>387</v>
      </c>
      <c r="C46" s="32" t="s">
        <v>388</v>
      </c>
      <c r="D46" s="32" t="s">
        <v>389</v>
      </c>
      <c r="E46" s="32" t="s">
        <v>302</v>
      </c>
      <c r="F46" s="32" t="s">
        <v>390</v>
      </c>
      <c r="G46" s="32">
        <v>1997</v>
      </c>
      <c r="H46" s="32">
        <v>1998</v>
      </c>
      <c r="I46" s="32">
        <v>1999</v>
      </c>
      <c r="J46" s="32">
        <v>2000</v>
      </c>
      <c r="K46" s="32">
        <v>2001</v>
      </c>
      <c r="L46" s="32">
        <v>2002</v>
      </c>
      <c r="M46" s="32">
        <v>2003</v>
      </c>
      <c r="N46" s="32">
        <v>2004</v>
      </c>
      <c r="O46" s="32">
        <v>2005</v>
      </c>
      <c r="P46" s="32">
        <v>2006</v>
      </c>
      <c r="Q46" s="32">
        <v>2007</v>
      </c>
      <c r="R46" s="32">
        <v>2008</v>
      </c>
      <c r="S46" s="32">
        <v>2009</v>
      </c>
      <c r="T46" s="32">
        <v>2010</v>
      </c>
      <c r="U46" s="32">
        <v>2011</v>
      </c>
      <c r="V46" s="32">
        <v>2012</v>
      </c>
      <c r="W46" s="32">
        <v>2013</v>
      </c>
      <c r="X46" s="32">
        <v>2014</v>
      </c>
      <c r="Y46" s="32">
        <v>2015</v>
      </c>
      <c r="Z46" s="32">
        <v>2016</v>
      </c>
      <c r="AA46" s="32">
        <v>2017</v>
      </c>
      <c r="AB46" s="32">
        <v>2018</v>
      </c>
      <c r="AC46" s="32">
        <v>2019</v>
      </c>
      <c r="AD46" s="32">
        <v>2020</v>
      </c>
      <c r="AE46" s="32">
        <v>2021</v>
      </c>
      <c r="AF46" s="32">
        <v>2022</v>
      </c>
    </row>
    <row r="47" spans="1:32">
      <c r="A47" s="32" t="s">
        <v>391</v>
      </c>
      <c r="B47" s="32" t="s">
        <v>391</v>
      </c>
      <c r="C47" s="32">
        <v>1</v>
      </c>
      <c r="D47" s="32">
        <v>1</v>
      </c>
      <c r="E47" s="32" t="s">
        <v>392</v>
      </c>
      <c r="F47" s="32" t="s">
        <v>393</v>
      </c>
      <c r="G47" s="32">
        <v>119.4</v>
      </c>
      <c r="H47" s="32">
        <v>104.4</v>
      </c>
      <c r="I47" s="32">
        <v>112.5</v>
      </c>
      <c r="J47" s="32">
        <v>149.5</v>
      </c>
      <c r="K47" s="32">
        <v>140.5</v>
      </c>
      <c r="L47" s="32">
        <v>131.80000000000001</v>
      </c>
      <c r="M47" s="32">
        <v>150.6</v>
      </c>
      <c r="N47" s="32">
        <v>181.1</v>
      </c>
      <c r="O47" s="32">
        <v>240.4</v>
      </c>
      <c r="P47" s="32">
        <v>270.8</v>
      </c>
      <c r="Q47" s="32">
        <v>288.39999999999998</v>
      </c>
      <c r="R47" s="32">
        <v>382.7</v>
      </c>
      <c r="S47" s="32">
        <v>246.9</v>
      </c>
      <c r="T47" s="32">
        <v>299.39999999999998</v>
      </c>
      <c r="U47" s="32">
        <v>385.3</v>
      </c>
      <c r="V47" s="32">
        <v>397.1</v>
      </c>
      <c r="W47" s="32">
        <v>392</v>
      </c>
      <c r="X47" s="32">
        <v>382.7</v>
      </c>
      <c r="Y47" s="32">
        <v>270.7</v>
      </c>
      <c r="Z47" s="32">
        <v>231</v>
      </c>
      <c r="AA47" s="32">
        <v>265.39999999999998</v>
      </c>
      <c r="AB47" s="32">
        <v>318.3</v>
      </c>
      <c r="AC47" s="32">
        <v>305.60000000000002</v>
      </c>
      <c r="AD47" s="32">
        <v>255.4</v>
      </c>
      <c r="AE47" s="32">
        <v>315.7</v>
      </c>
      <c r="AF47" s="32">
        <v>308.60000000000002</v>
      </c>
    </row>
    <row r="48" spans="1:32">
      <c r="A48" s="32" t="s">
        <v>384</v>
      </c>
      <c r="B48" s="32" t="s">
        <v>384</v>
      </c>
      <c r="C48" s="32">
        <v>0</v>
      </c>
      <c r="D48" s="32">
        <v>0</v>
      </c>
    </row>
    <row r="49" spans="1:32">
      <c r="A49" s="32" t="s">
        <v>394</v>
      </c>
      <c r="B49" s="32" t="s">
        <v>394</v>
      </c>
      <c r="C49" s="32">
        <v>0</v>
      </c>
      <c r="D49" s="32">
        <v>0</v>
      </c>
      <c r="E49" s="32" t="s">
        <v>395</v>
      </c>
    </row>
    <row r="50" spans="1:32">
      <c r="A50" s="32" t="s">
        <v>396</v>
      </c>
      <c r="B50" s="32" t="s">
        <v>397</v>
      </c>
      <c r="C50" s="32">
        <v>1</v>
      </c>
      <c r="D50" s="32">
        <v>1</v>
      </c>
      <c r="E50" s="32" t="s">
        <v>395</v>
      </c>
      <c r="F50" s="32" t="s">
        <v>398</v>
      </c>
      <c r="G50" s="32">
        <v>20.59</v>
      </c>
      <c r="H50" s="32">
        <v>14.42</v>
      </c>
      <c r="I50" s="32">
        <v>19.399999999999999</v>
      </c>
      <c r="J50" s="32">
        <v>30.36</v>
      </c>
      <c r="K50" s="32">
        <v>25.93</v>
      </c>
      <c r="L50" s="32">
        <v>26.19</v>
      </c>
      <c r="M50" s="32">
        <v>31.08</v>
      </c>
      <c r="N50" s="32">
        <v>41.5</v>
      </c>
      <c r="O50" s="32">
        <v>56.65</v>
      </c>
      <c r="P50" s="32">
        <v>66.06</v>
      </c>
      <c r="Q50" s="32">
        <v>72.34</v>
      </c>
      <c r="R50" s="32">
        <v>99.67</v>
      </c>
      <c r="S50" s="32">
        <v>61.96</v>
      </c>
      <c r="T50" s="32">
        <v>79.5</v>
      </c>
      <c r="U50" s="32">
        <v>94.9</v>
      </c>
      <c r="V50" s="32">
        <v>94.08</v>
      </c>
      <c r="W50" s="32">
        <v>97.98</v>
      </c>
      <c r="X50" s="32">
        <v>93.17</v>
      </c>
      <c r="Y50" s="32">
        <v>48.67</v>
      </c>
      <c r="Z50" s="32">
        <v>43.33</v>
      </c>
      <c r="AA50" s="32">
        <v>50.79</v>
      </c>
      <c r="AB50" s="32">
        <v>65.069999999999993</v>
      </c>
      <c r="AC50" s="32">
        <v>56.99</v>
      </c>
      <c r="AD50" s="32">
        <v>39.17</v>
      </c>
      <c r="AE50" s="32">
        <v>65.849999999999994</v>
      </c>
      <c r="AF50" s="32">
        <v>62.97</v>
      </c>
    </row>
    <row r="51" spans="1:32">
      <c r="A51" s="32" t="s">
        <v>399</v>
      </c>
      <c r="B51" s="32" t="s">
        <v>400</v>
      </c>
      <c r="C51" s="32">
        <v>1</v>
      </c>
      <c r="D51" s="32">
        <v>1</v>
      </c>
      <c r="E51" s="32" t="s">
        <v>395</v>
      </c>
      <c r="F51" s="32" t="s">
        <v>401</v>
      </c>
      <c r="G51" s="32">
        <v>18.489999999999998</v>
      </c>
      <c r="H51" s="32">
        <v>12.07</v>
      </c>
      <c r="I51" s="32">
        <v>17.27</v>
      </c>
      <c r="J51" s="32">
        <v>27.72</v>
      </c>
      <c r="K51" s="32">
        <v>21.99</v>
      </c>
      <c r="L51" s="32">
        <v>23.71</v>
      </c>
      <c r="M51" s="32">
        <v>27.73</v>
      </c>
      <c r="N51" s="32">
        <v>35.89</v>
      </c>
      <c r="O51" s="32">
        <v>48.89</v>
      </c>
      <c r="P51" s="32">
        <v>59.05</v>
      </c>
      <c r="Q51" s="32">
        <v>67.19</v>
      </c>
      <c r="R51" s="32">
        <v>92.57</v>
      </c>
      <c r="S51" s="32">
        <v>59.04</v>
      </c>
      <c r="T51" s="32">
        <v>75.83</v>
      </c>
      <c r="U51" s="32">
        <v>102.58</v>
      </c>
      <c r="V51" s="32">
        <v>101.09</v>
      </c>
      <c r="W51" s="32">
        <v>98.12</v>
      </c>
      <c r="X51" s="32">
        <v>89.63</v>
      </c>
      <c r="Y51" s="32">
        <v>46.34</v>
      </c>
      <c r="Z51" s="32">
        <v>38.700000000000003</v>
      </c>
      <c r="AA51" s="32">
        <v>48.98</v>
      </c>
      <c r="AB51" s="32">
        <v>61.34</v>
      </c>
      <c r="AC51" s="32">
        <v>57.95</v>
      </c>
      <c r="AD51" s="32">
        <v>37.25</v>
      </c>
      <c r="AE51" s="32">
        <v>64.33</v>
      </c>
      <c r="AF51" s="32">
        <v>60.57</v>
      </c>
    </row>
    <row r="52" spans="1:32">
      <c r="A52" s="32" t="s">
        <v>402</v>
      </c>
      <c r="B52" s="32" t="s">
        <v>403</v>
      </c>
      <c r="C52" s="32">
        <v>1</v>
      </c>
      <c r="D52" s="32">
        <v>1</v>
      </c>
      <c r="E52" s="32" t="s">
        <v>395</v>
      </c>
      <c r="F52" s="32" t="s">
        <v>404</v>
      </c>
      <c r="G52" s="32">
        <v>18.989999999999998</v>
      </c>
      <c r="H52" s="32">
        <v>12.51</v>
      </c>
      <c r="I52" s="32">
        <v>17.48</v>
      </c>
      <c r="J52" s="32">
        <v>28.26</v>
      </c>
      <c r="K52" s="32">
        <v>22.96</v>
      </c>
      <c r="L52" s="32">
        <v>24.09</v>
      </c>
      <c r="M52" s="32">
        <v>28.53</v>
      </c>
      <c r="N52" s="32">
        <v>36.950000000000003</v>
      </c>
      <c r="O52" s="32">
        <v>50.25</v>
      </c>
      <c r="P52" s="32">
        <v>60.25</v>
      </c>
      <c r="Q52" s="32">
        <v>68.14</v>
      </c>
      <c r="R52" s="32">
        <v>94.74</v>
      </c>
      <c r="S52" s="32">
        <v>59.36</v>
      </c>
      <c r="T52" s="32">
        <v>76.7</v>
      </c>
      <c r="U52" s="32">
        <v>101.86</v>
      </c>
      <c r="V52" s="32">
        <v>100.82</v>
      </c>
      <c r="W52" s="32">
        <v>100.46</v>
      </c>
      <c r="X52" s="32">
        <v>92.05</v>
      </c>
      <c r="Y52" s="32">
        <v>48.4</v>
      </c>
      <c r="Z52" s="32">
        <v>40.69</v>
      </c>
      <c r="AA52" s="32">
        <v>50.68</v>
      </c>
      <c r="AB52" s="32">
        <v>64.48</v>
      </c>
      <c r="AC52" s="32">
        <v>59.36</v>
      </c>
      <c r="AD52" s="32">
        <v>39.72</v>
      </c>
      <c r="AE52" s="32">
        <v>65.12</v>
      </c>
      <c r="AF52" s="32">
        <v>61.56</v>
      </c>
    </row>
    <row r="53" spans="1:32">
      <c r="A53" s="32" t="s">
        <v>405</v>
      </c>
      <c r="B53" s="32" t="s">
        <v>406</v>
      </c>
      <c r="C53" s="32">
        <v>1</v>
      </c>
      <c r="D53" s="32">
        <v>1</v>
      </c>
      <c r="E53" s="32" t="s">
        <v>395</v>
      </c>
      <c r="F53" s="32" t="s">
        <v>407</v>
      </c>
      <c r="G53" s="32">
        <v>19.09</v>
      </c>
      <c r="H53" s="32">
        <v>12.74</v>
      </c>
      <c r="I53" s="32">
        <v>18</v>
      </c>
      <c r="J53" s="32">
        <v>28.59</v>
      </c>
      <c r="K53" s="32">
        <v>24.43</v>
      </c>
      <c r="L53" s="32">
        <v>25.03</v>
      </c>
      <c r="M53" s="32">
        <v>28.86</v>
      </c>
      <c r="N53" s="32">
        <v>38.299999999999997</v>
      </c>
      <c r="O53" s="32">
        <v>54.6</v>
      </c>
      <c r="P53" s="32">
        <v>65.180000000000007</v>
      </c>
      <c r="Q53" s="32">
        <v>72.489999999999995</v>
      </c>
      <c r="R53" s="32">
        <v>96.94</v>
      </c>
      <c r="S53" s="32">
        <v>61.75</v>
      </c>
      <c r="T53" s="32">
        <v>79.64</v>
      </c>
      <c r="U53" s="32">
        <v>111.33</v>
      </c>
      <c r="V53" s="32">
        <v>111.65</v>
      </c>
      <c r="W53" s="32">
        <v>108.56</v>
      </c>
      <c r="X53" s="32">
        <v>98.89</v>
      </c>
      <c r="Y53" s="32">
        <v>52.32</v>
      </c>
      <c r="Z53" s="32">
        <v>43.74</v>
      </c>
      <c r="AA53" s="32">
        <v>54.16</v>
      </c>
      <c r="AB53" s="32">
        <v>71.209999999999994</v>
      </c>
      <c r="AC53" s="32">
        <v>64.34</v>
      </c>
      <c r="AD53" s="32">
        <v>41.69</v>
      </c>
      <c r="AE53" s="32">
        <v>68.78</v>
      </c>
      <c r="AF53" s="32">
        <v>66.64</v>
      </c>
    </row>
    <row r="54" spans="1:32">
      <c r="A54" s="37" t="s">
        <v>408</v>
      </c>
      <c r="B54" s="37" t="s">
        <v>408</v>
      </c>
      <c r="C54" s="32">
        <v>0</v>
      </c>
      <c r="D54" s="32">
        <v>0</v>
      </c>
      <c r="E54" s="32" t="s">
        <v>392</v>
      </c>
    </row>
    <row r="55" spans="1:32">
      <c r="A55" s="33" t="s">
        <v>409</v>
      </c>
      <c r="B55" s="32" t="s">
        <v>409</v>
      </c>
      <c r="C55" s="32">
        <v>0</v>
      </c>
      <c r="D55" s="32">
        <v>0</v>
      </c>
    </row>
    <row r="56" spans="1:32">
      <c r="A56" s="32" t="s">
        <v>382</v>
      </c>
      <c r="B56" s="32" t="s">
        <v>410</v>
      </c>
      <c r="C56" s="32">
        <v>1</v>
      </c>
      <c r="D56" s="32">
        <v>1</v>
      </c>
      <c r="E56" s="32" t="s">
        <v>392</v>
      </c>
      <c r="F56" s="32" t="s">
        <v>411</v>
      </c>
      <c r="G56" s="32">
        <v>70</v>
      </c>
      <c r="H56" s="32">
        <v>53</v>
      </c>
      <c r="I56" s="32">
        <v>64</v>
      </c>
      <c r="J56" s="32">
        <v>96</v>
      </c>
      <c r="K56" s="32">
        <v>89</v>
      </c>
      <c r="L56" s="32">
        <v>83</v>
      </c>
      <c r="M56" s="32">
        <v>100</v>
      </c>
      <c r="N56" s="32">
        <v>129</v>
      </c>
      <c r="O56" s="32">
        <v>167</v>
      </c>
      <c r="P56" s="32">
        <v>197</v>
      </c>
      <c r="Q56" s="32">
        <v>218</v>
      </c>
      <c r="R56" s="32">
        <v>258</v>
      </c>
      <c r="S56" s="32">
        <v>176</v>
      </c>
      <c r="T56" s="32">
        <v>217</v>
      </c>
      <c r="U56" s="32">
        <v>287</v>
      </c>
      <c r="V56" s="32">
        <v>293</v>
      </c>
      <c r="W56" s="32">
        <v>281</v>
      </c>
      <c r="X56" s="32">
        <v>262</v>
      </c>
      <c r="Y56" s="32">
        <v>173</v>
      </c>
      <c r="Z56" s="32">
        <v>145</v>
      </c>
      <c r="AA56" s="32">
        <v>169</v>
      </c>
      <c r="AB56" s="32">
        <v>198</v>
      </c>
      <c r="AC56" s="32">
        <v>186</v>
      </c>
      <c r="AD56" s="32">
        <v>133</v>
      </c>
      <c r="AE56" s="32">
        <v>206</v>
      </c>
      <c r="AF56" s="32">
        <v>194</v>
      </c>
    </row>
    <row r="57" spans="1:32">
      <c r="A57" s="32" t="s">
        <v>412</v>
      </c>
      <c r="B57" s="32" t="s">
        <v>413</v>
      </c>
      <c r="C57" s="32">
        <v>1</v>
      </c>
      <c r="D57" s="32">
        <v>1</v>
      </c>
      <c r="E57" s="32" t="s">
        <v>392</v>
      </c>
      <c r="F57" s="32" t="s">
        <v>414</v>
      </c>
      <c r="G57" s="32">
        <v>61</v>
      </c>
      <c r="H57" s="32">
        <v>45</v>
      </c>
      <c r="I57" s="32">
        <v>55</v>
      </c>
      <c r="J57" s="32">
        <v>90</v>
      </c>
      <c r="K57" s="32">
        <v>79</v>
      </c>
      <c r="L57" s="32">
        <v>72</v>
      </c>
      <c r="M57" s="32">
        <v>88</v>
      </c>
      <c r="N57" s="32">
        <v>118</v>
      </c>
      <c r="O57" s="32">
        <v>174</v>
      </c>
      <c r="P57" s="32">
        <v>201</v>
      </c>
      <c r="Q57" s="32">
        <v>220</v>
      </c>
      <c r="R57" s="32">
        <v>300</v>
      </c>
      <c r="S57" s="32">
        <v>171</v>
      </c>
      <c r="T57" s="32">
        <v>221</v>
      </c>
      <c r="U57" s="32">
        <v>304</v>
      </c>
      <c r="V57" s="32">
        <v>311</v>
      </c>
      <c r="W57" s="32">
        <v>303</v>
      </c>
      <c r="X57" s="32">
        <v>282</v>
      </c>
      <c r="Y57" s="32">
        <v>167</v>
      </c>
      <c r="Z57" s="32">
        <v>138</v>
      </c>
      <c r="AA57" s="32">
        <v>169</v>
      </c>
      <c r="AB57" s="32">
        <v>213</v>
      </c>
      <c r="AC57" s="32">
        <v>196</v>
      </c>
      <c r="AD57" s="32">
        <v>129</v>
      </c>
      <c r="AE57" s="32">
        <v>204</v>
      </c>
      <c r="AF57" s="32">
        <v>202</v>
      </c>
    </row>
    <row r="58" spans="1:32">
      <c r="A58" s="32" t="s">
        <v>415</v>
      </c>
      <c r="B58" s="32" t="s">
        <v>416</v>
      </c>
      <c r="C58" s="32">
        <v>1</v>
      </c>
      <c r="D58" s="32">
        <v>1</v>
      </c>
      <c r="E58" s="32" t="s">
        <v>392</v>
      </c>
      <c r="F58" s="32" t="s">
        <v>417</v>
      </c>
      <c r="G58" s="32">
        <v>59</v>
      </c>
      <c r="H58" s="32">
        <v>42</v>
      </c>
      <c r="I58" s="32">
        <v>49</v>
      </c>
      <c r="J58" s="32">
        <v>89</v>
      </c>
      <c r="K58" s="32">
        <v>76</v>
      </c>
      <c r="L58" s="32">
        <v>69</v>
      </c>
      <c r="M58" s="32">
        <v>88</v>
      </c>
      <c r="N58" s="32">
        <v>113</v>
      </c>
      <c r="O58" s="32">
        <v>162</v>
      </c>
      <c r="P58" s="32">
        <v>183</v>
      </c>
      <c r="Q58" s="32">
        <v>207</v>
      </c>
      <c r="R58" s="32">
        <v>275</v>
      </c>
      <c r="S58" s="32">
        <v>166</v>
      </c>
      <c r="T58" s="32">
        <v>215</v>
      </c>
      <c r="U58" s="32">
        <v>291</v>
      </c>
      <c r="V58" s="32">
        <v>303</v>
      </c>
      <c r="W58" s="32">
        <v>297</v>
      </c>
      <c r="X58" s="32">
        <v>274</v>
      </c>
      <c r="Y58" s="32">
        <v>157</v>
      </c>
      <c r="Z58" s="32">
        <v>124</v>
      </c>
      <c r="AA58" s="32">
        <v>160</v>
      </c>
      <c r="AB58" s="32">
        <v>200</v>
      </c>
      <c r="AC58" s="32">
        <v>190</v>
      </c>
      <c r="AD58" s="32">
        <v>125</v>
      </c>
      <c r="AE58" s="32">
        <v>196</v>
      </c>
      <c r="AF58" s="32">
        <v>198</v>
      </c>
    </row>
    <row r="59" spans="1:32">
      <c r="A59" s="32" t="s">
        <v>418</v>
      </c>
      <c r="B59" s="32" t="s">
        <v>418</v>
      </c>
      <c r="C59" s="32">
        <v>0</v>
      </c>
      <c r="D59" s="32">
        <v>0</v>
      </c>
    </row>
    <row r="60" spans="1:32">
      <c r="A60" s="32" t="s">
        <v>95</v>
      </c>
      <c r="B60" s="32" t="s">
        <v>419</v>
      </c>
      <c r="C60" s="32">
        <v>1</v>
      </c>
      <c r="D60" s="32">
        <v>1</v>
      </c>
      <c r="E60" s="32" t="s">
        <v>392</v>
      </c>
      <c r="F60" s="32" t="s">
        <v>420</v>
      </c>
      <c r="G60" s="32">
        <v>61</v>
      </c>
      <c r="H60" s="32">
        <v>45</v>
      </c>
      <c r="I60" s="32">
        <v>54</v>
      </c>
      <c r="J60" s="32">
        <v>90</v>
      </c>
      <c r="K60" s="32">
        <v>78</v>
      </c>
      <c r="L60" s="32">
        <v>72</v>
      </c>
      <c r="M60" s="32">
        <v>87</v>
      </c>
      <c r="N60" s="32">
        <v>121</v>
      </c>
      <c r="O60" s="32">
        <v>174</v>
      </c>
      <c r="P60" s="32">
        <v>200</v>
      </c>
      <c r="Q60" s="32">
        <v>217</v>
      </c>
      <c r="R60" s="32">
        <v>305</v>
      </c>
      <c r="S60" s="32">
        <v>171</v>
      </c>
      <c r="T60" s="32">
        <v>220</v>
      </c>
      <c r="U60" s="32">
        <v>305</v>
      </c>
      <c r="V60" s="32">
        <v>310</v>
      </c>
      <c r="W60" s="32">
        <v>298</v>
      </c>
      <c r="X60" s="32">
        <v>278</v>
      </c>
      <c r="Y60" s="32">
        <v>163</v>
      </c>
      <c r="Z60" s="32">
        <v>132</v>
      </c>
      <c r="AA60" s="32">
        <v>163</v>
      </c>
      <c r="AB60" s="32">
        <v>212</v>
      </c>
      <c r="AC60" s="32">
        <v>197</v>
      </c>
      <c r="AD60" s="32">
        <v>131</v>
      </c>
      <c r="AE60" s="32">
        <v>189</v>
      </c>
      <c r="AF60" s="32">
        <v>199</v>
      </c>
    </row>
    <row r="61" spans="1:32">
      <c r="A61" s="32" t="s">
        <v>421</v>
      </c>
      <c r="B61" s="32" t="s">
        <v>422</v>
      </c>
      <c r="C61" s="32">
        <v>1</v>
      </c>
      <c r="D61" s="32">
        <v>1</v>
      </c>
      <c r="E61" s="32" t="s">
        <v>392</v>
      </c>
      <c r="F61" s="32" t="s">
        <v>423</v>
      </c>
      <c r="G61" s="32">
        <v>42</v>
      </c>
      <c r="H61" s="32">
        <v>31</v>
      </c>
      <c r="I61" s="32">
        <v>38</v>
      </c>
      <c r="J61" s="32">
        <v>60</v>
      </c>
      <c r="K61" s="32">
        <v>53</v>
      </c>
      <c r="L61" s="32">
        <v>57</v>
      </c>
      <c r="M61" s="32">
        <v>70</v>
      </c>
      <c r="N61" s="32">
        <v>74</v>
      </c>
      <c r="O61" s="32">
        <v>106</v>
      </c>
      <c r="P61" s="32">
        <v>122</v>
      </c>
      <c r="Q61" s="32">
        <v>139</v>
      </c>
      <c r="R61" s="32">
        <v>200</v>
      </c>
      <c r="S61" s="32">
        <v>133</v>
      </c>
      <c r="T61" s="32">
        <v>171</v>
      </c>
      <c r="U61" s="32">
        <v>239</v>
      </c>
      <c r="V61" s="32">
        <v>260</v>
      </c>
      <c r="W61" s="32">
        <v>248</v>
      </c>
      <c r="X61" s="32">
        <v>231</v>
      </c>
      <c r="Y61" s="32">
        <v>126</v>
      </c>
      <c r="Z61" s="32">
        <v>94</v>
      </c>
      <c r="AA61" s="32">
        <v>128</v>
      </c>
      <c r="AB61" s="32">
        <v>166</v>
      </c>
      <c r="AC61" s="32">
        <v>158</v>
      </c>
      <c r="AD61" s="32">
        <v>125</v>
      </c>
      <c r="AE61" s="32">
        <v>164</v>
      </c>
      <c r="AF61" s="32">
        <v>147</v>
      </c>
    </row>
    <row r="62" spans="1:32">
      <c r="A62" s="33" t="s">
        <v>424</v>
      </c>
      <c r="B62" s="32" t="s">
        <v>424</v>
      </c>
      <c r="C62" s="32">
        <v>0</v>
      </c>
      <c r="D62" s="32">
        <v>0</v>
      </c>
    </row>
    <row r="63" spans="1:32">
      <c r="A63" s="32" t="s">
        <v>425</v>
      </c>
      <c r="B63" s="32" t="s">
        <v>426</v>
      </c>
      <c r="C63" s="32">
        <v>1</v>
      </c>
      <c r="D63" s="32">
        <v>1</v>
      </c>
      <c r="E63" s="32" t="s">
        <v>392</v>
      </c>
      <c r="F63" s="32" t="s">
        <v>427</v>
      </c>
      <c r="G63" s="32">
        <v>120</v>
      </c>
      <c r="H63" s="32">
        <v>103</v>
      </c>
      <c r="I63" s="32">
        <v>114</v>
      </c>
      <c r="J63" s="32">
        <v>149</v>
      </c>
      <c r="K63" s="32">
        <v>143</v>
      </c>
      <c r="L63" s="32">
        <v>134</v>
      </c>
      <c r="M63" s="32">
        <v>156</v>
      </c>
      <c r="N63" s="32">
        <v>185</v>
      </c>
      <c r="O63" s="32">
        <v>227</v>
      </c>
      <c r="P63" s="32">
        <v>258</v>
      </c>
      <c r="Q63" s="32">
        <v>281</v>
      </c>
      <c r="R63" s="32">
        <v>326</v>
      </c>
      <c r="S63" s="32">
        <v>235</v>
      </c>
      <c r="T63" s="32">
        <v>278</v>
      </c>
      <c r="U63" s="32">
        <v>353</v>
      </c>
      <c r="V63" s="32">
        <v>363</v>
      </c>
      <c r="W63" s="32">
        <v>351</v>
      </c>
      <c r="X63" s="32">
        <v>336</v>
      </c>
      <c r="Y63" s="32">
        <v>243</v>
      </c>
      <c r="Z63" s="32">
        <v>215</v>
      </c>
      <c r="AA63" s="32">
        <v>242</v>
      </c>
      <c r="AB63" s="32">
        <v>273</v>
      </c>
      <c r="AC63" s="32">
        <v>260</v>
      </c>
      <c r="AD63" s="32">
        <v>218</v>
      </c>
      <c r="AE63" s="32">
        <v>285</v>
      </c>
      <c r="AF63" s="32">
        <v>274</v>
      </c>
    </row>
    <row r="64" spans="1:32">
      <c r="A64" s="32" t="s">
        <v>428</v>
      </c>
      <c r="B64" s="32" t="s">
        <v>429</v>
      </c>
      <c r="C64" s="32">
        <v>1</v>
      </c>
      <c r="D64" s="32">
        <v>1</v>
      </c>
      <c r="E64" s="32" t="s">
        <v>392</v>
      </c>
      <c r="F64" s="32" t="s">
        <v>430</v>
      </c>
      <c r="G64" s="32">
        <v>124</v>
      </c>
      <c r="H64" s="32">
        <v>107</v>
      </c>
      <c r="I64" s="32">
        <v>118</v>
      </c>
      <c r="J64" s="32">
        <v>153</v>
      </c>
      <c r="K64" s="32">
        <v>147</v>
      </c>
      <c r="L64" s="32">
        <v>139</v>
      </c>
      <c r="M64" s="32">
        <v>160</v>
      </c>
      <c r="N64" s="32">
        <v>189</v>
      </c>
      <c r="O64" s="32">
        <v>231</v>
      </c>
      <c r="P64" s="32">
        <v>262</v>
      </c>
      <c r="Q64" s="32">
        <v>285</v>
      </c>
      <c r="R64" s="32">
        <v>331</v>
      </c>
      <c r="S64" s="32">
        <v>240</v>
      </c>
      <c r="T64" s="32">
        <v>283</v>
      </c>
      <c r="U64" s="32">
        <v>358</v>
      </c>
      <c r="V64" s="32">
        <v>369</v>
      </c>
      <c r="W64" s="32">
        <v>358</v>
      </c>
      <c r="X64" s="32">
        <v>344</v>
      </c>
      <c r="Y64" s="32">
        <v>252</v>
      </c>
      <c r="Z64" s="32">
        <v>226</v>
      </c>
      <c r="AA64" s="32">
        <v>253</v>
      </c>
      <c r="AB64" s="32">
        <v>282</v>
      </c>
      <c r="AC64" s="32">
        <v>269</v>
      </c>
      <c r="AD64" s="32">
        <v>227</v>
      </c>
      <c r="AE64" s="32">
        <v>296</v>
      </c>
      <c r="AF64" s="32">
        <v>288</v>
      </c>
    </row>
    <row r="65" spans="1:32">
      <c r="A65" s="32" t="s">
        <v>431</v>
      </c>
      <c r="B65" s="32" t="s">
        <v>432</v>
      </c>
      <c r="C65" s="32">
        <v>1</v>
      </c>
      <c r="D65" s="32">
        <v>1</v>
      </c>
      <c r="E65" s="32" t="s">
        <v>392</v>
      </c>
      <c r="F65" s="32" t="s">
        <v>393</v>
      </c>
      <c r="G65" s="32">
        <v>119</v>
      </c>
      <c r="H65" s="32">
        <v>104</v>
      </c>
      <c r="I65" s="32">
        <v>112</v>
      </c>
      <c r="J65" s="32">
        <v>150</v>
      </c>
      <c r="K65" s="32">
        <v>141</v>
      </c>
      <c r="L65" s="32">
        <v>132</v>
      </c>
      <c r="M65" s="32">
        <v>151</v>
      </c>
      <c r="N65" s="32">
        <v>181</v>
      </c>
      <c r="O65" s="32">
        <v>240</v>
      </c>
      <c r="P65" s="32">
        <v>271</v>
      </c>
      <c r="Q65" s="32">
        <v>288</v>
      </c>
      <c r="R65" s="32">
        <v>383</v>
      </c>
      <c r="S65" s="32">
        <v>247</v>
      </c>
      <c r="T65" s="32">
        <v>299</v>
      </c>
      <c r="U65" s="32">
        <v>385</v>
      </c>
      <c r="V65" s="32">
        <v>397</v>
      </c>
      <c r="W65" s="32">
        <v>392</v>
      </c>
      <c r="X65" s="32">
        <v>383</v>
      </c>
      <c r="Y65" s="32">
        <v>271</v>
      </c>
      <c r="Z65" s="32">
        <v>231</v>
      </c>
      <c r="AA65" s="32">
        <v>265</v>
      </c>
      <c r="AB65" s="32">
        <v>318</v>
      </c>
      <c r="AC65" s="32">
        <v>306</v>
      </c>
      <c r="AD65" s="32">
        <v>255</v>
      </c>
      <c r="AE65" s="32">
        <v>316</v>
      </c>
      <c r="AF65" s="32">
        <v>309</v>
      </c>
    </row>
    <row r="66" spans="1:32">
      <c r="A66" s="32" t="s">
        <v>433</v>
      </c>
      <c r="B66" s="32" t="s">
        <v>434</v>
      </c>
      <c r="C66" s="32">
        <v>1</v>
      </c>
      <c r="D66" s="32">
        <v>1</v>
      </c>
      <c r="E66" s="32" t="s">
        <v>392</v>
      </c>
      <c r="F66" s="32" t="s">
        <v>435</v>
      </c>
      <c r="G66" s="32">
        <v>103</v>
      </c>
      <c r="H66" s="32">
        <v>89</v>
      </c>
      <c r="I66" s="32">
        <v>90</v>
      </c>
      <c r="J66" s="32">
        <v>138</v>
      </c>
      <c r="K66" s="32">
        <v>133</v>
      </c>
      <c r="L66" s="32">
        <v>117</v>
      </c>
      <c r="M66" s="32">
        <v>143</v>
      </c>
      <c r="N66" s="32">
        <v>165</v>
      </c>
      <c r="O66" s="32">
        <v>220</v>
      </c>
      <c r="P66" s="32">
        <v>247</v>
      </c>
      <c r="Q66" s="32">
        <v>266</v>
      </c>
      <c r="R66" s="32">
        <v>351</v>
      </c>
      <c r="S66" s="32">
        <v>252</v>
      </c>
      <c r="T66" s="32">
        <v>297</v>
      </c>
      <c r="U66" s="32">
        <v>366</v>
      </c>
      <c r="V66" s="32">
        <v>379</v>
      </c>
      <c r="W66" s="32">
        <v>378</v>
      </c>
      <c r="X66" s="32">
        <v>371</v>
      </c>
      <c r="Y66" s="32">
        <v>265</v>
      </c>
      <c r="Z66" s="32">
        <v>210</v>
      </c>
      <c r="AA66" s="32">
        <v>251</v>
      </c>
      <c r="AB66" s="32">
        <v>301</v>
      </c>
      <c r="AC66" s="32">
        <v>300</v>
      </c>
      <c r="AD66" s="32">
        <v>244</v>
      </c>
      <c r="AE66" s="32">
        <v>297</v>
      </c>
      <c r="AF66" s="32">
        <v>305</v>
      </c>
    </row>
    <row r="67" spans="1:32">
      <c r="A67" s="33" t="s">
        <v>97</v>
      </c>
      <c r="B67" s="32" t="s">
        <v>97</v>
      </c>
      <c r="E67" s="32" t="s">
        <v>436</v>
      </c>
    </row>
    <row r="68" spans="1:32">
      <c r="A68" s="32" t="s">
        <v>437</v>
      </c>
      <c r="B68" s="32" t="s">
        <v>438</v>
      </c>
      <c r="C68" s="32">
        <v>1</v>
      </c>
      <c r="D68" s="32">
        <v>1</v>
      </c>
      <c r="E68" s="32" t="s">
        <v>436</v>
      </c>
      <c r="F68" s="32" t="s">
        <v>439</v>
      </c>
      <c r="G68" s="32">
        <v>2.56</v>
      </c>
      <c r="H68" s="32">
        <v>2.16</v>
      </c>
      <c r="I68" s="32">
        <v>2.33</v>
      </c>
      <c r="J68" s="32">
        <v>4.42</v>
      </c>
      <c r="K68" s="32">
        <v>4.07</v>
      </c>
      <c r="L68" s="32">
        <v>3.45</v>
      </c>
      <c r="M68" s="32">
        <v>5.64</v>
      </c>
      <c r="N68" s="32">
        <v>6.05</v>
      </c>
      <c r="O68" s="32">
        <v>9.06</v>
      </c>
      <c r="P68" s="32">
        <v>6.93</v>
      </c>
      <c r="Q68" s="32">
        <v>7.16</v>
      </c>
      <c r="R68" s="32">
        <v>9.1</v>
      </c>
      <c r="S68" s="32">
        <v>4.05</v>
      </c>
      <c r="T68" s="32">
        <v>4.49</v>
      </c>
      <c r="U68" s="32">
        <v>4.09</v>
      </c>
      <c r="V68" s="32">
        <v>2.82</v>
      </c>
      <c r="W68" s="32">
        <v>3.83</v>
      </c>
      <c r="X68" s="32">
        <v>4.54</v>
      </c>
      <c r="Y68" s="32">
        <v>2.73</v>
      </c>
      <c r="Z68" s="32">
        <v>2.61</v>
      </c>
      <c r="AA68" s="32">
        <v>3.1</v>
      </c>
      <c r="AB68" s="32">
        <v>3.27</v>
      </c>
      <c r="AC68" s="32">
        <v>2.67</v>
      </c>
      <c r="AD68" s="32">
        <v>2.11</v>
      </c>
      <c r="AE68" s="32">
        <v>3.34</v>
      </c>
      <c r="AF68" s="32">
        <v>3.12</v>
      </c>
    </row>
    <row r="69" spans="1:32">
      <c r="A69" s="32" t="s">
        <v>437</v>
      </c>
      <c r="B69" s="32" t="s">
        <v>438</v>
      </c>
      <c r="C69" s="32">
        <v>1</v>
      </c>
      <c r="D69" s="32">
        <v>1</v>
      </c>
      <c r="E69" s="32" t="s">
        <v>440</v>
      </c>
      <c r="F69" s="32" t="s">
        <v>441</v>
      </c>
      <c r="G69" s="32">
        <v>2.5</v>
      </c>
      <c r="H69" s="32">
        <v>2.09</v>
      </c>
      <c r="I69" s="32">
        <v>2.27</v>
      </c>
      <c r="J69" s="32">
        <v>4.3099999999999996</v>
      </c>
      <c r="K69" s="32">
        <v>3.96</v>
      </c>
      <c r="L69" s="32">
        <v>3.37</v>
      </c>
      <c r="M69" s="32">
        <v>5.49</v>
      </c>
      <c r="N69" s="32">
        <v>5.9</v>
      </c>
      <c r="O69" s="32">
        <v>8.81</v>
      </c>
      <c r="P69" s="32">
        <v>6.74</v>
      </c>
      <c r="Q69" s="32">
        <v>6.98</v>
      </c>
      <c r="R69" s="32">
        <v>8.86</v>
      </c>
      <c r="S69" s="32">
        <v>3.95</v>
      </c>
      <c r="T69" s="32">
        <v>4.3899999999999997</v>
      </c>
      <c r="U69" s="32">
        <v>4</v>
      </c>
      <c r="V69" s="32">
        <v>2.75</v>
      </c>
      <c r="W69" s="32">
        <v>3.73</v>
      </c>
      <c r="X69" s="32">
        <v>4.3899999999999997</v>
      </c>
      <c r="Y69" s="32">
        <v>2.63</v>
      </c>
      <c r="Z69" s="32">
        <v>2.5099999999999998</v>
      </c>
      <c r="AA69" s="32">
        <v>2.99</v>
      </c>
      <c r="AB69" s="32">
        <v>3.15</v>
      </c>
      <c r="AC69" s="32">
        <v>2.57</v>
      </c>
      <c r="AD69" s="32">
        <v>2.0299999999999998</v>
      </c>
      <c r="AE69" s="32">
        <v>3.22</v>
      </c>
      <c r="AF69" s="32">
        <v>3</v>
      </c>
    </row>
    <row r="70" spans="1:32">
      <c r="A70" s="33" t="s">
        <v>442</v>
      </c>
      <c r="B70" s="32" t="s">
        <v>443</v>
      </c>
      <c r="E70" s="32" t="s">
        <v>436</v>
      </c>
    </row>
    <row r="71" spans="1:32">
      <c r="A71" s="32" t="s">
        <v>444</v>
      </c>
      <c r="B71" s="32" t="s">
        <v>445</v>
      </c>
      <c r="C71" s="32">
        <v>1</v>
      </c>
      <c r="D71" s="32">
        <v>1</v>
      </c>
      <c r="E71" s="32" t="s">
        <v>436</v>
      </c>
      <c r="F71" s="32" t="s">
        <v>446</v>
      </c>
      <c r="G71" s="32" t="s">
        <v>447</v>
      </c>
      <c r="H71" s="32" t="s">
        <v>447</v>
      </c>
      <c r="I71" s="32" t="s">
        <v>447</v>
      </c>
      <c r="J71" s="32" t="s">
        <v>447</v>
      </c>
      <c r="K71" s="32">
        <v>5.24</v>
      </c>
      <c r="L71" s="32">
        <v>4.0199999999999996</v>
      </c>
      <c r="M71" s="32">
        <v>5.89</v>
      </c>
      <c r="N71" s="32">
        <v>6.53</v>
      </c>
      <c r="O71" s="32">
        <v>8.56</v>
      </c>
      <c r="P71" s="32">
        <v>7.87</v>
      </c>
      <c r="Q71" s="32">
        <v>7.68</v>
      </c>
      <c r="R71" s="32">
        <v>9.65</v>
      </c>
      <c r="S71" s="32">
        <v>5.33</v>
      </c>
      <c r="T71" s="32">
        <v>5.49</v>
      </c>
      <c r="U71" s="32">
        <v>5.13</v>
      </c>
      <c r="V71" s="32">
        <v>3.88</v>
      </c>
      <c r="W71" s="32">
        <v>4.6399999999999997</v>
      </c>
      <c r="X71" s="32">
        <v>5.61</v>
      </c>
      <c r="Y71" s="32">
        <v>3.93</v>
      </c>
      <c r="Z71" s="32">
        <v>3.51</v>
      </c>
      <c r="AA71" s="32">
        <v>4.08</v>
      </c>
      <c r="AB71" s="32">
        <v>4.1900000000000004</v>
      </c>
      <c r="AC71" s="32">
        <v>3.9</v>
      </c>
      <c r="AD71" s="32">
        <v>3.29</v>
      </c>
      <c r="AE71" s="32">
        <v>4.63</v>
      </c>
      <c r="AF71" s="32">
        <v>4.2</v>
      </c>
    </row>
    <row r="72" spans="1:32">
      <c r="A72" s="32" t="s">
        <v>448</v>
      </c>
      <c r="B72" s="32" t="s">
        <v>449</v>
      </c>
      <c r="C72" s="32">
        <v>1</v>
      </c>
      <c r="D72" s="32">
        <v>1</v>
      </c>
      <c r="E72" s="32" t="s">
        <v>436</v>
      </c>
      <c r="F72" s="32" t="s">
        <v>450</v>
      </c>
      <c r="G72" s="32">
        <v>5.8</v>
      </c>
      <c r="H72" s="32">
        <v>5.49</v>
      </c>
      <c r="I72" s="32">
        <v>5.33</v>
      </c>
      <c r="J72" s="32">
        <v>6.59</v>
      </c>
      <c r="K72" s="32">
        <v>8.43</v>
      </c>
      <c r="L72" s="32">
        <v>6.63</v>
      </c>
      <c r="M72" s="32">
        <v>8.4</v>
      </c>
      <c r="N72" s="32">
        <v>9.43</v>
      </c>
      <c r="O72" s="32">
        <v>11.34</v>
      </c>
      <c r="P72" s="32">
        <v>12</v>
      </c>
      <c r="Q72" s="32">
        <v>11.34</v>
      </c>
      <c r="R72" s="32">
        <v>12.22</v>
      </c>
      <c r="S72" s="32">
        <v>10.06</v>
      </c>
      <c r="T72" s="32">
        <v>9.4499999999999993</v>
      </c>
      <c r="U72" s="32">
        <v>8.9</v>
      </c>
      <c r="V72" s="32">
        <v>8.11</v>
      </c>
      <c r="W72" s="32">
        <v>8.07</v>
      </c>
      <c r="X72" s="32">
        <v>8.8800000000000008</v>
      </c>
      <c r="Y72" s="32">
        <v>7.9</v>
      </c>
      <c r="Z72" s="32">
        <v>7.29</v>
      </c>
      <c r="AA72" s="32">
        <v>7.86</v>
      </c>
      <c r="AB72" s="32">
        <v>7.77</v>
      </c>
      <c r="AC72" s="32">
        <v>7.59</v>
      </c>
      <c r="AD72" s="32">
        <v>7.48</v>
      </c>
      <c r="AE72" s="32">
        <v>8.08</v>
      </c>
      <c r="AF72" s="32">
        <v>7.95</v>
      </c>
    </row>
    <row r="73" spans="1:32">
      <c r="A73" s="32" t="s">
        <v>451</v>
      </c>
      <c r="B73" s="32" t="s">
        <v>452</v>
      </c>
      <c r="C73" s="32">
        <v>1</v>
      </c>
      <c r="D73" s="32">
        <v>1</v>
      </c>
      <c r="E73" s="32" t="s">
        <v>436</v>
      </c>
      <c r="F73" s="32" t="s">
        <v>453</v>
      </c>
      <c r="G73" s="32">
        <v>6.95</v>
      </c>
      <c r="H73" s="32">
        <v>6.83</v>
      </c>
      <c r="I73" s="32">
        <v>6.69</v>
      </c>
      <c r="J73" s="32">
        <v>7.77</v>
      </c>
      <c r="K73" s="32">
        <v>9.6300000000000008</v>
      </c>
      <c r="L73" s="32">
        <v>7.9</v>
      </c>
      <c r="M73" s="32">
        <v>9.6300000000000008</v>
      </c>
      <c r="N73" s="32">
        <v>10.75</v>
      </c>
      <c r="O73" s="32">
        <v>12.7</v>
      </c>
      <c r="P73" s="32">
        <v>13.73</v>
      </c>
      <c r="Q73" s="32">
        <v>13.08</v>
      </c>
      <c r="R73" s="32">
        <v>13.9</v>
      </c>
      <c r="S73" s="32">
        <v>12.14</v>
      </c>
      <c r="T73" s="32">
        <v>11.39</v>
      </c>
      <c r="U73" s="32">
        <v>11.03</v>
      </c>
      <c r="V73" s="32">
        <v>10.65</v>
      </c>
      <c r="W73" s="32">
        <v>10.29</v>
      </c>
      <c r="X73" s="32">
        <v>10.94</v>
      </c>
      <c r="Y73" s="32">
        <v>10.36</v>
      </c>
      <c r="Z73" s="32">
        <v>10.039999999999999</v>
      </c>
      <c r="AA73" s="32">
        <v>10.86</v>
      </c>
      <c r="AB73" s="32">
        <v>10.46</v>
      </c>
      <c r="AC73" s="32">
        <v>10.46</v>
      </c>
      <c r="AD73" s="32">
        <v>10.83</v>
      </c>
      <c r="AE73" s="32">
        <v>11.24</v>
      </c>
      <c r="AF73" s="32">
        <v>11.01</v>
      </c>
    </row>
    <row r="74" spans="1:32">
      <c r="A74" s="32" t="s">
        <v>454</v>
      </c>
      <c r="B74" s="32" t="s">
        <v>454</v>
      </c>
      <c r="C74" s="32">
        <v>0</v>
      </c>
      <c r="D74" s="32">
        <v>0</v>
      </c>
      <c r="E74" s="32" t="s">
        <v>440</v>
      </c>
    </row>
    <row r="75" spans="1:32">
      <c r="A75" s="33" t="s">
        <v>455</v>
      </c>
      <c r="B75" s="32" t="s">
        <v>455</v>
      </c>
      <c r="C75" s="32">
        <v>0</v>
      </c>
      <c r="D75" s="32">
        <v>0</v>
      </c>
      <c r="E75" s="32" t="s">
        <v>440</v>
      </c>
    </row>
    <row r="76" spans="1:32">
      <c r="A76" s="32" t="s">
        <v>96</v>
      </c>
      <c r="B76" s="32" t="s">
        <v>456</v>
      </c>
      <c r="C76" s="32">
        <v>1</v>
      </c>
      <c r="D76" s="32">
        <v>1</v>
      </c>
      <c r="E76" s="32" t="s">
        <v>440</v>
      </c>
      <c r="F76" s="32" t="s">
        <v>457</v>
      </c>
      <c r="G76" s="32">
        <v>1.27</v>
      </c>
      <c r="H76" s="32">
        <v>1.25</v>
      </c>
      <c r="I76" s="32">
        <v>1.22</v>
      </c>
      <c r="J76" s="32">
        <v>1.2</v>
      </c>
      <c r="K76" s="32">
        <v>1.23</v>
      </c>
      <c r="L76" s="32">
        <v>1.25</v>
      </c>
      <c r="M76" s="32">
        <v>1.28</v>
      </c>
      <c r="N76" s="32">
        <v>1.36</v>
      </c>
      <c r="O76" s="32">
        <v>1.54</v>
      </c>
      <c r="P76" s="32">
        <v>1.69</v>
      </c>
      <c r="Q76" s="32">
        <v>1.77</v>
      </c>
      <c r="R76" s="32">
        <v>2.0699999999999998</v>
      </c>
      <c r="S76" s="32">
        <v>2.21</v>
      </c>
      <c r="T76" s="32">
        <v>2.27</v>
      </c>
      <c r="U76" s="32">
        <v>2.39</v>
      </c>
      <c r="V76" s="32">
        <v>2.38</v>
      </c>
      <c r="W76" s="32">
        <v>2.34</v>
      </c>
      <c r="X76" s="32">
        <v>2.36</v>
      </c>
      <c r="Y76" s="32">
        <v>2.23</v>
      </c>
      <c r="Z76" s="32">
        <v>2.11</v>
      </c>
      <c r="AA76" s="32">
        <v>2.06</v>
      </c>
      <c r="AB76" s="32">
        <v>2.06</v>
      </c>
      <c r="AC76" s="32">
        <v>2.02</v>
      </c>
      <c r="AD76" s="32">
        <v>1.92</v>
      </c>
      <c r="AE76" s="32">
        <v>1.88</v>
      </c>
      <c r="AF76" s="32">
        <v>1.85</v>
      </c>
    </row>
    <row r="77" spans="1:32">
      <c r="A77" s="32" t="s">
        <v>97</v>
      </c>
      <c r="B77" s="32" t="s">
        <v>458</v>
      </c>
      <c r="C77" s="32">
        <v>1</v>
      </c>
      <c r="D77" s="32">
        <v>1</v>
      </c>
      <c r="E77" s="32" t="s">
        <v>440</v>
      </c>
      <c r="F77" s="32" t="s">
        <v>459</v>
      </c>
      <c r="G77" s="32">
        <v>2.76</v>
      </c>
      <c r="H77" s="32">
        <v>2.38</v>
      </c>
      <c r="I77" s="32">
        <v>2.57</v>
      </c>
      <c r="J77" s="32">
        <v>4.33</v>
      </c>
      <c r="K77" s="32">
        <v>4.4400000000000004</v>
      </c>
      <c r="L77" s="32">
        <v>3.55</v>
      </c>
      <c r="M77" s="32">
        <v>5.39</v>
      </c>
      <c r="N77" s="32">
        <v>5.96</v>
      </c>
      <c r="O77" s="32">
        <v>8.23</v>
      </c>
      <c r="P77" s="32">
        <v>6.92</v>
      </c>
      <c r="Q77" s="32">
        <v>7.09</v>
      </c>
      <c r="R77" s="32">
        <v>9.0399999999999991</v>
      </c>
      <c r="S77" s="32">
        <v>4.7300000000000004</v>
      </c>
      <c r="T77" s="32">
        <v>5.09</v>
      </c>
      <c r="U77" s="32">
        <v>4.7300000000000004</v>
      </c>
      <c r="V77" s="32">
        <v>3.42</v>
      </c>
      <c r="W77" s="32">
        <v>4.33</v>
      </c>
      <c r="X77" s="32">
        <v>4.9800000000000004</v>
      </c>
      <c r="Y77" s="32">
        <v>3.23</v>
      </c>
      <c r="Z77" s="32">
        <v>2.87</v>
      </c>
      <c r="AA77" s="32">
        <v>3.37</v>
      </c>
      <c r="AB77" s="32">
        <v>3.55</v>
      </c>
      <c r="AC77" s="32">
        <v>2.88</v>
      </c>
      <c r="AD77" s="32">
        <v>2.39</v>
      </c>
      <c r="AE77" s="32">
        <v>4.24</v>
      </c>
      <c r="AF77" s="32">
        <v>3.26</v>
      </c>
    </row>
    <row r="78" spans="1:32">
      <c r="A78" s="32" t="s">
        <v>307</v>
      </c>
      <c r="B78" s="32" t="s">
        <v>460</v>
      </c>
      <c r="C78" s="32">
        <v>1</v>
      </c>
      <c r="D78" s="32">
        <v>1</v>
      </c>
      <c r="E78" s="32" t="s">
        <v>440</v>
      </c>
      <c r="F78" s="32" t="s">
        <v>461</v>
      </c>
      <c r="G78" s="32">
        <v>2.79</v>
      </c>
      <c r="H78" s="32">
        <v>2.0699999999999998</v>
      </c>
      <c r="I78" s="32">
        <v>2.38</v>
      </c>
      <c r="J78" s="32">
        <v>4.26</v>
      </c>
      <c r="K78" s="32">
        <v>3.73</v>
      </c>
      <c r="L78" s="32">
        <v>3.67</v>
      </c>
      <c r="M78" s="32">
        <v>4.7</v>
      </c>
      <c r="N78" s="32">
        <v>4.7300000000000004</v>
      </c>
      <c r="O78" s="32">
        <v>7</v>
      </c>
      <c r="P78" s="32">
        <v>7.8</v>
      </c>
      <c r="Q78" s="32">
        <v>8.59</v>
      </c>
      <c r="R78" s="32">
        <v>13.68</v>
      </c>
      <c r="S78" s="32">
        <v>9.11</v>
      </c>
      <c r="T78" s="32">
        <v>12.57</v>
      </c>
      <c r="U78" s="32">
        <v>18.3</v>
      </c>
      <c r="V78" s="32">
        <v>21.05</v>
      </c>
      <c r="W78" s="32">
        <v>19.32</v>
      </c>
      <c r="X78" s="32">
        <v>19.190000000000001</v>
      </c>
      <c r="Y78" s="32">
        <v>10.36</v>
      </c>
      <c r="Z78" s="32">
        <v>8.4600000000000009</v>
      </c>
      <c r="AA78" s="32">
        <v>11.01</v>
      </c>
      <c r="AB78" s="32">
        <v>12.92</v>
      </c>
      <c r="AC78" s="32">
        <v>12.73</v>
      </c>
      <c r="AD78" s="32">
        <v>9.15</v>
      </c>
      <c r="AE78" s="32">
        <v>12.54</v>
      </c>
      <c r="AF78" s="32">
        <v>12.66</v>
      </c>
    </row>
    <row r="79" spans="1:32">
      <c r="A79" s="32" t="s">
        <v>305</v>
      </c>
      <c r="B79" s="32" t="s">
        <v>462</v>
      </c>
      <c r="C79" s="32">
        <v>1</v>
      </c>
      <c r="D79" s="32">
        <v>1</v>
      </c>
      <c r="E79" s="32" t="s">
        <v>440</v>
      </c>
      <c r="F79" s="32" t="s">
        <v>463</v>
      </c>
      <c r="G79" s="32" t="s">
        <v>447</v>
      </c>
      <c r="H79" s="32" t="s">
        <v>447</v>
      </c>
      <c r="I79" s="32" t="s">
        <v>447</v>
      </c>
      <c r="J79" s="32" t="s">
        <v>447</v>
      </c>
      <c r="K79" s="32">
        <v>6.25</v>
      </c>
      <c r="L79" s="32">
        <v>5.29</v>
      </c>
      <c r="M79" s="32">
        <v>6.79</v>
      </c>
      <c r="N79" s="32">
        <v>7.97</v>
      </c>
      <c r="O79" s="32">
        <v>11.5</v>
      </c>
      <c r="P79" s="32">
        <v>13.39</v>
      </c>
      <c r="Q79" s="32">
        <v>14.66</v>
      </c>
      <c r="R79" s="32">
        <v>21.46</v>
      </c>
      <c r="S79" s="32">
        <v>13.24</v>
      </c>
      <c r="T79" s="32">
        <v>16.600000000000001</v>
      </c>
      <c r="U79" s="32">
        <v>22.43</v>
      </c>
      <c r="V79" s="32">
        <v>23.51</v>
      </c>
      <c r="W79" s="32">
        <v>23.05</v>
      </c>
      <c r="X79" s="32">
        <v>22.32</v>
      </c>
      <c r="Y79" s="32">
        <v>14.47</v>
      </c>
      <c r="Z79" s="32">
        <v>10.82</v>
      </c>
      <c r="AA79" s="32">
        <v>13.28</v>
      </c>
      <c r="AB79" s="32">
        <v>16.2</v>
      </c>
      <c r="AC79" s="32">
        <v>15.16</v>
      </c>
      <c r="AD79" s="32">
        <v>10.73</v>
      </c>
      <c r="AE79" s="32">
        <v>15.29</v>
      </c>
      <c r="AF79" s="32">
        <v>15.79</v>
      </c>
    </row>
    <row r="80" spans="1:32">
      <c r="A80" s="37" t="s">
        <v>464</v>
      </c>
      <c r="B80" s="32" t="s">
        <v>465</v>
      </c>
      <c r="C80" s="32">
        <v>0</v>
      </c>
      <c r="D80" s="32">
        <v>0</v>
      </c>
      <c r="E80" s="32" t="s">
        <v>466</v>
      </c>
    </row>
    <row r="81" spans="1:32">
      <c r="A81" s="32" t="s">
        <v>444</v>
      </c>
      <c r="B81" s="32" t="s">
        <v>467</v>
      </c>
      <c r="C81" s="32">
        <v>1</v>
      </c>
      <c r="D81" s="32">
        <v>1</v>
      </c>
      <c r="E81" s="32" t="s">
        <v>466</v>
      </c>
      <c r="F81" s="32" t="s">
        <v>468</v>
      </c>
      <c r="G81" s="32">
        <v>4.53</v>
      </c>
      <c r="H81" s="32">
        <v>4.4800000000000004</v>
      </c>
      <c r="I81" s="32">
        <v>4.43</v>
      </c>
      <c r="J81" s="32">
        <v>4.6399999999999997</v>
      </c>
      <c r="K81" s="32">
        <v>5.05</v>
      </c>
      <c r="L81" s="32">
        <v>4.88</v>
      </c>
      <c r="M81" s="32">
        <v>5.1100000000000003</v>
      </c>
      <c r="N81" s="32">
        <v>5.26</v>
      </c>
      <c r="O81" s="32">
        <v>5.57</v>
      </c>
      <c r="P81" s="32">
        <v>6.16</v>
      </c>
      <c r="Q81" s="32">
        <v>6.39</v>
      </c>
      <c r="R81" s="32">
        <v>6.96</v>
      </c>
      <c r="S81" s="32">
        <v>6.83</v>
      </c>
      <c r="T81" s="32">
        <v>6.77</v>
      </c>
      <c r="U81" s="32">
        <v>6.82</v>
      </c>
      <c r="V81" s="32">
        <v>6.67</v>
      </c>
      <c r="W81" s="32">
        <v>6.89</v>
      </c>
      <c r="X81" s="32">
        <v>7.1</v>
      </c>
      <c r="Y81" s="32">
        <v>6.91</v>
      </c>
      <c r="Z81" s="32">
        <v>6.76</v>
      </c>
      <c r="AA81" s="32">
        <v>6.88</v>
      </c>
      <c r="AB81" s="32">
        <v>6.92</v>
      </c>
      <c r="AC81" s="32">
        <v>6.81</v>
      </c>
      <c r="AD81" s="32">
        <v>6.66</v>
      </c>
      <c r="AE81" s="32">
        <v>6.99</v>
      </c>
      <c r="AF81" s="32">
        <v>6.94</v>
      </c>
    </row>
    <row r="82" spans="1:32">
      <c r="A82" s="32" t="s">
        <v>448</v>
      </c>
      <c r="B82" s="32" t="s">
        <v>469</v>
      </c>
      <c r="C82" s="32">
        <v>1</v>
      </c>
      <c r="D82" s="32">
        <v>1</v>
      </c>
      <c r="E82" s="32" t="s">
        <v>466</v>
      </c>
      <c r="F82" s="32" t="s">
        <v>470</v>
      </c>
      <c r="G82" s="32">
        <v>7.59</v>
      </c>
      <c r="H82" s="32">
        <v>7.41</v>
      </c>
      <c r="I82" s="32">
        <v>7.26</v>
      </c>
      <c r="J82" s="32">
        <v>7.43</v>
      </c>
      <c r="K82" s="32">
        <v>7.92</v>
      </c>
      <c r="L82" s="32">
        <v>7.89</v>
      </c>
      <c r="M82" s="32">
        <v>8.0299999999999994</v>
      </c>
      <c r="N82" s="32">
        <v>8.17</v>
      </c>
      <c r="O82" s="32">
        <v>8.7200000000000006</v>
      </c>
      <c r="P82" s="32">
        <v>9.4600000000000009</v>
      </c>
      <c r="Q82" s="32">
        <v>9.65</v>
      </c>
      <c r="R82" s="32">
        <v>10.26</v>
      </c>
      <c r="S82" s="32">
        <v>10.16</v>
      </c>
      <c r="T82" s="32">
        <v>10.19</v>
      </c>
      <c r="U82" s="32">
        <v>10.23</v>
      </c>
      <c r="V82" s="32">
        <v>10.09</v>
      </c>
      <c r="W82" s="32">
        <v>10.26</v>
      </c>
      <c r="X82" s="32">
        <v>10.74</v>
      </c>
      <c r="Y82" s="32">
        <v>10.64</v>
      </c>
      <c r="Z82" s="32">
        <v>10.43</v>
      </c>
      <c r="AA82" s="32">
        <v>10.66</v>
      </c>
      <c r="AB82" s="32">
        <v>10.67</v>
      </c>
      <c r="AC82" s="32">
        <v>10.67</v>
      </c>
      <c r="AD82" s="32">
        <v>10.65</v>
      </c>
      <c r="AE82" s="32">
        <v>11.19</v>
      </c>
      <c r="AF82" s="32">
        <v>11.37</v>
      </c>
    </row>
    <row r="83" spans="1:32">
      <c r="A83" s="32" t="s">
        <v>451</v>
      </c>
      <c r="B83" s="32" t="s">
        <v>471</v>
      </c>
      <c r="C83" s="32">
        <v>1</v>
      </c>
      <c r="D83" s="32">
        <v>1</v>
      </c>
      <c r="E83" s="32" t="s">
        <v>466</v>
      </c>
      <c r="F83" s="32" t="s">
        <v>472</v>
      </c>
      <c r="G83" s="32">
        <v>8.43</v>
      </c>
      <c r="H83" s="32">
        <v>8.26</v>
      </c>
      <c r="I83" s="32">
        <v>8.16</v>
      </c>
      <c r="J83" s="32">
        <v>8.24</v>
      </c>
      <c r="K83" s="32">
        <v>8.58</v>
      </c>
      <c r="L83" s="32">
        <v>8.4499999999999993</v>
      </c>
      <c r="M83" s="32">
        <v>8.7200000000000006</v>
      </c>
      <c r="N83" s="32">
        <v>8.9499999999999993</v>
      </c>
      <c r="O83" s="32">
        <v>9.43</v>
      </c>
      <c r="P83" s="32">
        <v>10.4</v>
      </c>
      <c r="Q83" s="32">
        <v>10.65</v>
      </c>
      <c r="R83" s="32">
        <v>11.26</v>
      </c>
      <c r="S83" s="32">
        <v>11.51</v>
      </c>
      <c r="T83" s="32">
        <v>11.54</v>
      </c>
      <c r="U83" s="32">
        <v>11.72</v>
      </c>
      <c r="V83" s="32">
        <v>11.88</v>
      </c>
      <c r="W83" s="32">
        <v>12.13</v>
      </c>
      <c r="X83" s="32">
        <v>12.52</v>
      </c>
      <c r="Y83" s="32">
        <v>12.65</v>
      </c>
      <c r="Z83" s="32">
        <v>12.55</v>
      </c>
      <c r="AA83" s="32">
        <v>12.89</v>
      </c>
      <c r="AB83" s="32">
        <v>12.87</v>
      </c>
      <c r="AC83" s="32">
        <v>13.01</v>
      </c>
      <c r="AD83" s="32">
        <v>13.2</v>
      </c>
      <c r="AE83" s="32">
        <v>13.57</v>
      </c>
      <c r="AF83" s="32">
        <v>13.81</v>
      </c>
    </row>
  </sheetData>
  <hyperlinks>
    <hyperlink ref="A2" r:id="rId1" location="/?v=8&amp;f=A&amp;s=000000000000000000000000000g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amp;start=1997&amp;end=2022&amp;linechart=NGICUUS~NGCCUUS~NGRCUUS&amp;maptype=0&amp;ctype=linechart&amp;map=" display="https://www.eia.gov/outlooks/steo/data/browser/#/?v=8&amp;f=A&amp;s=000000000000000000000000000g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amp;start=1997&amp;end=2022&amp;linechart=NGICUUS~NGCCUUS~NGRCUUS&amp;maptype=0&amp;ctype=linechart&amp;map=" xr:uid="{E774021E-C043-4B78-83CD-7A5274E54DFE}"/>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75FCA-F221-44DE-BB40-CB85A3A3D919}">
  <sheetPr>
    <tabColor theme="0" tint="-0.14999847407452621"/>
  </sheetPr>
  <dimension ref="A1:W29"/>
  <sheetViews>
    <sheetView workbookViewId="0">
      <selection activeCell="B7" sqref="B7"/>
    </sheetView>
  </sheetViews>
  <sheetFormatPr defaultColWidth="8.7265625" defaultRowHeight="14.5"/>
  <cols>
    <col min="1" max="1" width="26.54296875" style="113" customWidth="1"/>
    <col min="2" max="2" width="21" style="113" customWidth="1"/>
    <col min="3" max="3" width="19.81640625" style="113" customWidth="1"/>
    <col min="4" max="16384" width="8.7265625" style="113"/>
  </cols>
  <sheetData>
    <row r="1" spans="1:23">
      <c r="A1" s="113" t="s">
        <v>673</v>
      </c>
    </row>
    <row r="2" spans="1:23">
      <c r="A2" s="113" t="s">
        <v>674</v>
      </c>
    </row>
    <row r="3" spans="1:23">
      <c r="A3" s="113" t="s">
        <v>675</v>
      </c>
    </row>
    <row r="4" spans="1:23">
      <c r="A4" s="113" t="s">
        <v>299</v>
      </c>
    </row>
    <row r="5" spans="1:23">
      <c r="A5" s="113" t="s">
        <v>676</v>
      </c>
      <c r="B5" s="113" t="s">
        <v>302</v>
      </c>
      <c r="C5" s="113" t="s">
        <v>390</v>
      </c>
      <c r="D5" s="113">
        <v>2001</v>
      </c>
      <c r="E5" s="113">
        <v>2002</v>
      </c>
      <c r="F5" s="113">
        <v>2003</v>
      </c>
      <c r="G5" s="113">
        <v>2004</v>
      </c>
      <c r="H5" s="113">
        <v>2005</v>
      </c>
      <c r="I5" s="113">
        <v>2006</v>
      </c>
      <c r="J5" s="113">
        <v>2007</v>
      </c>
      <c r="K5" s="113">
        <v>2008</v>
      </c>
      <c r="L5" s="113">
        <v>2009</v>
      </c>
      <c r="M5" s="113">
        <v>2010</v>
      </c>
      <c r="N5" s="113">
        <v>2011</v>
      </c>
      <c r="O5" s="113">
        <v>2012</v>
      </c>
      <c r="P5" s="113">
        <v>2013</v>
      </c>
      <c r="Q5" s="113">
        <v>2014</v>
      </c>
      <c r="R5" s="113">
        <v>2015</v>
      </c>
      <c r="S5" s="113">
        <v>2016</v>
      </c>
      <c r="T5" s="113">
        <v>2017</v>
      </c>
      <c r="U5" s="113">
        <v>2018</v>
      </c>
      <c r="V5" s="113">
        <v>2019</v>
      </c>
      <c r="W5" s="113">
        <v>2020</v>
      </c>
    </row>
    <row r="6" spans="1:23">
      <c r="A6" s="113" t="s">
        <v>673</v>
      </c>
      <c r="B6" s="113" t="s">
        <v>466</v>
      </c>
    </row>
    <row r="7" spans="1:23">
      <c r="A7" s="113" t="s">
        <v>677</v>
      </c>
      <c r="C7" s="113" t="s">
        <v>678</v>
      </c>
    </row>
    <row r="8" spans="1:23">
      <c r="A8" s="113" t="s">
        <v>679</v>
      </c>
      <c r="B8" s="113" t="s">
        <v>466</v>
      </c>
      <c r="C8" s="113" t="s">
        <v>680</v>
      </c>
    </row>
    <row r="9" spans="1:23">
      <c r="A9" s="113" t="s">
        <v>681</v>
      </c>
      <c r="B9" s="113" t="s">
        <v>466</v>
      </c>
      <c r="C9" s="113" t="s">
        <v>680</v>
      </c>
      <c r="D9" s="113">
        <v>9.26</v>
      </c>
      <c r="E9" s="113">
        <v>10.11</v>
      </c>
      <c r="F9" s="113">
        <v>9.83</v>
      </c>
      <c r="G9" s="113">
        <v>9.5500000000000007</v>
      </c>
      <c r="H9" s="113">
        <v>9.74</v>
      </c>
      <c r="I9" s="113">
        <v>10.62</v>
      </c>
      <c r="J9" s="113">
        <v>10.71</v>
      </c>
      <c r="K9" s="113">
        <v>10.57</v>
      </c>
      <c r="L9" s="113">
        <v>11.04</v>
      </c>
      <c r="M9" s="113">
        <v>10.92</v>
      </c>
      <c r="N9" s="113">
        <v>11.01</v>
      </c>
      <c r="O9" s="113">
        <v>11.38</v>
      </c>
      <c r="P9" s="113">
        <v>11.94</v>
      </c>
      <c r="Q9" s="113">
        <v>12.55</v>
      </c>
      <c r="R9" s="113">
        <v>12.82</v>
      </c>
      <c r="S9" s="113">
        <v>12.75</v>
      </c>
      <c r="T9" s="113">
        <v>13.28</v>
      </c>
      <c r="U9" s="113">
        <v>13.66</v>
      </c>
      <c r="V9" s="113">
        <v>13.79</v>
      </c>
      <c r="W9" s="113">
        <v>14.82</v>
      </c>
    </row>
    <row r="10" spans="1:23">
      <c r="A10" s="113" t="s">
        <v>682</v>
      </c>
      <c r="B10" s="113" t="s">
        <v>466</v>
      </c>
      <c r="C10" s="113" t="s">
        <v>683</v>
      </c>
      <c r="D10" s="113">
        <v>9.68</v>
      </c>
      <c r="E10" s="113">
        <v>10.27</v>
      </c>
      <c r="F10" s="113">
        <v>10.11</v>
      </c>
      <c r="G10" s="113">
        <v>10.11</v>
      </c>
      <c r="H10" s="113">
        <v>10.36</v>
      </c>
      <c r="I10" s="113">
        <v>11.62</v>
      </c>
      <c r="J10" s="113">
        <v>11.82</v>
      </c>
      <c r="K10" s="113">
        <v>11.55</v>
      </c>
      <c r="L10" s="113">
        <v>12.15</v>
      </c>
      <c r="M10" s="113">
        <v>12.31</v>
      </c>
      <c r="N10" s="113">
        <v>12.43</v>
      </c>
      <c r="O10" s="113">
        <v>12.94</v>
      </c>
      <c r="P10" s="113">
        <v>13.51</v>
      </c>
      <c r="Q10" s="113">
        <v>13.64</v>
      </c>
      <c r="R10" s="113">
        <v>14.28</v>
      </c>
      <c r="S10" s="113">
        <v>14.59</v>
      </c>
      <c r="T10" s="113">
        <v>15.08</v>
      </c>
      <c r="U10" s="113">
        <v>15.56</v>
      </c>
      <c r="V10" s="113">
        <v>15.65</v>
      </c>
      <c r="W10" s="113">
        <v>16.670000000000002</v>
      </c>
    </row>
    <row r="11" spans="1:23">
      <c r="A11" s="113" t="s">
        <v>684</v>
      </c>
      <c r="B11" s="113" t="s">
        <v>466</v>
      </c>
      <c r="C11" s="113" t="s">
        <v>685</v>
      </c>
      <c r="D11" s="113">
        <v>10.23</v>
      </c>
      <c r="E11" s="113">
        <v>11.41</v>
      </c>
      <c r="F11" s="113">
        <v>10.69</v>
      </c>
      <c r="G11" s="113">
        <v>10.19</v>
      </c>
      <c r="H11" s="113">
        <v>10.42</v>
      </c>
      <c r="I11" s="113">
        <v>11.22</v>
      </c>
      <c r="J11" s="113">
        <v>11.19</v>
      </c>
      <c r="K11" s="113">
        <v>11.04</v>
      </c>
      <c r="L11" s="113">
        <v>11.59</v>
      </c>
      <c r="M11" s="113">
        <v>11.58</v>
      </c>
      <c r="N11" s="113">
        <v>11.61</v>
      </c>
      <c r="O11" s="113">
        <v>11.92</v>
      </c>
      <c r="P11" s="113">
        <v>12.49</v>
      </c>
      <c r="Q11" s="113">
        <v>13.6</v>
      </c>
      <c r="R11" s="113">
        <v>13.71</v>
      </c>
      <c r="S11" s="113">
        <v>13.27</v>
      </c>
      <c r="T11" s="113">
        <v>13.76</v>
      </c>
      <c r="U11" s="113">
        <v>14.2</v>
      </c>
      <c r="V11" s="113">
        <v>14.42</v>
      </c>
      <c r="W11" s="113">
        <v>15.18</v>
      </c>
    </row>
    <row r="12" spans="1:23">
      <c r="A12" s="113" t="s">
        <v>686</v>
      </c>
      <c r="B12" s="113" t="s">
        <v>466</v>
      </c>
      <c r="C12" s="113" t="s">
        <v>687</v>
      </c>
      <c r="D12" s="113">
        <v>7.64</v>
      </c>
      <c r="E12" s="113">
        <v>7.97</v>
      </c>
      <c r="F12" s="113">
        <v>7.75</v>
      </c>
      <c r="G12" s="113">
        <v>7.35</v>
      </c>
      <c r="H12" s="113">
        <v>7.47</v>
      </c>
      <c r="I12" s="113">
        <v>7.85</v>
      </c>
      <c r="J12" s="113">
        <v>7.89</v>
      </c>
      <c r="K12" s="113">
        <v>7.97</v>
      </c>
      <c r="L12" s="113">
        <v>8.01</v>
      </c>
      <c r="M12" s="113">
        <v>7.47</v>
      </c>
      <c r="N12" s="113">
        <v>7.62</v>
      </c>
      <c r="O12" s="113">
        <v>7.78</v>
      </c>
      <c r="P12" s="113">
        <v>8.61</v>
      </c>
      <c r="Q12" s="113">
        <v>9.08</v>
      </c>
      <c r="R12" s="113">
        <v>9.0299999999999994</v>
      </c>
      <c r="S12" s="113">
        <v>8.94</v>
      </c>
      <c r="T12" s="113">
        <v>9.36</v>
      </c>
      <c r="U12" s="113">
        <v>9.64</v>
      </c>
      <c r="V12" s="113">
        <v>9.67</v>
      </c>
      <c r="W12" s="113">
        <v>10.71</v>
      </c>
    </row>
    <row r="13" spans="1:23">
      <c r="A13" s="113" t="s">
        <v>688</v>
      </c>
      <c r="B13" s="113" t="s">
        <v>466</v>
      </c>
      <c r="C13" s="113" t="s">
        <v>689</v>
      </c>
      <c r="D13" s="113" t="s">
        <v>447</v>
      </c>
      <c r="E13" s="113" t="s">
        <v>447</v>
      </c>
      <c r="F13" s="113">
        <v>5.85</v>
      </c>
      <c r="G13" s="113">
        <v>6.42</v>
      </c>
      <c r="H13" s="113">
        <v>6.55</v>
      </c>
      <c r="I13" s="113">
        <v>6.3</v>
      </c>
      <c r="J13" s="113">
        <v>8.33</v>
      </c>
      <c r="K13" s="113">
        <v>8.1199999999999992</v>
      </c>
      <c r="L13" s="113">
        <v>8.3000000000000007</v>
      </c>
      <c r="M13" s="113">
        <v>8.23</v>
      </c>
      <c r="N13" s="113">
        <v>8.1300000000000008</v>
      </c>
      <c r="O13" s="113">
        <v>7.21</v>
      </c>
      <c r="P13" s="113">
        <v>8.5399999999999991</v>
      </c>
      <c r="Q13" s="113">
        <v>8.91</v>
      </c>
      <c r="R13" s="113">
        <v>8.99</v>
      </c>
      <c r="S13" s="113">
        <v>9.7799999999999994</v>
      </c>
      <c r="T13" s="113">
        <v>8.7100000000000009</v>
      </c>
      <c r="U13" s="113">
        <v>8.67</v>
      </c>
      <c r="V13" s="113">
        <v>8.98</v>
      </c>
      <c r="W13" s="113">
        <v>10.029999999999999</v>
      </c>
    </row>
    <row r="14" spans="1:23">
      <c r="A14" s="113" t="s">
        <v>690</v>
      </c>
      <c r="B14" s="113" t="s">
        <v>466</v>
      </c>
      <c r="C14" s="113" t="s">
        <v>691</v>
      </c>
      <c r="D14" s="113">
        <v>7.55</v>
      </c>
      <c r="E14" s="113">
        <v>6.23</v>
      </c>
      <c r="F14" s="113" t="s">
        <v>447</v>
      </c>
      <c r="G14" s="113" t="s">
        <v>447</v>
      </c>
      <c r="H14" s="113" t="s">
        <v>447</v>
      </c>
      <c r="I14" s="113" t="s">
        <v>447</v>
      </c>
      <c r="J14" s="113" t="s">
        <v>447</v>
      </c>
      <c r="K14" s="113" t="s">
        <v>447</v>
      </c>
      <c r="L14" s="113" t="s">
        <v>447</v>
      </c>
      <c r="M14" s="113" t="s">
        <v>447</v>
      </c>
      <c r="N14" s="113" t="s">
        <v>447</v>
      </c>
      <c r="O14" s="113" t="s">
        <v>447</v>
      </c>
      <c r="P14" s="113" t="s">
        <v>447</v>
      </c>
      <c r="Q14" s="113" t="s">
        <v>447</v>
      </c>
      <c r="R14" s="113" t="s">
        <v>447</v>
      </c>
      <c r="S14" s="113" t="s">
        <v>447</v>
      </c>
      <c r="T14" s="113" t="s">
        <v>447</v>
      </c>
      <c r="U14" s="113" t="s">
        <v>447</v>
      </c>
      <c r="V14" s="113" t="s">
        <v>447</v>
      </c>
      <c r="W14" s="113" t="s">
        <v>447</v>
      </c>
    </row>
    <row r="15" spans="1:23">
      <c r="A15" s="113" t="s">
        <v>221</v>
      </c>
      <c r="B15" s="113" t="s">
        <v>466</v>
      </c>
      <c r="C15" s="113" t="s">
        <v>692</v>
      </c>
    </row>
    <row r="16" spans="1:23">
      <c r="A16" s="113" t="s">
        <v>693</v>
      </c>
      <c r="B16" s="113" t="s">
        <v>466</v>
      </c>
      <c r="C16" s="113" t="s">
        <v>692</v>
      </c>
      <c r="D16" s="113">
        <v>11.22</v>
      </c>
      <c r="E16" s="113">
        <v>12.19</v>
      </c>
      <c r="F16" s="113">
        <v>11.78</v>
      </c>
      <c r="G16" s="113">
        <v>11.35</v>
      </c>
      <c r="H16" s="113">
        <v>11.63</v>
      </c>
      <c r="I16" s="113">
        <v>12.82</v>
      </c>
      <c r="J16" s="113">
        <v>12.8</v>
      </c>
      <c r="K16" s="113">
        <v>12.49</v>
      </c>
      <c r="L16" s="113">
        <v>13.24</v>
      </c>
      <c r="M16" s="113">
        <v>13.01</v>
      </c>
      <c r="N16" s="113">
        <v>13.05</v>
      </c>
      <c r="O16" s="113">
        <v>13.53</v>
      </c>
      <c r="P16" s="113">
        <v>14.3</v>
      </c>
      <c r="Q16" s="113">
        <v>15.15</v>
      </c>
      <c r="R16" s="113">
        <v>15.42</v>
      </c>
      <c r="S16" s="113">
        <v>15.23</v>
      </c>
      <c r="T16" s="113">
        <v>16.059999999999999</v>
      </c>
      <c r="U16" s="113">
        <v>16.579999999999998</v>
      </c>
      <c r="V16" s="113">
        <v>16.89</v>
      </c>
      <c r="W16" s="113">
        <v>18.149999999999999</v>
      </c>
    </row>
    <row r="17" spans="1:23">
      <c r="A17" s="113" t="s">
        <v>694</v>
      </c>
      <c r="B17" s="113" t="s">
        <v>466</v>
      </c>
      <c r="C17" s="113" t="s">
        <v>695</v>
      </c>
      <c r="D17" s="113">
        <v>12.09</v>
      </c>
      <c r="E17" s="113">
        <v>12.64</v>
      </c>
      <c r="F17" s="113">
        <v>12.23</v>
      </c>
      <c r="G17" s="113">
        <v>12.2</v>
      </c>
      <c r="H17" s="113">
        <v>12.51</v>
      </c>
      <c r="I17" s="113">
        <v>14.33</v>
      </c>
      <c r="J17" s="113">
        <v>14.42</v>
      </c>
      <c r="K17" s="113">
        <v>13.81</v>
      </c>
      <c r="L17" s="113">
        <v>14.74</v>
      </c>
      <c r="M17" s="113">
        <v>14.75</v>
      </c>
      <c r="N17" s="113">
        <v>14.78</v>
      </c>
      <c r="O17" s="113">
        <v>15.34</v>
      </c>
      <c r="P17" s="113">
        <v>16.23</v>
      </c>
      <c r="Q17" s="113">
        <v>16.25</v>
      </c>
      <c r="R17" s="113">
        <v>16.989999999999998</v>
      </c>
      <c r="S17" s="113">
        <v>17.39</v>
      </c>
      <c r="T17" s="113">
        <v>18.309999999999999</v>
      </c>
      <c r="U17" s="113">
        <v>18.84</v>
      </c>
      <c r="V17" s="113">
        <v>19.149999999999999</v>
      </c>
      <c r="W17" s="113">
        <v>20.51</v>
      </c>
    </row>
    <row r="18" spans="1:23">
      <c r="A18" s="113" t="s">
        <v>696</v>
      </c>
      <c r="B18" s="113" t="s">
        <v>466</v>
      </c>
      <c r="C18" s="113" t="s">
        <v>697</v>
      </c>
      <c r="D18" s="113">
        <v>12.15</v>
      </c>
      <c r="E18" s="113">
        <v>13.36</v>
      </c>
      <c r="F18" s="113">
        <v>12.48</v>
      </c>
      <c r="G18" s="113">
        <v>11.64</v>
      </c>
      <c r="H18" s="113">
        <v>11.92</v>
      </c>
      <c r="I18" s="113">
        <v>12.9</v>
      </c>
      <c r="J18" s="113">
        <v>12.82</v>
      </c>
      <c r="K18" s="113">
        <v>12.54</v>
      </c>
      <c r="L18" s="113">
        <v>13.27</v>
      </c>
      <c r="M18" s="113">
        <v>13.09</v>
      </c>
      <c r="N18" s="113">
        <v>13.05</v>
      </c>
      <c r="O18" s="113">
        <v>13.41</v>
      </c>
      <c r="P18" s="113">
        <v>14.2</v>
      </c>
      <c r="Q18" s="113">
        <v>15.62</v>
      </c>
      <c r="R18" s="113">
        <v>15.73</v>
      </c>
      <c r="S18" s="113">
        <v>15.07</v>
      </c>
      <c r="T18" s="113">
        <v>15.76</v>
      </c>
      <c r="U18" s="113">
        <v>16.34</v>
      </c>
      <c r="V18" s="113">
        <v>16.670000000000002</v>
      </c>
      <c r="W18" s="113">
        <v>17.72</v>
      </c>
    </row>
    <row r="19" spans="1:23">
      <c r="A19" s="113" t="s">
        <v>698</v>
      </c>
      <c r="B19" s="113" t="s">
        <v>466</v>
      </c>
      <c r="C19" s="113" t="s">
        <v>699</v>
      </c>
      <c r="D19" s="113">
        <v>9.23</v>
      </c>
      <c r="E19" s="113">
        <v>9.81</v>
      </c>
      <c r="F19" s="113">
        <v>9.59</v>
      </c>
      <c r="G19" s="113">
        <v>9.27</v>
      </c>
      <c r="H19" s="113">
        <v>9.5500000000000007</v>
      </c>
      <c r="I19" s="113">
        <v>10.09</v>
      </c>
      <c r="J19" s="113">
        <v>9.98</v>
      </c>
      <c r="K19" s="113">
        <v>10.09</v>
      </c>
      <c r="L19" s="113">
        <v>10.42</v>
      </c>
      <c r="M19" s="113">
        <v>9.8000000000000007</v>
      </c>
      <c r="N19" s="113">
        <v>10.11</v>
      </c>
      <c r="O19" s="113">
        <v>10.49</v>
      </c>
      <c r="P19" s="113">
        <v>11.44</v>
      </c>
      <c r="Q19" s="113">
        <v>12.34</v>
      </c>
      <c r="R19" s="113">
        <v>12.17</v>
      </c>
      <c r="S19" s="113">
        <v>11.92</v>
      </c>
      <c r="T19" s="113">
        <v>12.73</v>
      </c>
      <c r="U19" s="113">
        <v>13.2</v>
      </c>
      <c r="V19" s="113">
        <v>13.4</v>
      </c>
      <c r="W19" s="113">
        <v>14.42</v>
      </c>
    </row>
    <row r="20" spans="1:23">
      <c r="A20" s="113" t="s">
        <v>700</v>
      </c>
      <c r="B20" s="113" t="s">
        <v>466</v>
      </c>
      <c r="C20" s="113" t="s">
        <v>701</v>
      </c>
      <c r="D20" s="113" t="s">
        <v>447</v>
      </c>
      <c r="E20" s="113" t="s">
        <v>447</v>
      </c>
      <c r="F20" s="113">
        <v>5.8</v>
      </c>
      <c r="G20" s="113">
        <v>6.42</v>
      </c>
      <c r="H20" s="113">
        <v>6.55</v>
      </c>
      <c r="I20" s="113">
        <v>6.29</v>
      </c>
      <c r="J20" s="113">
        <v>8.3699999999999992</v>
      </c>
      <c r="K20" s="113">
        <v>8.16</v>
      </c>
      <c r="L20" s="113">
        <v>8.35</v>
      </c>
      <c r="M20" s="113">
        <v>8.27</v>
      </c>
      <c r="N20" s="113">
        <v>8.14</v>
      </c>
      <c r="O20" s="113">
        <v>7.17</v>
      </c>
      <c r="P20" s="113">
        <v>8.5399999999999991</v>
      </c>
      <c r="Q20" s="113">
        <v>8.9</v>
      </c>
      <c r="R20" s="113">
        <v>8.99</v>
      </c>
      <c r="S20" s="113">
        <v>9.8000000000000007</v>
      </c>
      <c r="T20" s="113">
        <v>8.68</v>
      </c>
      <c r="U20" s="113">
        <v>8.64</v>
      </c>
      <c r="V20" s="113">
        <v>8.91</v>
      </c>
      <c r="W20" s="113">
        <v>10.07</v>
      </c>
    </row>
    <row r="21" spans="1:23">
      <c r="A21" s="113" t="s">
        <v>702</v>
      </c>
      <c r="B21" s="113" t="s">
        <v>466</v>
      </c>
      <c r="C21" s="113" t="s">
        <v>703</v>
      </c>
      <c r="D21" s="113">
        <v>8.48</v>
      </c>
      <c r="E21" s="113">
        <v>6.6</v>
      </c>
      <c r="F21" s="113" t="s">
        <v>447</v>
      </c>
      <c r="G21" s="113" t="s">
        <v>447</v>
      </c>
      <c r="H21" s="113" t="s">
        <v>447</v>
      </c>
      <c r="I21" s="113" t="s">
        <v>447</v>
      </c>
      <c r="J21" s="113" t="s">
        <v>447</v>
      </c>
      <c r="K21" s="113" t="s">
        <v>447</v>
      </c>
      <c r="L21" s="113" t="s">
        <v>447</v>
      </c>
      <c r="M21" s="113" t="s">
        <v>447</v>
      </c>
      <c r="N21" s="113" t="s">
        <v>447</v>
      </c>
      <c r="O21" s="113" t="s">
        <v>447</v>
      </c>
      <c r="P21" s="113" t="s">
        <v>447</v>
      </c>
      <c r="Q21" s="113" t="s">
        <v>447</v>
      </c>
      <c r="R21" s="113" t="s">
        <v>447</v>
      </c>
      <c r="S21" s="113" t="s">
        <v>447</v>
      </c>
      <c r="T21" s="113" t="s">
        <v>447</v>
      </c>
      <c r="U21" s="113" t="s">
        <v>447</v>
      </c>
      <c r="V21" s="113" t="s">
        <v>447</v>
      </c>
      <c r="W21" s="113" t="s">
        <v>447</v>
      </c>
    </row>
    <row r="23" spans="1:23">
      <c r="E23" s="113">
        <f t="shared" ref="E23:V23" si="0">(E16-D16)/D16</f>
        <v>8.6452762923351051E-2</v>
      </c>
      <c r="F23" s="113">
        <f t="shared" si="0"/>
        <v>-3.3634126333059899E-2</v>
      </c>
      <c r="G23" s="113">
        <f t="shared" si="0"/>
        <v>-3.6502546689303882E-2</v>
      </c>
      <c r="H23" s="113">
        <f t="shared" si="0"/>
        <v>2.4669603524229176E-2</v>
      </c>
      <c r="I23" s="113">
        <f t="shared" si="0"/>
        <v>0.10232158211521922</v>
      </c>
      <c r="J23" s="113">
        <f t="shared" si="0"/>
        <v>-1.5600624024960665E-3</v>
      </c>
      <c r="K23" s="113">
        <f t="shared" si="0"/>
        <v>-2.4218750000000039E-2</v>
      </c>
      <c r="L23" s="113">
        <f t="shared" si="0"/>
        <v>6.0048038430744598E-2</v>
      </c>
      <c r="M23" s="113">
        <f t="shared" si="0"/>
        <v>-1.7371601208459247E-2</v>
      </c>
      <c r="N23" s="113">
        <f t="shared" si="0"/>
        <v>3.0745580322829305E-3</v>
      </c>
      <c r="O23" s="113">
        <f t="shared" si="0"/>
        <v>3.6781609195402194E-2</v>
      </c>
      <c r="P23" s="113">
        <f t="shared" si="0"/>
        <v>5.6910569105691158E-2</v>
      </c>
      <c r="Q23" s="113">
        <f t="shared" si="0"/>
        <v>5.9440559440559412E-2</v>
      </c>
      <c r="R23" s="113">
        <f t="shared" si="0"/>
        <v>1.7821782178217793E-2</v>
      </c>
      <c r="S23" s="113">
        <f t="shared" si="0"/>
        <v>-1.2321660181582329E-2</v>
      </c>
      <c r="T23" s="113">
        <f t="shared" si="0"/>
        <v>5.4497701904136456E-2</v>
      </c>
      <c r="U23" s="113">
        <f t="shared" si="0"/>
        <v>3.237858032378578E-2</v>
      </c>
      <c r="V23" s="113">
        <f t="shared" si="0"/>
        <v>1.8697225572979634E-2</v>
      </c>
      <c r="W23" s="113">
        <f>(W16-V16)/V16</f>
        <v>7.4600355239786739E-2</v>
      </c>
    </row>
    <row r="25" spans="1:23">
      <c r="A25" s="114" t="s">
        <v>704</v>
      </c>
      <c r="B25" s="114"/>
      <c r="C25" s="113" t="s">
        <v>177</v>
      </c>
      <c r="D25" s="114" t="s">
        <v>164</v>
      </c>
      <c r="E25" s="114"/>
      <c r="F25" s="114"/>
      <c r="G25" s="113">
        <f>G17</f>
        <v>12.2</v>
      </c>
      <c r="H25" s="113">
        <f t="shared" ref="H25:W25" si="1">H17</f>
        <v>12.51</v>
      </c>
      <c r="I25" s="113">
        <f t="shared" si="1"/>
        <v>14.33</v>
      </c>
      <c r="J25" s="113">
        <f t="shared" si="1"/>
        <v>14.42</v>
      </c>
      <c r="K25" s="113">
        <f t="shared" si="1"/>
        <v>13.81</v>
      </c>
      <c r="L25" s="113">
        <f t="shared" si="1"/>
        <v>14.74</v>
      </c>
      <c r="M25" s="113">
        <f t="shared" si="1"/>
        <v>14.75</v>
      </c>
      <c r="N25" s="113">
        <f t="shared" si="1"/>
        <v>14.78</v>
      </c>
      <c r="O25" s="113">
        <f t="shared" si="1"/>
        <v>15.34</v>
      </c>
      <c r="P25" s="113">
        <f t="shared" si="1"/>
        <v>16.23</v>
      </c>
      <c r="Q25" s="113">
        <f t="shared" si="1"/>
        <v>16.25</v>
      </c>
      <c r="R25" s="113">
        <f t="shared" si="1"/>
        <v>16.989999999999998</v>
      </c>
      <c r="S25" s="113">
        <f t="shared" si="1"/>
        <v>17.39</v>
      </c>
      <c r="T25" s="113">
        <f t="shared" si="1"/>
        <v>18.309999999999999</v>
      </c>
      <c r="U25" s="113">
        <f t="shared" si="1"/>
        <v>18.84</v>
      </c>
      <c r="V25" s="113">
        <f t="shared" si="1"/>
        <v>19.149999999999999</v>
      </c>
      <c r="W25" s="113">
        <f t="shared" si="1"/>
        <v>20.51</v>
      </c>
    </row>
    <row r="26" spans="1:23">
      <c r="C26" s="113" t="s">
        <v>177</v>
      </c>
      <c r="D26" s="113" t="s">
        <v>165</v>
      </c>
      <c r="G26" s="113">
        <f>G19</f>
        <v>9.27</v>
      </c>
      <c r="H26" s="113">
        <f t="shared" ref="H26:W26" si="2">H19</f>
        <v>9.5500000000000007</v>
      </c>
      <c r="I26" s="113">
        <f t="shared" si="2"/>
        <v>10.09</v>
      </c>
      <c r="J26" s="113">
        <f t="shared" si="2"/>
        <v>9.98</v>
      </c>
      <c r="K26" s="113">
        <f t="shared" si="2"/>
        <v>10.09</v>
      </c>
      <c r="L26" s="113">
        <f t="shared" si="2"/>
        <v>10.42</v>
      </c>
      <c r="M26" s="113">
        <f t="shared" si="2"/>
        <v>9.8000000000000007</v>
      </c>
      <c r="N26" s="113">
        <f t="shared" si="2"/>
        <v>10.11</v>
      </c>
      <c r="O26" s="113">
        <f t="shared" si="2"/>
        <v>10.49</v>
      </c>
      <c r="P26" s="113">
        <f t="shared" si="2"/>
        <v>11.44</v>
      </c>
      <c r="Q26" s="113">
        <f t="shared" si="2"/>
        <v>12.34</v>
      </c>
      <c r="R26" s="113">
        <f t="shared" si="2"/>
        <v>12.17</v>
      </c>
      <c r="S26" s="113">
        <f t="shared" si="2"/>
        <v>11.92</v>
      </c>
      <c r="T26" s="113">
        <f t="shared" si="2"/>
        <v>12.73</v>
      </c>
      <c r="U26" s="113">
        <f t="shared" si="2"/>
        <v>13.2</v>
      </c>
      <c r="V26" s="113">
        <f t="shared" si="2"/>
        <v>13.4</v>
      </c>
      <c r="W26" s="113">
        <f t="shared" si="2"/>
        <v>14.42</v>
      </c>
    </row>
    <row r="27" spans="1:23">
      <c r="C27" s="113" t="s">
        <v>177</v>
      </c>
      <c r="D27" s="113" t="s">
        <v>166</v>
      </c>
      <c r="G27" s="113">
        <f>G17</f>
        <v>12.2</v>
      </c>
      <c r="H27" s="113">
        <f t="shared" ref="H27:W27" si="3">H17</f>
        <v>12.51</v>
      </c>
      <c r="I27" s="113">
        <f t="shared" si="3"/>
        <v>14.33</v>
      </c>
      <c r="J27" s="113">
        <f t="shared" si="3"/>
        <v>14.42</v>
      </c>
      <c r="K27" s="113">
        <f t="shared" si="3"/>
        <v>13.81</v>
      </c>
      <c r="L27" s="113">
        <f t="shared" si="3"/>
        <v>14.74</v>
      </c>
      <c r="M27" s="113">
        <f t="shared" si="3"/>
        <v>14.75</v>
      </c>
      <c r="N27" s="113">
        <f t="shared" si="3"/>
        <v>14.78</v>
      </c>
      <c r="O27" s="113">
        <f t="shared" si="3"/>
        <v>15.34</v>
      </c>
      <c r="P27" s="113">
        <f t="shared" si="3"/>
        <v>16.23</v>
      </c>
      <c r="Q27" s="113">
        <f t="shared" si="3"/>
        <v>16.25</v>
      </c>
      <c r="R27" s="113">
        <f t="shared" si="3"/>
        <v>16.989999999999998</v>
      </c>
      <c r="S27" s="113">
        <f t="shared" si="3"/>
        <v>17.39</v>
      </c>
      <c r="T27" s="113">
        <f t="shared" si="3"/>
        <v>18.309999999999999</v>
      </c>
      <c r="U27" s="113">
        <f t="shared" si="3"/>
        <v>18.84</v>
      </c>
      <c r="V27" s="113">
        <f t="shared" si="3"/>
        <v>19.149999999999999</v>
      </c>
      <c r="W27" s="113">
        <f t="shared" si="3"/>
        <v>20.51</v>
      </c>
    </row>
    <row r="28" spans="1:23">
      <c r="C28" s="113" t="s">
        <v>177</v>
      </c>
      <c r="D28" s="113" t="s">
        <v>167</v>
      </c>
      <c r="G28" s="113">
        <f>G18</f>
        <v>11.64</v>
      </c>
      <c r="H28" s="113">
        <f t="shared" ref="H28:W28" si="4">H18</f>
        <v>11.92</v>
      </c>
      <c r="I28" s="113">
        <f t="shared" si="4"/>
        <v>12.9</v>
      </c>
      <c r="J28" s="113">
        <f t="shared" si="4"/>
        <v>12.82</v>
      </c>
      <c r="K28" s="113">
        <f t="shared" si="4"/>
        <v>12.54</v>
      </c>
      <c r="L28" s="113">
        <f t="shared" si="4"/>
        <v>13.27</v>
      </c>
      <c r="M28" s="113">
        <f t="shared" si="4"/>
        <v>13.09</v>
      </c>
      <c r="N28" s="113">
        <f t="shared" si="4"/>
        <v>13.05</v>
      </c>
      <c r="O28" s="113">
        <f t="shared" si="4"/>
        <v>13.41</v>
      </c>
      <c r="P28" s="113">
        <f t="shared" si="4"/>
        <v>14.2</v>
      </c>
      <c r="Q28" s="113">
        <f t="shared" si="4"/>
        <v>15.62</v>
      </c>
      <c r="R28" s="113">
        <f t="shared" si="4"/>
        <v>15.73</v>
      </c>
      <c r="S28" s="113">
        <f t="shared" si="4"/>
        <v>15.07</v>
      </c>
      <c r="T28" s="113">
        <f t="shared" si="4"/>
        <v>15.76</v>
      </c>
      <c r="U28" s="113">
        <f t="shared" si="4"/>
        <v>16.34</v>
      </c>
      <c r="V28" s="113">
        <f t="shared" si="4"/>
        <v>16.670000000000002</v>
      </c>
      <c r="W28" s="113">
        <f t="shared" si="4"/>
        <v>17.72</v>
      </c>
    </row>
    <row r="29" spans="1:23">
      <c r="C29" s="113" t="s">
        <v>177</v>
      </c>
      <c r="D29" s="113" t="s">
        <v>168</v>
      </c>
      <c r="G29" s="113">
        <f>G19</f>
        <v>9.27</v>
      </c>
      <c r="H29" s="113">
        <f t="shared" ref="H29:W29" si="5">H19</f>
        <v>9.5500000000000007</v>
      </c>
      <c r="I29" s="113">
        <f t="shared" si="5"/>
        <v>10.09</v>
      </c>
      <c r="J29" s="113">
        <f t="shared" si="5"/>
        <v>9.98</v>
      </c>
      <c r="K29" s="113">
        <f t="shared" si="5"/>
        <v>10.09</v>
      </c>
      <c r="L29" s="113">
        <f t="shared" si="5"/>
        <v>10.42</v>
      </c>
      <c r="M29" s="113">
        <f t="shared" si="5"/>
        <v>9.8000000000000007</v>
      </c>
      <c r="N29" s="113">
        <f t="shared" si="5"/>
        <v>10.11</v>
      </c>
      <c r="O29" s="113">
        <f t="shared" si="5"/>
        <v>10.49</v>
      </c>
      <c r="P29" s="113">
        <f t="shared" si="5"/>
        <v>11.44</v>
      </c>
      <c r="Q29" s="113">
        <f t="shared" si="5"/>
        <v>12.34</v>
      </c>
      <c r="R29" s="113">
        <f t="shared" si="5"/>
        <v>12.17</v>
      </c>
      <c r="S29" s="113">
        <f t="shared" si="5"/>
        <v>11.92</v>
      </c>
      <c r="T29" s="113">
        <f t="shared" si="5"/>
        <v>12.73</v>
      </c>
      <c r="U29" s="113">
        <f t="shared" si="5"/>
        <v>13.2</v>
      </c>
      <c r="V29" s="113">
        <f t="shared" si="5"/>
        <v>13.4</v>
      </c>
      <c r="W29" s="113">
        <f t="shared" si="5"/>
        <v>14.42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07986-A0E5-4C35-8758-9AE8DD22F64C}">
  <sheetPr>
    <tabColor theme="0" tint="-0.14999847407452621"/>
  </sheetPr>
  <dimension ref="A1:AP54"/>
  <sheetViews>
    <sheetView zoomScale="85" zoomScaleNormal="85" workbookViewId="0">
      <selection activeCell="AF23" sqref="AF23"/>
    </sheetView>
  </sheetViews>
  <sheetFormatPr defaultColWidth="9.1796875" defaultRowHeight="14"/>
  <cols>
    <col min="1" max="1" width="37.26953125" style="70" customWidth="1"/>
    <col min="2" max="2" width="15.26953125" style="70" bestFit="1" customWidth="1"/>
    <col min="3" max="10" width="15.453125" style="70" hidden="1" customWidth="1"/>
    <col min="11" max="11" width="14.7265625" style="70" hidden="1" customWidth="1"/>
    <col min="12" max="12" width="15.453125" style="70" hidden="1" customWidth="1"/>
    <col min="13" max="13" width="14.26953125" style="70" hidden="1" customWidth="1"/>
    <col min="14" max="14" width="12.453125" style="70" hidden="1" customWidth="1"/>
    <col min="15" max="15" width="11.81640625" style="70" hidden="1" customWidth="1"/>
    <col min="16" max="16" width="13.81640625" style="70" hidden="1" customWidth="1"/>
    <col min="17" max="17" width="12.81640625" style="70" hidden="1" customWidth="1"/>
    <col min="18" max="19" width="12.1796875" style="70" hidden="1" customWidth="1"/>
    <col min="20" max="20" width="12.7265625" style="70" hidden="1" customWidth="1"/>
    <col min="21" max="21" width="14.453125" style="70" hidden="1" customWidth="1"/>
    <col min="22" max="22" width="13.453125" style="70" hidden="1" customWidth="1"/>
    <col min="23" max="23" width="13.54296875" style="70" hidden="1" customWidth="1"/>
    <col min="24" max="24" width="12.54296875" style="70" hidden="1" customWidth="1"/>
    <col min="25" max="25" width="13" style="70" hidden="1" customWidth="1"/>
    <col min="26" max="26" width="13.54296875" style="70" hidden="1" customWidth="1"/>
    <col min="27" max="30" width="14" style="70" hidden="1" customWidth="1"/>
    <col min="31" max="31" width="16.81640625" style="70" bestFit="1" customWidth="1"/>
    <col min="32" max="39" width="14.26953125" style="70" bestFit="1" customWidth="1"/>
    <col min="40" max="40" width="14.453125" style="70" customWidth="1"/>
    <col min="41" max="42" width="14.26953125" style="70" bestFit="1" customWidth="1"/>
    <col min="43" max="16384" width="9.1796875" style="70"/>
  </cols>
  <sheetData>
    <row r="1" spans="1:42">
      <c r="A1" s="70" t="s">
        <v>572</v>
      </c>
    </row>
    <row r="2" spans="1:42">
      <c r="A2" s="70" t="s">
        <v>573</v>
      </c>
    </row>
    <row r="4" spans="1:42">
      <c r="B4" s="70" t="s">
        <v>571</v>
      </c>
    </row>
    <row r="5" spans="1:42">
      <c r="A5" s="70" t="s">
        <v>579</v>
      </c>
      <c r="B5" s="74">
        <f>AE34/(AE45*1000000000)</f>
        <v>0.25066057844803513</v>
      </c>
    </row>
    <row r="6" spans="1:42">
      <c r="A6" s="70" t="s">
        <v>578</v>
      </c>
      <c r="B6" s="70">
        <v>7.1599999999999997E-2</v>
      </c>
    </row>
    <row r="7" spans="1:42" ht="18">
      <c r="A7" s="69" t="s">
        <v>534</v>
      </c>
    </row>
    <row r="8" spans="1:42">
      <c r="A8" s="71"/>
    </row>
    <row r="9" spans="1:42">
      <c r="A9" s="71" t="s">
        <v>535</v>
      </c>
    </row>
    <row r="10" spans="1:42">
      <c r="A10" s="70" t="s">
        <v>536</v>
      </c>
      <c r="B10" s="70" t="s">
        <v>128</v>
      </c>
      <c r="C10" s="70" t="s">
        <v>537</v>
      </c>
      <c r="D10" s="70" t="s">
        <v>538</v>
      </c>
      <c r="E10" s="70" t="s">
        <v>539</v>
      </c>
      <c r="F10" s="70" t="s">
        <v>540</v>
      </c>
      <c r="G10" s="70" t="s">
        <v>541</v>
      </c>
      <c r="H10" s="70" t="s">
        <v>538</v>
      </c>
      <c r="I10" s="70" t="s">
        <v>539</v>
      </c>
      <c r="J10" s="70" t="s">
        <v>540</v>
      </c>
      <c r="K10" s="70" t="s">
        <v>542</v>
      </c>
      <c r="L10" s="70" t="s">
        <v>538</v>
      </c>
      <c r="M10" s="70" t="s">
        <v>539</v>
      </c>
      <c r="N10" s="70" t="s">
        <v>540</v>
      </c>
      <c r="O10" s="70" t="s">
        <v>543</v>
      </c>
      <c r="P10" s="70" t="s">
        <v>538</v>
      </c>
      <c r="Q10" s="70" t="s">
        <v>539</v>
      </c>
      <c r="R10" s="70" t="s">
        <v>540</v>
      </c>
      <c r="S10" s="70" t="s">
        <v>544</v>
      </c>
      <c r="T10" s="70" t="s">
        <v>538</v>
      </c>
      <c r="U10" s="70" t="s">
        <v>539</v>
      </c>
      <c r="V10" s="70" t="s">
        <v>540</v>
      </c>
      <c r="W10" s="70" t="s">
        <v>545</v>
      </c>
      <c r="X10" s="70" t="s">
        <v>538</v>
      </c>
      <c r="Y10" s="70" t="s">
        <v>539</v>
      </c>
      <c r="Z10" s="70" t="s">
        <v>540</v>
      </c>
      <c r="AA10" s="70" t="s">
        <v>546</v>
      </c>
      <c r="AB10" s="70" t="s">
        <v>538</v>
      </c>
      <c r="AC10" s="70" t="s">
        <v>539</v>
      </c>
      <c r="AD10" s="70" t="s">
        <v>540</v>
      </c>
      <c r="AE10" s="70" t="s">
        <v>547</v>
      </c>
      <c r="AF10" s="70" t="s">
        <v>538</v>
      </c>
      <c r="AG10" s="70" t="s">
        <v>539</v>
      </c>
      <c r="AH10" s="70" t="s">
        <v>540</v>
      </c>
      <c r="AI10" s="70" t="s">
        <v>548</v>
      </c>
      <c r="AJ10" s="70" t="s">
        <v>538</v>
      </c>
      <c r="AK10" s="70" t="s">
        <v>539</v>
      </c>
      <c r="AL10" s="70" t="s">
        <v>540</v>
      </c>
      <c r="AM10" s="70" t="s">
        <v>565</v>
      </c>
      <c r="AN10" s="70" t="s">
        <v>538</v>
      </c>
      <c r="AO10" s="70" t="s">
        <v>539</v>
      </c>
      <c r="AP10" s="70" t="s">
        <v>540</v>
      </c>
    </row>
    <row r="11" spans="1:42">
      <c r="A11" s="70" t="s">
        <v>549</v>
      </c>
      <c r="B11" s="70" t="s">
        <v>550</v>
      </c>
      <c r="C11" s="72">
        <v>0</v>
      </c>
      <c r="D11" s="72">
        <v>0</v>
      </c>
      <c r="E11" s="72">
        <v>0</v>
      </c>
      <c r="F11" s="72">
        <v>0</v>
      </c>
      <c r="G11" s="72">
        <v>0</v>
      </c>
      <c r="H11" s="72">
        <v>0</v>
      </c>
      <c r="I11" s="72">
        <v>0</v>
      </c>
      <c r="J11" s="72">
        <v>0</v>
      </c>
      <c r="K11" s="72">
        <v>0</v>
      </c>
      <c r="L11" s="72">
        <v>7532</v>
      </c>
      <c r="M11" s="72">
        <v>2583509</v>
      </c>
      <c r="N11" s="72">
        <v>2995901</v>
      </c>
      <c r="O11" s="72">
        <v>2726000</v>
      </c>
      <c r="P11" s="72">
        <v>2881044</v>
      </c>
      <c r="Q11" s="72">
        <v>4617725</v>
      </c>
      <c r="R11" s="72">
        <v>5258002</v>
      </c>
      <c r="S11" s="72">
        <v>6720568</v>
      </c>
      <c r="T11" s="72">
        <v>9981749</v>
      </c>
      <c r="U11" s="72">
        <v>11049178</v>
      </c>
      <c r="V11" s="72">
        <v>11447850</v>
      </c>
      <c r="W11" s="72">
        <v>14450356</v>
      </c>
      <c r="X11" s="72">
        <v>14575659</v>
      </c>
      <c r="Y11" s="72">
        <v>15378044</v>
      </c>
      <c r="Z11" s="72">
        <v>15905540</v>
      </c>
      <c r="AA11" s="72">
        <v>16917328</v>
      </c>
      <c r="AB11" s="72">
        <v>21283092</v>
      </c>
      <c r="AC11" s="72">
        <v>24185491</v>
      </c>
      <c r="AD11" s="72">
        <v>24066273</v>
      </c>
      <c r="AE11" s="72">
        <v>23996868</v>
      </c>
      <c r="AF11" s="72">
        <v>24647401</v>
      </c>
      <c r="AG11" s="72">
        <v>27435046</v>
      </c>
      <c r="AH11" s="72">
        <v>29113530</v>
      </c>
      <c r="AI11" s="72">
        <v>28550655</v>
      </c>
      <c r="AJ11" s="72">
        <v>31339433</v>
      </c>
      <c r="AK11" s="72">
        <v>32018384</v>
      </c>
      <c r="AL11" s="72">
        <v>30980609</v>
      </c>
      <c r="AM11" s="72">
        <v>32660878</v>
      </c>
      <c r="AN11" s="72">
        <v>29380807</v>
      </c>
      <c r="AO11" s="72">
        <v>36059518</v>
      </c>
      <c r="AP11" s="72">
        <v>36289459</v>
      </c>
    </row>
    <row r="12" spans="1:42">
      <c r="A12" s="70" t="s">
        <v>551</v>
      </c>
      <c r="B12" s="70" t="s">
        <v>550</v>
      </c>
      <c r="C12" s="72">
        <v>236835</v>
      </c>
      <c r="D12" s="72">
        <v>328532</v>
      </c>
      <c r="E12" s="72">
        <v>530962</v>
      </c>
      <c r="F12" s="72">
        <v>478928</v>
      </c>
      <c r="G12" s="72">
        <v>468876</v>
      </c>
      <c r="H12" s="72">
        <v>453202</v>
      </c>
      <c r="I12" s="72">
        <v>384063</v>
      </c>
      <c r="J12" s="72">
        <v>287824</v>
      </c>
      <c r="K12" s="72">
        <v>439275</v>
      </c>
      <c r="L12" s="72">
        <v>612128</v>
      </c>
      <c r="M12" s="72">
        <v>2546125</v>
      </c>
      <c r="N12" s="72">
        <v>1052125</v>
      </c>
      <c r="O12" s="72">
        <v>1639132</v>
      </c>
      <c r="P12" s="72">
        <v>1064074</v>
      </c>
      <c r="Q12" s="72">
        <v>4714630</v>
      </c>
      <c r="R12" s="72">
        <v>5841140</v>
      </c>
      <c r="S12" s="72">
        <v>5277303</v>
      </c>
      <c r="T12" s="72">
        <v>6367592</v>
      </c>
      <c r="U12" s="72">
        <v>7259890</v>
      </c>
      <c r="V12" s="72">
        <v>8307511</v>
      </c>
      <c r="W12" s="72">
        <v>6595776</v>
      </c>
      <c r="X12" s="72">
        <v>7661496</v>
      </c>
      <c r="Y12" s="72">
        <v>7645395</v>
      </c>
      <c r="Z12" s="72">
        <v>7035914</v>
      </c>
      <c r="AA12" s="72">
        <v>6712351</v>
      </c>
      <c r="AB12" s="72">
        <v>6146649</v>
      </c>
      <c r="AC12" s="72">
        <v>3943161</v>
      </c>
      <c r="AD12" s="72">
        <v>3529130</v>
      </c>
      <c r="AE12" s="72">
        <v>3637857</v>
      </c>
      <c r="AF12" s="72">
        <v>3678466</v>
      </c>
      <c r="AG12" s="72">
        <v>3844316</v>
      </c>
      <c r="AH12" s="72">
        <v>3532362</v>
      </c>
      <c r="AI12" s="72">
        <v>3621779</v>
      </c>
      <c r="AJ12" s="72">
        <v>3620430</v>
      </c>
      <c r="AK12" s="72">
        <v>4599876</v>
      </c>
      <c r="AL12" s="72">
        <v>4554189</v>
      </c>
      <c r="AM12" s="72">
        <v>4573936</v>
      </c>
      <c r="AN12" s="72">
        <v>4396610</v>
      </c>
      <c r="AO12" s="72">
        <v>4566252</v>
      </c>
      <c r="AP12" s="72">
        <v>4446816</v>
      </c>
    </row>
    <row r="13" spans="1:42">
      <c r="A13" s="70" t="s">
        <v>552</v>
      </c>
      <c r="B13" s="70" t="s">
        <v>550</v>
      </c>
      <c r="C13" s="72">
        <v>12882107</v>
      </c>
      <c r="D13" s="72">
        <v>13284682</v>
      </c>
      <c r="E13" s="72">
        <v>13100333</v>
      </c>
      <c r="F13" s="72">
        <v>12816759</v>
      </c>
      <c r="G13" s="72">
        <v>12797724</v>
      </c>
      <c r="H13" s="72">
        <v>13185688</v>
      </c>
      <c r="I13" s="72">
        <v>15819989</v>
      </c>
      <c r="J13" s="72">
        <v>15375874</v>
      </c>
      <c r="K13" s="72">
        <v>15442500</v>
      </c>
      <c r="L13" s="72">
        <v>15802030</v>
      </c>
      <c r="M13" s="72">
        <v>14502449</v>
      </c>
      <c r="N13" s="72">
        <v>14939119</v>
      </c>
      <c r="O13" s="72">
        <v>16653725</v>
      </c>
      <c r="P13" s="72">
        <v>20181754</v>
      </c>
      <c r="Q13" s="72">
        <v>19709585</v>
      </c>
      <c r="R13" s="72">
        <v>19332234</v>
      </c>
      <c r="S13" s="72">
        <v>18221747</v>
      </c>
      <c r="T13" s="72">
        <v>15299622</v>
      </c>
      <c r="U13" s="72">
        <v>15624093</v>
      </c>
      <c r="V13" s="72">
        <v>15225821</v>
      </c>
      <c r="W13" s="72">
        <v>13254354</v>
      </c>
      <c r="X13" s="72">
        <v>13751707</v>
      </c>
      <c r="Y13" s="72">
        <v>13280307</v>
      </c>
      <c r="Z13" s="72">
        <v>13057045</v>
      </c>
      <c r="AA13" s="72">
        <v>13579389</v>
      </c>
      <c r="AB13" s="72">
        <v>12297213</v>
      </c>
      <c r="AC13" s="72">
        <v>12146075</v>
      </c>
      <c r="AD13" s="72">
        <v>11480263</v>
      </c>
      <c r="AE13" s="72">
        <v>12387493</v>
      </c>
      <c r="AF13" s="72">
        <v>13341294</v>
      </c>
      <c r="AG13" s="72">
        <v>11894748</v>
      </c>
      <c r="AH13" s="72">
        <v>9083378</v>
      </c>
      <c r="AI13" s="72">
        <v>9695036</v>
      </c>
      <c r="AJ13" s="72">
        <v>9531645</v>
      </c>
      <c r="AK13" s="72">
        <v>10745758</v>
      </c>
      <c r="AL13" s="72">
        <v>9382934</v>
      </c>
      <c r="AM13" s="72">
        <v>5864870</v>
      </c>
      <c r="AN13" s="72">
        <v>3869992</v>
      </c>
      <c r="AO13" s="72">
        <v>1902790</v>
      </c>
      <c r="AP13" s="72">
        <v>755130</v>
      </c>
    </row>
    <row r="14" spans="1:42">
      <c r="A14" s="70" t="s">
        <v>553</v>
      </c>
      <c r="B14" s="70" t="s">
        <v>550</v>
      </c>
      <c r="C14" s="72">
        <v>4873272</v>
      </c>
      <c r="D14" s="72">
        <v>5280822</v>
      </c>
      <c r="E14" s="72">
        <v>5590548</v>
      </c>
      <c r="F14" s="72">
        <v>5575898</v>
      </c>
      <c r="G14" s="72">
        <v>5700917</v>
      </c>
      <c r="H14" s="72">
        <v>6766131</v>
      </c>
      <c r="I14" s="72">
        <v>7146246</v>
      </c>
      <c r="J14" s="72">
        <v>7770974</v>
      </c>
      <c r="K14" s="72">
        <v>9049261</v>
      </c>
      <c r="L14" s="72">
        <v>7133604</v>
      </c>
      <c r="M14" s="72">
        <v>5511333</v>
      </c>
      <c r="N14" s="72">
        <v>6737719</v>
      </c>
      <c r="O14" s="72">
        <v>6364147</v>
      </c>
      <c r="P14" s="72">
        <v>7378353</v>
      </c>
      <c r="Q14" s="72">
        <v>4195237</v>
      </c>
      <c r="R14" s="72">
        <v>2980243</v>
      </c>
      <c r="S14" s="72">
        <v>3242037</v>
      </c>
      <c r="T14" s="72">
        <v>2272593</v>
      </c>
      <c r="U14" s="72">
        <v>1516622</v>
      </c>
      <c r="V14" s="72">
        <v>496127</v>
      </c>
      <c r="W14" s="72">
        <v>826157</v>
      </c>
      <c r="X14" s="72">
        <v>701112</v>
      </c>
      <c r="Y14" s="72">
        <v>668756</v>
      </c>
      <c r="Z14" s="72">
        <v>696347</v>
      </c>
      <c r="AA14" s="72">
        <v>426898</v>
      </c>
      <c r="AB14" s="72">
        <v>75136</v>
      </c>
      <c r="AC14" s="72">
        <v>422474</v>
      </c>
      <c r="AD14" s="72">
        <v>616215</v>
      </c>
      <c r="AE14" s="72">
        <v>357360</v>
      </c>
      <c r="AF14" s="72">
        <v>373106</v>
      </c>
      <c r="AG14" s="72">
        <v>310021</v>
      </c>
      <c r="AH14" s="72">
        <v>416933</v>
      </c>
      <c r="AI14" s="72">
        <v>301992</v>
      </c>
      <c r="AJ14" s="72">
        <v>561969</v>
      </c>
      <c r="AK14" s="72">
        <v>190112</v>
      </c>
      <c r="AL14" s="72">
        <v>256572</v>
      </c>
      <c r="AM14" s="72">
        <v>28243</v>
      </c>
      <c r="AN14" s="72">
        <v>0</v>
      </c>
      <c r="AO14" s="72">
        <v>0</v>
      </c>
      <c r="AP14" s="72">
        <v>18901</v>
      </c>
    </row>
    <row r="15" spans="1:42">
      <c r="A15" s="70" t="s">
        <v>554</v>
      </c>
      <c r="B15" s="70" t="s">
        <v>555</v>
      </c>
      <c r="C15" s="72">
        <v>0</v>
      </c>
      <c r="D15" s="72">
        <v>0</v>
      </c>
      <c r="E15" s="72">
        <v>0</v>
      </c>
      <c r="F15" s="72">
        <v>0</v>
      </c>
      <c r="G15" s="72">
        <v>0</v>
      </c>
      <c r="H15" s="72">
        <v>0</v>
      </c>
      <c r="I15" s="72">
        <v>0</v>
      </c>
      <c r="J15" s="72">
        <v>0</v>
      </c>
      <c r="K15" s="72">
        <v>0</v>
      </c>
      <c r="L15" s="72">
        <v>0</v>
      </c>
      <c r="M15" s="72">
        <v>0</v>
      </c>
      <c r="N15" s="72">
        <v>0</v>
      </c>
      <c r="O15" s="72">
        <v>0</v>
      </c>
      <c r="P15" s="72">
        <v>0</v>
      </c>
      <c r="Q15" s="72">
        <v>0</v>
      </c>
      <c r="R15" s="72">
        <v>0</v>
      </c>
      <c r="S15" s="72">
        <v>0</v>
      </c>
      <c r="T15" s="72">
        <v>0</v>
      </c>
      <c r="U15" s="72">
        <v>2364</v>
      </c>
      <c r="V15" s="72">
        <v>1113</v>
      </c>
      <c r="W15" s="72">
        <v>1519</v>
      </c>
      <c r="X15" s="72">
        <v>1255</v>
      </c>
      <c r="Y15" s="72">
        <v>41</v>
      </c>
      <c r="Z15" s="72">
        <v>88</v>
      </c>
      <c r="AA15" s="72">
        <v>43492</v>
      </c>
      <c r="AB15" s="72">
        <v>63903</v>
      </c>
      <c r="AC15" s="72">
        <v>76453</v>
      </c>
      <c r="AD15" s="72">
        <v>84347</v>
      </c>
      <c r="AE15" s="72">
        <v>113659</v>
      </c>
      <c r="AF15" s="72">
        <v>133239</v>
      </c>
      <c r="AG15" s="72">
        <v>142747</v>
      </c>
      <c r="AH15" s="72">
        <v>169048</v>
      </c>
      <c r="AI15" s="72">
        <v>238089</v>
      </c>
      <c r="AJ15" s="72">
        <v>277324</v>
      </c>
      <c r="AK15" s="72">
        <v>328143</v>
      </c>
      <c r="AL15" s="72">
        <v>353700</v>
      </c>
      <c r="AM15" s="72">
        <v>329436</v>
      </c>
      <c r="AN15" s="72">
        <v>245195</v>
      </c>
      <c r="AO15" s="72">
        <v>355621</v>
      </c>
      <c r="AP15" s="72">
        <v>399909</v>
      </c>
    </row>
    <row r="16" spans="1:42">
      <c r="A16" s="70" t="s">
        <v>130</v>
      </c>
      <c r="B16" s="70" t="s">
        <v>555</v>
      </c>
      <c r="C16" s="72">
        <v>21816</v>
      </c>
      <c r="D16" s="72">
        <v>62215</v>
      </c>
      <c r="E16" s="72">
        <v>119059</v>
      </c>
      <c r="F16" s="72">
        <v>171607</v>
      </c>
      <c r="G16" s="72">
        <v>220891</v>
      </c>
      <c r="H16" s="72">
        <v>271183</v>
      </c>
      <c r="I16" s="72">
        <v>355146</v>
      </c>
      <c r="J16" s="72">
        <v>468250</v>
      </c>
      <c r="K16" s="72">
        <v>575617</v>
      </c>
      <c r="L16" s="72">
        <v>746463</v>
      </c>
      <c r="M16" s="72">
        <v>957652</v>
      </c>
      <c r="N16" s="72">
        <v>1320154</v>
      </c>
      <c r="O16" s="72">
        <v>1595430</v>
      </c>
      <c r="P16" s="72">
        <v>1950333</v>
      </c>
      <c r="Q16" s="72">
        <v>2266455</v>
      </c>
      <c r="R16" s="72">
        <v>2640450</v>
      </c>
      <c r="S16" s="72">
        <v>2820481</v>
      </c>
      <c r="T16" s="72">
        <v>2990668</v>
      </c>
      <c r="U16" s="72">
        <v>3505519</v>
      </c>
      <c r="V16" s="72">
        <v>3659158</v>
      </c>
      <c r="W16" s="72">
        <v>13685872</v>
      </c>
      <c r="X16" s="72">
        <v>14698286</v>
      </c>
      <c r="Y16" s="72">
        <v>15068483</v>
      </c>
      <c r="Z16" s="72">
        <v>16761249</v>
      </c>
      <c r="AA16" s="72">
        <v>17504638</v>
      </c>
      <c r="AB16" s="72">
        <v>18632213</v>
      </c>
      <c r="AC16" s="72">
        <v>19000115</v>
      </c>
      <c r="AD16" s="72">
        <v>20044305</v>
      </c>
      <c r="AE16" s="72">
        <v>21499035</v>
      </c>
      <c r="AF16" s="72">
        <v>22794073</v>
      </c>
      <c r="AG16" s="72">
        <v>24965449</v>
      </c>
      <c r="AH16" s="72">
        <v>26388762</v>
      </c>
      <c r="AI16" s="72">
        <v>27766998</v>
      </c>
      <c r="AJ16" s="72">
        <v>26928571</v>
      </c>
      <c r="AK16" s="72">
        <v>28739483</v>
      </c>
      <c r="AL16" s="72">
        <v>30681322</v>
      </c>
      <c r="AM16" s="72">
        <v>29922921</v>
      </c>
      <c r="AN16" s="72">
        <v>21466290</v>
      </c>
      <c r="AO16" s="72">
        <v>25810613</v>
      </c>
      <c r="AP16" s="72">
        <v>27808799</v>
      </c>
    </row>
    <row r="17" spans="1:42">
      <c r="A17" s="70" t="s">
        <v>556</v>
      </c>
      <c r="B17" s="70" t="s">
        <v>557</v>
      </c>
      <c r="C17" s="72">
        <v>355943296</v>
      </c>
      <c r="D17" s="72">
        <v>387851229</v>
      </c>
      <c r="E17" s="72">
        <v>388872431</v>
      </c>
      <c r="F17" s="72">
        <v>357487052</v>
      </c>
      <c r="G17" s="72">
        <v>370292343</v>
      </c>
      <c r="H17" s="72">
        <v>374917388</v>
      </c>
      <c r="I17" s="72">
        <v>366019124</v>
      </c>
      <c r="J17" s="72">
        <v>363269339</v>
      </c>
      <c r="K17" s="72">
        <v>368807852</v>
      </c>
      <c r="L17" s="72">
        <v>358046201</v>
      </c>
      <c r="M17" s="72">
        <v>389863889</v>
      </c>
      <c r="N17" s="72">
        <v>362161026</v>
      </c>
      <c r="O17" s="72">
        <v>350786119</v>
      </c>
      <c r="P17" s="72">
        <v>364681336</v>
      </c>
      <c r="Q17" s="72">
        <v>392531450</v>
      </c>
      <c r="R17" s="72">
        <v>376855202</v>
      </c>
      <c r="S17" s="72">
        <v>372469285</v>
      </c>
      <c r="T17" s="72">
        <v>390499794</v>
      </c>
      <c r="U17" s="72">
        <v>383972772</v>
      </c>
      <c r="V17" s="72">
        <v>352283939</v>
      </c>
      <c r="W17" s="72">
        <v>414527490</v>
      </c>
      <c r="X17" s="72">
        <v>397227736</v>
      </c>
      <c r="Y17" s="72">
        <v>404071329</v>
      </c>
      <c r="Z17" s="72">
        <v>381748251</v>
      </c>
      <c r="AA17" s="72">
        <v>376822538</v>
      </c>
      <c r="AB17" s="72">
        <v>401825385</v>
      </c>
      <c r="AC17" s="72">
        <v>418522596</v>
      </c>
      <c r="AD17" s="72">
        <v>377787880</v>
      </c>
      <c r="AE17" s="72">
        <v>380940912</v>
      </c>
      <c r="AF17" s="72">
        <v>386000352</v>
      </c>
      <c r="AG17" s="72">
        <v>433159405</v>
      </c>
      <c r="AH17" s="72">
        <v>400757236</v>
      </c>
      <c r="AI17" s="72">
        <v>355104114</v>
      </c>
      <c r="AJ17" s="72">
        <v>416323940</v>
      </c>
      <c r="AK17" s="72">
        <v>392894297</v>
      </c>
      <c r="AL17" s="72">
        <v>393077295</v>
      </c>
      <c r="AM17" s="72">
        <v>375156094</v>
      </c>
      <c r="AN17" s="72">
        <v>228754963</v>
      </c>
      <c r="AO17" s="72">
        <v>365733754</v>
      </c>
      <c r="AP17" s="72">
        <v>329450000</v>
      </c>
    </row>
    <row r="18" spans="1:42">
      <c r="A18" s="70" t="s">
        <v>513</v>
      </c>
      <c r="B18" s="70" t="s">
        <v>557</v>
      </c>
      <c r="C18" s="72">
        <v>1954349</v>
      </c>
      <c r="D18" s="72">
        <v>2623187</v>
      </c>
      <c r="E18" s="72">
        <v>3477614</v>
      </c>
      <c r="F18" s="72">
        <v>4482442</v>
      </c>
      <c r="G18" s="72">
        <v>5006202</v>
      </c>
      <c r="H18" s="72">
        <v>6502404</v>
      </c>
      <c r="I18" s="72">
        <v>4240695</v>
      </c>
      <c r="J18" s="72">
        <v>4226644</v>
      </c>
      <c r="K18" s="72">
        <v>5481532</v>
      </c>
      <c r="L18" s="72">
        <v>13975203</v>
      </c>
      <c r="M18" s="72">
        <v>13936349</v>
      </c>
      <c r="N18" s="72">
        <v>26508045</v>
      </c>
      <c r="O18" s="72">
        <v>16037416</v>
      </c>
      <c r="P18" s="72">
        <v>16122376</v>
      </c>
      <c r="Q18" s="72">
        <v>13880356</v>
      </c>
      <c r="R18" s="72">
        <v>20757948</v>
      </c>
      <c r="S18" s="72">
        <v>19632811</v>
      </c>
      <c r="T18" s="72">
        <v>28502517</v>
      </c>
      <c r="U18" s="72">
        <v>42889152</v>
      </c>
      <c r="V18" s="72">
        <v>35425955</v>
      </c>
      <c r="W18" s="72">
        <v>28882258</v>
      </c>
      <c r="X18" s="72">
        <v>35790526</v>
      </c>
      <c r="Y18" s="72">
        <v>45225506</v>
      </c>
      <c r="Z18" s="72">
        <v>53450453</v>
      </c>
      <c r="AA18" s="72">
        <v>38177310</v>
      </c>
      <c r="AB18" s="72">
        <v>37575247</v>
      </c>
      <c r="AC18" s="72">
        <v>50257498</v>
      </c>
      <c r="AD18" s="72">
        <v>43995810</v>
      </c>
      <c r="AE18" s="72">
        <v>36595945</v>
      </c>
      <c r="AF18" s="72">
        <v>40693700</v>
      </c>
      <c r="AG18" s="72">
        <v>49904077</v>
      </c>
      <c r="AH18" s="72">
        <v>57290022</v>
      </c>
      <c r="AI18" s="72">
        <v>41827876</v>
      </c>
      <c r="AJ18" s="72">
        <v>57413156</v>
      </c>
      <c r="AK18" s="72">
        <v>56880071</v>
      </c>
      <c r="AL18" s="72">
        <v>55523645</v>
      </c>
      <c r="AM18" s="72">
        <v>56207896</v>
      </c>
      <c r="AN18" s="72">
        <v>59491770</v>
      </c>
      <c r="AO18" s="72">
        <v>69798506</v>
      </c>
      <c r="AP18" s="72">
        <v>81027956</v>
      </c>
    </row>
    <row r="19" spans="1:42">
      <c r="A19" s="70" t="s">
        <v>558</v>
      </c>
      <c r="B19" s="70" t="s">
        <v>557</v>
      </c>
      <c r="C19" s="72">
        <v>325266</v>
      </c>
      <c r="D19" s="72">
        <v>356935</v>
      </c>
      <c r="E19" s="72">
        <v>462226</v>
      </c>
      <c r="F19" s="72">
        <v>659061</v>
      </c>
      <c r="G19" s="72">
        <v>712233</v>
      </c>
      <c r="H19" s="72">
        <v>723231</v>
      </c>
      <c r="I19" s="72">
        <v>843696</v>
      </c>
      <c r="J19" s="72">
        <v>6535747</v>
      </c>
      <c r="K19" s="72">
        <v>8182191</v>
      </c>
      <c r="L19" s="72">
        <v>23562582</v>
      </c>
      <c r="M19" s="72">
        <v>40409392</v>
      </c>
      <c r="N19" s="72">
        <v>44784857</v>
      </c>
      <c r="O19" s="72">
        <v>25871987</v>
      </c>
      <c r="P19" s="72">
        <v>26668165</v>
      </c>
      <c r="Q19" s="72">
        <v>36487197</v>
      </c>
      <c r="R19" s="72">
        <v>23817520</v>
      </c>
      <c r="S19" s="72">
        <v>27058770</v>
      </c>
      <c r="T19" s="72">
        <v>40776364</v>
      </c>
      <c r="U19" s="72">
        <v>51165569</v>
      </c>
      <c r="V19" s="72">
        <v>46155232</v>
      </c>
      <c r="W19" s="72">
        <v>43663408</v>
      </c>
      <c r="X19" s="72">
        <v>75711296</v>
      </c>
      <c r="Y19" s="72">
        <v>63846512</v>
      </c>
      <c r="Z19" s="72">
        <v>72449941</v>
      </c>
      <c r="AA19" s="72">
        <v>68700606</v>
      </c>
      <c r="AB19" s="72">
        <v>94202959</v>
      </c>
      <c r="AC19" s="72">
        <v>95429959</v>
      </c>
      <c r="AD19" s="72">
        <v>77130870</v>
      </c>
      <c r="AE19" s="72">
        <v>93949619</v>
      </c>
      <c r="AF19" s="72">
        <v>100488727</v>
      </c>
      <c r="AG19" s="72">
        <v>79736407</v>
      </c>
      <c r="AH19" s="72">
        <v>109391300</v>
      </c>
      <c r="AI19" s="72">
        <v>159583033</v>
      </c>
      <c r="AJ19" s="72">
        <v>160308777</v>
      </c>
      <c r="AK19" s="72">
        <v>133219894</v>
      </c>
      <c r="AL19" s="72">
        <v>164778486</v>
      </c>
      <c r="AM19" s="72">
        <v>130732816</v>
      </c>
      <c r="AN19" s="72">
        <v>152015780</v>
      </c>
      <c r="AO19" s="72">
        <v>140208272</v>
      </c>
      <c r="AP19" s="72">
        <v>165994953</v>
      </c>
    </row>
    <row r="20" spans="1:42">
      <c r="A20" s="70" t="s">
        <v>559</v>
      </c>
      <c r="B20" s="70" t="s">
        <v>557</v>
      </c>
      <c r="C20" s="72">
        <v>0</v>
      </c>
      <c r="D20" s="72">
        <v>0</v>
      </c>
      <c r="E20" s="72">
        <v>0</v>
      </c>
      <c r="F20" s="72">
        <v>0</v>
      </c>
      <c r="G20" s="72">
        <v>0</v>
      </c>
      <c r="H20" s="72">
        <v>0</v>
      </c>
      <c r="I20" s="72">
        <v>0</v>
      </c>
      <c r="J20" s="72">
        <v>0</v>
      </c>
      <c r="K20" s="72">
        <v>0</v>
      </c>
      <c r="L20" s="72">
        <v>0</v>
      </c>
      <c r="M20" s="72">
        <v>0</v>
      </c>
      <c r="N20" s="72">
        <v>0</v>
      </c>
      <c r="O20" s="72">
        <v>0</v>
      </c>
      <c r="P20" s="72">
        <v>0</v>
      </c>
      <c r="Q20" s="72">
        <v>0</v>
      </c>
      <c r="R20" s="72">
        <v>0</v>
      </c>
      <c r="S20" s="72">
        <v>0</v>
      </c>
      <c r="T20" s="72">
        <v>0</v>
      </c>
      <c r="U20" s="72">
        <v>0</v>
      </c>
      <c r="V20" s="72">
        <v>0</v>
      </c>
      <c r="W20" s="72">
        <v>0</v>
      </c>
      <c r="X20" s="72">
        <v>0</v>
      </c>
      <c r="Y20" s="72">
        <v>0</v>
      </c>
      <c r="Z20" s="72">
        <v>0</v>
      </c>
      <c r="AA20" s="72">
        <v>0</v>
      </c>
      <c r="AB20" s="72">
        <v>0</v>
      </c>
      <c r="AC20" s="72">
        <v>0</v>
      </c>
      <c r="AD20" s="72">
        <v>0</v>
      </c>
      <c r="AE20" s="72">
        <v>0</v>
      </c>
      <c r="AF20" s="72">
        <v>0</v>
      </c>
      <c r="AG20" s="72">
        <v>0</v>
      </c>
      <c r="AH20" s="72">
        <v>0</v>
      </c>
      <c r="AI20" s="72">
        <v>0</v>
      </c>
      <c r="AJ20" s="72">
        <v>723542</v>
      </c>
      <c r="AK20" s="72">
        <v>693621</v>
      </c>
      <c r="AL20" s="72">
        <v>445027</v>
      </c>
      <c r="AM20" s="72">
        <v>284190</v>
      </c>
      <c r="AN20" s="72">
        <v>1315875</v>
      </c>
      <c r="AO20" s="72">
        <v>2389098</v>
      </c>
      <c r="AP20" s="72">
        <v>570655</v>
      </c>
    </row>
    <row r="21" spans="1:42">
      <c r="A21" s="70" t="s">
        <v>560</v>
      </c>
      <c r="B21" s="70" t="s">
        <v>557</v>
      </c>
      <c r="C21" s="72">
        <v>0</v>
      </c>
      <c r="D21" s="72">
        <v>0</v>
      </c>
      <c r="E21" s="72">
        <v>0</v>
      </c>
      <c r="F21" s="72">
        <v>0</v>
      </c>
      <c r="G21" s="72">
        <v>0</v>
      </c>
      <c r="H21" s="72">
        <v>0</v>
      </c>
      <c r="I21" s="72">
        <v>0</v>
      </c>
      <c r="J21" s="72">
        <v>0</v>
      </c>
      <c r="K21" s="72">
        <v>0</v>
      </c>
      <c r="L21" s="72">
        <v>0</v>
      </c>
      <c r="M21" s="72">
        <v>0</v>
      </c>
      <c r="N21" s="72">
        <v>0</v>
      </c>
      <c r="O21" s="72">
        <v>0</v>
      </c>
      <c r="P21" s="72">
        <v>0</v>
      </c>
      <c r="Q21" s="72">
        <v>0</v>
      </c>
      <c r="R21" s="72">
        <v>0</v>
      </c>
      <c r="S21" s="72">
        <v>0</v>
      </c>
      <c r="T21" s="72">
        <v>0</v>
      </c>
      <c r="U21" s="72">
        <v>0</v>
      </c>
      <c r="V21" s="72">
        <v>0</v>
      </c>
      <c r="W21" s="72">
        <v>0</v>
      </c>
      <c r="X21" s="72">
        <v>0</v>
      </c>
      <c r="Y21" s="72">
        <v>0</v>
      </c>
      <c r="Z21" s="72">
        <v>0</v>
      </c>
      <c r="AA21" s="72">
        <v>0</v>
      </c>
      <c r="AB21" s="72">
        <v>0</v>
      </c>
      <c r="AC21" s="72">
        <v>0</v>
      </c>
      <c r="AD21" s="72">
        <v>0</v>
      </c>
      <c r="AE21" s="72">
        <v>0</v>
      </c>
      <c r="AF21" s="72">
        <v>0</v>
      </c>
      <c r="AG21" s="72">
        <v>0</v>
      </c>
      <c r="AH21" s="72">
        <v>170876</v>
      </c>
      <c r="AI21" s="72">
        <v>107933</v>
      </c>
      <c r="AJ21" s="72">
        <v>673134</v>
      </c>
      <c r="AK21" s="72">
        <v>175948</v>
      </c>
      <c r="AL21" s="72">
        <v>290046</v>
      </c>
      <c r="AM21" s="72">
        <v>352423</v>
      </c>
      <c r="AN21" s="72">
        <v>447211</v>
      </c>
      <c r="AO21" s="72">
        <v>815855</v>
      </c>
      <c r="AP21" s="72">
        <v>591098</v>
      </c>
    </row>
    <row r="22" spans="1:42">
      <c r="A22" s="70" t="s">
        <v>304</v>
      </c>
      <c r="B22" s="70" t="s">
        <v>557</v>
      </c>
      <c r="C22" s="72">
        <v>0</v>
      </c>
      <c r="D22" s="72">
        <v>0</v>
      </c>
      <c r="E22" s="72">
        <v>0</v>
      </c>
      <c r="F22" s="72">
        <v>0</v>
      </c>
      <c r="G22" s="72">
        <v>0</v>
      </c>
      <c r="H22" s="72">
        <v>0</v>
      </c>
      <c r="I22" s="72">
        <v>0</v>
      </c>
      <c r="J22" s="72">
        <v>0</v>
      </c>
      <c r="K22" s="72">
        <v>0</v>
      </c>
      <c r="L22" s="72">
        <v>0</v>
      </c>
      <c r="M22" s="72">
        <v>0</v>
      </c>
      <c r="N22" s="72">
        <v>0</v>
      </c>
      <c r="O22" s="72">
        <v>0</v>
      </c>
      <c r="P22" s="72">
        <v>0</v>
      </c>
      <c r="Q22" s="72">
        <v>0</v>
      </c>
      <c r="R22" s="72">
        <v>0</v>
      </c>
      <c r="S22" s="72">
        <v>0</v>
      </c>
      <c r="T22" s="72">
        <v>0</v>
      </c>
      <c r="U22" s="72">
        <v>0</v>
      </c>
      <c r="V22" s="72">
        <v>0</v>
      </c>
      <c r="W22" s="72">
        <v>0</v>
      </c>
      <c r="X22" s="72">
        <v>0</v>
      </c>
      <c r="Y22" s="72">
        <v>0</v>
      </c>
      <c r="Z22" s="72">
        <v>0</v>
      </c>
      <c r="AA22" s="72">
        <v>0</v>
      </c>
      <c r="AB22" s="72">
        <v>0</v>
      </c>
      <c r="AC22" s="72">
        <v>0</v>
      </c>
      <c r="AD22" s="72">
        <v>0</v>
      </c>
      <c r="AE22" s="72">
        <v>0</v>
      </c>
      <c r="AF22" s="72">
        <v>0</v>
      </c>
      <c r="AG22" s="72">
        <v>0</v>
      </c>
      <c r="AH22" s="72">
        <v>0</v>
      </c>
      <c r="AI22" s="72">
        <v>190467</v>
      </c>
      <c r="AJ22" s="72">
        <v>960366</v>
      </c>
      <c r="AK22" s="72">
        <v>1724129</v>
      </c>
      <c r="AL22" s="72">
        <v>1798336</v>
      </c>
      <c r="AM22" s="72">
        <v>6036632</v>
      </c>
      <c r="AN22" s="72">
        <v>7982977</v>
      </c>
      <c r="AO22" s="72">
        <v>8504052</v>
      </c>
      <c r="AP22" s="72">
        <v>8127188</v>
      </c>
    </row>
    <row r="23" spans="1:42">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row>
    <row r="24" spans="1:42">
      <c r="A24" s="71" t="s">
        <v>561</v>
      </c>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row>
    <row r="25" spans="1:42">
      <c r="A25" s="70" t="s">
        <v>513</v>
      </c>
      <c r="B25" s="70" t="s">
        <v>555</v>
      </c>
      <c r="C25" s="72">
        <f t="shared" ref="C25:AP25" si="0">C18*(126.13/115.83)</f>
        <v>2128136.401364068</v>
      </c>
      <c r="D25" s="72">
        <f t="shared" si="0"/>
        <v>2856449.7652594321</v>
      </c>
      <c r="E25" s="72">
        <f t="shared" si="0"/>
        <v>3786855.338168005</v>
      </c>
      <c r="F25" s="72">
        <f t="shared" si="0"/>
        <v>4881036.0827074163</v>
      </c>
      <c r="G25" s="72">
        <f t="shared" si="0"/>
        <v>5451370.6143486146</v>
      </c>
      <c r="H25" s="72">
        <f t="shared" si="0"/>
        <v>7080620.0165760173</v>
      </c>
      <c r="I25" s="72">
        <f t="shared" si="0"/>
        <v>4617792.1121471124</v>
      </c>
      <c r="J25" s="72">
        <f t="shared" si="0"/>
        <v>4602491.6491409829</v>
      </c>
      <c r="K25" s="72">
        <f t="shared" si="0"/>
        <v>5968968.5846499186</v>
      </c>
      <c r="L25" s="72">
        <f t="shared" si="0"/>
        <v>15217925.877492879</v>
      </c>
      <c r="M25" s="72">
        <f t="shared" si="0"/>
        <v>15175616.846844515</v>
      </c>
      <c r="N25" s="72">
        <f t="shared" si="0"/>
        <v>28865231.078736082</v>
      </c>
      <c r="O25" s="72">
        <f t="shared" si="0"/>
        <v>17463517.91487525</v>
      </c>
      <c r="P25" s="72">
        <f t="shared" si="0"/>
        <v>17556032.848830182</v>
      </c>
      <c r="Q25" s="72">
        <f t="shared" si="0"/>
        <v>15114644.757662091</v>
      </c>
      <c r="R25" s="72">
        <f t="shared" si="0"/>
        <v>22603815.775187775</v>
      </c>
      <c r="S25" s="72">
        <f t="shared" si="0"/>
        <v>21378627.742640078</v>
      </c>
      <c r="T25" s="72">
        <f t="shared" si="0"/>
        <v>31037058.354571357</v>
      </c>
      <c r="U25" s="72">
        <f t="shared" si="0"/>
        <v>46703002.173530176</v>
      </c>
      <c r="V25" s="72">
        <f t="shared" si="0"/>
        <v>38576152.155313827</v>
      </c>
      <c r="W25" s="72">
        <f t="shared" si="0"/>
        <v>31450567.223862559</v>
      </c>
      <c r="X25" s="72">
        <f t="shared" si="0"/>
        <v>38973142.05628939</v>
      </c>
      <c r="Y25" s="72">
        <f t="shared" si="0"/>
        <v>49247112.766813435</v>
      </c>
      <c r="Z25" s="72">
        <f t="shared" si="0"/>
        <v>58203450.201933868</v>
      </c>
      <c r="AA25" s="72">
        <f t="shared" si="0"/>
        <v>41572167.057757057</v>
      </c>
      <c r="AB25" s="72">
        <f t="shared" si="0"/>
        <v>40916566.555382892</v>
      </c>
      <c r="AC25" s="72">
        <f t="shared" si="0"/>
        <v>54726566.716222055</v>
      </c>
      <c r="AD25" s="72">
        <f t="shared" si="0"/>
        <v>47908067.990157992</v>
      </c>
      <c r="AE25" s="72">
        <f t="shared" si="0"/>
        <v>39850181.670120008</v>
      </c>
      <c r="AF25" s="72">
        <f t="shared" si="0"/>
        <v>44312323.068289734</v>
      </c>
      <c r="AG25" s="72">
        <f t="shared" si="0"/>
        <v>54341718.311404645</v>
      </c>
      <c r="AH25" s="72">
        <f t="shared" si="0"/>
        <v>62384446.817404822</v>
      </c>
      <c r="AI25" s="72">
        <f t="shared" si="0"/>
        <v>45547353.879651219</v>
      </c>
      <c r="AJ25" s="72">
        <f t="shared" si="0"/>
        <v>62518530.314080983</v>
      </c>
      <c r="AK25" s="72">
        <f t="shared" si="0"/>
        <v>61938041.571527243</v>
      </c>
      <c r="AL25" s="72">
        <f t="shared" si="0"/>
        <v>60460997.529569201</v>
      </c>
      <c r="AM25" s="72">
        <f t="shared" si="0"/>
        <v>61206094.470171809</v>
      </c>
      <c r="AN25" s="72">
        <f t="shared" si="0"/>
        <v>64781981.78451179</v>
      </c>
      <c r="AO25" s="72">
        <f t="shared" si="0"/>
        <v>76005228.021928698</v>
      </c>
      <c r="AP25" s="72">
        <f t="shared" si="0"/>
        <v>88233239.14598982</v>
      </c>
    </row>
    <row r="26" spans="1:42">
      <c r="A26" s="70" t="s">
        <v>562</v>
      </c>
      <c r="B26" s="70" t="s">
        <v>555</v>
      </c>
      <c r="C26" s="72">
        <f t="shared" ref="C26:AL26" si="1">SUM(C11:C12)*134.47/115.83</f>
        <v>274947.78943278943</v>
      </c>
      <c r="D26" s="72">
        <f t="shared" si="1"/>
        <v>381401.17447984114</v>
      </c>
      <c r="E26" s="72">
        <f t="shared" si="1"/>
        <v>616407.32228265563</v>
      </c>
      <c r="F26" s="72">
        <f t="shared" si="1"/>
        <v>555999.72511439177</v>
      </c>
      <c r="G26" s="72">
        <f t="shared" si="1"/>
        <v>544330.10204610205</v>
      </c>
      <c r="H26" s="72">
        <f t="shared" si="1"/>
        <v>526133.75584908912</v>
      </c>
      <c r="I26" s="72">
        <f t="shared" si="1"/>
        <v>445868.52810152812</v>
      </c>
      <c r="J26" s="72">
        <f t="shared" si="1"/>
        <v>334142.21945955278</v>
      </c>
      <c r="K26" s="72">
        <f t="shared" si="1"/>
        <v>509965.54649054649</v>
      </c>
      <c r="L26" s="72">
        <f t="shared" si="1"/>
        <v>719379.0917724251</v>
      </c>
      <c r="M26" s="72">
        <f t="shared" si="1"/>
        <v>5955122.8868168872</v>
      </c>
      <c r="N26" s="72">
        <f t="shared" si="1"/>
        <v>4699456.5848225849</v>
      </c>
      <c r="O26" s="72">
        <f t="shared" si="1"/>
        <v>5067593.0246050246</v>
      </c>
      <c r="P26" s="72">
        <f t="shared" si="1"/>
        <v>4579988.0640593972</v>
      </c>
      <c r="Q26" s="72">
        <f t="shared" si="1"/>
        <v>10834168.840973841</v>
      </c>
      <c r="R26" s="72">
        <f t="shared" si="1"/>
        <v>12885276.912198912</v>
      </c>
      <c r="S26" s="72">
        <f t="shared" si="1"/>
        <v>13928634.320728654</v>
      </c>
      <c r="T26" s="72">
        <f t="shared" si="1"/>
        <v>18980366.781231117</v>
      </c>
      <c r="U26" s="72">
        <f t="shared" si="1"/>
        <v>21255463.817318484</v>
      </c>
      <c r="V26" s="72">
        <f t="shared" si="1"/>
        <v>22934502.233186569</v>
      </c>
      <c r="W26" s="72">
        <f t="shared" si="1"/>
        <v>24432991.194336526</v>
      </c>
      <c r="X26" s="72">
        <f t="shared" si="1"/>
        <v>25815680.159285158</v>
      </c>
      <c r="Y26" s="72">
        <f t="shared" si="1"/>
        <v>26728497.300612967</v>
      </c>
      <c r="Z26" s="72">
        <f t="shared" si="1"/>
        <v>26633318.82396616</v>
      </c>
      <c r="AA26" s="72">
        <f t="shared" si="1"/>
        <v>27432296.77225244</v>
      </c>
      <c r="AB26" s="72">
        <f t="shared" si="1"/>
        <v>31843885.627816629</v>
      </c>
      <c r="AC26" s="72">
        <f t="shared" si="1"/>
        <v>32655269.225934561</v>
      </c>
      <c r="AD26" s="72">
        <f t="shared" si="1"/>
        <v>32036206.867046531</v>
      </c>
      <c r="AE26" s="72">
        <f t="shared" si="1"/>
        <v>32081856.779331781</v>
      </c>
      <c r="AF26" s="72">
        <f t="shared" si="1"/>
        <v>32884221.147284813</v>
      </c>
      <c r="AG26" s="72">
        <f t="shared" si="1"/>
        <v>36313008.789950788</v>
      </c>
      <c r="AH26" s="72">
        <f t="shared" si="1"/>
        <v>37899448.305620305</v>
      </c>
      <c r="AI26" s="72">
        <f t="shared" si="1"/>
        <v>37349798.842959508</v>
      </c>
      <c r="AJ26" s="72">
        <f t="shared" si="1"/>
        <v>40585796.232495897</v>
      </c>
      <c r="AK26" s="72">
        <f t="shared" si="1"/>
        <v>42511071.589398257</v>
      </c>
      <c r="AL26" s="72">
        <f t="shared" si="1"/>
        <v>41253252.931537606</v>
      </c>
      <c r="AM26" s="72">
        <f t="shared" ref="AM26:AP26" si="2">SUM(AM11:AM12)*134.47/115.83</f>
        <v>43226844.846585512</v>
      </c>
      <c r="AN26" s="72">
        <f t="shared" si="2"/>
        <v>39213064.525511526</v>
      </c>
      <c r="AO26" s="72">
        <f t="shared" si="2"/>
        <v>47163492.116895445</v>
      </c>
      <c r="AP26" s="72">
        <f t="shared" si="2"/>
        <v>47291780.188638523</v>
      </c>
    </row>
    <row r="27" spans="1:42">
      <c r="A27" s="70" t="s">
        <v>563</v>
      </c>
      <c r="B27" s="70" t="s">
        <v>555</v>
      </c>
      <c r="C27" s="72">
        <f t="shared" ref="C27:AP27" si="3">SUM(C13:C14)*134.47/115.83</f>
        <v>20612672.14132781</v>
      </c>
      <c r="D27" s="72">
        <f t="shared" si="3"/>
        <v>21553166.907364242</v>
      </c>
      <c r="E27" s="72">
        <f t="shared" si="3"/>
        <v>21698720.263057932</v>
      </c>
      <c r="F27" s="72">
        <f t="shared" si="3"/>
        <v>21352504.418458086</v>
      </c>
      <c r="G27" s="72">
        <f t="shared" si="3"/>
        <v>21475543.946041614</v>
      </c>
      <c r="H27" s="72">
        <f t="shared" si="3"/>
        <v>23162575.333937667</v>
      </c>
      <c r="I27" s="72">
        <f t="shared" si="3"/>
        <v>26662087.718639385</v>
      </c>
      <c r="J27" s="72">
        <f t="shared" si="3"/>
        <v>26871765.954933956</v>
      </c>
      <c r="K27" s="72">
        <f t="shared" si="3"/>
        <v>28433109.744194079</v>
      </c>
      <c r="L27" s="72">
        <f t="shared" si="3"/>
        <v>26626562.237589572</v>
      </c>
      <c r="M27" s="72">
        <f t="shared" si="3"/>
        <v>23234509.760338426</v>
      </c>
      <c r="N27" s="72">
        <f t="shared" si="3"/>
        <v>25165193.869118538</v>
      </c>
      <c r="O27" s="72">
        <f t="shared" si="3"/>
        <v>26722034.428386431</v>
      </c>
      <c r="P27" s="72">
        <f t="shared" si="3"/>
        <v>31995230.840801176</v>
      </c>
      <c r="Q27" s="72">
        <f t="shared" si="3"/>
        <v>27751717.295519296</v>
      </c>
      <c r="R27" s="72">
        <f t="shared" si="3"/>
        <v>25903123.389363725</v>
      </c>
      <c r="S27" s="72">
        <f t="shared" si="3"/>
        <v>24917854.048864715</v>
      </c>
      <c r="T27" s="72">
        <f t="shared" si="3"/>
        <v>20400032.384097386</v>
      </c>
      <c r="U27" s="72">
        <f t="shared" si="3"/>
        <v>19899093.033324704</v>
      </c>
      <c r="V27" s="72">
        <f t="shared" si="3"/>
        <v>18252010.252611585</v>
      </c>
      <c r="W27" s="72">
        <f t="shared" si="3"/>
        <v>16346424.19209186</v>
      </c>
      <c r="X27" s="72">
        <f t="shared" si="3"/>
        <v>16778646.041008376</v>
      </c>
      <c r="Y27" s="72">
        <f t="shared" si="3"/>
        <v>16193822.857722525</v>
      </c>
      <c r="Z27" s="72">
        <f t="shared" si="3"/>
        <v>15966663.405335406</v>
      </c>
      <c r="AA27" s="72">
        <f t="shared" si="3"/>
        <v>16260255.65820599</v>
      </c>
      <c r="AB27" s="72">
        <f t="shared" si="3"/>
        <v>14363375.377967712</v>
      </c>
      <c r="AC27" s="72">
        <f t="shared" si="3"/>
        <v>14591148.959941294</v>
      </c>
      <c r="AD27" s="72">
        <f t="shared" si="3"/>
        <v>14043109.700941036</v>
      </c>
      <c r="AE27" s="72">
        <f t="shared" si="3"/>
        <v>14795824.768281102</v>
      </c>
      <c r="AF27" s="72">
        <f t="shared" si="3"/>
        <v>15921396.598463265</v>
      </c>
      <c r="AG27" s="72">
        <f t="shared" si="3"/>
        <v>14168827.483639818</v>
      </c>
      <c r="AH27" s="72">
        <f t="shared" si="3"/>
        <v>11029153.243287578</v>
      </c>
      <c r="AI27" s="72">
        <f t="shared" si="3"/>
        <v>11605804.67201934</v>
      </c>
      <c r="AJ27" s="72">
        <f t="shared" si="3"/>
        <v>11717933.821807822</v>
      </c>
      <c r="AK27" s="72">
        <f t="shared" si="3"/>
        <v>12695730.284900285</v>
      </c>
      <c r="AL27" s="72">
        <f t="shared" si="3"/>
        <v>11190748.267460933</v>
      </c>
      <c r="AM27" s="72">
        <f t="shared" si="3"/>
        <v>6841465.1222481225</v>
      </c>
      <c r="AN27" s="72">
        <f t="shared" si="3"/>
        <v>4492772.375377709</v>
      </c>
      <c r="AO27" s="72">
        <f t="shared" si="3"/>
        <v>2208997.4212207547</v>
      </c>
      <c r="AP27" s="72">
        <f t="shared" si="3"/>
        <v>898592.32124665449</v>
      </c>
    </row>
    <row r="28" spans="1:42">
      <c r="A28" s="70" t="s">
        <v>130</v>
      </c>
      <c r="B28" s="70" t="s">
        <v>555</v>
      </c>
      <c r="C28" s="72">
        <f t="shared" ref="C28:AP28" si="4">SUM(C16:C16)</f>
        <v>21816</v>
      </c>
      <c r="D28" s="72">
        <f t="shared" si="4"/>
        <v>62215</v>
      </c>
      <c r="E28" s="72">
        <f t="shared" si="4"/>
        <v>119059</v>
      </c>
      <c r="F28" s="72">
        <f t="shared" si="4"/>
        <v>171607</v>
      </c>
      <c r="G28" s="72">
        <f t="shared" si="4"/>
        <v>220891</v>
      </c>
      <c r="H28" s="72">
        <f t="shared" si="4"/>
        <v>271183</v>
      </c>
      <c r="I28" s="72">
        <f t="shared" si="4"/>
        <v>355146</v>
      </c>
      <c r="J28" s="72">
        <f t="shared" si="4"/>
        <v>468250</v>
      </c>
      <c r="K28" s="72">
        <f t="shared" si="4"/>
        <v>575617</v>
      </c>
      <c r="L28" s="72">
        <f t="shared" si="4"/>
        <v>746463</v>
      </c>
      <c r="M28" s="72">
        <f t="shared" si="4"/>
        <v>957652</v>
      </c>
      <c r="N28" s="72">
        <f t="shared" si="4"/>
        <v>1320154</v>
      </c>
      <c r="O28" s="72">
        <f t="shared" si="4"/>
        <v>1595430</v>
      </c>
      <c r="P28" s="72">
        <f t="shared" si="4"/>
        <v>1950333</v>
      </c>
      <c r="Q28" s="72">
        <f t="shared" si="4"/>
        <v>2266455</v>
      </c>
      <c r="R28" s="72">
        <f t="shared" si="4"/>
        <v>2640450</v>
      </c>
      <c r="S28" s="72">
        <f t="shared" si="4"/>
        <v>2820481</v>
      </c>
      <c r="T28" s="72">
        <f t="shared" si="4"/>
        <v>2990668</v>
      </c>
      <c r="U28" s="72">
        <f t="shared" si="4"/>
        <v>3505519</v>
      </c>
      <c r="V28" s="72">
        <f t="shared" si="4"/>
        <v>3659158</v>
      </c>
      <c r="W28" s="72">
        <f t="shared" si="4"/>
        <v>13685872</v>
      </c>
      <c r="X28" s="72">
        <f t="shared" si="4"/>
        <v>14698286</v>
      </c>
      <c r="Y28" s="72">
        <f t="shared" si="4"/>
        <v>15068483</v>
      </c>
      <c r="Z28" s="72">
        <f t="shared" si="4"/>
        <v>16761249</v>
      </c>
      <c r="AA28" s="72">
        <f t="shared" si="4"/>
        <v>17504638</v>
      </c>
      <c r="AB28" s="72">
        <f t="shared" si="4"/>
        <v>18632213</v>
      </c>
      <c r="AC28" s="72">
        <f t="shared" si="4"/>
        <v>19000115</v>
      </c>
      <c r="AD28" s="72">
        <f t="shared" si="4"/>
        <v>20044305</v>
      </c>
      <c r="AE28" s="72">
        <f t="shared" si="4"/>
        <v>21499035</v>
      </c>
      <c r="AF28" s="72">
        <f t="shared" si="4"/>
        <v>22794073</v>
      </c>
      <c r="AG28" s="72">
        <f t="shared" si="4"/>
        <v>24965449</v>
      </c>
      <c r="AH28" s="72">
        <f t="shared" si="4"/>
        <v>26388762</v>
      </c>
      <c r="AI28" s="72">
        <f t="shared" si="4"/>
        <v>27766998</v>
      </c>
      <c r="AJ28" s="72">
        <f t="shared" si="4"/>
        <v>26928571</v>
      </c>
      <c r="AK28" s="72">
        <f t="shared" si="4"/>
        <v>28739483</v>
      </c>
      <c r="AL28" s="72">
        <f t="shared" si="4"/>
        <v>30681322</v>
      </c>
      <c r="AM28" s="72">
        <f t="shared" si="4"/>
        <v>29922921</v>
      </c>
      <c r="AN28" s="72">
        <f t="shared" si="4"/>
        <v>21466290</v>
      </c>
      <c r="AO28" s="72">
        <f t="shared" si="4"/>
        <v>25810613</v>
      </c>
      <c r="AP28" s="72">
        <f t="shared" si="4"/>
        <v>27808799</v>
      </c>
    </row>
    <row r="29" spans="1:42">
      <c r="A29" s="70" t="s">
        <v>556</v>
      </c>
      <c r="B29" s="70" t="s">
        <v>555</v>
      </c>
      <c r="C29" s="72">
        <f t="shared" ref="C29:AP29" si="5">SUM(C17:C17)*(81.51/115.83)</f>
        <v>250478615.7037037</v>
      </c>
      <c r="D29" s="72">
        <f t="shared" si="5"/>
        <v>272932346.33333331</v>
      </c>
      <c r="E29" s="72">
        <f t="shared" si="5"/>
        <v>273650969.96296299</v>
      </c>
      <c r="F29" s="72">
        <f t="shared" si="5"/>
        <v>251564962.51851854</v>
      </c>
      <c r="G29" s="72">
        <f t="shared" si="5"/>
        <v>260576093.22222224</v>
      </c>
      <c r="H29" s="72">
        <f t="shared" si="5"/>
        <v>263830754.51851854</v>
      </c>
      <c r="I29" s="72">
        <f t="shared" si="5"/>
        <v>257569013.18518519</v>
      </c>
      <c r="J29" s="72">
        <f t="shared" si="5"/>
        <v>255633979.2962963</v>
      </c>
      <c r="K29" s="72">
        <f t="shared" si="5"/>
        <v>259531451.4074074</v>
      </c>
      <c r="L29" s="72">
        <f t="shared" si="5"/>
        <v>251958437.74074075</v>
      </c>
      <c r="M29" s="72">
        <f t="shared" si="5"/>
        <v>274348662.62962961</v>
      </c>
      <c r="N29" s="72">
        <f t="shared" si="5"/>
        <v>254854055.33333334</v>
      </c>
      <c r="O29" s="72">
        <f t="shared" si="5"/>
        <v>246849491.14814815</v>
      </c>
      <c r="P29" s="72">
        <f t="shared" si="5"/>
        <v>256627606.81481481</v>
      </c>
      <c r="Q29" s="72">
        <f t="shared" si="5"/>
        <v>276225835.18518519</v>
      </c>
      <c r="R29" s="72">
        <f t="shared" si="5"/>
        <v>265194401.4074074</v>
      </c>
      <c r="S29" s="72">
        <f t="shared" si="5"/>
        <v>262108015.37037039</v>
      </c>
      <c r="T29" s="72">
        <f t="shared" si="5"/>
        <v>274796151.33333331</v>
      </c>
      <c r="U29" s="72">
        <f t="shared" si="5"/>
        <v>270203061.77777779</v>
      </c>
      <c r="V29" s="72">
        <f t="shared" si="5"/>
        <v>247903512.62962964</v>
      </c>
      <c r="W29" s="72">
        <f t="shared" si="5"/>
        <v>291704530</v>
      </c>
      <c r="X29" s="72">
        <f t="shared" si="5"/>
        <v>279530629.03703701</v>
      </c>
      <c r="Y29" s="72">
        <f t="shared" si="5"/>
        <v>284346490.77777779</v>
      </c>
      <c r="Z29" s="72">
        <f t="shared" si="5"/>
        <v>268637658.1111111</v>
      </c>
      <c r="AA29" s="72">
        <f t="shared" si="5"/>
        <v>265171415.62962964</v>
      </c>
      <c r="AB29" s="72">
        <f t="shared" si="5"/>
        <v>282766011.66666669</v>
      </c>
      <c r="AC29" s="72">
        <f t="shared" si="5"/>
        <v>294515900.8888889</v>
      </c>
      <c r="AD29" s="72">
        <f t="shared" si="5"/>
        <v>265850730.37037039</v>
      </c>
      <c r="AE29" s="72">
        <f t="shared" si="5"/>
        <v>268069530.66666669</v>
      </c>
      <c r="AF29" s="72">
        <f t="shared" si="5"/>
        <v>271629877.33333331</v>
      </c>
      <c r="AG29" s="72">
        <f t="shared" si="5"/>
        <v>304815877.5925926</v>
      </c>
      <c r="AH29" s="72">
        <f t="shared" si="5"/>
        <v>282014351.25925928</v>
      </c>
      <c r="AI29" s="72">
        <f t="shared" si="5"/>
        <v>249888080.22222224</v>
      </c>
      <c r="AJ29" s="72">
        <f t="shared" si="5"/>
        <v>292968698.51851851</v>
      </c>
      <c r="AK29" s="72">
        <f t="shared" si="5"/>
        <v>276481171.96296299</v>
      </c>
      <c r="AL29" s="72">
        <f t="shared" si="5"/>
        <v>276609948.33333331</v>
      </c>
      <c r="AM29" s="72">
        <f t="shared" si="5"/>
        <v>263998732.81481484</v>
      </c>
      <c r="AN29" s="72">
        <f t="shared" si="5"/>
        <v>160975714.7037037</v>
      </c>
      <c r="AO29" s="72">
        <f t="shared" si="5"/>
        <v>257368197.25925925</v>
      </c>
      <c r="AP29" s="72">
        <f t="shared" si="5"/>
        <v>231835185.18518519</v>
      </c>
    </row>
    <row r="30" spans="1:42">
      <c r="A30" s="70" t="s">
        <v>558</v>
      </c>
      <c r="B30" s="70" t="s">
        <v>555</v>
      </c>
      <c r="C30" s="72">
        <f t="shared" ref="C30:AP30" si="6">C19*(129.65/115.83)</f>
        <v>364074.39264439268</v>
      </c>
      <c r="D30" s="72">
        <f t="shared" si="6"/>
        <v>399521.90926357597</v>
      </c>
      <c r="E30" s="72">
        <f t="shared" si="6"/>
        <v>517375.47181213851</v>
      </c>
      <c r="F30" s="72">
        <f t="shared" si="6"/>
        <v>737695.40404040413</v>
      </c>
      <c r="G30" s="72">
        <f t="shared" si="6"/>
        <v>797211.50349650357</v>
      </c>
      <c r="H30" s="72">
        <f t="shared" si="6"/>
        <v>809521.70551670552</v>
      </c>
      <c r="I30" s="72">
        <f t="shared" si="6"/>
        <v>944359.72027972038</v>
      </c>
      <c r="J30" s="72">
        <f t="shared" si="6"/>
        <v>7315545.1830268502</v>
      </c>
      <c r="K30" s="72">
        <f t="shared" si="6"/>
        <v>9158431.0036260039</v>
      </c>
      <c r="L30" s="72">
        <f t="shared" si="6"/>
        <v>26373899.303289305</v>
      </c>
      <c r="M30" s="72">
        <f t="shared" si="6"/>
        <v>45230749.139255807</v>
      </c>
      <c r="N30" s="72">
        <f t="shared" si="6"/>
        <v>50128263.058361396</v>
      </c>
      <c r="O30" s="72">
        <f t="shared" si="6"/>
        <v>28958845.847794183</v>
      </c>
      <c r="P30" s="72">
        <f t="shared" si="6"/>
        <v>29850018.063109733</v>
      </c>
      <c r="Q30" s="72">
        <f t="shared" si="6"/>
        <v>40840586.126651131</v>
      </c>
      <c r="R30" s="72">
        <f t="shared" si="6"/>
        <v>26659254.666321333</v>
      </c>
      <c r="S30" s="72">
        <f t="shared" si="6"/>
        <v>30287227.233877234</v>
      </c>
      <c r="T30" s="72">
        <f t="shared" si="6"/>
        <v>45641505.590952262</v>
      </c>
      <c r="U30" s="72">
        <f t="shared" si="6"/>
        <v>57270275.583613917</v>
      </c>
      <c r="V30" s="72">
        <f t="shared" si="6"/>
        <v>51662141.31744799</v>
      </c>
      <c r="W30" s="72">
        <f t="shared" si="6"/>
        <v>48873010.853837527</v>
      </c>
      <c r="X30" s="72">
        <f t="shared" si="6"/>
        <v>84744621.655874997</v>
      </c>
      <c r="Y30" s="72">
        <f t="shared" si="6"/>
        <v>71464217.221790567</v>
      </c>
      <c r="Z30" s="72">
        <f t="shared" si="6"/>
        <v>81094145.304756969</v>
      </c>
      <c r="AA30" s="72">
        <f t="shared" si="6"/>
        <v>76897466.70033671</v>
      </c>
      <c r="AB30" s="72">
        <f t="shared" si="6"/>
        <v>105442576.48579817</v>
      </c>
      <c r="AC30" s="72">
        <f t="shared" si="6"/>
        <v>106815973.27419494</v>
      </c>
      <c r="AD30" s="72">
        <f t="shared" si="6"/>
        <v>86333568.984718993</v>
      </c>
      <c r="AE30" s="72">
        <f t="shared" si="6"/>
        <v>105159009.78459813</v>
      </c>
      <c r="AF30" s="72">
        <f t="shared" si="6"/>
        <v>112478316.97789866</v>
      </c>
      <c r="AG30" s="72">
        <f t="shared" si="6"/>
        <v>89249979.863161534</v>
      </c>
      <c r="AH30" s="72">
        <f t="shared" si="6"/>
        <v>122443080.76491411</v>
      </c>
      <c r="AI30" s="72">
        <f t="shared" si="6"/>
        <v>178623329.26228094</v>
      </c>
      <c r="AJ30" s="72">
        <f t="shared" si="6"/>
        <v>179435663.80082881</v>
      </c>
      <c r="AK30" s="72">
        <f t="shared" si="6"/>
        <v>149114730.70102736</v>
      </c>
      <c r="AL30" s="72">
        <f t="shared" si="6"/>
        <v>184438666.23413625</v>
      </c>
      <c r="AM30" s="72">
        <f t="shared" si="6"/>
        <v>146330912.49589917</v>
      </c>
      <c r="AN30" s="72">
        <f t="shared" si="6"/>
        <v>170153206.22463956</v>
      </c>
      <c r="AO30" s="72">
        <f t="shared" si="6"/>
        <v>156936911.54968488</v>
      </c>
      <c r="AP30" s="72">
        <f t="shared" si="6"/>
        <v>185800273.30095831</v>
      </c>
    </row>
    <row r="31" spans="1:42">
      <c r="A31" s="70" t="s">
        <v>564</v>
      </c>
      <c r="B31" s="70" t="s">
        <v>555</v>
      </c>
      <c r="C31" s="72">
        <f t="shared" ref="C31:AO31" si="7">C15+(C20*(126.37/115.83))+(C21*(122.37/115.83))+(C22*(89.63/115.83))</f>
        <v>0</v>
      </c>
      <c r="D31" s="72">
        <f t="shared" si="7"/>
        <v>0</v>
      </c>
      <c r="E31" s="72">
        <f t="shared" si="7"/>
        <v>0</v>
      </c>
      <c r="F31" s="72">
        <f t="shared" si="7"/>
        <v>0</v>
      </c>
      <c r="G31" s="72">
        <f t="shared" si="7"/>
        <v>0</v>
      </c>
      <c r="H31" s="72">
        <f t="shared" si="7"/>
        <v>0</v>
      </c>
      <c r="I31" s="72">
        <f t="shared" si="7"/>
        <v>0</v>
      </c>
      <c r="J31" s="72">
        <f t="shared" si="7"/>
        <v>0</v>
      </c>
      <c r="K31" s="72">
        <f t="shared" si="7"/>
        <v>0</v>
      </c>
      <c r="L31" s="72">
        <f t="shared" si="7"/>
        <v>0</v>
      </c>
      <c r="M31" s="72">
        <f t="shared" si="7"/>
        <v>0</v>
      </c>
      <c r="N31" s="72">
        <f t="shared" si="7"/>
        <v>0</v>
      </c>
      <c r="O31" s="72">
        <f t="shared" si="7"/>
        <v>0</v>
      </c>
      <c r="P31" s="72">
        <f t="shared" si="7"/>
        <v>0</v>
      </c>
      <c r="Q31" s="72">
        <f t="shared" si="7"/>
        <v>0</v>
      </c>
      <c r="R31" s="72">
        <f t="shared" si="7"/>
        <v>0</v>
      </c>
      <c r="S31" s="72">
        <f t="shared" si="7"/>
        <v>0</v>
      </c>
      <c r="T31" s="72">
        <f t="shared" si="7"/>
        <v>0</v>
      </c>
      <c r="U31" s="72">
        <f t="shared" si="7"/>
        <v>2364</v>
      </c>
      <c r="V31" s="72">
        <f t="shared" si="7"/>
        <v>1113</v>
      </c>
      <c r="W31" s="72">
        <f t="shared" si="7"/>
        <v>1519</v>
      </c>
      <c r="X31" s="72">
        <f t="shared" si="7"/>
        <v>1255</v>
      </c>
      <c r="Y31" s="72">
        <f t="shared" si="7"/>
        <v>41</v>
      </c>
      <c r="Z31" s="72">
        <f t="shared" si="7"/>
        <v>88</v>
      </c>
      <c r="AA31" s="72">
        <f t="shared" si="7"/>
        <v>43492</v>
      </c>
      <c r="AB31" s="72">
        <f t="shared" si="7"/>
        <v>63903</v>
      </c>
      <c r="AC31" s="72">
        <f t="shared" si="7"/>
        <v>76453</v>
      </c>
      <c r="AD31" s="72">
        <f t="shared" si="7"/>
        <v>84347</v>
      </c>
      <c r="AE31" s="72">
        <f t="shared" si="7"/>
        <v>113659</v>
      </c>
      <c r="AF31" s="72">
        <f t="shared" si="7"/>
        <v>133239</v>
      </c>
      <c r="AG31" s="72">
        <f t="shared" si="7"/>
        <v>142747</v>
      </c>
      <c r="AH31" s="72">
        <f t="shared" si="7"/>
        <v>349572.01036001038</v>
      </c>
      <c r="AI31" s="72">
        <f t="shared" si="7"/>
        <v>499500.71043771046</v>
      </c>
      <c r="AJ31" s="72">
        <f t="shared" si="7"/>
        <v>2520982.937235604</v>
      </c>
      <c r="AK31" s="72">
        <f t="shared" si="7"/>
        <v>2604904.8475351809</v>
      </c>
      <c r="AL31" s="72">
        <f t="shared" si="7"/>
        <v>2537208.993265993</v>
      </c>
      <c r="AM31" s="72">
        <f t="shared" si="7"/>
        <v>5682992.2373305699</v>
      </c>
      <c r="AN31" s="72">
        <f t="shared" si="7"/>
        <v>8330549.0734697394</v>
      </c>
      <c r="AO31" s="72">
        <f t="shared" si="7"/>
        <v>10404526.045066044</v>
      </c>
      <c r="AP31" s="72">
        <f>AP15+(AP20*(126.37/115.83))+(AP21*(122.37/115.83))+(AP22*(89.63/115.83))</f>
        <v>7935834.0198566858</v>
      </c>
    </row>
    <row r="32" spans="1:42">
      <c r="C32" s="72"/>
      <c r="D32" s="72"/>
      <c r="E32" s="72"/>
      <c r="F32" s="72"/>
      <c r="G32" s="72"/>
      <c r="H32" s="72"/>
      <c r="I32" s="72"/>
      <c r="J32" s="72"/>
      <c r="K32" s="72"/>
      <c r="L32" s="72"/>
      <c r="M32" s="72"/>
      <c r="N32" s="72"/>
      <c r="O32" s="72"/>
      <c r="P32" s="72"/>
      <c r="Q32" s="72"/>
      <c r="R32" s="72"/>
      <c r="S32" s="72"/>
      <c r="T32" s="72"/>
      <c r="U32" s="72"/>
      <c r="V32" s="72"/>
      <c r="W32" s="72"/>
      <c r="X32" s="72"/>
      <c r="Y32" s="72"/>
      <c r="Z32" s="72"/>
    </row>
    <row r="33" spans="1:32">
      <c r="AE33" s="71">
        <v>2020</v>
      </c>
    </row>
    <row r="34" spans="1:32">
      <c r="A34" s="70" t="s">
        <v>11</v>
      </c>
      <c r="AE34" s="73">
        <f>AM25+AN25+AO25+AP25+AM30+AN30+AO30+AP30</f>
        <v>949447846.99378395</v>
      </c>
    </row>
    <row r="35" spans="1:32">
      <c r="A35" s="70" t="s">
        <v>154</v>
      </c>
      <c r="AE35" s="73">
        <f>(AM29+AN29+AO29+AP29)</f>
        <v>914177829.96296299</v>
      </c>
    </row>
    <row r="36" spans="1:32">
      <c r="AE36" s="73"/>
    </row>
    <row r="37" spans="1:32">
      <c r="A37" s="70" t="s">
        <v>556</v>
      </c>
      <c r="AE37" s="73"/>
    </row>
    <row r="38" spans="1:32">
      <c r="AE38" s="73"/>
    </row>
    <row r="39" spans="1:32">
      <c r="B39" s="76"/>
      <c r="AE39" s="73"/>
    </row>
    <row r="40" spans="1:32">
      <c r="B40" s="76"/>
      <c r="AE40" s="73"/>
    </row>
    <row r="41" spans="1:32">
      <c r="B41" s="76"/>
    </row>
    <row r="42" spans="1:32">
      <c r="B42" s="77">
        <v>2019</v>
      </c>
    </row>
    <row r="43" spans="1:32">
      <c r="A43" s="70" t="s">
        <v>567</v>
      </c>
      <c r="B43" s="76">
        <v>478.7</v>
      </c>
      <c r="AE43" s="70" t="s">
        <v>566</v>
      </c>
    </row>
    <row r="44" spans="1:32">
      <c r="B44" s="76">
        <f>B43/A54*1000</f>
        <v>3.7877828770375062</v>
      </c>
      <c r="AE44" s="70" t="s">
        <v>568</v>
      </c>
    </row>
    <row r="45" spans="1:32">
      <c r="AE45" s="76">
        <f>B44</f>
        <v>3.7877828770375062</v>
      </c>
      <c r="AF45" s="70" t="s">
        <v>569</v>
      </c>
    </row>
    <row r="52" spans="1:31">
      <c r="A52" s="70">
        <v>128700</v>
      </c>
      <c r="B52" s="75">
        <v>0.8</v>
      </c>
      <c r="AE52" s="70" t="s">
        <v>153</v>
      </c>
    </row>
    <row r="53" spans="1:31">
      <c r="A53" s="70">
        <v>117100</v>
      </c>
      <c r="B53" s="75">
        <v>0.2</v>
      </c>
      <c r="AE53" s="70" t="s">
        <v>11</v>
      </c>
    </row>
    <row r="54" spans="1:31">
      <c r="A54" s="70">
        <f>A52*B52+A53*B53</f>
        <v>126380</v>
      </c>
      <c r="B54" s="70" t="s">
        <v>570</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A714E-2B8F-4A3C-9E70-EB36A97C61DF}">
  <sheetPr>
    <tabColor theme="0" tint="-0.14999847407452621"/>
  </sheetPr>
  <dimension ref="A1:AG66"/>
  <sheetViews>
    <sheetView workbookViewId="0">
      <selection activeCell="B1" sqref="B1"/>
    </sheetView>
  </sheetViews>
  <sheetFormatPr defaultColWidth="8.81640625" defaultRowHeight="14.5"/>
  <cols>
    <col min="1" max="1" width="32.81640625" style="113" customWidth="1"/>
    <col min="2" max="16384" width="8.81640625" style="113"/>
  </cols>
  <sheetData>
    <row r="1" spans="1:33">
      <c r="A1" s="33" t="s">
        <v>143</v>
      </c>
      <c r="B1" s="113">
        <v>8.4919999999999995E-2</v>
      </c>
    </row>
    <row r="2" spans="1:33">
      <c r="A2" s="10" t="s">
        <v>144</v>
      </c>
    </row>
    <row r="11" spans="1:33">
      <c r="B11" s="33">
        <v>2019</v>
      </c>
      <c r="C11" s="33">
        <v>2020</v>
      </c>
      <c r="D11" s="33">
        <v>2021</v>
      </c>
      <c r="E11" s="33">
        <v>2022</v>
      </c>
      <c r="F11" s="33">
        <v>2023</v>
      </c>
      <c r="G11" s="33">
        <v>2024</v>
      </c>
      <c r="H11" s="33">
        <v>2025</v>
      </c>
      <c r="I11" s="33">
        <v>2026</v>
      </c>
      <c r="J11" s="33">
        <v>2027</v>
      </c>
      <c r="K11" s="33">
        <v>2028</v>
      </c>
      <c r="L11" s="33">
        <v>2029</v>
      </c>
      <c r="M11" s="33">
        <v>2030</v>
      </c>
      <c r="N11" s="33">
        <v>2031</v>
      </c>
      <c r="O11" s="33">
        <v>2032</v>
      </c>
      <c r="P11" s="33">
        <v>2033</v>
      </c>
      <c r="Q11" s="33">
        <v>2034</v>
      </c>
      <c r="R11" s="33">
        <v>2035</v>
      </c>
      <c r="S11" s="33">
        <v>2036</v>
      </c>
      <c r="T11" s="33">
        <v>2037</v>
      </c>
      <c r="U11" s="33">
        <v>2038</v>
      </c>
      <c r="V11" s="33">
        <v>2039</v>
      </c>
      <c r="W11" s="33">
        <v>2040</v>
      </c>
      <c r="X11" s="33">
        <v>2041</v>
      </c>
      <c r="Y11" s="33">
        <v>2042</v>
      </c>
      <c r="Z11" s="33">
        <v>2043</v>
      </c>
      <c r="AA11" s="33">
        <v>2044</v>
      </c>
      <c r="AB11" s="33">
        <v>2045</v>
      </c>
      <c r="AC11" s="33">
        <v>2046</v>
      </c>
      <c r="AD11" s="33">
        <v>2047</v>
      </c>
      <c r="AE11" s="33">
        <v>2048</v>
      </c>
      <c r="AF11" s="33">
        <v>2049</v>
      </c>
      <c r="AG11" s="33">
        <v>2050</v>
      </c>
    </row>
    <row r="12" spans="1:33">
      <c r="A12" s="113" t="s">
        <v>145</v>
      </c>
      <c r="B12" s="113">
        <f t="shared" ref="B12:Q15" si="0">$B$1</f>
        <v>8.4919999999999995E-2</v>
      </c>
      <c r="C12" s="113">
        <f t="shared" si="0"/>
        <v>8.4919999999999995E-2</v>
      </c>
      <c r="D12" s="113">
        <f t="shared" si="0"/>
        <v>8.4919999999999995E-2</v>
      </c>
      <c r="E12" s="113">
        <f t="shared" si="0"/>
        <v>8.4919999999999995E-2</v>
      </c>
      <c r="F12" s="113">
        <f t="shared" si="0"/>
        <v>8.4919999999999995E-2</v>
      </c>
      <c r="G12" s="113">
        <f t="shared" si="0"/>
        <v>8.4919999999999995E-2</v>
      </c>
      <c r="H12" s="113">
        <f t="shared" si="0"/>
        <v>8.4919999999999995E-2</v>
      </c>
      <c r="I12" s="113">
        <f t="shared" si="0"/>
        <v>8.4919999999999995E-2</v>
      </c>
      <c r="J12" s="113">
        <f t="shared" si="0"/>
        <v>8.4919999999999995E-2</v>
      </c>
      <c r="K12" s="113">
        <f t="shared" si="0"/>
        <v>8.4919999999999995E-2</v>
      </c>
      <c r="L12" s="113">
        <f t="shared" si="0"/>
        <v>8.4919999999999995E-2</v>
      </c>
      <c r="M12" s="113">
        <f t="shared" si="0"/>
        <v>8.4919999999999995E-2</v>
      </c>
      <c r="N12" s="113">
        <f t="shared" si="0"/>
        <v>8.4919999999999995E-2</v>
      </c>
      <c r="O12" s="113">
        <f t="shared" si="0"/>
        <v>8.4919999999999995E-2</v>
      </c>
      <c r="P12" s="113">
        <f t="shared" si="0"/>
        <v>8.4919999999999995E-2</v>
      </c>
      <c r="Q12" s="113">
        <f t="shared" si="0"/>
        <v>8.4919999999999995E-2</v>
      </c>
      <c r="R12" s="113">
        <f t="shared" ref="R12:AG15" si="1">$B$1</f>
        <v>8.4919999999999995E-2</v>
      </c>
      <c r="S12" s="113">
        <f t="shared" si="1"/>
        <v>8.4919999999999995E-2</v>
      </c>
      <c r="T12" s="113">
        <f t="shared" si="1"/>
        <v>8.4919999999999995E-2</v>
      </c>
      <c r="U12" s="113">
        <f t="shared" si="1"/>
        <v>8.4919999999999995E-2</v>
      </c>
      <c r="V12" s="113">
        <f t="shared" si="1"/>
        <v>8.4919999999999995E-2</v>
      </c>
      <c r="W12" s="113">
        <f t="shared" si="1"/>
        <v>8.4919999999999995E-2</v>
      </c>
      <c r="X12" s="113">
        <f t="shared" si="1"/>
        <v>8.4919999999999995E-2</v>
      </c>
      <c r="Y12" s="113">
        <f t="shared" si="1"/>
        <v>8.4919999999999995E-2</v>
      </c>
      <c r="Z12" s="113">
        <f t="shared" si="1"/>
        <v>8.4919999999999995E-2</v>
      </c>
      <c r="AA12" s="113">
        <f t="shared" si="1"/>
        <v>8.4919999999999995E-2</v>
      </c>
      <c r="AB12" s="113">
        <f t="shared" si="1"/>
        <v>8.4919999999999995E-2</v>
      </c>
      <c r="AC12" s="113">
        <f t="shared" si="1"/>
        <v>8.4919999999999995E-2</v>
      </c>
      <c r="AD12" s="113">
        <f t="shared" si="1"/>
        <v>8.4919999999999995E-2</v>
      </c>
      <c r="AE12" s="113">
        <f t="shared" si="1"/>
        <v>8.4919999999999995E-2</v>
      </c>
      <c r="AF12" s="113">
        <f t="shared" si="1"/>
        <v>8.4919999999999995E-2</v>
      </c>
      <c r="AG12" s="113">
        <f t="shared" si="1"/>
        <v>8.4919999999999995E-2</v>
      </c>
    </row>
    <row r="13" spans="1:33">
      <c r="A13" s="113" t="s">
        <v>146</v>
      </c>
      <c r="B13" s="113">
        <f t="shared" si="0"/>
        <v>8.4919999999999995E-2</v>
      </c>
      <c r="C13" s="113">
        <f t="shared" si="0"/>
        <v>8.4919999999999995E-2</v>
      </c>
      <c r="D13" s="113">
        <f t="shared" si="0"/>
        <v>8.4919999999999995E-2</v>
      </c>
      <c r="E13" s="113">
        <f t="shared" si="0"/>
        <v>8.4919999999999995E-2</v>
      </c>
      <c r="F13" s="113">
        <f t="shared" si="0"/>
        <v>8.4919999999999995E-2</v>
      </c>
      <c r="G13" s="113">
        <f t="shared" si="0"/>
        <v>8.4919999999999995E-2</v>
      </c>
      <c r="H13" s="113">
        <f t="shared" si="0"/>
        <v>8.4919999999999995E-2</v>
      </c>
      <c r="I13" s="113">
        <f t="shared" si="0"/>
        <v>8.4919999999999995E-2</v>
      </c>
      <c r="J13" s="113">
        <f t="shared" si="0"/>
        <v>8.4919999999999995E-2</v>
      </c>
      <c r="K13" s="113">
        <f t="shared" si="0"/>
        <v>8.4919999999999995E-2</v>
      </c>
      <c r="L13" s="113">
        <f t="shared" si="0"/>
        <v>8.4919999999999995E-2</v>
      </c>
      <c r="M13" s="113">
        <f t="shared" si="0"/>
        <v>8.4919999999999995E-2</v>
      </c>
      <c r="N13" s="113">
        <f t="shared" si="0"/>
        <v>8.4919999999999995E-2</v>
      </c>
      <c r="O13" s="113">
        <f t="shared" si="0"/>
        <v>8.4919999999999995E-2</v>
      </c>
      <c r="P13" s="113">
        <f t="shared" si="0"/>
        <v>8.4919999999999995E-2</v>
      </c>
      <c r="Q13" s="113">
        <f t="shared" si="0"/>
        <v>8.4919999999999995E-2</v>
      </c>
      <c r="R13" s="113">
        <f t="shared" si="1"/>
        <v>8.4919999999999995E-2</v>
      </c>
      <c r="S13" s="113">
        <f t="shared" si="1"/>
        <v>8.4919999999999995E-2</v>
      </c>
      <c r="T13" s="113">
        <f t="shared" si="1"/>
        <v>8.4919999999999995E-2</v>
      </c>
      <c r="U13" s="113">
        <f t="shared" si="1"/>
        <v>8.4919999999999995E-2</v>
      </c>
      <c r="V13" s="113">
        <f t="shared" si="1"/>
        <v>8.4919999999999995E-2</v>
      </c>
      <c r="W13" s="113">
        <f t="shared" si="1"/>
        <v>8.4919999999999995E-2</v>
      </c>
      <c r="X13" s="113">
        <f t="shared" si="1"/>
        <v>8.4919999999999995E-2</v>
      </c>
      <c r="Y13" s="113">
        <f t="shared" si="1"/>
        <v>8.4919999999999995E-2</v>
      </c>
      <c r="Z13" s="113">
        <f t="shared" si="1"/>
        <v>8.4919999999999995E-2</v>
      </c>
      <c r="AA13" s="113">
        <f t="shared" si="1"/>
        <v>8.4919999999999995E-2</v>
      </c>
      <c r="AB13" s="113">
        <f t="shared" si="1"/>
        <v>8.4919999999999995E-2</v>
      </c>
      <c r="AC13" s="113">
        <f t="shared" si="1"/>
        <v>8.4919999999999995E-2</v>
      </c>
      <c r="AD13" s="113">
        <f t="shared" si="1"/>
        <v>8.4919999999999995E-2</v>
      </c>
      <c r="AE13" s="113">
        <f t="shared" si="1"/>
        <v>8.4919999999999995E-2</v>
      </c>
      <c r="AF13" s="113">
        <f t="shared" si="1"/>
        <v>8.4919999999999995E-2</v>
      </c>
      <c r="AG13" s="113">
        <f t="shared" si="1"/>
        <v>8.4919999999999995E-2</v>
      </c>
    </row>
    <row r="14" spans="1:33">
      <c r="A14" s="113" t="s">
        <v>147</v>
      </c>
      <c r="B14" s="113">
        <f t="shared" si="0"/>
        <v>8.4919999999999995E-2</v>
      </c>
      <c r="C14" s="113">
        <f t="shared" si="0"/>
        <v>8.4919999999999995E-2</v>
      </c>
      <c r="D14" s="113">
        <f t="shared" si="0"/>
        <v>8.4919999999999995E-2</v>
      </c>
      <c r="E14" s="113">
        <f t="shared" si="0"/>
        <v>8.4919999999999995E-2</v>
      </c>
      <c r="F14" s="113">
        <f t="shared" si="0"/>
        <v>8.4919999999999995E-2</v>
      </c>
      <c r="G14" s="113">
        <f t="shared" si="0"/>
        <v>8.4919999999999995E-2</v>
      </c>
      <c r="H14" s="113">
        <f t="shared" si="0"/>
        <v>8.4919999999999995E-2</v>
      </c>
      <c r="I14" s="113">
        <f t="shared" si="0"/>
        <v>8.4919999999999995E-2</v>
      </c>
      <c r="J14" s="113">
        <f t="shared" si="0"/>
        <v>8.4919999999999995E-2</v>
      </c>
      <c r="K14" s="113">
        <f t="shared" si="0"/>
        <v>8.4919999999999995E-2</v>
      </c>
      <c r="L14" s="113">
        <f t="shared" si="0"/>
        <v>8.4919999999999995E-2</v>
      </c>
      <c r="M14" s="113">
        <f t="shared" si="0"/>
        <v>8.4919999999999995E-2</v>
      </c>
      <c r="N14" s="113">
        <f t="shared" si="0"/>
        <v>8.4919999999999995E-2</v>
      </c>
      <c r="O14" s="113">
        <f t="shared" si="0"/>
        <v>8.4919999999999995E-2</v>
      </c>
      <c r="P14" s="113">
        <f t="shared" si="0"/>
        <v>8.4919999999999995E-2</v>
      </c>
      <c r="Q14" s="113">
        <f t="shared" si="0"/>
        <v>8.4919999999999995E-2</v>
      </c>
      <c r="R14" s="113">
        <f t="shared" si="1"/>
        <v>8.4919999999999995E-2</v>
      </c>
      <c r="S14" s="113">
        <f t="shared" si="1"/>
        <v>8.4919999999999995E-2</v>
      </c>
      <c r="T14" s="113">
        <f t="shared" si="1"/>
        <v>8.4919999999999995E-2</v>
      </c>
      <c r="U14" s="113">
        <f t="shared" si="1"/>
        <v>8.4919999999999995E-2</v>
      </c>
      <c r="V14" s="113">
        <f t="shared" si="1"/>
        <v>8.4919999999999995E-2</v>
      </c>
      <c r="W14" s="113">
        <f t="shared" si="1"/>
        <v>8.4919999999999995E-2</v>
      </c>
      <c r="X14" s="113">
        <f t="shared" si="1"/>
        <v>8.4919999999999995E-2</v>
      </c>
      <c r="Y14" s="113">
        <f t="shared" si="1"/>
        <v>8.4919999999999995E-2</v>
      </c>
      <c r="Z14" s="113">
        <f t="shared" si="1"/>
        <v>8.4919999999999995E-2</v>
      </c>
      <c r="AA14" s="113">
        <f t="shared" si="1"/>
        <v>8.4919999999999995E-2</v>
      </c>
      <c r="AB14" s="113">
        <f t="shared" si="1"/>
        <v>8.4919999999999995E-2</v>
      </c>
      <c r="AC14" s="113">
        <f t="shared" si="1"/>
        <v>8.4919999999999995E-2</v>
      </c>
      <c r="AD14" s="113">
        <f t="shared" si="1"/>
        <v>8.4919999999999995E-2</v>
      </c>
      <c r="AE14" s="113">
        <f t="shared" si="1"/>
        <v>8.4919999999999995E-2</v>
      </c>
      <c r="AF14" s="113">
        <f t="shared" si="1"/>
        <v>8.4919999999999995E-2</v>
      </c>
      <c r="AG14" s="113">
        <f t="shared" si="1"/>
        <v>8.4919999999999995E-2</v>
      </c>
    </row>
    <row r="15" spans="1:33">
      <c r="A15" s="113" t="s">
        <v>148</v>
      </c>
      <c r="B15" s="113">
        <f t="shared" si="0"/>
        <v>8.4919999999999995E-2</v>
      </c>
      <c r="C15" s="113">
        <f t="shared" si="0"/>
        <v>8.4919999999999995E-2</v>
      </c>
      <c r="D15" s="113">
        <f t="shared" si="0"/>
        <v>8.4919999999999995E-2</v>
      </c>
      <c r="E15" s="113">
        <f t="shared" si="0"/>
        <v>8.4919999999999995E-2</v>
      </c>
      <c r="F15" s="113">
        <f t="shared" si="0"/>
        <v>8.4919999999999995E-2</v>
      </c>
      <c r="G15" s="113">
        <f t="shared" si="0"/>
        <v>8.4919999999999995E-2</v>
      </c>
      <c r="H15" s="113">
        <f t="shared" si="0"/>
        <v>8.4919999999999995E-2</v>
      </c>
      <c r="I15" s="113">
        <f t="shared" si="0"/>
        <v>8.4919999999999995E-2</v>
      </c>
      <c r="J15" s="113">
        <f t="shared" si="0"/>
        <v>8.4919999999999995E-2</v>
      </c>
      <c r="K15" s="113">
        <f t="shared" si="0"/>
        <v>8.4919999999999995E-2</v>
      </c>
      <c r="L15" s="113">
        <f t="shared" si="0"/>
        <v>8.4919999999999995E-2</v>
      </c>
      <c r="M15" s="113">
        <f t="shared" si="0"/>
        <v>8.4919999999999995E-2</v>
      </c>
      <c r="N15" s="113">
        <f t="shared" si="0"/>
        <v>8.4919999999999995E-2</v>
      </c>
      <c r="O15" s="113">
        <f t="shared" si="0"/>
        <v>8.4919999999999995E-2</v>
      </c>
      <c r="P15" s="113">
        <f t="shared" si="0"/>
        <v>8.4919999999999995E-2</v>
      </c>
      <c r="Q15" s="113">
        <f t="shared" si="0"/>
        <v>8.4919999999999995E-2</v>
      </c>
      <c r="R15" s="113">
        <f t="shared" si="1"/>
        <v>8.4919999999999995E-2</v>
      </c>
      <c r="S15" s="113">
        <f t="shared" si="1"/>
        <v>8.4919999999999995E-2</v>
      </c>
      <c r="T15" s="113">
        <f t="shared" si="1"/>
        <v>8.4919999999999995E-2</v>
      </c>
      <c r="U15" s="113">
        <f t="shared" si="1"/>
        <v>8.4919999999999995E-2</v>
      </c>
      <c r="V15" s="113">
        <f t="shared" si="1"/>
        <v>8.4919999999999995E-2</v>
      </c>
      <c r="W15" s="113">
        <f t="shared" si="1"/>
        <v>8.4919999999999995E-2</v>
      </c>
      <c r="X15" s="113">
        <f t="shared" si="1"/>
        <v>8.4919999999999995E-2</v>
      </c>
      <c r="Y15" s="113">
        <f t="shared" si="1"/>
        <v>8.4919999999999995E-2</v>
      </c>
      <c r="Z15" s="113">
        <f t="shared" si="1"/>
        <v>8.4919999999999995E-2</v>
      </c>
      <c r="AA15" s="113">
        <f t="shared" si="1"/>
        <v>8.4919999999999995E-2</v>
      </c>
      <c r="AB15" s="113">
        <f t="shared" si="1"/>
        <v>8.4919999999999995E-2</v>
      </c>
      <c r="AC15" s="113">
        <f t="shared" si="1"/>
        <v>8.4919999999999995E-2</v>
      </c>
      <c r="AD15" s="113">
        <f t="shared" si="1"/>
        <v>8.4919999999999995E-2</v>
      </c>
      <c r="AE15" s="113">
        <f t="shared" si="1"/>
        <v>8.4919999999999995E-2</v>
      </c>
      <c r="AF15" s="113">
        <f t="shared" si="1"/>
        <v>8.4919999999999995E-2</v>
      </c>
      <c r="AG15" s="113">
        <f t="shared" si="1"/>
        <v>8.4919999999999995E-2</v>
      </c>
    </row>
    <row r="16" spans="1:33">
      <c r="A16" s="5" t="s">
        <v>149</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row>
    <row r="17" spans="1:33">
      <c r="A17" s="5" t="s">
        <v>150</v>
      </c>
      <c r="B17" s="5">
        <v>0</v>
      </c>
      <c r="C17" s="5">
        <v>0</v>
      </c>
      <c r="D17" s="5">
        <v>0</v>
      </c>
      <c r="E17" s="5">
        <v>0</v>
      </c>
      <c r="F17" s="5">
        <v>0</v>
      </c>
      <c r="G17" s="5">
        <v>0</v>
      </c>
      <c r="H17" s="5">
        <v>0</v>
      </c>
      <c r="I17" s="5">
        <v>0</v>
      </c>
      <c r="J17" s="5">
        <v>0</v>
      </c>
      <c r="K17" s="5">
        <v>0</v>
      </c>
      <c r="L17" s="5">
        <v>0</v>
      </c>
      <c r="M17" s="5">
        <v>0</v>
      </c>
      <c r="N17" s="5">
        <v>0</v>
      </c>
      <c r="O17" s="5">
        <v>0</v>
      </c>
      <c r="P17" s="5">
        <v>0</v>
      </c>
      <c r="Q17" s="5">
        <v>0</v>
      </c>
      <c r="R17" s="5">
        <v>0</v>
      </c>
      <c r="S17" s="5">
        <v>0</v>
      </c>
      <c r="T17" s="5">
        <v>0</v>
      </c>
      <c r="U17" s="5">
        <v>0</v>
      </c>
      <c r="V17" s="5">
        <v>0</v>
      </c>
      <c r="W17" s="5">
        <v>0</v>
      </c>
      <c r="X17" s="5">
        <v>0</v>
      </c>
      <c r="Y17" s="5">
        <v>0</v>
      </c>
      <c r="Z17" s="5">
        <v>0</v>
      </c>
      <c r="AA17" s="5">
        <v>0</v>
      </c>
      <c r="AB17" s="5">
        <v>0</v>
      </c>
      <c r="AC17" s="5">
        <v>0</v>
      </c>
      <c r="AD17" s="5">
        <v>0</v>
      </c>
      <c r="AE17" s="5">
        <v>0</v>
      </c>
      <c r="AF17" s="5">
        <v>0</v>
      </c>
      <c r="AG17" s="5">
        <v>0</v>
      </c>
    </row>
    <row r="18" spans="1:33">
      <c r="A18" s="5" t="s">
        <v>151</v>
      </c>
      <c r="B18" s="5">
        <v>0</v>
      </c>
      <c r="C18" s="5">
        <v>0</v>
      </c>
      <c r="D18" s="5">
        <v>0</v>
      </c>
      <c r="E18" s="5">
        <v>0</v>
      </c>
      <c r="F18" s="5">
        <v>0</v>
      </c>
      <c r="G18" s="5">
        <v>0</v>
      </c>
      <c r="H18" s="5">
        <v>0</v>
      </c>
      <c r="I18" s="5">
        <v>0</v>
      </c>
      <c r="J18" s="5">
        <v>0</v>
      </c>
      <c r="K18" s="5">
        <v>0</v>
      </c>
      <c r="L18" s="5">
        <v>0</v>
      </c>
      <c r="M18" s="5">
        <v>0</v>
      </c>
      <c r="N18" s="5">
        <v>0</v>
      </c>
      <c r="O18" s="5">
        <v>0</v>
      </c>
      <c r="P18" s="5">
        <v>0</v>
      </c>
      <c r="Q18" s="5">
        <v>0</v>
      </c>
      <c r="R18" s="5">
        <v>0</v>
      </c>
      <c r="S18" s="5">
        <v>0</v>
      </c>
      <c r="T18" s="5">
        <v>0</v>
      </c>
      <c r="U18" s="5">
        <v>0</v>
      </c>
      <c r="V18" s="5">
        <v>0</v>
      </c>
      <c r="W18" s="5">
        <v>0</v>
      </c>
      <c r="X18" s="5">
        <v>0</v>
      </c>
      <c r="Y18" s="5">
        <v>0</v>
      </c>
      <c r="Z18" s="5">
        <v>0</v>
      </c>
      <c r="AA18" s="5">
        <v>0</v>
      </c>
      <c r="AB18" s="5">
        <v>0</v>
      </c>
      <c r="AC18" s="5">
        <v>0</v>
      </c>
      <c r="AD18" s="5">
        <v>0</v>
      </c>
      <c r="AE18" s="5">
        <v>0</v>
      </c>
      <c r="AF18" s="5">
        <v>0</v>
      </c>
      <c r="AG18" s="5">
        <v>0</v>
      </c>
    </row>
    <row r="19" spans="1:33">
      <c r="A19" s="113" t="s">
        <v>4</v>
      </c>
      <c r="B19" s="113">
        <f t="shared" ref="B19:AG19" si="2">$B$1</f>
        <v>8.4919999999999995E-2</v>
      </c>
      <c r="C19" s="113">
        <f t="shared" si="2"/>
        <v>8.4919999999999995E-2</v>
      </c>
      <c r="D19" s="113">
        <f t="shared" si="2"/>
        <v>8.4919999999999995E-2</v>
      </c>
      <c r="E19" s="113">
        <f t="shared" si="2"/>
        <v>8.4919999999999995E-2</v>
      </c>
      <c r="F19" s="113">
        <f t="shared" si="2"/>
        <v>8.4919999999999995E-2</v>
      </c>
      <c r="G19" s="113">
        <f t="shared" si="2"/>
        <v>8.4919999999999995E-2</v>
      </c>
      <c r="H19" s="113">
        <f t="shared" si="2"/>
        <v>8.4919999999999995E-2</v>
      </c>
      <c r="I19" s="113">
        <f t="shared" si="2"/>
        <v>8.4919999999999995E-2</v>
      </c>
      <c r="J19" s="113">
        <f t="shared" si="2"/>
        <v>8.4919999999999995E-2</v>
      </c>
      <c r="K19" s="113">
        <f t="shared" si="2"/>
        <v>8.4919999999999995E-2</v>
      </c>
      <c r="L19" s="113">
        <f t="shared" si="2"/>
        <v>8.4919999999999995E-2</v>
      </c>
      <c r="M19" s="113">
        <f t="shared" si="2"/>
        <v>8.4919999999999995E-2</v>
      </c>
      <c r="N19" s="113">
        <f t="shared" si="2"/>
        <v>8.4919999999999995E-2</v>
      </c>
      <c r="O19" s="113">
        <f t="shared" si="2"/>
        <v>8.4919999999999995E-2</v>
      </c>
      <c r="P19" s="113">
        <f t="shared" si="2"/>
        <v>8.4919999999999995E-2</v>
      </c>
      <c r="Q19" s="113">
        <f t="shared" si="2"/>
        <v>8.4919999999999995E-2</v>
      </c>
      <c r="R19" s="113">
        <f t="shared" si="2"/>
        <v>8.4919999999999995E-2</v>
      </c>
      <c r="S19" s="113">
        <f t="shared" si="2"/>
        <v>8.4919999999999995E-2</v>
      </c>
      <c r="T19" s="113">
        <f t="shared" si="2"/>
        <v>8.4919999999999995E-2</v>
      </c>
      <c r="U19" s="113">
        <f t="shared" si="2"/>
        <v>8.4919999999999995E-2</v>
      </c>
      <c r="V19" s="113">
        <f t="shared" si="2"/>
        <v>8.4919999999999995E-2</v>
      </c>
      <c r="W19" s="113">
        <f t="shared" si="2"/>
        <v>8.4919999999999995E-2</v>
      </c>
      <c r="X19" s="113">
        <f t="shared" si="2"/>
        <v>8.4919999999999995E-2</v>
      </c>
      <c r="Y19" s="113">
        <f t="shared" si="2"/>
        <v>8.4919999999999995E-2</v>
      </c>
      <c r="Z19" s="113">
        <f t="shared" si="2"/>
        <v>8.4919999999999995E-2</v>
      </c>
      <c r="AA19" s="113">
        <f t="shared" si="2"/>
        <v>8.4919999999999995E-2</v>
      </c>
      <c r="AB19" s="113">
        <f t="shared" si="2"/>
        <v>8.4919999999999995E-2</v>
      </c>
      <c r="AC19" s="113">
        <f t="shared" si="2"/>
        <v>8.4919999999999995E-2</v>
      </c>
      <c r="AD19" s="113">
        <f t="shared" si="2"/>
        <v>8.4919999999999995E-2</v>
      </c>
      <c r="AE19" s="113">
        <f t="shared" si="2"/>
        <v>8.4919999999999995E-2</v>
      </c>
      <c r="AF19" s="113">
        <f t="shared" si="2"/>
        <v>8.4919999999999995E-2</v>
      </c>
      <c r="AG19" s="113">
        <f t="shared" si="2"/>
        <v>8.4919999999999995E-2</v>
      </c>
    </row>
    <row r="20" spans="1:33">
      <c r="A20" s="113" t="s">
        <v>152</v>
      </c>
      <c r="B20" s="113" t="s">
        <v>727</v>
      </c>
    </row>
    <row r="21" spans="1:33">
      <c r="A21" s="113" t="s">
        <v>153</v>
      </c>
      <c r="B21" s="113" t="s">
        <v>727</v>
      </c>
    </row>
    <row r="22" spans="1:33">
      <c r="A22" s="113" t="s">
        <v>154</v>
      </c>
      <c r="B22" s="113" t="s">
        <v>727</v>
      </c>
    </row>
    <row r="23" spans="1:33">
      <c r="A23" s="113" t="s">
        <v>11</v>
      </c>
      <c r="B23" s="113" t="s">
        <v>727</v>
      </c>
    </row>
    <row r="24" spans="1:33">
      <c r="A24" s="113" t="s">
        <v>155</v>
      </c>
      <c r="B24" s="113" t="s">
        <v>727</v>
      </c>
    </row>
    <row r="25" spans="1:33">
      <c r="A25" s="113" t="s">
        <v>13</v>
      </c>
      <c r="B25" s="113">
        <f t="shared" ref="B25:AG25" si="3">$B$1</f>
        <v>8.4919999999999995E-2</v>
      </c>
      <c r="C25" s="113">
        <f t="shared" si="3"/>
        <v>8.4919999999999995E-2</v>
      </c>
      <c r="D25" s="113">
        <f t="shared" si="3"/>
        <v>8.4919999999999995E-2</v>
      </c>
      <c r="E25" s="113">
        <f t="shared" si="3"/>
        <v>8.4919999999999995E-2</v>
      </c>
      <c r="F25" s="113">
        <f t="shared" si="3"/>
        <v>8.4919999999999995E-2</v>
      </c>
      <c r="G25" s="113">
        <f t="shared" si="3"/>
        <v>8.4919999999999995E-2</v>
      </c>
      <c r="H25" s="113">
        <f t="shared" si="3"/>
        <v>8.4919999999999995E-2</v>
      </c>
      <c r="I25" s="113">
        <f t="shared" si="3"/>
        <v>8.4919999999999995E-2</v>
      </c>
      <c r="J25" s="113">
        <f t="shared" si="3"/>
        <v>8.4919999999999995E-2</v>
      </c>
      <c r="K25" s="113">
        <f t="shared" si="3"/>
        <v>8.4919999999999995E-2</v>
      </c>
      <c r="L25" s="113">
        <f t="shared" si="3"/>
        <v>8.4919999999999995E-2</v>
      </c>
      <c r="M25" s="113">
        <f t="shared" si="3"/>
        <v>8.4919999999999995E-2</v>
      </c>
      <c r="N25" s="113">
        <f t="shared" si="3"/>
        <v>8.4919999999999995E-2</v>
      </c>
      <c r="O25" s="113">
        <f t="shared" si="3"/>
        <v>8.4919999999999995E-2</v>
      </c>
      <c r="P25" s="113">
        <f t="shared" si="3"/>
        <v>8.4919999999999995E-2</v>
      </c>
      <c r="Q25" s="113">
        <f t="shared" si="3"/>
        <v>8.4919999999999995E-2</v>
      </c>
      <c r="R25" s="113">
        <f t="shared" si="3"/>
        <v>8.4919999999999995E-2</v>
      </c>
      <c r="S25" s="113">
        <f t="shared" si="3"/>
        <v>8.4919999999999995E-2</v>
      </c>
      <c r="T25" s="113">
        <f t="shared" si="3"/>
        <v>8.4919999999999995E-2</v>
      </c>
      <c r="U25" s="113">
        <f t="shared" si="3"/>
        <v>8.4919999999999995E-2</v>
      </c>
      <c r="V25" s="113">
        <f t="shared" si="3"/>
        <v>8.4919999999999995E-2</v>
      </c>
      <c r="W25" s="113">
        <f t="shared" si="3"/>
        <v>8.4919999999999995E-2</v>
      </c>
      <c r="X25" s="113">
        <f t="shared" si="3"/>
        <v>8.4919999999999995E-2</v>
      </c>
      <c r="Y25" s="113">
        <f t="shared" si="3"/>
        <v>8.4919999999999995E-2</v>
      </c>
      <c r="Z25" s="113">
        <f t="shared" si="3"/>
        <v>8.4919999999999995E-2</v>
      </c>
      <c r="AA25" s="113">
        <f t="shared" si="3"/>
        <v>8.4919999999999995E-2</v>
      </c>
      <c r="AB25" s="113">
        <f t="shared" si="3"/>
        <v>8.4919999999999995E-2</v>
      </c>
      <c r="AC25" s="113">
        <f t="shared" si="3"/>
        <v>8.4919999999999995E-2</v>
      </c>
      <c r="AD25" s="113">
        <f t="shared" si="3"/>
        <v>8.4919999999999995E-2</v>
      </c>
      <c r="AE25" s="113">
        <f t="shared" si="3"/>
        <v>8.4919999999999995E-2</v>
      </c>
      <c r="AF25" s="113">
        <f t="shared" si="3"/>
        <v>8.4919999999999995E-2</v>
      </c>
      <c r="AG25" s="113">
        <f t="shared" si="3"/>
        <v>8.4919999999999995E-2</v>
      </c>
    </row>
    <row r="26" spans="1:33">
      <c r="A26" s="5" t="s">
        <v>156</v>
      </c>
      <c r="B26" s="5">
        <v>0</v>
      </c>
      <c r="C26" s="5">
        <v>0</v>
      </c>
      <c r="D26" s="5">
        <v>0</v>
      </c>
      <c r="E26" s="5">
        <v>0</v>
      </c>
      <c r="F26" s="5">
        <v>0</v>
      </c>
      <c r="G26" s="5">
        <v>0</v>
      </c>
      <c r="H26" s="5">
        <v>0</v>
      </c>
      <c r="I26" s="5">
        <v>0</v>
      </c>
      <c r="J26" s="5">
        <v>0</v>
      </c>
      <c r="K26" s="5">
        <v>0</v>
      </c>
      <c r="L26" s="5">
        <v>0</v>
      </c>
      <c r="M26" s="5">
        <v>0</v>
      </c>
      <c r="N26" s="5">
        <v>0</v>
      </c>
      <c r="O26" s="5">
        <v>0</v>
      </c>
      <c r="P26" s="5">
        <v>0</v>
      </c>
      <c r="Q26" s="5">
        <v>0</v>
      </c>
      <c r="R26" s="5">
        <v>0</v>
      </c>
      <c r="S26" s="5">
        <v>0</v>
      </c>
      <c r="T26" s="5">
        <v>0</v>
      </c>
      <c r="U26" s="5">
        <v>0</v>
      </c>
      <c r="V26" s="5">
        <v>0</v>
      </c>
      <c r="W26" s="5">
        <v>0</v>
      </c>
      <c r="X26" s="5">
        <v>0</v>
      </c>
      <c r="Y26" s="5">
        <v>0</v>
      </c>
      <c r="Z26" s="5">
        <v>0</v>
      </c>
      <c r="AA26" s="5">
        <v>0</v>
      </c>
      <c r="AB26" s="5">
        <v>0</v>
      </c>
      <c r="AC26" s="5">
        <v>0</v>
      </c>
      <c r="AD26" s="5">
        <v>0</v>
      </c>
      <c r="AE26" s="5">
        <v>0</v>
      </c>
      <c r="AF26" s="5">
        <v>0</v>
      </c>
      <c r="AG26" s="5">
        <v>0</v>
      </c>
    </row>
    <row r="27" spans="1:33">
      <c r="A27" s="113" t="s">
        <v>157</v>
      </c>
      <c r="B27" s="113">
        <f t="shared" ref="B27:AG27" si="4">$B$1</f>
        <v>8.4919999999999995E-2</v>
      </c>
      <c r="C27" s="113">
        <f t="shared" si="4"/>
        <v>8.4919999999999995E-2</v>
      </c>
      <c r="D27" s="113">
        <f t="shared" si="4"/>
        <v>8.4919999999999995E-2</v>
      </c>
      <c r="E27" s="113">
        <f t="shared" si="4"/>
        <v>8.4919999999999995E-2</v>
      </c>
      <c r="F27" s="113">
        <f t="shared" si="4"/>
        <v>8.4919999999999995E-2</v>
      </c>
      <c r="G27" s="113">
        <f t="shared" si="4"/>
        <v>8.4919999999999995E-2</v>
      </c>
      <c r="H27" s="113">
        <f t="shared" si="4"/>
        <v>8.4919999999999995E-2</v>
      </c>
      <c r="I27" s="113">
        <f t="shared" si="4"/>
        <v>8.4919999999999995E-2</v>
      </c>
      <c r="J27" s="113">
        <f t="shared" si="4"/>
        <v>8.4919999999999995E-2</v>
      </c>
      <c r="K27" s="113">
        <f t="shared" si="4"/>
        <v>8.4919999999999995E-2</v>
      </c>
      <c r="L27" s="113">
        <f t="shared" si="4"/>
        <v>8.4919999999999995E-2</v>
      </c>
      <c r="M27" s="113">
        <f t="shared" si="4"/>
        <v>8.4919999999999995E-2</v>
      </c>
      <c r="N27" s="113">
        <f t="shared" si="4"/>
        <v>8.4919999999999995E-2</v>
      </c>
      <c r="O27" s="113">
        <f t="shared" si="4"/>
        <v>8.4919999999999995E-2</v>
      </c>
      <c r="P27" s="113">
        <f t="shared" si="4"/>
        <v>8.4919999999999995E-2</v>
      </c>
      <c r="Q27" s="113">
        <f t="shared" si="4"/>
        <v>8.4919999999999995E-2</v>
      </c>
      <c r="R27" s="113">
        <f t="shared" si="4"/>
        <v>8.4919999999999995E-2</v>
      </c>
      <c r="S27" s="113">
        <f t="shared" si="4"/>
        <v>8.4919999999999995E-2</v>
      </c>
      <c r="T27" s="113">
        <f t="shared" si="4"/>
        <v>8.4919999999999995E-2</v>
      </c>
      <c r="U27" s="113">
        <f t="shared" si="4"/>
        <v>8.4919999999999995E-2</v>
      </c>
      <c r="V27" s="113">
        <f t="shared" si="4"/>
        <v>8.4919999999999995E-2</v>
      </c>
      <c r="W27" s="113">
        <f t="shared" si="4"/>
        <v>8.4919999999999995E-2</v>
      </c>
      <c r="X27" s="113">
        <f t="shared" si="4"/>
        <v>8.4919999999999995E-2</v>
      </c>
      <c r="Y27" s="113">
        <f t="shared" si="4"/>
        <v>8.4919999999999995E-2</v>
      </c>
      <c r="Z27" s="113">
        <f t="shared" si="4"/>
        <v>8.4919999999999995E-2</v>
      </c>
      <c r="AA27" s="113">
        <f t="shared" si="4"/>
        <v>8.4919999999999995E-2</v>
      </c>
      <c r="AB27" s="113">
        <f t="shared" si="4"/>
        <v>8.4919999999999995E-2</v>
      </c>
      <c r="AC27" s="113">
        <f t="shared" si="4"/>
        <v>8.4919999999999995E-2</v>
      </c>
      <c r="AD27" s="113">
        <f t="shared" si="4"/>
        <v>8.4919999999999995E-2</v>
      </c>
      <c r="AE27" s="113">
        <f t="shared" si="4"/>
        <v>8.4919999999999995E-2</v>
      </c>
      <c r="AF27" s="113">
        <f t="shared" si="4"/>
        <v>8.4919999999999995E-2</v>
      </c>
      <c r="AG27" s="113">
        <f t="shared" si="4"/>
        <v>8.4919999999999995E-2</v>
      </c>
    </row>
    <row r="28" spans="1:33">
      <c r="A28" s="113" t="s">
        <v>158</v>
      </c>
      <c r="B28" s="113">
        <v>0</v>
      </c>
      <c r="C28" s="113">
        <v>0</v>
      </c>
      <c r="D28" s="113">
        <v>0</v>
      </c>
      <c r="E28" s="113">
        <v>0</v>
      </c>
      <c r="F28" s="113">
        <v>0</v>
      </c>
      <c r="G28" s="113">
        <v>0</v>
      </c>
      <c r="H28" s="113">
        <v>0</v>
      </c>
      <c r="I28" s="113">
        <v>0</v>
      </c>
      <c r="J28" s="113">
        <v>0</v>
      </c>
      <c r="K28" s="113">
        <v>0</v>
      </c>
      <c r="L28" s="113">
        <v>0</v>
      </c>
      <c r="M28" s="113">
        <v>0</v>
      </c>
      <c r="N28" s="113">
        <v>0</v>
      </c>
      <c r="O28" s="113">
        <v>0</v>
      </c>
      <c r="P28" s="113">
        <v>0</v>
      </c>
      <c r="Q28" s="113">
        <v>0</v>
      </c>
      <c r="R28" s="113">
        <v>0</v>
      </c>
      <c r="S28" s="113">
        <v>0</v>
      </c>
      <c r="T28" s="113">
        <v>0</v>
      </c>
      <c r="U28" s="113">
        <v>0</v>
      </c>
      <c r="V28" s="113">
        <v>0</v>
      </c>
      <c r="W28" s="113">
        <v>0</v>
      </c>
      <c r="X28" s="113">
        <v>0</v>
      </c>
      <c r="Y28" s="113">
        <v>0</v>
      </c>
      <c r="Z28" s="113">
        <v>0</v>
      </c>
      <c r="AA28" s="113">
        <v>0</v>
      </c>
      <c r="AB28" s="113">
        <v>0</v>
      </c>
      <c r="AC28" s="113">
        <v>0</v>
      </c>
      <c r="AD28" s="113">
        <v>0</v>
      </c>
      <c r="AE28" s="113">
        <v>0</v>
      </c>
      <c r="AF28" s="113">
        <v>0</v>
      </c>
      <c r="AG28" s="113">
        <v>0</v>
      </c>
    </row>
    <row r="29" spans="1:33">
      <c r="A29" s="113" t="s">
        <v>159</v>
      </c>
      <c r="B29" s="113">
        <v>0</v>
      </c>
      <c r="C29" s="113">
        <v>0</v>
      </c>
      <c r="D29" s="113">
        <v>0</v>
      </c>
      <c r="E29" s="113">
        <v>0</v>
      </c>
      <c r="F29" s="113">
        <v>0</v>
      </c>
      <c r="G29" s="113">
        <v>0</v>
      </c>
      <c r="H29" s="113">
        <v>0</v>
      </c>
      <c r="I29" s="113">
        <v>0</v>
      </c>
      <c r="J29" s="113">
        <v>0</v>
      </c>
      <c r="K29" s="113">
        <v>0</v>
      </c>
      <c r="L29" s="113">
        <v>0</v>
      </c>
      <c r="M29" s="113">
        <v>0</v>
      </c>
      <c r="N29" s="113">
        <v>0</v>
      </c>
      <c r="O29" s="113">
        <v>0</v>
      </c>
      <c r="P29" s="113">
        <v>0</v>
      </c>
      <c r="Q29" s="113">
        <v>0</v>
      </c>
      <c r="R29" s="113">
        <v>0</v>
      </c>
      <c r="S29" s="113">
        <v>0</v>
      </c>
      <c r="T29" s="113">
        <v>0</v>
      </c>
      <c r="U29" s="113">
        <v>0</v>
      </c>
      <c r="V29" s="113">
        <v>0</v>
      </c>
      <c r="W29" s="113">
        <v>0</v>
      </c>
      <c r="X29" s="113">
        <v>0</v>
      </c>
      <c r="Y29" s="113">
        <v>0</v>
      </c>
      <c r="Z29" s="113">
        <v>0</v>
      </c>
      <c r="AA29" s="113">
        <v>0</v>
      </c>
      <c r="AB29" s="113">
        <v>0</v>
      </c>
      <c r="AC29" s="113">
        <v>0</v>
      </c>
      <c r="AD29" s="113">
        <v>0</v>
      </c>
      <c r="AE29" s="113">
        <v>0</v>
      </c>
      <c r="AF29" s="113">
        <v>0</v>
      </c>
      <c r="AG29" s="113">
        <v>0</v>
      </c>
    </row>
    <row r="30" spans="1:33">
      <c r="A30" s="113" t="s">
        <v>160</v>
      </c>
      <c r="B30" s="113">
        <f t="shared" ref="B30:AG30" si="5">$B$1</f>
        <v>8.4919999999999995E-2</v>
      </c>
      <c r="C30" s="113">
        <f t="shared" si="5"/>
        <v>8.4919999999999995E-2</v>
      </c>
      <c r="D30" s="113">
        <f t="shared" si="5"/>
        <v>8.4919999999999995E-2</v>
      </c>
      <c r="E30" s="113">
        <f t="shared" si="5"/>
        <v>8.4919999999999995E-2</v>
      </c>
      <c r="F30" s="113">
        <f t="shared" si="5"/>
        <v>8.4919999999999995E-2</v>
      </c>
      <c r="G30" s="113">
        <f t="shared" si="5"/>
        <v>8.4919999999999995E-2</v>
      </c>
      <c r="H30" s="113">
        <f t="shared" si="5"/>
        <v>8.4919999999999995E-2</v>
      </c>
      <c r="I30" s="113">
        <f t="shared" si="5"/>
        <v>8.4919999999999995E-2</v>
      </c>
      <c r="J30" s="113">
        <f t="shared" si="5"/>
        <v>8.4919999999999995E-2</v>
      </c>
      <c r="K30" s="113">
        <f t="shared" si="5"/>
        <v>8.4919999999999995E-2</v>
      </c>
      <c r="L30" s="113">
        <f t="shared" si="5"/>
        <v>8.4919999999999995E-2</v>
      </c>
      <c r="M30" s="113">
        <f t="shared" si="5"/>
        <v>8.4919999999999995E-2</v>
      </c>
      <c r="N30" s="113">
        <f t="shared" si="5"/>
        <v>8.4919999999999995E-2</v>
      </c>
      <c r="O30" s="113">
        <f t="shared" si="5"/>
        <v>8.4919999999999995E-2</v>
      </c>
      <c r="P30" s="113">
        <f t="shared" si="5"/>
        <v>8.4919999999999995E-2</v>
      </c>
      <c r="Q30" s="113">
        <f t="shared" si="5"/>
        <v>8.4919999999999995E-2</v>
      </c>
      <c r="R30" s="113">
        <f t="shared" si="5"/>
        <v>8.4919999999999995E-2</v>
      </c>
      <c r="S30" s="113">
        <f t="shared" si="5"/>
        <v>8.4919999999999995E-2</v>
      </c>
      <c r="T30" s="113">
        <f t="shared" si="5"/>
        <v>8.4919999999999995E-2</v>
      </c>
      <c r="U30" s="113">
        <f t="shared" si="5"/>
        <v>8.4919999999999995E-2</v>
      </c>
      <c r="V30" s="113">
        <f t="shared" si="5"/>
        <v>8.4919999999999995E-2</v>
      </c>
      <c r="W30" s="113">
        <f t="shared" si="5"/>
        <v>8.4919999999999995E-2</v>
      </c>
      <c r="X30" s="113">
        <f t="shared" si="5"/>
        <v>8.4919999999999995E-2</v>
      </c>
      <c r="Y30" s="113">
        <f t="shared" si="5"/>
        <v>8.4919999999999995E-2</v>
      </c>
      <c r="Z30" s="113">
        <f t="shared" si="5"/>
        <v>8.4919999999999995E-2</v>
      </c>
      <c r="AA30" s="113">
        <f t="shared" si="5"/>
        <v>8.4919999999999995E-2</v>
      </c>
      <c r="AB30" s="113">
        <f t="shared" si="5"/>
        <v>8.4919999999999995E-2</v>
      </c>
      <c r="AC30" s="113">
        <f t="shared" si="5"/>
        <v>8.4919999999999995E-2</v>
      </c>
      <c r="AD30" s="113">
        <f t="shared" si="5"/>
        <v>8.4919999999999995E-2</v>
      </c>
      <c r="AE30" s="113">
        <f t="shared" si="5"/>
        <v>8.4919999999999995E-2</v>
      </c>
      <c r="AF30" s="113">
        <f t="shared" si="5"/>
        <v>8.4919999999999995E-2</v>
      </c>
      <c r="AG30" s="113">
        <f t="shared" si="5"/>
        <v>8.4919999999999995E-2</v>
      </c>
    </row>
    <row r="31" spans="1:33">
      <c r="A31" s="5" t="s">
        <v>161</v>
      </c>
      <c r="B31" s="5">
        <v>0</v>
      </c>
      <c r="C31" s="5">
        <v>0</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c r="X31" s="5">
        <v>0</v>
      </c>
      <c r="Y31" s="5">
        <v>0</v>
      </c>
      <c r="Z31" s="5">
        <v>0</v>
      </c>
      <c r="AA31" s="5">
        <v>0</v>
      </c>
      <c r="AB31" s="5">
        <v>0</v>
      </c>
      <c r="AC31" s="5">
        <v>0</v>
      </c>
      <c r="AD31" s="5">
        <v>0</v>
      </c>
      <c r="AE31" s="5">
        <v>0</v>
      </c>
      <c r="AF31" s="5">
        <v>0</v>
      </c>
      <c r="AG31" s="5">
        <v>0</v>
      </c>
    </row>
    <row r="32" spans="1:33">
      <c r="A32" s="113" t="s">
        <v>162</v>
      </c>
      <c r="B32" s="113">
        <f t="shared" ref="B32:AG32" si="6">$B$1</f>
        <v>8.4919999999999995E-2</v>
      </c>
      <c r="C32" s="113">
        <f t="shared" si="6"/>
        <v>8.4919999999999995E-2</v>
      </c>
      <c r="D32" s="113">
        <f t="shared" si="6"/>
        <v>8.4919999999999995E-2</v>
      </c>
      <c r="E32" s="113">
        <f t="shared" si="6"/>
        <v>8.4919999999999995E-2</v>
      </c>
      <c r="F32" s="113">
        <f t="shared" si="6"/>
        <v>8.4919999999999995E-2</v>
      </c>
      <c r="G32" s="113">
        <f t="shared" si="6"/>
        <v>8.4919999999999995E-2</v>
      </c>
      <c r="H32" s="113">
        <f t="shared" si="6"/>
        <v>8.4919999999999995E-2</v>
      </c>
      <c r="I32" s="113">
        <f t="shared" si="6"/>
        <v>8.4919999999999995E-2</v>
      </c>
      <c r="J32" s="113">
        <f t="shared" si="6"/>
        <v>8.4919999999999995E-2</v>
      </c>
      <c r="K32" s="113">
        <f t="shared" si="6"/>
        <v>8.4919999999999995E-2</v>
      </c>
      <c r="L32" s="113">
        <f t="shared" si="6"/>
        <v>8.4919999999999995E-2</v>
      </c>
      <c r="M32" s="113">
        <f t="shared" si="6"/>
        <v>8.4919999999999995E-2</v>
      </c>
      <c r="N32" s="113">
        <f t="shared" si="6"/>
        <v>8.4919999999999995E-2</v>
      </c>
      <c r="O32" s="113">
        <f t="shared" si="6"/>
        <v>8.4919999999999995E-2</v>
      </c>
      <c r="P32" s="113">
        <f t="shared" si="6"/>
        <v>8.4919999999999995E-2</v>
      </c>
      <c r="Q32" s="113">
        <f t="shared" si="6"/>
        <v>8.4919999999999995E-2</v>
      </c>
      <c r="R32" s="113">
        <f t="shared" si="6"/>
        <v>8.4919999999999995E-2</v>
      </c>
      <c r="S32" s="113">
        <f t="shared" si="6"/>
        <v>8.4919999999999995E-2</v>
      </c>
      <c r="T32" s="113">
        <f t="shared" si="6"/>
        <v>8.4919999999999995E-2</v>
      </c>
      <c r="U32" s="113">
        <f t="shared" si="6"/>
        <v>8.4919999999999995E-2</v>
      </c>
      <c r="V32" s="113">
        <f t="shared" si="6"/>
        <v>8.4919999999999995E-2</v>
      </c>
      <c r="W32" s="113">
        <f t="shared" si="6"/>
        <v>8.4919999999999995E-2</v>
      </c>
      <c r="X32" s="113">
        <f t="shared" si="6"/>
        <v>8.4919999999999995E-2</v>
      </c>
      <c r="Y32" s="113">
        <f t="shared" si="6"/>
        <v>8.4919999999999995E-2</v>
      </c>
      <c r="Z32" s="113">
        <f t="shared" si="6"/>
        <v>8.4919999999999995E-2</v>
      </c>
      <c r="AA32" s="113">
        <f t="shared" si="6"/>
        <v>8.4919999999999995E-2</v>
      </c>
      <c r="AB32" s="113">
        <f t="shared" si="6"/>
        <v>8.4919999999999995E-2</v>
      </c>
      <c r="AC32" s="113">
        <f t="shared" si="6"/>
        <v>8.4919999999999995E-2</v>
      </c>
      <c r="AD32" s="113">
        <f t="shared" si="6"/>
        <v>8.4919999999999995E-2</v>
      </c>
      <c r="AE32" s="113">
        <f t="shared" si="6"/>
        <v>8.4919999999999995E-2</v>
      </c>
      <c r="AF32" s="113">
        <f t="shared" si="6"/>
        <v>8.4919999999999995E-2</v>
      </c>
      <c r="AG32" s="113">
        <f t="shared" si="6"/>
        <v>8.4919999999999995E-2</v>
      </c>
    </row>
    <row r="35" spans="1:33">
      <c r="A35" s="113" t="s">
        <v>764</v>
      </c>
      <c r="B35" s="113" t="s">
        <v>6</v>
      </c>
    </row>
    <row r="36" spans="1:33">
      <c r="B36" s="113" t="s">
        <v>7</v>
      </c>
    </row>
    <row r="37" spans="1:33">
      <c r="B37" s="113" t="s">
        <v>8</v>
      </c>
    </row>
    <row r="38" spans="1:33">
      <c r="B38" s="113" t="s">
        <v>9</v>
      </c>
    </row>
    <row r="39" spans="1:33">
      <c r="B39" s="113" t="s">
        <v>10</v>
      </c>
    </row>
    <row r="40" spans="1:33">
      <c r="B40" s="13" t="s">
        <v>143</v>
      </c>
      <c r="E40">
        <v>6.8000000000000005E-2</v>
      </c>
    </row>
    <row r="42" spans="1:33">
      <c r="A42" s="14"/>
      <c r="B42"/>
      <c r="C42"/>
      <c r="D42"/>
      <c r="E42"/>
      <c r="F42"/>
      <c r="G42"/>
      <c r="H42"/>
      <c r="I42"/>
      <c r="J42"/>
      <c r="K42"/>
      <c r="L42"/>
      <c r="M42"/>
      <c r="N42"/>
      <c r="O42"/>
      <c r="P42"/>
      <c r="Q42"/>
      <c r="R42"/>
      <c r="S42"/>
      <c r="T42"/>
      <c r="U42"/>
      <c r="V42"/>
      <c r="W42"/>
      <c r="X42"/>
      <c r="Y42"/>
      <c r="Z42"/>
      <c r="AA42"/>
      <c r="AB42"/>
      <c r="AC42"/>
      <c r="AD42"/>
      <c r="AE42"/>
      <c r="AF42"/>
      <c r="AG42"/>
    </row>
    <row r="43" spans="1:33">
      <c r="A43" s="14"/>
      <c r="B43" s="13">
        <v>2019</v>
      </c>
      <c r="C43" s="13">
        <v>2020</v>
      </c>
      <c r="D43" s="13">
        <v>2021</v>
      </c>
      <c r="E43" s="13">
        <v>2022</v>
      </c>
      <c r="F43" s="13">
        <v>2023</v>
      </c>
      <c r="G43" s="13">
        <v>2024</v>
      </c>
      <c r="H43" s="13">
        <v>2025</v>
      </c>
      <c r="I43" s="13">
        <v>2026</v>
      </c>
      <c r="J43" s="13">
        <v>2027</v>
      </c>
      <c r="K43" s="13">
        <v>2028</v>
      </c>
      <c r="L43" s="13">
        <v>2029</v>
      </c>
      <c r="M43" s="13">
        <v>2030</v>
      </c>
      <c r="N43" s="13">
        <v>2031</v>
      </c>
      <c r="O43" s="13">
        <v>2032</v>
      </c>
      <c r="P43" s="13">
        <v>2033</v>
      </c>
      <c r="Q43" s="13">
        <v>2034</v>
      </c>
      <c r="R43" s="13">
        <v>2035</v>
      </c>
      <c r="S43" s="13">
        <v>2036</v>
      </c>
      <c r="T43" s="13">
        <v>2037</v>
      </c>
      <c r="U43" s="13">
        <v>2038</v>
      </c>
      <c r="V43" s="13">
        <v>2039</v>
      </c>
      <c r="W43" s="13">
        <v>2040</v>
      </c>
      <c r="X43" s="13">
        <v>2041</v>
      </c>
      <c r="Y43" s="13">
        <v>2042</v>
      </c>
      <c r="Z43" s="13">
        <v>2043</v>
      </c>
      <c r="AA43" s="13">
        <v>2044</v>
      </c>
      <c r="AB43" s="13">
        <v>2045</v>
      </c>
      <c r="AC43" s="13">
        <v>2046</v>
      </c>
      <c r="AD43" s="13">
        <v>2047</v>
      </c>
      <c r="AE43" s="13">
        <v>2048</v>
      </c>
      <c r="AF43" s="13">
        <v>2049</v>
      </c>
      <c r="AG43" s="13">
        <v>2050</v>
      </c>
    </row>
    <row r="44" spans="1:33">
      <c r="A44" t="s">
        <v>145</v>
      </c>
      <c r="B44">
        <f t="shared" ref="B44:K47" si="7">$E$40</f>
        <v>6.8000000000000005E-2</v>
      </c>
      <c r="C44">
        <f t="shared" si="7"/>
        <v>6.8000000000000005E-2</v>
      </c>
      <c r="D44">
        <f t="shared" si="7"/>
        <v>6.8000000000000005E-2</v>
      </c>
      <c r="E44">
        <f t="shared" si="7"/>
        <v>6.8000000000000005E-2</v>
      </c>
      <c r="F44">
        <f t="shared" si="7"/>
        <v>6.8000000000000005E-2</v>
      </c>
      <c r="G44">
        <f t="shared" si="7"/>
        <v>6.8000000000000005E-2</v>
      </c>
      <c r="H44">
        <f t="shared" si="7"/>
        <v>6.8000000000000005E-2</v>
      </c>
      <c r="I44">
        <f t="shared" si="7"/>
        <v>6.8000000000000005E-2</v>
      </c>
      <c r="J44">
        <f t="shared" si="7"/>
        <v>6.8000000000000005E-2</v>
      </c>
      <c r="K44">
        <f t="shared" si="7"/>
        <v>6.8000000000000005E-2</v>
      </c>
      <c r="L44">
        <f t="shared" ref="L44:U47" si="8">$E$40</f>
        <v>6.8000000000000005E-2</v>
      </c>
      <c r="M44">
        <f t="shared" si="8"/>
        <v>6.8000000000000005E-2</v>
      </c>
      <c r="N44">
        <f t="shared" si="8"/>
        <v>6.8000000000000005E-2</v>
      </c>
      <c r="O44">
        <f t="shared" si="8"/>
        <v>6.8000000000000005E-2</v>
      </c>
      <c r="P44">
        <f t="shared" si="8"/>
        <v>6.8000000000000005E-2</v>
      </c>
      <c r="Q44">
        <f t="shared" si="8"/>
        <v>6.8000000000000005E-2</v>
      </c>
      <c r="R44">
        <f t="shared" si="8"/>
        <v>6.8000000000000005E-2</v>
      </c>
      <c r="S44">
        <f t="shared" si="8"/>
        <v>6.8000000000000005E-2</v>
      </c>
      <c r="T44">
        <f t="shared" si="8"/>
        <v>6.8000000000000005E-2</v>
      </c>
      <c r="U44">
        <f t="shared" si="8"/>
        <v>6.8000000000000005E-2</v>
      </c>
      <c r="V44">
        <f t="shared" ref="V44:AG47" si="9">$E$40</f>
        <v>6.8000000000000005E-2</v>
      </c>
      <c r="W44">
        <f t="shared" si="9"/>
        <v>6.8000000000000005E-2</v>
      </c>
      <c r="X44">
        <f t="shared" si="9"/>
        <v>6.8000000000000005E-2</v>
      </c>
      <c r="Y44">
        <f t="shared" si="9"/>
        <v>6.8000000000000005E-2</v>
      </c>
      <c r="Z44">
        <f t="shared" si="9"/>
        <v>6.8000000000000005E-2</v>
      </c>
      <c r="AA44">
        <f t="shared" si="9"/>
        <v>6.8000000000000005E-2</v>
      </c>
      <c r="AB44">
        <f t="shared" si="9"/>
        <v>6.8000000000000005E-2</v>
      </c>
      <c r="AC44">
        <f t="shared" si="9"/>
        <v>6.8000000000000005E-2</v>
      </c>
      <c r="AD44">
        <f t="shared" si="9"/>
        <v>6.8000000000000005E-2</v>
      </c>
      <c r="AE44">
        <f t="shared" si="9"/>
        <v>6.8000000000000005E-2</v>
      </c>
      <c r="AF44">
        <f t="shared" si="9"/>
        <v>6.8000000000000005E-2</v>
      </c>
      <c r="AG44">
        <f t="shared" si="9"/>
        <v>6.8000000000000005E-2</v>
      </c>
    </row>
    <row r="45" spans="1:33">
      <c r="A45" t="s">
        <v>146</v>
      </c>
      <c r="B45">
        <f t="shared" si="7"/>
        <v>6.8000000000000005E-2</v>
      </c>
      <c r="C45">
        <f t="shared" si="7"/>
        <v>6.8000000000000005E-2</v>
      </c>
      <c r="D45">
        <f t="shared" si="7"/>
        <v>6.8000000000000005E-2</v>
      </c>
      <c r="E45">
        <f t="shared" si="7"/>
        <v>6.8000000000000005E-2</v>
      </c>
      <c r="F45">
        <f t="shared" si="7"/>
        <v>6.8000000000000005E-2</v>
      </c>
      <c r="G45">
        <f t="shared" si="7"/>
        <v>6.8000000000000005E-2</v>
      </c>
      <c r="H45">
        <f t="shared" si="7"/>
        <v>6.8000000000000005E-2</v>
      </c>
      <c r="I45">
        <f t="shared" si="7"/>
        <v>6.8000000000000005E-2</v>
      </c>
      <c r="J45">
        <f t="shared" si="7"/>
        <v>6.8000000000000005E-2</v>
      </c>
      <c r="K45">
        <f t="shared" si="7"/>
        <v>6.8000000000000005E-2</v>
      </c>
      <c r="L45">
        <f t="shared" si="8"/>
        <v>6.8000000000000005E-2</v>
      </c>
      <c r="M45">
        <f t="shared" si="8"/>
        <v>6.8000000000000005E-2</v>
      </c>
      <c r="N45">
        <f t="shared" si="8"/>
        <v>6.8000000000000005E-2</v>
      </c>
      <c r="O45">
        <f t="shared" si="8"/>
        <v>6.8000000000000005E-2</v>
      </c>
      <c r="P45">
        <f t="shared" si="8"/>
        <v>6.8000000000000005E-2</v>
      </c>
      <c r="Q45">
        <f t="shared" si="8"/>
        <v>6.8000000000000005E-2</v>
      </c>
      <c r="R45">
        <f t="shared" si="8"/>
        <v>6.8000000000000005E-2</v>
      </c>
      <c r="S45">
        <f t="shared" si="8"/>
        <v>6.8000000000000005E-2</v>
      </c>
      <c r="T45">
        <f t="shared" si="8"/>
        <v>6.8000000000000005E-2</v>
      </c>
      <c r="U45">
        <f t="shared" si="8"/>
        <v>6.8000000000000005E-2</v>
      </c>
      <c r="V45">
        <f t="shared" si="9"/>
        <v>6.8000000000000005E-2</v>
      </c>
      <c r="W45">
        <f t="shared" si="9"/>
        <v>6.8000000000000005E-2</v>
      </c>
      <c r="X45">
        <f t="shared" si="9"/>
        <v>6.8000000000000005E-2</v>
      </c>
      <c r="Y45">
        <f t="shared" si="9"/>
        <v>6.8000000000000005E-2</v>
      </c>
      <c r="Z45">
        <f t="shared" si="9"/>
        <v>6.8000000000000005E-2</v>
      </c>
      <c r="AA45">
        <f t="shared" si="9"/>
        <v>6.8000000000000005E-2</v>
      </c>
      <c r="AB45">
        <f t="shared" si="9"/>
        <v>6.8000000000000005E-2</v>
      </c>
      <c r="AC45">
        <f t="shared" si="9"/>
        <v>6.8000000000000005E-2</v>
      </c>
      <c r="AD45">
        <f t="shared" si="9"/>
        <v>6.8000000000000005E-2</v>
      </c>
      <c r="AE45">
        <f t="shared" si="9"/>
        <v>6.8000000000000005E-2</v>
      </c>
      <c r="AF45">
        <f t="shared" si="9"/>
        <v>6.8000000000000005E-2</v>
      </c>
      <c r="AG45">
        <f t="shared" si="9"/>
        <v>6.8000000000000005E-2</v>
      </c>
    </row>
    <row r="46" spans="1:33">
      <c r="A46" t="s">
        <v>147</v>
      </c>
      <c r="B46">
        <f t="shared" si="7"/>
        <v>6.8000000000000005E-2</v>
      </c>
      <c r="C46">
        <f t="shared" si="7"/>
        <v>6.8000000000000005E-2</v>
      </c>
      <c r="D46">
        <f t="shared" si="7"/>
        <v>6.8000000000000005E-2</v>
      </c>
      <c r="E46">
        <f t="shared" si="7"/>
        <v>6.8000000000000005E-2</v>
      </c>
      <c r="F46">
        <f t="shared" si="7"/>
        <v>6.8000000000000005E-2</v>
      </c>
      <c r="G46">
        <f t="shared" si="7"/>
        <v>6.8000000000000005E-2</v>
      </c>
      <c r="H46">
        <f t="shared" si="7"/>
        <v>6.8000000000000005E-2</v>
      </c>
      <c r="I46">
        <f t="shared" si="7"/>
        <v>6.8000000000000005E-2</v>
      </c>
      <c r="J46">
        <f t="shared" si="7"/>
        <v>6.8000000000000005E-2</v>
      </c>
      <c r="K46">
        <f t="shared" si="7"/>
        <v>6.8000000000000005E-2</v>
      </c>
      <c r="L46">
        <f t="shared" si="8"/>
        <v>6.8000000000000005E-2</v>
      </c>
      <c r="M46">
        <f t="shared" si="8"/>
        <v>6.8000000000000005E-2</v>
      </c>
      <c r="N46">
        <f t="shared" si="8"/>
        <v>6.8000000000000005E-2</v>
      </c>
      <c r="O46">
        <f t="shared" si="8"/>
        <v>6.8000000000000005E-2</v>
      </c>
      <c r="P46">
        <f t="shared" si="8"/>
        <v>6.8000000000000005E-2</v>
      </c>
      <c r="Q46">
        <f t="shared" si="8"/>
        <v>6.8000000000000005E-2</v>
      </c>
      <c r="R46">
        <f t="shared" si="8"/>
        <v>6.8000000000000005E-2</v>
      </c>
      <c r="S46">
        <f t="shared" si="8"/>
        <v>6.8000000000000005E-2</v>
      </c>
      <c r="T46">
        <f t="shared" si="8"/>
        <v>6.8000000000000005E-2</v>
      </c>
      <c r="U46">
        <f t="shared" si="8"/>
        <v>6.8000000000000005E-2</v>
      </c>
      <c r="V46">
        <f t="shared" si="9"/>
        <v>6.8000000000000005E-2</v>
      </c>
      <c r="W46">
        <f t="shared" si="9"/>
        <v>6.8000000000000005E-2</v>
      </c>
      <c r="X46">
        <f t="shared" si="9"/>
        <v>6.8000000000000005E-2</v>
      </c>
      <c r="Y46">
        <f t="shared" si="9"/>
        <v>6.8000000000000005E-2</v>
      </c>
      <c r="Z46">
        <f t="shared" si="9"/>
        <v>6.8000000000000005E-2</v>
      </c>
      <c r="AA46">
        <f t="shared" si="9"/>
        <v>6.8000000000000005E-2</v>
      </c>
      <c r="AB46">
        <f t="shared" si="9"/>
        <v>6.8000000000000005E-2</v>
      </c>
      <c r="AC46">
        <f t="shared" si="9"/>
        <v>6.8000000000000005E-2</v>
      </c>
      <c r="AD46">
        <f t="shared" si="9"/>
        <v>6.8000000000000005E-2</v>
      </c>
      <c r="AE46">
        <f t="shared" si="9"/>
        <v>6.8000000000000005E-2</v>
      </c>
      <c r="AF46">
        <f t="shared" si="9"/>
        <v>6.8000000000000005E-2</v>
      </c>
      <c r="AG46">
        <f t="shared" si="9"/>
        <v>6.8000000000000005E-2</v>
      </c>
    </row>
    <row r="47" spans="1:33">
      <c r="A47" t="s">
        <v>148</v>
      </c>
      <c r="B47">
        <f t="shared" si="7"/>
        <v>6.8000000000000005E-2</v>
      </c>
      <c r="C47">
        <f t="shared" si="7"/>
        <v>6.8000000000000005E-2</v>
      </c>
      <c r="D47">
        <f t="shared" si="7"/>
        <v>6.8000000000000005E-2</v>
      </c>
      <c r="E47">
        <f t="shared" si="7"/>
        <v>6.8000000000000005E-2</v>
      </c>
      <c r="F47">
        <f t="shared" si="7"/>
        <v>6.8000000000000005E-2</v>
      </c>
      <c r="G47">
        <f t="shared" si="7"/>
        <v>6.8000000000000005E-2</v>
      </c>
      <c r="H47">
        <f t="shared" si="7"/>
        <v>6.8000000000000005E-2</v>
      </c>
      <c r="I47">
        <f t="shared" si="7"/>
        <v>6.8000000000000005E-2</v>
      </c>
      <c r="J47">
        <f t="shared" si="7"/>
        <v>6.8000000000000005E-2</v>
      </c>
      <c r="K47">
        <f t="shared" si="7"/>
        <v>6.8000000000000005E-2</v>
      </c>
      <c r="L47">
        <f t="shared" si="8"/>
        <v>6.8000000000000005E-2</v>
      </c>
      <c r="M47">
        <f t="shared" si="8"/>
        <v>6.8000000000000005E-2</v>
      </c>
      <c r="N47">
        <f t="shared" si="8"/>
        <v>6.8000000000000005E-2</v>
      </c>
      <c r="O47">
        <f t="shared" si="8"/>
        <v>6.8000000000000005E-2</v>
      </c>
      <c r="P47">
        <f t="shared" si="8"/>
        <v>6.8000000000000005E-2</v>
      </c>
      <c r="Q47">
        <f t="shared" si="8"/>
        <v>6.8000000000000005E-2</v>
      </c>
      <c r="R47">
        <f t="shared" si="8"/>
        <v>6.8000000000000005E-2</v>
      </c>
      <c r="S47">
        <f t="shared" si="8"/>
        <v>6.8000000000000005E-2</v>
      </c>
      <c r="T47">
        <f t="shared" si="8"/>
        <v>6.8000000000000005E-2</v>
      </c>
      <c r="U47">
        <f t="shared" si="8"/>
        <v>6.8000000000000005E-2</v>
      </c>
      <c r="V47">
        <f t="shared" si="9"/>
        <v>6.8000000000000005E-2</v>
      </c>
      <c r="W47">
        <f t="shared" si="9"/>
        <v>6.8000000000000005E-2</v>
      </c>
      <c r="X47">
        <f t="shared" si="9"/>
        <v>6.8000000000000005E-2</v>
      </c>
      <c r="Y47">
        <f t="shared" si="9"/>
        <v>6.8000000000000005E-2</v>
      </c>
      <c r="Z47">
        <f t="shared" si="9"/>
        <v>6.8000000000000005E-2</v>
      </c>
      <c r="AA47">
        <f t="shared" si="9"/>
        <v>6.8000000000000005E-2</v>
      </c>
      <c r="AB47">
        <f t="shared" si="9"/>
        <v>6.8000000000000005E-2</v>
      </c>
      <c r="AC47">
        <f t="shared" si="9"/>
        <v>6.8000000000000005E-2</v>
      </c>
      <c r="AD47">
        <f t="shared" si="9"/>
        <v>6.8000000000000005E-2</v>
      </c>
      <c r="AE47">
        <f t="shared" si="9"/>
        <v>6.8000000000000005E-2</v>
      </c>
      <c r="AF47">
        <f t="shared" si="9"/>
        <v>6.8000000000000005E-2</v>
      </c>
      <c r="AG47">
        <f t="shared" si="9"/>
        <v>6.8000000000000005E-2</v>
      </c>
    </row>
    <row r="48" spans="1:33">
      <c r="A48" s="5" t="s">
        <v>149</v>
      </c>
      <c r="B48" s="5">
        <v>0</v>
      </c>
      <c r="C48" s="5">
        <v>0</v>
      </c>
      <c r="D48" s="5">
        <v>0</v>
      </c>
      <c r="E48" s="5">
        <v>0</v>
      </c>
      <c r="F48" s="5">
        <v>0</v>
      </c>
      <c r="G48" s="5">
        <v>0</v>
      </c>
      <c r="H48" s="5">
        <v>0</v>
      </c>
      <c r="I48" s="5">
        <v>0</v>
      </c>
      <c r="J48" s="5">
        <v>0</v>
      </c>
      <c r="K48" s="5">
        <v>0</v>
      </c>
      <c r="L48" s="5">
        <v>0</v>
      </c>
      <c r="M48" s="5">
        <v>0</v>
      </c>
      <c r="N48" s="5">
        <v>0</v>
      </c>
      <c r="O48" s="5">
        <v>0</v>
      </c>
      <c r="P48" s="5">
        <v>0</v>
      </c>
      <c r="Q48" s="5">
        <v>0</v>
      </c>
      <c r="R48" s="5">
        <v>0</v>
      </c>
      <c r="S48" s="5">
        <v>0</v>
      </c>
      <c r="T48" s="5">
        <v>0</v>
      </c>
      <c r="U48" s="5">
        <v>0</v>
      </c>
      <c r="V48" s="5">
        <v>0</v>
      </c>
      <c r="W48" s="5">
        <v>0</v>
      </c>
      <c r="X48" s="5">
        <v>0</v>
      </c>
      <c r="Y48" s="5">
        <v>0</v>
      </c>
      <c r="Z48" s="5">
        <v>0</v>
      </c>
      <c r="AA48" s="5">
        <v>0</v>
      </c>
      <c r="AB48" s="5">
        <v>0</v>
      </c>
      <c r="AC48" s="5">
        <v>0</v>
      </c>
      <c r="AD48" s="5">
        <v>0</v>
      </c>
      <c r="AE48" s="5">
        <v>0</v>
      </c>
      <c r="AF48" s="5">
        <v>0</v>
      </c>
      <c r="AG48" s="5">
        <v>0</v>
      </c>
    </row>
    <row r="49" spans="1:33">
      <c r="A49" s="5" t="s">
        <v>150</v>
      </c>
      <c r="B49" s="5">
        <v>0</v>
      </c>
      <c r="C49" s="5">
        <v>0</v>
      </c>
      <c r="D49" s="5">
        <v>0</v>
      </c>
      <c r="E49" s="5">
        <v>0</v>
      </c>
      <c r="F49" s="5">
        <v>0</v>
      </c>
      <c r="G49" s="5">
        <v>0</v>
      </c>
      <c r="H49" s="5">
        <v>0</v>
      </c>
      <c r="I49" s="5">
        <v>0</v>
      </c>
      <c r="J49" s="5">
        <v>0</v>
      </c>
      <c r="K49" s="5">
        <v>0</v>
      </c>
      <c r="L49" s="5">
        <v>0</v>
      </c>
      <c r="M49" s="5">
        <v>0</v>
      </c>
      <c r="N49" s="5">
        <v>0</v>
      </c>
      <c r="O49" s="5">
        <v>0</v>
      </c>
      <c r="P49" s="5">
        <v>0</v>
      </c>
      <c r="Q49" s="5">
        <v>0</v>
      </c>
      <c r="R49" s="5">
        <v>0</v>
      </c>
      <c r="S49" s="5">
        <v>0</v>
      </c>
      <c r="T49" s="5">
        <v>0</v>
      </c>
      <c r="U49" s="5">
        <v>0</v>
      </c>
      <c r="V49" s="5">
        <v>0</v>
      </c>
      <c r="W49" s="5">
        <v>0</v>
      </c>
      <c r="X49" s="5">
        <v>0</v>
      </c>
      <c r="Y49" s="5">
        <v>0</v>
      </c>
      <c r="Z49" s="5">
        <v>0</v>
      </c>
      <c r="AA49" s="5">
        <v>0</v>
      </c>
      <c r="AB49" s="5">
        <v>0</v>
      </c>
      <c r="AC49" s="5">
        <v>0</v>
      </c>
      <c r="AD49" s="5">
        <v>0</v>
      </c>
      <c r="AE49" s="5">
        <v>0</v>
      </c>
      <c r="AF49" s="5">
        <v>0</v>
      </c>
      <c r="AG49" s="5">
        <v>0</v>
      </c>
    </row>
    <row r="50" spans="1:33">
      <c r="A50" s="5" t="s">
        <v>151</v>
      </c>
      <c r="B50" s="5">
        <v>0</v>
      </c>
      <c r="C50" s="5">
        <v>0</v>
      </c>
      <c r="D50" s="5">
        <v>0</v>
      </c>
      <c r="E50" s="5">
        <v>0</v>
      </c>
      <c r="F50" s="5">
        <v>0</v>
      </c>
      <c r="G50" s="5">
        <v>0</v>
      </c>
      <c r="H50" s="5">
        <v>0</v>
      </c>
      <c r="I50" s="5">
        <v>0</v>
      </c>
      <c r="J50" s="5">
        <v>0</v>
      </c>
      <c r="K50" s="5">
        <v>0</v>
      </c>
      <c r="L50" s="5">
        <v>0</v>
      </c>
      <c r="M50" s="5">
        <v>0</v>
      </c>
      <c r="N50" s="5">
        <v>0</v>
      </c>
      <c r="O50" s="5">
        <v>0</v>
      </c>
      <c r="P50" s="5">
        <v>0</v>
      </c>
      <c r="Q50" s="5">
        <v>0</v>
      </c>
      <c r="R50" s="5">
        <v>0</v>
      </c>
      <c r="S50" s="5">
        <v>0</v>
      </c>
      <c r="T50" s="5">
        <v>0</v>
      </c>
      <c r="U50" s="5">
        <v>0</v>
      </c>
      <c r="V50" s="5">
        <v>0</v>
      </c>
      <c r="W50" s="5">
        <v>0</v>
      </c>
      <c r="X50" s="5">
        <v>0</v>
      </c>
      <c r="Y50" s="5">
        <v>0</v>
      </c>
      <c r="Z50" s="5">
        <v>0</v>
      </c>
      <c r="AA50" s="5">
        <v>0</v>
      </c>
      <c r="AB50" s="5">
        <v>0</v>
      </c>
      <c r="AC50" s="5">
        <v>0</v>
      </c>
      <c r="AD50" s="5">
        <v>0</v>
      </c>
      <c r="AE50" s="5">
        <v>0</v>
      </c>
      <c r="AF50" s="5">
        <v>0</v>
      </c>
      <c r="AG50" s="5">
        <v>0</v>
      </c>
    </row>
    <row r="51" spans="1:33">
      <c r="A51" t="s">
        <v>4</v>
      </c>
      <c r="B51">
        <f t="shared" ref="B51:AG51" si="10">$E$40</f>
        <v>6.8000000000000005E-2</v>
      </c>
      <c r="C51">
        <f t="shared" si="10"/>
        <v>6.8000000000000005E-2</v>
      </c>
      <c r="D51">
        <f t="shared" si="10"/>
        <v>6.8000000000000005E-2</v>
      </c>
      <c r="E51">
        <f t="shared" si="10"/>
        <v>6.8000000000000005E-2</v>
      </c>
      <c r="F51">
        <f t="shared" si="10"/>
        <v>6.8000000000000005E-2</v>
      </c>
      <c r="G51">
        <f t="shared" si="10"/>
        <v>6.8000000000000005E-2</v>
      </c>
      <c r="H51">
        <f t="shared" si="10"/>
        <v>6.8000000000000005E-2</v>
      </c>
      <c r="I51">
        <f t="shared" si="10"/>
        <v>6.8000000000000005E-2</v>
      </c>
      <c r="J51">
        <f t="shared" si="10"/>
        <v>6.8000000000000005E-2</v>
      </c>
      <c r="K51">
        <f t="shared" si="10"/>
        <v>6.8000000000000005E-2</v>
      </c>
      <c r="L51">
        <f t="shared" si="10"/>
        <v>6.8000000000000005E-2</v>
      </c>
      <c r="M51">
        <f t="shared" si="10"/>
        <v>6.8000000000000005E-2</v>
      </c>
      <c r="N51">
        <f t="shared" si="10"/>
        <v>6.8000000000000005E-2</v>
      </c>
      <c r="O51">
        <f t="shared" si="10"/>
        <v>6.8000000000000005E-2</v>
      </c>
      <c r="P51">
        <f t="shared" si="10"/>
        <v>6.8000000000000005E-2</v>
      </c>
      <c r="Q51">
        <f t="shared" si="10"/>
        <v>6.8000000000000005E-2</v>
      </c>
      <c r="R51">
        <f t="shared" si="10"/>
        <v>6.8000000000000005E-2</v>
      </c>
      <c r="S51">
        <f t="shared" si="10"/>
        <v>6.8000000000000005E-2</v>
      </c>
      <c r="T51">
        <f t="shared" si="10"/>
        <v>6.8000000000000005E-2</v>
      </c>
      <c r="U51">
        <f t="shared" si="10"/>
        <v>6.8000000000000005E-2</v>
      </c>
      <c r="V51">
        <f t="shared" si="10"/>
        <v>6.8000000000000005E-2</v>
      </c>
      <c r="W51">
        <f t="shared" si="10"/>
        <v>6.8000000000000005E-2</v>
      </c>
      <c r="X51">
        <f t="shared" si="10"/>
        <v>6.8000000000000005E-2</v>
      </c>
      <c r="Y51">
        <f t="shared" si="10"/>
        <v>6.8000000000000005E-2</v>
      </c>
      <c r="Z51">
        <f t="shared" si="10"/>
        <v>6.8000000000000005E-2</v>
      </c>
      <c r="AA51">
        <f t="shared" si="10"/>
        <v>6.8000000000000005E-2</v>
      </c>
      <c r="AB51">
        <f t="shared" si="10"/>
        <v>6.8000000000000005E-2</v>
      </c>
      <c r="AC51">
        <f t="shared" si="10"/>
        <v>6.8000000000000005E-2</v>
      </c>
      <c r="AD51">
        <f t="shared" si="10"/>
        <v>6.8000000000000005E-2</v>
      </c>
      <c r="AE51">
        <f t="shared" si="10"/>
        <v>6.8000000000000005E-2</v>
      </c>
      <c r="AF51">
        <f t="shared" si="10"/>
        <v>6.8000000000000005E-2</v>
      </c>
      <c r="AG51">
        <f t="shared" si="10"/>
        <v>6.8000000000000005E-2</v>
      </c>
    </row>
    <row r="52" spans="1:33">
      <c r="A52" t="s">
        <v>152</v>
      </c>
      <c r="B52"/>
      <c r="C52"/>
      <c r="D52"/>
      <c r="E52"/>
      <c r="F52"/>
      <c r="G52"/>
      <c r="H52"/>
      <c r="I52"/>
      <c r="J52"/>
      <c r="K52"/>
      <c r="L52"/>
      <c r="M52"/>
      <c r="N52"/>
      <c r="O52"/>
      <c r="P52"/>
      <c r="Q52"/>
      <c r="R52"/>
      <c r="S52"/>
      <c r="T52"/>
      <c r="U52"/>
      <c r="V52"/>
      <c r="W52"/>
      <c r="X52"/>
      <c r="Y52"/>
      <c r="Z52"/>
      <c r="AA52"/>
      <c r="AB52"/>
      <c r="AC52"/>
      <c r="AD52"/>
      <c r="AE52"/>
      <c r="AF52"/>
      <c r="AG52"/>
    </row>
    <row r="53" spans="1:33">
      <c r="A53" t="s">
        <v>153</v>
      </c>
      <c r="B53"/>
      <c r="C53"/>
      <c r="D53"/>
      <c r="E53"/>
      <c r="F53"/>
      <c r="G53"/>
      <c r="H53"/>
      <c r="I53"/>
      <c r="J53"/>
      <c r="K53"/>
      <c r="L53"/>
      <c r="M53"/>
      <c r="N53"/>
      <c r="O53"/>
      <c r="P53"/>
      <c r="Q53"/>
      <c r="R53"/>
      <c r="S53"/>
      <c r="T53"/>
      <c r="U53"/>
      <c r="V53"/>
      <c r="W53"/>
      <c r="X53"/>
      <c r="Y53"/>
      <c r="Z53"/>
      <c r="AA53"/>
      <c r="AB53"/>
      <c r="AC53"/>
      <c r="AD53"/>
      <c r="AE53"/>
      <c r="AF53"/>
      <c r="AG53"/>
    </row>
    <row r="54" spans="1:33">
      <c r="A54" t="s">
        <v>154</v>
      </c>
      <c r="B54"/>
      <c r="C54"/>
      <c r="D54"/>
      <c r="E54"/>
      <c r="F54"/>
      <c r="G54"/>
      <c r="H54"/>
      <c r="I54"/>
      <c r="J54"/>
      <c r="K54"/>
      <c r="L54"/>
      <c r="M54"/>
      <c r="N54"/>
      <c r="O54"/>
      <c r="P54"/>
      <c r="Q54"/>
      <c r="R54"/>
      <c r="S54"/>
      <c r="T54"/>
      <c r="U54"/>
      <c r="V54"/>
      <c r="W54"/>
      <c r="X54"/>
      <c r="Y54"/>
      <c r="Z54"/>
      <c r="AA54"/>
      <c r="AB54"/>
      <c r="AC54"/>
      <c r="AD54"/>
      <c r="AE54"/>
      <c r="AF54"/>
      <c r="AG54"/>
    </row>
    <row r="55" spans="1:33">
      <c r="A55" t="s">
        <v>11</v>
      </c>
      <c r="B55"/>
      <c r="C55"/>
      <c r="D55"/>
      <c r="E55"/>
      <c r="F55"/>
      <c r="G55"/>
      <c r="H55"/>
      <c r="I55"/>
      <c r="J55"/>
      <c r="K55"/>
      <c r="L55"/>
      <c r="M55"/>
      <c r="N55"/>
      <c r="O55"/>
      <c r="P55"/>
      <c r="Q55"/>
      <c r="R55"/>
      <c r="S55"/>
      <c r="T55"/>
      <c r="U55"/>
      <c r="V55"/>
      <c r="W55"/>
      <c r="X55"/>
      <c r="Y55"/>
      <c r="Z55"/>
      <c r="AA55"/>
      <c r="AB55"/>
      <c r="AC55"/>
      <c r="AD55"/>
      <c r="AE55"/>
      <c r="AF55"/>
      <c r="AG55"/>
    </row>
    <row r="56" spans="1:33">
      <c r="A56" t="s">
        <v>155</v>
      </c>
      <c r="B56"/>
      <c r="C56"/>
      <c r="D56"/>
      <c r="E56"/>
      <c r="F56"/>
      <c r="G56"/>
      <c r="H56"/>
      <c r="I56"/>
      <c r="J56"/>
      <c r="K56"/>
      <c r="L56"/>
      <c r="M56"/>
      <c r="N56"/>
      <c r="O56"/>
      <c r="P56"/>
      <c r="Q56"/>
      <c r="R56"/>
      <c r="S56"/>
      <c r="T56"/>
      <c r="U56"/>
      <c r="V56"/>
      <c r="W56"/>
      <c r="X56"/>
      <c r="Y56"/>
      <c r="Z56"/>
      <c r="AA56"/>
      <c r="AB56"/>
      <c r="AC56"/>
      <c r="AD56"/>
      <c r="AE56"/>
      <c r="AF56"/>
      <c r="AG56"/>
    </row>
    <row r="57" spans="1:33">
      <c r="A57" t="s">
        <v>13</v>
      </c>
      <c r="B57">
        <f t="shared" ref="B57:AG57" si="11">$E$40</f>
        <v>6.8000000000000005E-2</v>
      </c>
      <c r="C57">
        <f t="shared" si="11"/>
        <v>6.8000000000000005E-2</v>
      </c>
      <c r="D57">
        <f t="shared" si="11"/>
        <v>6.8000000000000005E-2</v>
      </c>
      <c r="E57">
        <f t="shared" si="11"/>
        <v>6.8000000000000005E-2</v>
      </c>
      <c r="F57">
        <f t="shared" si="11"/>
        <v>6.8000000000000005E-2</v>
      </c>
      <c r="G57">
        <f t="shared" si="11"/>
        <v>6.8000000000000005E-2</v>
      </c>
      <c r="H57">
        <f t="shared" si="11"/>
        <v>6.8000000000000005E-2</v>
      </c>
      <c r="I57">
        <f t="shared" si="11"/>
        <v>6.8000000000000005E-2</v>
      </c>
      <c r="J57">
        <f t="shared" si="11"/>
        <v>6.8000000000000005E-2</v>
      </c>
      <c r="K57">
        <f t="shared" si="11"/>
        <v>6.8000000000000005E-2</v>
      </c>
      <c r="L57">
        <f t="shared" si="11"/>
        <v>6.8000000000000005E-2</v>
      </c>
      <c r="M57">
        <f t="shared" si="11"/>
        <v>6.8000000000000005E-2</v>
      </c>
      <c r="N57">
        <f t="shared" si="11"/>
        <v>6.8000000000000005E-2</v>
      </c>
      <c r="O57">
        <f t="shared" si="11"/>
        <v>6.8000000000000005E-2</v>
      </c>
      <c r="P57">
        <f t="shared" si="11"/>
        <v>6.8000000000000005E-2</v>
      </c>
      <c r="Q57">
        <f t="shared" si="11"/>
        <v>6.8000000000000005E-2</v>
      </c>
      <c r="R57">
        <f t="shared" si="11"/>
        <v>6.8000000000000005E-2</v>
      </c>
      <c r="S57">
        <f t="shared" si="11"/>
        <v>6.8000000000000005E-2</v>
      </c>
      <c r="T57">
        <f t="shared" si="11"/>
        <v>6.8000000000000005E-2</v>
      </c>
      <c r="U57">
        <f t="shared" si="11"/>
        <v>6.8000000000000005E-2</v>
      </c>
      <c r="V57">
        <f t="shared" si="11"/>
        <v>6.8000000000000005E-2</v>
      </c>
      <c r="W57">
        <f t="shared" si="11"/>
        <v>6.8000000000000005E-2</v>
      </c>
      <c r="X57">
        <f t="shared" si="11"/>
        <v>6.8000000000000005E-2</v>
      </c>
      <c r="Y57">
        <f t="shared" si="11"/>
        <v>6.8000000000000005E-2</v>
      </c>
      <c r="Z57">
        <f t="shared" si="11"/>
        <v>6.8000000000000005E-2</v>
      </c>
      <c r="AA57">
        <f t="shared" si="11"/>
        <v>6.8000000000000005E-2</v>
      </c>
      <c r="AB57">
        <f t="shared" si="11"/>
        <v>6.8000000000000005E-2</v>
      </c>
      <c r="AC57">
        <f t="shared" si="11"/>
        <v>6.8000000000000005E-2</v>
      </c>
      <c r="AD57">
        <f t="shared" si="11"/>
        <v>6.8000000000000005E-2</v>
      </c>
      <c r="AE57">
        <f t="shared" si="11"/>
        <v>6.8000000000000005E-2</v>
      </c>
      <c r="AF57">
        <f t="shared" si="11"/>
        <v>6.8000000000000005E-2</v>
      </c>
      <c r="AG57">
        <f t="shared" si="11"/>
        <v>6.8000000000000005E-2</v>
      </c>
    </row>
    <row r="58" spans="1:33">
      <c r="A58" s="5" t="s">
        <v>156</v>
      </c>
      <c r="B58" s="5">
        <v>0</v>
      </c>
      <c r="C58" s="5">
        <v>0</v>
      </c>
      <c r="D58" s="5">
        <v>0</v>
      </c>
      <c r="E58" s="5">
        <v>0</v>
      </c>
      <c r="F58" s="5">
        <v>0</v>
      </c>
      <c r="G58" s="5">
        <v>0</v>
      </c>
      <c r="H58" s="5">
        <v>0</v>
      </c>
      <c r="I58" s="5">
        <v>0</v>
      </c>
      <c r="J58" s="5">
        <v>0</v>
      </c>
      <c r="K58" s="5">
        <v>0</v>
      </c>
      <c r="L58" s="5">
        <v>0</v>
      </c>
      <c r="M58" s="5">
        <v>0</v>
      </c>
      <c r="N58" s="5">
        <v>0</v>
      </c>
      <c r="O58" s="5">
        <v>0</v>
      </c>
      <c r="P58" s="5">
        <v>0</v>
      </c>
      <c r="Q58" s="5">
        <v>0</v>
      </c>
      <c r="R58" s="5">
        <v>0</v>
      </c>
      <c r="S58" s="5">
        <v>0</v>
      </c>
      <c r="T58" s="5">
        <v>0</v>
      </c>
      <c r="U58" s="5">
        <v>0</v>
      </c>
      <c r="V58" s="5">
        <v>0</v>
      </c>
      <c r="W58" s="5">
        <v>0</v>
      </c>
      <c r="X58" s="5">
        <v>0</v>
      </c>
      <c r="Y58" s="5">
        <v>0</v>
      </c>
      <c r="Z58" s="5">
        <v>0</v>
      </c>
      <c r="AA58" s="5">
        <v>0</v>
      </c>
      <c r="AB58" s="5">
        <v>0</v>
      </c>
      <c r="AC58" s="5">
        <v>0</v>
      </c>
      <c r="AD58" s="5">
        <v>0</v>
      </c>
      <c r="AE58" s="5">
        <v>0</v>
      </c>
      <c r="AF58" s="5">
        <v>0</v>
      </c>
      <c r="AG58" s="5">
        <v>0</v>
      </c>
    </row>
    <row r="59" spans="1:33">
      <c r="A59" t="s">
        <v>157</v>
      </c>
      <c r="B59">
        <f t="shared" ref="B59:AG59" si="12">$E$40</f>
        <v>6.8000000000000005E-2</v>
      </c>
      <c r="C59">
        <f t="shared" si="12"/>
        <v>6.8000000000000005E-2</v>
      </c>
      <c r="D59">
        <f t="shared" si="12"/>
        <v>6.8000000000000005E-2</v>
      </c>
      <c r="E59">
        <f t="shared" si="12"/>
        <v>6.8000000000000005E-2</v>
      </c>
      <c r="F59">
        <f t="shared" si="12"/>
        <v>6.8000000000000005E-2</v>
      </c>
      <c r="G59">
        <f t="shared" si="12"/>
        <v>6.8000000000000005E-2</v>
      </c>
      <c r="H59">
        <f t="shared" si="12"/>
        <v>6.8000000000000005E-2</v>
      </c>
      <c r="I59">
        <f t="shared" si="12"/>
        <v>6.8000000000000005E-2</v>
      </c>
      <c r="J59">
        <f t="shared" si="12"/>
        <v>6.8000000000000005E-2</v>
      </c>
      <c r="K59">
        <f t="shared" si="12"/>
        <v>6.8000000000000005E-2</v>
      </c>
      <c r="L59">
        <f t="shared" si="12"/>
        <v>6.8000000000000005E-2</v>
      </c>
      <c r="M59">
        <f t="shared" si="12"/>
        <v>6.8000000000000005E-2</v>
      </c>
      <c r="N59">
        <f t="shared" si="12"/>
        <v>6.8000000000000005E-2</v>
      </c>
      <c r="O59">
        <f t="shared" si="12"/>
        <v>6.8000000000000005E-2</v>
      </c>
      <c r="P59">
        <f t="shared" si="12"/>
        <v>6.8000000000000005E-2</v>
      </c>
      <c r="Q59">
        <f t="shared" si="12"/>
        <v>6.8000000000000005E-2</v>
      </c>
      <c r="R59">
        <f t="shared" si="12"/>
        <v>6.8000000000000005E-2</v>
      </c>
      <c r="S59">
        <f t="shared" si="12"/>
        <v>6.8000000000000005E-2</v>
      </c>
      <c r="T59">
        <f t="shared" si="12"/>
        <v>6.8000000000000005E-2</v>
      </c>
      <c r="U59">
        <f t="shared" si="12"/>
        <v>6.8000000000000005E-2</v>
      </c>
      <c r="V59">
        <f t="shared" si="12"/>
        <v>6.8000000000000005E-2</v>
      </c>
      <c r="W59">
        <f t="shared" si="12"/>
        <v>6.8000000000000005E-2</v>
      </c>
      <c r="X59">
        <f t="shared" si="12"/>
        <v>6.8000000000000005E-2</v>
      </c>
      <c r="Y59">
        <f t="shared" si="12"/>
        <v>6.8000000000000005E-2</v>
      </c>
      <c r="Z59">
        <f t="shared" si="12"/>
        <v>6.8000000000000005E-2</v>
      </c>
      <c r="AA59">
        <f t="shared" si="12"/>
        <v>6.8000000000000005E-2</v>
      </c>
      <c r="AB59">
        <f t="shared" si="12"/>
        <v>6.8000000000000005E-2</v>
      </c>
      <c r="AC59">
        <f t="shared" si="12"/>
        <v>6.8000000000000005E-2</v>
      </c>
      <c r="AD59">
        <f t="shared" si="12"/>
        <v>6.8000000000000005E-2</v>
      </c>
      <c r="AE59">
        <f t="shared" si="12"/>
        <v>6.8000000000000005E-2</v>
      </c>
      <c r="AF59">
        <f t="shared" si="12"/>
        <v>6.8000000000000005E-2</v>
      </c>
      <c r="AG59">
        <f t="shared" si="12"/>
        <v>6.8000000000000005E-2</v>
      </c>
    </row>
    <row r="60" spans="1:33">
      <c r="A60" t="s">
        <v>158</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c r="A61" t="s">
        <v>159</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c r="A62" t="s">
        <v>160</v>
      </c>
      <c r="B62">
        <f t="shared" ref="B62:AG62" si="13">$E$40</f>
        <v>6.8000000000000005E-2</v>
      </c>
      <c r="C62">
        <f t="shared" si="13"/>
        <v>6.8000000000000005E-2</v>
      </c>
      <c r="D62">
        <f t="shared" si="13"/>
        <v>6.8000000000000005E-2</v>
      </c>
      <c r="E62">
        <f t="shared" si="13"/>
        <v>6.8000000000000005E-2</v>
      </c>
      <c r="F62">
        <f t="shared" si="13"/>
        <v>6.8000000000000005E-2</v>
      </c>
      <c r="G62">
        <f t="shared" si="13"/>
        <v>6.8000000000000005E-2</v>
      </c>
      <c r="H62">
        <f t="shared" si="13"/>
        <v>6.8000000000000005E-2</v>
      </c>
      <c r="I62">
        <f t="shared" si="13"/>
        <v>6.8000000000000005E-2</v>
      </c>
      <c r="J62">
        <f t="shared" si="13"/>
        <v>6.8000000000000005E-2</v>
      </c>
      <c r="K62">
        <f t="shared" si="13"/>
        <v>6.8000000000000005E-2</v>
      </c>
      <c r="L62">
        <f t="shared" si="13"/>
        <v>6.8000000000000005E-2</v>
      </c>
      <c r="M62">
        <f t="shared" si="13"/>
        <v>6.8000000000000005E-2</v>
      </c>
      <c r="N62">
        <f t="shared" si="13"/>
        <v>6.8000000000000005E-2</v>
      </c>
      <c r="O62">
        <f t="shared" si="13"/>
        <v>6.8000000000000005E-2</v>
      </c>
      <c r="P62">
        <f t="shared" si="13"/>
        <v>6.8000000000000005E-2</v>
      </c>
      <c r="Q62">
        <f t="shared" si="13"/>
        <v>6.8000000000000005E-2</v>
      </c>
      <c r="R62">
        <f t="shared" si="13"/>
        <v>6.8000000000000005E-2</v>
      </c>
      <c r="S62">
        <f t="shared" si="13"/>
        <v>6.8000000000000005E-2</v>
      </c>
      <c r="T62">
        <f t="shared" si="13"/>
        <v>6.8000000000000005E-2</v>
      </c>
      <c r="U62">
        <f t="shared" si="13"/>
        <v>6.8000000000000005E-2</v>
      </c>
      <c r="V62">
        <f t="shared" si="13"/>
        <v>6.8000000000000005E-2</v>
      </c>
      <c r="W62">
        <f t="shared" si="13"/>
        <v>6.8000000000000005E-2</v>
      </c>
      <c r="X62">
        <f t="shared" si="13"/>
        <v>6.8000000000000005E-2</v>
      </c>
      <c r="Y62">
        <f t="shared" si="13"/>
        <v>6.8000000000000005E-2</v>
      </c>
      <c r="Z62">
        <f t="shared" si="13"/>
        <v>6.8000000000000005E-2</v>
      </c>
      <c r="AA62">
        <f t="shared" si="13"/>
        <v>6.8000000000000005E-2</v>
      </c>
      <c r="AB62">
        <f t="shared" si="13"/>
        <v>6.8000000000000005E-2</v>
      </c>
      <c r="AC62">
        <f t="shared" si="13"/>
        <v>6.8000000000000005E-2</v>
      </c>
      <c r="AD62">
        <f t="shared" si="13"/>
        <v>6.8000000000000005E-2</v>
      </c>
      <c r="AE62">
        <f t="shared" si="13"/>
        <v>6.8000000000000005E-2</v>
      </c>
      <c r="AF62">
        <f t="shared" si="13"/>
        <v>6.8000000000000005E-2</v>
      </c>
      <c r="AG62">
        <f t="shared" si="13"/>
        <v>6.8000000000000005E-2</v>
      </c>
    </row>
    <row r="63" spans="1:33">
      <c r="A63" s="5" t="s">
        <v>161</v>
      </c>
      <c r="B63" s="5">
        <v>0</v>
      </c>
      <c r="C63" s="5">
        <v>0</v>
      </c>
      <c r="D63" s="5">
        <v>0</v>
      </c>
      <c r="E63" s="5">
        <v>0</v>
      </c>
      <c r="F63" s="5">
        <v>0</v>
      </c>
      <c r="G63" s="5">
        <v>0</v>
      </c>
      <c r="H63" s="5">
        <v>0</v>
      </c>
      <c r="I63" s="5">
        <v>0</v>
      </c>
      <c r="J63" s="5">
        <v>0</v>
      </c>
      <c r="K63" s="5">
        <v>0</v>
      </c>
      <c r="L63" s="5">
        <v>0</v>
      </c>
      <c r="M63" s="5">
        <v>0</v>
      </c>
      <c r="N63" s="5">
        <v>0</v>
      </c>
      <c r="O63" s="5">
        <v>0</v>
      </c>
      <c r="P63" s="5">
        <v>0</v>
      </c>
      <c r="Q63" s="5">
        <v>0</v>
      </c>
      <c r="R63" s="5">
        <v>0</v>
      </c>
      <c r="S63" s="5">
        <v>0</v>
      </c>
      <c r="T63" s="5">
        <v>0</v>
      </c>
      <c r="U63" s="5">
        <v>0</v>
      </c>
      <c r="V63" s="5">
        <v>0</v>
      </c>
      <c r="W63" s="5">
        <v>0</v>
      </c>
      <c r="X63" s="5">
        <v>0</v>
      </c>
      <c r="Y63" s="5">
        <v>0</v>
      </c>
      <c r="Z63" s="5">
        <v>0</v>
      </c>
      <c r="AA63" s="5">
        <v>0</v>
      </c>
      <c r="AB63" s="5">
        <v>0</v>
      </c>
      <c r="AC63" s="5">
        <v>0</v>
      </c>
      <c r="AD63" s="5">
        <v>0</v>
      </c>
      <c r="AE63" s="5">
        <v>0</v>
      </c>
      <c r="AF63" s="5">
        <v>0</v>
      </c>
      <c r="AG63" s="5">
        <v>0</v>
      </c>
    </row>
    <row r="64" spans="1:33">
      <c r="A64" t="s">
        <v>162</v>
      </c>
      <c r="B64">
        <f t="shared" ref="B64:AG64" si="14">$E$40</f>
        <v>6.8000000000000005E-2</v>
      </c>
      <c r="C64">
        <f t="shared" si="14"/>
        <v>6.8000000000000005E-2</v>
      </c>
      <c r="D64">
        <f t="shared" si="14"/>
        <v>6.8000000000000005E-2</v>
      </c>
      <c r="E64">
        <f t="shared" si="14"/>
        <v>6.8000000000000005E-2</v>
      </c>
      <c r="F64">
        <f t="shared" si="14"/>
        <v>6.8000000000000005E-2</v>
      </c>
      <c r="G64">
        <f t="shared" si="14"/>
        <v>6.8000000000000005E-2</v>
      </c>
      <c r="H64">
        <f t="shared" si="14"/>
        <v>6.8000000000000005E-2</v>
      </c>
      <c r="I64">
        <f t="shared" si="14"/>
        <v>6.8000000000000005E-2</v>
      </c>
      <c r="J64">
        <f t="shared" si="14"/>
        <v>6.8000000000000005E-2</v>
      </c>
      <c r="K64">
        <f t="shared" si="14"/>
        <v>6.8000000000000005E-2</v>
      </c>
      <c r="L64">
        <f t="shared" si="14"/>
        <v>6.8000000000000005E-2</v>
      </c>
      <c r="M64">
        <f t="shared" si="14"/>
        <v>6.8000000000000005E-2</v>
      </c>
      <c r="N64">
        <f t="shared" si="14"/>
        <v>6.8000000000000005E-2</v>
      </c>
      <c r="O64">
        <f t="shared" si="14"/>
        <v>6.8000000000000005E-2</v>
      </c>
      <c r="P64">
        <f t="shared" si="14"/>
        <v>6.8000000000000005E-2</v>
      </c>
      <c r="Q64">
        <f t="shared" si="14"/>
        <v>6.8000000000000005E-2</v>
      </c>
      <c r="R64">
        <f t="shared" si="14"/>
        <v>6.8000000000000005E-2</v>
      </c>
      <c r="S64">
        <f t="shared" si="14"/>
        <v>6.8000000000000005E-2</v>
      </c>
      <c r="T64">
        <f t="shared" si="14"/>
        <v>6.8000000000000005E-2</v>
      </c>
      <c r="U64">
        <f t="shared" si="14"/>
        <v>6.8000000000000005E-2</v>
      </c>
      <c r="V64">
        <f t="shared" si="14"/>
        <v>6.8000000000000005E-2</v>
      </c>
      <c r="W64">
        <f t="shared" si="14"/>
        <v>6.8000000000000005E-2</v>
      </c>
      <c r="X64">
        <f t="shared" si="14"/>
        <v>6.8000000000000005E-2</v>
      </c>
      <c r="Y64">
        <f t="shared" si="14"/>
        <v>6.8000000000000005E-2</v>
      </c>
      <c r="Z64">
        <f t="shared" si="14"/>
        <v>6.8000000000000005E-2</v>
      </c>
      <c r="AA64">
        <f t="shared" si="14"/>
        <v>6.8000000000000005E-2</v>
      </c>
      <c r="AB64">
        <f t="shared" si="14"/>
        <v>6.8000000000000005E-2</v>
      </c>
      <c r="AC64">
        <f t="shared" si="14"/>
        <v>6.8000000000000005E-2</v>
      </c>
      <c r="AD64">
        <f t="shared" si="14"/>
        <v>6.8000000000000005E-2</v>
      </c>
      <c r="AE64">
        <f t="shared" si="14"/>
        <v>6.8000000000000005E-2</v>
      </c>
      <c r="AF64">
        <f t="shared" si="14"/>
        <v>6.8000000000000005E-2</v>
      </c>
      <c r="AG64">
        <f t="shared" si="14"/>
        <v>6.8000000000000005E-2</v>
      </c>
    </row>
    <row r="65" spans="1:33">
      <c r="A65" s="14"/>
      <c r="B65"/>
      <c r="C65"/>
      <c r="D65"/>
      <c r="E65"/>
      <c r="F65"/>
      <c r="G65"/>
      <c r="H65"/>
      <c r="I65"/>
      <c r="J65"/>
      <c r="K65"/>
      <c r="L65"/>
      <c r="M65"/>
      <c r="N65"/>
      <c r="O65"/>
      <c r="P65"/>
      <c r="Q65"/>
      <c r="R65"/>
      <c r="S65"/>
      <c r="T65"/>
      <c r="U65"/>
      <c r="V65"/>
      <c r="W65"/>
      <c r="X65"/>
      <c r="Y65"/>
      <c r="Z65"/>
      <c r="AA65"/>
      <c r="AB65"/>
      <c r="AC65"/>
      <c r="AD65"/>
      <c r="AE65"/>
      <c r="AF65"/>
      <c r="AG65"/>
    </row>
    <row r="66" spans="1:33">
      <c r="A66" s="14"/>
      <c r="B66"/>
      <c r="C66"/>
      <c r="D66"/>
      <c r="E66"/>
      <c r="F66"/>
      <c r="G66"/>
      <c r="H66"/>
      <c r="I66"/>
      <c r="J66"/>
      <c r="K66"/>
      <c r="L66"/>
      <c r="M66"/>
      <c r="N66"/>
      <c r="O66"/>
      <c r="P66"/>
      <c r="Q66"/>
      <c r="R66"/>
      <c r="S66"/>
      <c r="T66"/>
      <c r="U66"/>
      <c r="V66"/>
      <c r="W66"/>
      <c r="X66"/>
      <c r="Y66"/>
      <c r="Z66"/>
      <c r="AA66"/>
      <c r="AB66"/>
      <c r="AC66"/>
      <c r="AD66"/>
      <c r="AE66"/>
      <c r="AF66"/>
      <c r="AG66"/>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21"/>
  <sheetViews>
    <sheetView workbookViewId="0">
      <selection activeCell="A16" sqref="A16:XFD20"/>
    </sheetView>
  </sheetViews>
  <sheetFormatPr defaultColWidth="9.1796875" defaultRowHeight="14.5"/>
  <cols>
    <col min="1" max="1" width="30" style="14" customWidth="1"/>
    <col min="2" max="2" width="16.1796875" style="14" customWidth="1"/>
    <col min="3" max="3" width="16.54296875" style="14" customWidth="1"/>
    <col min="4" max="4" width="13.1796875" style="14" bestFit="1" customWidth="1"/>
    <col min="5" max="6" width="9.1796875" style="14" customWidth="1"/>
    <col min="7" max="16384" width="9.1796875" style="14"/>
  </cols>
  <sheetData>
    <row r="1" spans="1:36">
      <c r="A1" s="6" t="s">
        <v>125</v>
      </c>
      <c r="B1" s="1" t="s">
        <v>126</v>
      </c>
      <c r="C1" s="1" t="s">
        <v>127</v>
      </c>
      <c r="D1" s="6" t="s">
        <v>128</v>
      </c>
      <c r="E1" s="6" t="s">
        <v>129</v>
      </c>
    </row>
    <row r="2" spans="1:36">
      <c r="A2" t="s">
        <v>133</v>
      </c>
      <c r="B2" s="25">
        <v>13.85</v>
      </c>
      <c r="C2" s="25" t="s">
        <v>134</v>
      </c>
      <c r="D2" t="s">
        <v>135</v>
      </c>
    </row>
    <row r="4" spans="1:36">
      <c r="A4" s="6" t="s">
        <v>136</v>
      </c>
      <c r="B4" s="6"/>
      <c r="C4" s="6"/>
    </row>
    <row r="5" spans="1:36">
      <c r="B5">
        <v>1000000</v>
      </c>
      <c r="C5" t="s">
        <v>137</v>
      </c>
    </row>
    <row r="6" spans="1:36">
      <c r="B6">
        <v>1.1299999999999999</v>
      </c>
      <c r="C6" t="s">
        <v>138</v>
      </c>
    </row>
    <row r="7" spans="1:36">
      <c r="B7">
        <v>947817</v>
      </c>
      <c r="C7" t="s">
        <v>139</v>
      </c>
    </row>
    <row r="9" spans="1:36">
      <c r="A9" t="s">
        <v>140</v>
      </c>
    </row>
    <row r="10" spans="1:36">
      <c r="A10" t="str">
        <f>About!A83</f>
        <v>(1) Use recent empirical data</v>
      </c>
    </row>
    <row r="11" spans="1:36">
      <c r="A11" t="str">
        <f>About!A84</f>
        <v>(2) Use the Short Term Energy Outlook (SEO) for the first segment of the price outlook for crude oil, gasoline, and diesel.</v>
      </c>
    </row>
    <row r="12" spans="1:36">
      <c r="A12" t="s">
        <v>141</v>
      </c>
    </row>
    <row r="14" spans="1:36">
      <c r="A14" s="6" t="s">
        <v>142</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c r="C15">
        <v>2019</v>
      </c>
      <c r="D15">
        <v>2020</v>
      </c>
      <c r="E15">
        <v>2021</v>
      </c>
      <c r="F15">
        <v>2022</v>
      </c>
      <c r="G15">
        <v>2023</v>
      </c>
      <c r="H15">
        <v>2024</v>
      </c>
      <c r="I15">
        <v>2025</v>
      </c>
      <c r="J15">
        <v>2026</v>
      </c>
      <c r="K15">
        <v>2027</v>
      </c>
      <c r="L15">
        <v>2028</v>
      </c>
      <c r="M15">
        <v>2029</v>
      </c>
      <c r="N15">
        <v>2030</v>
      </c>
      <c r="O15">
        <v>2031</v>
      </c>
      <c r="P15">
        <v>2032</v>
      </c>
      <c r="Q15">
        <v>2033</v>
      </c>
      <c r="R15">
        <v>2034</v>
      </c>
      <c r="S15">
        <v>2035</v>
      </c>
      <c r="T15">
        <v>2036</v>
      </c>
      <c r="U15">
        <v>2037</v>
      </c>
      <c r="V15">
        <v>2038</v>
      </c>
      <c r="W15">
        <v>2039</v>
      </c>
      <c r="X15">
        <v>2040</v>
      </c>
      <c r="Y15">
        <v>2041</v>
      </c>
      <c r="Z15">
        <v>2042</v>
      </c>
      <c r="AA15">
        <v>2043</v>
      </c>
      <c r="AB15">
        <v>2044</v>
      </c>
      <c r="AC15">
        <v>2045</v>
      </c>
      <c r="AD15">
        <v>2046</v>
      </c>
      <c r="AE15">
        <v>2047</v>
      </c>
      <c r="AF15">
        <v>2048</v>
      </c>
      <c r="AG15">
        <v>2049</v>
      </c>
      <c r="AH15">
        <v>2050</v>
      </c>
    </row>
    <row r="16" spans="1:36">
      <c r="A16" t="s">
        <v>133</v>
      </c>
      <c r="B16" s="25" t="s">
        <v>134</v>
      </c>
      <c r="C16" s="21">
        <f t="shared" ref="C16:AH16" si="0">$B2*$B6/$B7</f>
        <v>1.6512153717437014E-5</v>
      </c>
      <c r="D16" s="21">
        <f t="shared" si="0"/>
        <v>1.6512153717437014E-5</v>
      </c>
      <c r="E16" s="21">
        <f t="shared" si="0"/>
        <v>1.6512153717437014E-5</v>
      </c>
      <c r="F16" s="21">
        <f t="shared" si="0"/>
        <v>1.6512153717437014E-5</v>
      </c>
      <c r="G16" s="21">
        <f t="shared" si="0"/>
        <v>1.6512153717437014E-5</v>
      </c>
      <c r="H16" s="21">
        <f t="shared" si="0"/>
        <v>1.6512153717437014E-5</v>
      </c>
      <c r="I16" s="21">
        <f t="shared" si="0"/>
        <v>1.6512153717437014E-5</v>
      </c>
      <c r="J16" s="21">
        <f t="shared" si="0"/>
        <v>1.6512153717437014E-5</v>
      </c>
      <c r="K16" s="21">
        <f t="shared" si="0"/>
        <v>1.6512153717437014E-5</v>
      </c>
      <c r="L16" s="21">
        <f t="shared" si="0"/>
        <v>1.6512153717437014E-5</v>
      </c>
      <c r="M16" s="21">
        <f t="shared" si="0"/>
        <v>1.6512153717437014E-5</v>
      </c>
      <c r="N16" s="21">
        <f t="shared" si="0"/>
        <v>1.6512153717437014E-5</v>
      </c>
      <c r="O16" s="21">
        <f t="shared" si="0"/>
        <v>1.6512153717437014E-5</v>
      </c>
      <c r="P16" s="21">
        <f t="shared" si="0"/>
        <v>1.6512153717437014E-5</v>
      </c>
      <c r="Q16" s="21">
        <f t="shared" si="0"/>
        <v>1.6512153717437014E-5</v>
      </c>
      <c r="R16" s="21">
        <f t="shared" si="0"/>
        <v>1.6512153717437014E-5</v>
      </c>
      <c r="S16" s="21">
        <f t="shared" si="0"/>
        <v>1.6512153717437014E-5</v>
      </c>
      <c r="T16" s="21">
        <f t="shared" si="0"/>
        <v>1.6512153717437014E-5</v>
      </c>
      <c r="U16" s="21">
        <f t="shared" si="0"/>
        <v>1.6512153717437014E-5</v>
      </c>
      <c r="V16" s="21">
        <f t="shared" si="0"/>
        <v>1.6512153717437014E-5</v>
      </c>
      <c r="W16" s="21">
        <f t="shared" si="0"/>
        <v>1.6512153717437014E-5</v>
      </c>
      <c r="X16" s="21">
        <f t="shared" si="0"/>
        <v>1.6512153717437014E-5</v>
      </c>
      <c r="Y16" s="21">
        <f t="shared" si="0"/>
        <v>1.6512153717437014E-5</v>
      </c>
      <c r="Z16" s="21">
        <f t="shared" si="0"/>
        <v>1.6512153717437014E-5</v>
      </c>
      <c r="AA16" s="21">
        <f t="shared" si="0"/>
        <v>1.6512153717437014E-5</v>
      </c>
      <c r="AB16" s="21">
        <f t="shared" si="0"/>
        <v>1.6512153717437014E-5</v>
      </c>
      <c r="AC16" s="21">
        <f t="shared" si="0"/>
        <v>1.6512153717437014E-5</v>
      </c>
      <c r="AD16" s="21">
        <f t="shared" si="0"/>
        <v>1.6512153717437014E-5</v>
      </c>
      <c r="AE16" s="21">
        <f t="shared" si="0"/>
        <v>1.6512153717437014E-5</v>
      </c>
      <c r="AF16" s="21">
        <f t="shared" si="0"/>
        <v>1.6512153717437014E-5</v>
      </c>
      <c r="AG16" s="21">
        <f t="shared" si="0"/>
        <v>1.6512153717437014E-5</v>
      </c>
      <c r="AH16" s="21">
        <f t="shared" si="0"/>
        <v>1.6512153717437014E-5</v>
      </c>
      <c r="AI16" s="21"/>
      <c r="AJ16" s="21"/>
    </row>
    <row r="21" spans="1:1">
      <c r="A21" s="13"/>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41"/>
  <sheetViews>
    <sheetView topLeftCell="A21" workbookViewId="0">
      <selection activeCell="A27" sqref="A27"/>
    </sheetView>
  </sheetViews>
  <sheetFormatPr defaultColWidth="8.81640625" defaultRowHeight="14.5"/>
  <cols>
    <col min="1" max="1" width="45.81640625" style="14" customWidth="1"/>
    <col min="2" max="2" width="18.81640625" style="14" customWidth="1"/>
    <col min="3" max="3" width="15.453125" style="14" customWidth="1"/>
    <col min="5" max="5" width="9.453125" style="14" customWidth="1"/>
    <col min="6" max="6" width="12" style="14" customWidth="1"/>
  </cols>
  <sheetData>
    <row r="1" spans="1:12">
      <c r="A1" s="7" t="s">
        <v>99</v>
      </c>
      <c r="B1" s="8"/>
      <c r="C1" s="8"/>
      <c r="D1" s="8"/>
      <c r="E1" s="8"/>
      <c r="F1" s="8"/>
      <c r="G1" s="8"/>
      <c r="H1" s="8"/>
      <c r="I1" s="8"/>
      <c r="J1" s="8"/>
      <c r="K1" s="8"/>
      <c r="L1" s="8"/>
    </row>
    <row r="2" spans="1:12">
      <c r="A2" s="6" t="s">
        <v>100</v>
      </c>
      <c r="B2" s="5"/>
      <c r="C2" s="5"/>
      <c r="D2" s="5"/>
      <c r="E2" s="5"/>
      <c r="F2" s="5"/>
      <c r="G2" s="5"/>
      <c r="H2" s="5"/>
      <c r="I2" s="5"/>
      <c r="J2" s="5"/>
      <c r="K2" s="5"/>
      <c r="L2" s="5"/>
    </row>
    <row r="3" spans="1:12">
      <c r="B3" s="13">
        <v>2015</v>
      </c>
      <c r="C3" s="13">
        <v>2016</v>
      </c>
      <c r="D3" s="13">
        <v>2017</v>
      </c>
      <c r="E3" s="13">
        <v>2018</v>
      </c>
      <c r="F3" s="13">
        <v>2019</v>
      </c>
      <c r="G3" s="13">
        <v>2020</v>
      </c>
      <c r="H3" s="13">
        <v>2021</v>
      </c>
      <c r="I3" s="13">
        <v>2022</v>
      </c>
      <c r="J3" s="13">
        <v>2023</v>
      </c>
      <c r="K3" s="13">
        <v>2024</v>
      </c>
      <c r="L3" s="13">
        <v>2025</v>
      </c>
    </row>
    <row r="4" spans="1:12">
      <c r="A4" s="13" t="s">
        <v>101</v>
      </c>
      <c r="B4">
        <v>72</v>
      </c>
      <c r="C4">
        <v>74.099999999999994</v>
      </c>
      <c r="D4">
        <v>77.599999999999994</v>
      </c>
      <c r="E4">
        <v>79.3</v>
      </c>
      <c r="F4">
        <v>81.400000000000006</v>
      </c>
      <c r="G4">
        <v>83</v>
      </c>
      <c r="H4">
        <v>85.3</v>
      </c>
      <c r="I4">
        <v>87.3</v>
      </c>
      <c r="J4">
        <v>88.9</v>
      </c>
      <c r="K4">
        <v>90.8</v>
      </c>
      <c r="L4">
        <v>93.3</v>
      </c>
    </row>
    <row r="5" spans="1:12">
      <c r="A5" s="13" t="s">
        <v>102</v>
      </c>
      <c r="B5">
        <v>28.6</v>
      </c>
      <c r="C5">
        <v>29.8</v>
      </c>
      <c r="D5">
        <v>31.6</v>
      </c>
      <c r="E5">
        <v>32.700000000000003</v>
      </c>
      <c r="F5">
        <v>33.9</v>
      </c>
      <c r="G5">
        <v>35.1</v>
      </c>
      <c r="H5">
        <v>36.5</v>
      </c>
      <c r="I5">
        <v>37.799999999999997</v>
      </c>
      <c r="J5">
        <v>39.1</v>
      </c>
      <c r="K5">
        <v>40.4</v>
      </c>
      <c r="L5">
        <v>42.1</v>
      </c>
    </row>
    <row r="6" spans="1:12">
      <c r="A6" s="13" t="s">
        <v>103</v>
      </c>
      <c r="B6">
        <v>2.52</v>
      </c>
      <c r="C6">
        <v>2.4900000000000002</v>
      </c>
      <c r="D6">
        <v>2.46</v>
      </c>
      <c r="E6">
        <v>2.4300000000000002</v>
      </c>
      <c r="F6">
        <v>2.4</v>
      </c>
      <c r="G6">
        <v>2.36</v>
      </c>
      <c r="H6">
        <v>2.34</v>
      </c>
      <c r="I6">
        <v>2.31</v>
      </c>
      <c r="J6">
        <v>2.27</v>
      </c>
      <c r="K6">
        <v>2.25</v>
      </c>
      <c r="L6">
        <v>2.2200000000000002</v>
      </c>
    </row>
    <row r="7" spans="1:12">
      <c r="A7" s="6" t="s">
        <v>104</v>
      </c>
      <c r="B7" s="5"/>
      <c r="C7" s="5"/>
      <c r="D7" s="5"/>
      <c r="E7" s="5"/>
      <c r="F7" s="5"/>
      <c r="G7" s="5"/>
      <c r="H7" s="5"/>
      <c r="I7" s="5"/>
      <c r="J7" s="5"/>
      <c r="K7" s="5"/>
      <c r="L7" s="5"/>
    </row>
    <row r="8" spans="1:12">
      <c r="B8" s="13">
        <v>2015</v>
      </c>
      <c r="C8" s="13">
        <v>2016</v>
      </c>
      <c r="D8" s="13">
        <v>2017</v>
      </c>
      <c r="E8" s="13">
        <v>2018</v>
      </c>
      <c r="F8" s="13">
        <v>2019</v>
      </c>
      <c r="G8" s="13">
        <v>2020</v>
      </c>
      <c r="H8" s="13">
        <v>2021</v>
      </c>
      <c r="I8" s="13">
        <v>2022</v>
      </c>
      <c r="J8" s="13">
        <v>2023</v>
      </c>
      <c r="K8" s="13">
        <v>2024</v>
      </c>
      <c r="L8" s="13">
        <v>2025</v>
      </c>
    </row>
    <row r="9" spans="1:12">
      <c r="A9" s="13" t="s">
        <v>105</v>
      </c>
      <c r="B9" s="24">
        <v>2.89</v>
      </c>
      <c r="C9" s="24">
        <v>3.35</v>
      </c>
      <c r="D9" s="24">
        <v>3.54</v>
      </c>
      <c r="E9" s="24">
        <v>3.63</v>
      </c>
      <c r="F9" s="24">
        <v>3.75</v>
      </c>
      <c r="G9" s="24">
        <v>4.01</v>
      </c>
      <c r="H9" s="24">
        <v>4.1500000000000004</v>
      </c>
      <c r="I9" s="24">
        <v>4.32</v>
      </c>
      <c r="J9" s="24">
        <v>4.4800000000000004</v>
      </c>
      <c r="K9" s="24">
        <v>4.6399999999999997</v>
      </c>
      <c r="L9" s="24">
        <v>4.8099999999999996</v>
      </c>
    </row>
    <row r="10" spans="1:12">
      <c r="A10" s="13" t="s">
        <v>106</v>
      </c>
      <c r="B10" s="24">
        <v>7.28</v>
      </c>
      <c r="C10" s="24">
        <v>8.33</v>
      </c>
      <c r="D10" s="24">
        <v>8.6999999999999993</v>
      </c>
      <c r="E10" s="24">
        <v>8.8000000000000007</v>
      </c>
      <c r="F10" s="24">
        <v>9</v>
      </c>
      <c r="G10" s="24">
        <v>9.48</v>
      </c>
      <c r="H10" s="24">
        <v>9.7100000000000009</v>
      </c>
      <c r="I10" s="24">
        <v>9.9700000000000006</v>
      </c>
      <c r="J10" s="24">
        <v>10.19</v>
      </c>
      <c r="K10" s="24">
        <v>10.43</v>
      </c>
      <c r="L10" s="24">
        <v>10.66</v>
      </c>
    </row>
    <row r="11" spans="1:12">
      <c r="A11" s="13" t="s">
        <v>107</v>
      </c>
      <c r="B11" s="24">
        <v>14</v>
      </c>
      <c r="C11" s="24">
        <v>13.71</v>
      </c>
      <c r="D11" s="24">
        <v>13.42</v>
      </c>
      <c r="E11" s="24">
        <v>13.13</v>
      </c>
      <c r="F11" s="24">
        <v>12.85</v>
      </c>
      <c r="G11" s="24">
        <v>12.56</v>
      </c>
      <c r="H11" s="24">
        <v>12.27</v>
      </c>
      <c r="I11" s="24">
        <v>11.98</v>
      </c>
      <c r="J11" s="24">
        <v>11.69</v>
      </c>
      <c r="K11" s="24">
        <v>11.4</v>
      </c>
      <c r="L11" s="24">
        <v>11.11</v>
      </c>
    </row>
    <row r="14" spans="1:12">
      <c r="A14" s="13" t="s">
        <v>108</v>
      </c>
    </row>
    <row r="15" spans="1:12">
      <c r="A15">
        <v>61013</v>
      </c>
      <c r="B15" t="s">
        <v>109</v>
      </c>
    </row>
    <row r="16" spans="1:12">
      <c r="A16" s="10" t="s">
        <v>110</v>
      </c>
    </row>
    <row r="18" spans="1:37">
      <c r="A18" s="13" t="s">
        <v>111</v>
      </c>
    </row>
    <row r="19" spans="1:37">
      <c r="A19">
        <v>2.2046199999999998</v>
      </c>
      <c r="B19" t="s">
        <v>112</v>
      </c>
    </row>
    <row r="22" spans="1:37">
      <c r="A22" s="13" t="s">
        <v>113</v>
      </c>
    </row>
    <row r="23" spans="1:37">
      <c r="B23">
        <v>2015</v>
      </c>
      <c r="C23">
        <v>2016</v>
      </c>
      <c r="D23">
        <v>2017</v>
      </c>
      <c r="E23">
        <v>2018</v>
      </c>
      <c r="F23">
        <v>2019</v>
      </c>
      <c r="G23">
        <v>2020</v>
      </c>
      <c r="H23">
        <v>2021</v>
      </c>
      <c r="I23">
        <v>2022</v>
      </c>
      <c r="J23">
        <v>2023</v>
      </c>
      <c r="K23">
        <v>2024</v>
      </c>
      <c r="L23">
        <v>2025</v>
      </c>
    </row>
    <row r="24" spans="1:37">
      <c r="A24" s="13" t="s">
        <v>114</v>
      </c>
      <c r="B24" s="21">
        <f t="shared" ref="B24:L24" si="0">B11/$A$19/$A$15</f>
        <v>1.0408110947009583E-4</v>
      </c>
      <c r="C24" s="21">
        <f t="shared" si="0"/>
        <v>1.0192514363107242E-4</v>
      </c>
      <c r="D24" s="21">
        <f t="shared" si="0"/>
        <v>9.9769177792048987E-5</v>
      </c>
      <c r="E24" s="21">
        <f t="shared" si="0"/>
        <v>9.7613211953025594E-5</v>
      </c>
      <c r="F24" s="21">
        <f t="shared" si="0"/>
        <v>9.5531589763623656E-5</v>
      </c>
      <c r="G24" s="21">
        <f t="shared" si="0"/>
        <v>9.3375623924600264E-5</v>
      </c>
      <c r="H24" s="21">
        <f t="shared" si="0"/>
        <v>9.1219658085576832E-5</v>
      </c>
      <c r="I24" s="21">
        <f t="shared" si="0"/>
        <v>8.9063692246553426E-5</v>
      </c>
      <c r="J24" s="21">
        <f t="shared" si="0"/>
        <v>8.690772640753002E-5</v>
      </c>
      <c r="K24" s="21">
        <f t="shared" si="0"/>
        <v>8.4751760568506601E-5</v>
      </c>
      <c r="L24" s="21">
        <f t="shared" si="0"/>
        <v>8.2595794729483182E-5</v>
      </c>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row>
    <row r="26" spans="1:37">
      <c r="A26" t="s">
        <v>115</v>
      </c>
    </row>
    <row r="27" spans="1:37">
      <c r="A27" t="s">
        <v>731</v>
      </c>
    </row>
    <row r="28" spans="1:37">
      <c r="A28" t="s">
        <v>116</v>
      </c>
    </row>
    <row r="30" spans="1:37">
      <c r="A30" t="s">
        <v>117</v>
      </c>
    </row>
    <row r="31" spans="1:37">
      <c r="A31" t="s">
        <v>118</v>
      </c>
    </row>
    <row r="32" spans="1:37">
      <c r="A32" t="s">
        <v>119</v>
      </c>
    </row>
    <row r="33" spans="1:35">
      <c r="A33" t="s">
        <v>120</v>
      </c>
    </row>
    <row r="34" spans="1:35">
      <c r="A34" t="s">
        <v>121</v>
      </c>
    </row>
    <row r="36" spans="1:35">
      <c r="A36" t="s">
        <v>122</v>
      </c>
      <c r="D36">
        <v>2017</v>
      </c>
      <c r="E36">
        <v>2030</v>
      </c>
      <c r="F36">
        <v>2050</v>
      </c>
    </row>
    <row r="37" spans="1:35">
      <c r="A37" t="s">
        <v>123</v>
      </c>
      <c r="D37" s="21">
        <f>D24</f>
        <v>9.9769177792048987E-5</v>
      </c>
      <c r="E37" s="21">
        <f>1.97*(7.4)/1000000</f>
        <v>1.4578000000000002E-5</v>
      </c>
      <c r="F37" s="21">
        <f>1.01*(7.4)/1000000</f>
        <v>7.4739999999999999E-6</v>
      </c>
    </row>
    <row r="39" spans="1:35">
      <c r="A39" s="11" t="s">
        <v>124</v>
      </c>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row>
    <row r="40" spans="1:35">
      <c r="B40">
        <v>2017</v>
      </c>
      <c r="C40">
        <v>2018</v>
      </c>
      <c r="D40">
        <v>2019</v>
      </c>
      <c r="E40">
        <v>2020</v>
      </c>
      <c r="F40">
        <v>2021</v>
      </c>
      <c r="G40">
        <v>2022</v>
      </c>
      <c r="H40">
        <v>2023</v>
      </c>
      <c r="I40">
        <v>2024</v>
      </c>
      <c r="J40">
        <v>2025</v>
      </c>
      <c r="K40">
        <v>2026</v>
      </c>
      <c r="L40">
        <v>2027</v>
      </c>
      <c r="M40">
        <v>2028</v>
      </c>
      <c r="N40">
        <v>2029</v>
      </c>
      <c r="O40">
        <v>2030</v>
      </c>
      <c r="P40">
        <v>2031</v>
      </c>
      <c r="Q40">
        <v>2032</v>
      </c>
      <c r="R40">
        <v>2033</v>
      </c>
      <c r="S40">
        <v>2034</v>
      </c>
      <c r="T40">
        <v>2035</v>
      </c>
      <c r="U40">
        <v>2036</v>
      </c>
      <c r="V40">
        <v>2037</v>
      </c>
      <c r="W40">
        <v>2038</v>
      </c>
      <c r="X40">
        <v>2039</v>
      </c>
      <c r="Y40">
        <v>2040</v>
      </c>
      <c r="Z40">
        <v>2041</v>
      </c>
      <c r="AA40">
        <v>2042</v>
      </c>
      <c r="AB40">
        <v>2043</v>
      </c>
      <c r="AC40">
        <v>2044</v>
      </c>
      <c r="AD40">
        <v>2045</v>
      </c>
      <c r="AE40">
        <v>2046</v>
      </c>
      <c r="AF40">
        <v>2047</v>
      </c>
      <c r="AG40">
        <v>2048</v>
      </c>
      <c r="AH40">
        <v>2049</v>
      </c>
      <c r="AI40">
        <v>2050</v>
      </c>
    </row>
    <row r="41" spans="1:35">
      <c r="A41" s="13" t="s">
        <v>114</v>
      </c>
      <c r="B41" s="21">
        <f t="shared" ref="B41:O41" si="1">TREND($D37:$E37,$D$36:$E$36,B$40)</f>
        <v>9.9769177792049732E-5</v>
      </c>
      <c r="C41" s="21">
        <f t="shared" si="1"/>
        <v>9.3216010269583927E-5</v>
      </c>
      <c r="D41" s="21">
        <f t="shared" si="1"/>
        <v>8.6662842747119856E-5</v>
      </c>
      <c r="E41" s="21">
        <f t="shared" si="1"/>
        <v>8.0109675224654051E-5</v>
      </c>
      <c r="F41" s="21">
        <f t="shared" si="1"/>
        <v>7.3556507702188245E-5</v>
      </c>
      <c r="G41" s="21">
        <f t="shared" si="1"/>
        <v>6.7003340179724175E-5</v>
      </c>
      <c r="H41" s="21">
        <f t="shared" si="1"/>
        <v>6.0450172657258369E-5</v>
      </c>
      <c r="I41" s="21">
        <f t="shared" si="1"/>
        <v>5.3897005134792564E-5</v>
      </c>
      <c r="J41" s="21">
        <f t="shared" si="1"/>
        <v>4.7343837612326758E-5</v>
      </c>
      <c r="K41" s="21">
        <f t="shared" si="1"/>
        <v>4.0790670089862688E-5</v>
      </c>
      <c r="L41" s="21">
        <f t="shared" si="1"/>
        <v>3.4237502567396882E-5</v>
      </c>
      <c r="M41" s="21">
        <f t="shared" si="1"/>
        <v>2.7684335044931077E-5</v>
      </c>
      <c r="N41" s="21">
        <f t="shared" si="1"/>
        <v>2.1131167522467006E-5</v>
      </c>
      <c r="O41" s="21">
        <f t="shared" si="1"/>
        <v>1.4578000000001201E-5</v>
      </c>
      <c r="P41" s="21">
        <f t="shared" ref="P41:AI41" si="2">TREND($E37:$F37,$E$36:$F$36,P$40)</f>
        <v>1.4222799999999989E-5</v>
      </c>
      <c r="Q41" s="21">
        <f t="shared" si="2"/>
        <v>1.3867599999999969E-5</v>
      </c>
      <c r="R41" s="21">
        <f t="shared" si="2"/>
        <v>1.3512399999999949E-5</v>
      </c>
      <c r="S41" s="21">
        <f t="shared" si="2"/>
        <v>1.3157199999999929E-5</v>
      </c>
      <c r="T41" s="21">
        <f t="shared" si="2"/>
        <v>1.2802000000000017E-5</v>
      </c>
      <c r="U41" s="21">
        <f t="shared" si="2"/>
        <v>1.2446799999999997E-5</v>
      </c>
      <c r="V41" s="21">
        <f t="shared" si="2"/>
        <v>1.2091599999999978E-5</v>
      </c>
      <c r="W41" s="21">
        <f t="shared" si="2"/>
        <v>1.1736399999999958E-5</v>
      </c>
      <c r="X41" s="21">
        <f t="shared" si="2"/>
        <v>1.1381199999999938E-5</v>
      </c>
      <c r="Y41" s="21">
        <f t="shared" si="2"/>
        <v>1.1026000000000026E-5</v>
      </c>
      <c r="Z41" s="21">
        <f t="shared" si="2"/>
        <v>1.0670800000000006E-5</v>
      </c>
      <c r="AA41" s="21">
        <f t="shared" si="2"/>
        <v>1.0315599999999986E-5</v>
      </c>
      <c r="AB41" s="21">
        <f t="shared" si="2"/>
        <v>9.9603999999999665E-6</v>
      </c>
      <c r="AC41" s="21">
        <f t="shared" si="2"/>
        <v>9.6051999999999466E-6</v>
      </c>
      <c r="AD41" s="21">
        <f t="shared" si="2"/>
        <v>9.2499999999999267E-6</v>
      </c>
      <c r="AE41" s="21">
        <f t="shared" si="2"/>
        <v>8.8948000000000152E-6</v>
      </c>
      <c r="AF41" s="21">
        <f t="shared" si="2"/>
        <v>8.5395999999999953E-6</v>
      </c>
      <c r="AG41" s="21">
        <f t="shared" si="2"/>
        <v>8.1843999999999754E-6</v>
      </c>
      <c r="AH41" s="21">
        <f t="shared" si="2"/>
        <v>7.8291999999999555E-6</v>
      </c>
      <c r="AI41" s="21">
        <f t="shared" si="2"/>
        <v>7.4739999999999356E-6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FE01C-7FE8-47D3-A30E-57655C4AA63A}">
  <dimension ref="A1:Q60"/>
  <sheetViews>
    <sheetView topLeftCell="A45" workbookViewId="0">
      <selection activeCell="B56" sqref="B56"/>
    </sheetView>
  </sheetViews>
  <sheetFormatPr defaultRowHeight="14.5"/>
  <cols>
    <col min="1" max="5" width="24" style="138" customWidth="1"/>
    <col min="6" max="16384" width="8.7265625" style="138"/>
  </cols>
  <sheetData>
    <row r="1" spans="1:5" ht="15" customHeight="1">
      <c r="A1" s="231" t="s">
        <v>918</v>
      </c>
      <c r="B1" s="232"/>
      <c r="C1" s="232"/>
      <c r="D1" s="232"/>
      <c r="E1" s="232"/>
    </row>
    <row r="2" spans="1:5" ht="15" customHeight="1">
      <c r="A2" s="233" t="s">
        <v>919</v>
      </c>
      <c r="B2" s="232"/>
      <c r="C2" s="232"/>
      <c r="D2" s="232"/>
      <c r="E2" s="232"/>
    </row>
    <row r="3" spans="1:5" ht="15" customHeight="1">
      <c r="A3" s="233" t="s">
        <v>920</v>
      </c>
      <c r="B3" s="232"/>
      <c r="C3" s="232"/>
      <c r="D3" s="232"/>
      <c r="E3" s="232"/>
    </row>
    <row r="5" spans="1:5" ht="15" thickBot="1">
      <c r="A5" s="139" t="s">
        <v>325</v>
      </c>
      <c r="B5" s="139" t="s">
        <v>303</v>
      </c>
      <c r="C5" s="139" t="s">
        <v>306</v>
      </c>
      <c r="D5" s="139" t="s">
        <v>308</v>
      </c>
      <c r="E5" s="139" t="s">
        <v>921</v>
      </c>
    </row>
    <row r="6" spans="1:5" ht="15" thickTop="1">
      <c r="A6" s="140">
        <v>1990</v>
      </c>
      <c r="B6" s="141">
        <v>18.1300035420421</v>
      </c>
      <c r="C6" s="141">
        <v>17.0961876962166</v>
      </c>
      <c r="D6" s="141">
        <v>12.932844421350101</v>
      </c>
      <c r="E6" s="141">
        <v>16.592123132583801</v>
      </c>
    </row>
    <row r="7" spans="1:5">
      <c r="A7" s="140">
        <v>1991</v>
      </c>
      <c r="B7" s="141">
        <v>19.083728080696801</v>
      </c>
      <c r="C7" s="141">
        <v>17.808063990286801</v>
      </c>
      <c r="D7" s="141">
        <v>13.1340483977933</v>
      </c>
      <c r="E7" s="141">
        <v>16.9258810106125</v>
      </c>
    </row>
    <row r="8" spans="1:5">
      <c r="A8" s="140">
        <v>1992</v>
      </c>
      <c r="B8" s="141">
        <v>19.172554528915899</v>
      </c>
      <c r="C8" s="141">
        <v>17.853875713492499</v>
      </c>
      <c r="D8" s="141">
        <v>12.823932697781601</v>
      </c>
      <c r="E8" s="141">
        <v>17.1560335303054</v>
      </c>
    </row>
    <row r="9" spans="1:5">
      <c r="A9" s="140">
        <v>1993</v>
      </c>
      <c r="B9" s="141">
        <v>19.017415210433501</v>
      </c>
      <c r="C9" s="141">
        <v>17.5686540359691</v>
      </c>
      <c r="D9" s="141">
        <v>11.9807711148968</v>
      </c>
      <c r="E9" s="141">
        <v>18.2541050534379</v>
      </c>
    </row>
    <row r="10" spans="1:5">
      <c r="A10" s="140">
        <v>1994</v>
      </c>
      <c r="B10" s="141">
        <v>18.825971592629799</v>
      </c>
      <c r="C10" s="141">
        <v>17.739519428941801</v>
      </c>
      <c r="D10" s="141">
        <v>11.1779000456612</v>
      </c>
      <c r="E10" s="141">
        <v>17.361257614685801</v>
      </c>
    </row>
    <row r="11" spans="1:5">
      <c r="A11" s="140">
        <v>1995</v>
      </c>
      <c r="B11" s="141">
        <v>18.778540351988301</v>
      </c>
      <c r="C11" s="141">
        <v>16.857112472212801</v>
      </c>
      <c r="D11" s="141">
        <v>11.541986512053001</v>
      </c>
      <c r="E11" s="141">
        <v>17.168597092777201</v>
      </c>
    </row>
    <row r="12" spans="1:5">
      <c r="A12" s="140">
        <v>1996</v>
      </c>
      <c r="B12" s="141">
        <v>17.9505559273797</v>
      </c>
      <c r="C12" s="141">
        <v>15.402488904354099</v>
      </c>
      <c r="D12" s="141">
        <v>10.617318461062</v>
      </c>
      <c r="E12" s="141">
        <v>16.398929498506099</v>
      </c>
    </row>
    <row r="13" spans="1:5">
      <c r="A13" s="140">
        <v>1997</v>
      </c>
      <c r="B13" s="141">
        <v>17.887601959357799</v>
      </c>
      <c r="C13" s="141">
        <v>15.2954000512895</v>
      </c>
      <c r="D13" s="141">
        <v>10.2124148425876</v>
      </c>
      <c r="E13" s="141">
        <v>15.7068112029131</v>
      </c>
    </row>
    <row r="14" spans="1:5">
      <c r="A14" s="140">
        <v>1998</v>
      </c>
      <c r="B14" s="141">
        <v>16.140042403730799</v>
      </c>
      <c r="C14" s="141">
        <v>14.562729825543199</v>
      </c>
      <c r="D14" s="141">
        <v>9.5982964004197999</v>
      </c>
      <c r="E14" s="141">
        <v>16.3673249403329</v>
      </c>
    </row>
    <row r="15" spans="1:5">
      <c r="A15" s="140">
        <v>1999</v>
      </c>
      <c r="B15" s="141">
        <v>15.9927752745894</v>
      </c>
      <c r="C15" s="141">
        <v>14.9035570153241</v>
      </c>
      <c r="D15" s="141">
        <v>10.3586809964096</v>
      </c>
      <c r="E15" s="141">
        <v>14.879008792757899</v>
      </c>
    </row>
    <row r="16" spans="1:5">
      <c r="A16" s="140">
        <v>2000</v>
      </c>
      <c r="B16" s="141">
        <v>15.7980758931318</v>
      </c>
      <c r="C16" s="141">
        <v>14.7050659258017</v>
      </c>
      <c r="D16" s="141">
        <v>10.0934582630178</v>
      </c>
      <c r="E16" s="141">
        <v>14.1903275282656</v>
      </c>
    </row>
    <row r="17" spans="1:5">
      <c r="A17" s="140">
        <v>2001</v>
      </c>
      <c r="B17" s="141">
        <v>17.641911623855101</v>
      </c>
      <c r="C17" s="141">
        <v>18.1257294696189</v>
      </c>
      <c r="D17" s="141">
        <v>13.8990802300991</v>
      </c>
      <c r="E17" s="141">
        <v>17.0656972465544</v>
      </c>
    </row>
    <row r="18" spans="1:5">
      <c r="A18" s="140">
        <v>2002</v>
      </c>
      <c r="B18" s="141">
        <v>18.156169853289299</v>
      </c>
      <c r="C18" s="141">
        <v>19.753753984223898</v>
      </c>
      <c r="D18" s="141">
        <v>15.1488728911972</v>
      </c>
      <c r="E18" s="141">
        <v>18.129203154534</v>
      </c>
    </row>
    <row r="19" spans="1:5">
      <c r="A19" s="140">
        <v>2003</v>
      </c>
      <c r="B19" s="141">
        <v>17.4546752698825</v>
      </c>
      <c r="C19" s="141">
        <v>18.409897092560701</v>
      </c>
      <c r="D19" s="141">
        <v>14.224199457039401</v>
      </c>
      <c r="E19" s="141">
        <v>17.122487251185898</v>
      </c>
    </row>
    <row r="20" spans="1:5">
      <c r="A20" s="140">
        <v>2004</v>
      </c>
      <c r="B20" s="141">
        <v>16.869802450840702</v>
      </c>
      <c r="C20" s="141">
        <v>16.672434656172101</v>
      </c>
      <c r="D20" s="141">
        <v>13.0063564447997</v>
      </c>
      <c r="E20" s="141">
        <v>14.7891194195489</v>
      </c>
    </row>
    <row r="21" spans="1:5">
      <c r="A21" s="140">
        <v>2005</v>
      </c>
      <c r="B21" s="141">
        <v>16.839483301288698</v>
      </c>
      <c r="C21" s="141">
        <v>16.530647432479</v>
      </c>
      <c r="D21" s="141">
        <v>12.831007136935099</v>
      </c>
      <c r="E21" s="141">
        <v>14.7675262532891</v>
      </c>
    </row>
    <row r="22" spans="1:5">
      <c r="A22" s="140">
        <v>2006</v>
      </c>
      <c r="B22" s="141">
        <v>18.900328780869302</v>
      </c>
      <c r="C22" s="141">
        <v>17.483591210020499</v>
      </c>
      <c r="D22" s="141">
        <v>13.468124383738999</v>
      </c>
      <c r="E22" s="141">
        <v>16.007092611171</v>
      </c>
    </row>
    <row r="23" spans="1:5">
      <c r="A23" s="140">
        <v>2007</v>
      </c>
      <c r="B23" s="141">
        <v>18.311417267356202</v>
      </c>
      <c r="C23" s="141">
        <v>16.735771002919201</v>
      </c>
      <c r="D23" s="141">
        <v>12.7864784313398</v>
      </c>
      <c r="E23" s="141">
        <v>15.1914386667468</v>
      </c>
    </row>
    <row r="24" spans="1:5">
      <c r="A24" s="140">
        <v>2008</v>
      </c>
      <c r="B24" s="141">
        <v>18.0135413918922</v>
      </c>
      <c r="C24" s="141">
        <v>16.448833622908499</v>
      </c>
      <c r="D24" s="141">
        <v>12.281103863392</v>
      </c>
      <c r="E24" s="141">
        <v>15.3578920580449</v>
      </c>
    </row>
    <row r="25" spans="1:5">
      <c r="A25" s="140">
        <v>2009</v>
      </c>
      <c r="B25" s="141">
        <v>18.369407943047801</v>
      </c>
      <c r="C25" s="141">
        <v>16.713820834779899</v>
      </c>
      <c r="D25" s="141">
        <v>12.792129108021699</v>
      </c>
      <c r="E25" s="141">
        <v>15.6058569664764</v>
      </c>
    </row>
    <row r="26" spans="1:5">
      <c r="A26" s="140">
        <v>2010</v>
      </c>
      <c r="B26" s="141">
        <v>18.4277278579181</v>
      </c>
      <c r="C26" s="141">
        <v>16.901274602236501</v>
      </c>
      <c r="D26" s="141">
        <v>11.961227079236799</v>
      </c>
      <c r="E26" s="141">
        <v>16.782905194313901</v>
      </c>
    </row>
    <row r="27" spans="1:5">
      <c r="A27" s="140">
        <v>2011</v>
      </c>
      <c r="B27" s="141">
        <v>18.102410530943601</v>
      </c>
      <c r="C27" s="141">
        <v>16.448897521293201</v>
      </c>
      <c r="D27" s="141">
        <v>11.8024849110156</v>
      </c>
      <c r="E27" s="141">
        <v>16.5659554083724</v>
      </c>
    </row>
    <row r="28" spans="1:5">
      <c r="A28" s="140">
        <v>2012</v>
      </c>
      <c r="B28" s="141">
        <v>18.004150886056198</v>
      </c>
      <c r="C28" s="141">
        <v>16.141403873372902</v>
      </c>
      <c r="D28" s="141">
        <v>11.8476736084028</v>
      </c>
      <c r="E28" s="141">
        <v>15.5046711947692</v>
      </c>
    </row>
    <row r="29" spans="1:5">
      <c r="A29" s="140">
        <v>2013</v>
      </c>
      <c r="B29" s="141">
        <v>18.430497570668201</v>
      </c>
      <c r="C29" s="141">
        <v>17.062530272761901</v>
      </c>
      <c r="D29" s="141">
        <v>12.582762058735501</v>
      </c>
      <c r="E29" s="141">
        <v>15.652736227710699</v>
      </c>
    </row>
    <row r="30" spans="1:5">
      <c r="A30" s="140">
        <v>2014</v>
      </c>
      <c r="B30" s="141">
        <v>17.982957672354701</v>
      </c>
      <c r="C30" s="141">
        <v>18.334454075216499</v>
      </c>
      <c r="D30" s="141">
        <v>13.7144526050631</v>
      </c>
      <c r="E30" s="141">
        <v>16.3166768580552</v>
      </c>
    </row>
    <row r="31" spans="1:5">
      <c r="A31" s="140">
        <v>2015</v>
      </c>
      <c r="B31" s="141">
        <v>18.516282730898698</v>
      </c>
      <c r="C31" s="141">
        <v>17.277788391654799</v>
      </c>
      <c r="D31" s="141">
        <v>13.782965756016401</v>
      </c>
      <c r="E31" s="141">
        <v>16.1337281768871</v>
      </c>
    </row>
    <row r="32" spans="1:5">
      <c r="A32" s="140">
        <v>2016</v>
      </c>
      <c r="B32" s="141">
        <v>18.775236669144899</v>
      </c>
      <c r="C32" s="141">
        <v>16.4528225610769</v>
      </c>
      <c r="D32" s="141">
        <v>13.3522716745521</v>
      </c>
      <c r="E32" s="141">
        <v>17.299318651970001</v>
      </c>
    </row>
    <row r="33" spans="1:5">
      <c r="A33" s="140">
        <v>2017</v>
      </c>
      <c r="B33" s="141">
        <v>19.444762366241999</v>
      </c>
      <c r="C33" s="141">
        <v>17.060428039209299</v>
      </c>
      <c r="D33" s="141">
        <v>14.0932907971163</v>
      </c>
      <c r="E33" s="141">
        <v>18.251845654611099</v>
      </c>
    </row>
    <row r="34" spans="1:5">
      <c r="A34" s="140">
        <v>2018</v>
      </c>
      <c r="B34" s="141">
        <v>19.540275277651499</v>
      </c>
      <c r="C34" s="141">
        <v>17.276884839258599</v>
      </c>
      <c r="D34" s="141">
        <v>14.1722669274365</v>
      </c>
      <c r="E34" s="141">
        <v>18.229660874089301</v>
      </c>
    </row>
    <row r="35" spans="1:5">
      <c r="A35" s="140">
        <v>2019</v>
      </c>
      <c r="B35" s="141">
        <v>19.6266592081131</v>
      </c>
      <c r="C35" s="141">
        <v>17.433968537974199</v>
      </c>
      <c r="D35" s="141">
        <v>14.3061732033696</v>
      </c>
      <c r="E35" s="141">
        <v>18.208749543354799</v>
      </c>
    </row>
    <row r="36" spans="1:5">
      <c r="A36" s="140">
        <v>2020</v>
      </c>
      <c r="B36" s="141">
        <v>20.6389962967211</v>
      </c>
      <c r="C36" s="141">
        <v>18.760060301584499</v>
      </c>
      <c r="D36" s="141">
        <v>14.2481027179153</v>
      </c>
      <c r="E36" s="141">
        <v>20.3907633013275</v>
      </c>
    </row>
    <row r="37" spans="1:5">
      <c r="A37" s="140">
        <v>2021</v>
      </c>
      <c r="B37" s="141">
        <v>22.862612227231601</v>
      </c>
      <c r="C37" s="141">
        <v>19.2438123667241</v>
      </c>
      <c r="D37" s="141">
        <v>14.9334681092274</v>
      </c>
      <c r="E37" s="141">
        <v>20.2066867485477</v>
      </c>
    </row>
    <row r="38" spans="1:5">
      <c r="A38" s="140">
        <v>2022</v>
      </c>
      <c r="B38" s="141">
        <v>23.123199639175699</v>
      </c>
      <c r="C38" s="141">
        <v>19.3760045583041</v>
      </c>
      <c r="D38" s="141">
        <v>15.8387146319526</v>
      </c>
      <c r="E38" s="141">
        <v>20.676803360401699</v>
      </c>
    </row>
    <row r="39" spans="1:5">
      <c r="A39" s="140">
        <v>2023</v>
      </c>
      <c r="B39" s="141">
        <v>23.694329640603399</v>
      </c>
      <c r="C39" s="141">
        <v>19.750635948163001</v>
      </c>
      <c r="D39" s="141">
        <v>16.388155608968901</v>
      </c>
      <c r="E39" s="141">
        <v>21.229939251726499</v>
      </c>
    </row>
    <row r="40" spans="1:5">
      <c r="A40" s="140">
        <v>2024</v>
      </c>
      <c r="B40" s="141">
        <v>23.995651450870898</v>
      </c>
      <c r="C40" s="141">
        <v>20.0330213037197</v>
      </c>
      <c r="D40" s="141">
        <v>16.6718601828068</v>
      </c>
      <c r="E40" s="141">
        <v>21.527734722522499</v>
      </c>
    </row>
    <row r="41" spans="1:5">
      <c r="A41" s="140">
        <v>2025</v>
      </c>
      <c r="B41" s="141">
        <v>24.643049678567198</v>
      </c>
      <c r="C41" s="141">
        <v>20.585957942423001</v>
      </c>
      <c r="D41" s="141">
        <v>17.266337566185999</v>
      </c>
      <c r="E41" s="141">
        <v>22.118603832234701</v>
      </c>
    </row>
    <row r="42" spans="1:5">
      <c r="A42" s="140">
        <v>2026</v>
      </c>
      <c r="B42" s="141">
        <v>25.0349178684911</v>
      </c>
      <c r="C42" s="141">
        <v>20.862102749042201</v>
      </c>
      <c r="D42" s="141">
        <v>17.6260689889335</v>
      </c>
      <c r="E42" s="141">
        <v>22.4264002403444</v>
      </c>
    </row>
    <row r="43" spans="1:5">
      <c r="A43" s="140">
        <v>2027</v>
      </c>
      <c r="B43" s="141">
        <v>25.186140271005101</v>
      </c>
      <c r="C43" s="141">
        <v>21.002170963700099</v>
      </c>
      <c r="D43" s="141">
        <v>17.824767705746201</v>
      </c>
      <c r="E43" s="141">
        <v>22.608635614613</v>
      </c>
    </row>
    <row r="44" spans="1:5">
      <c r="A44" s="140">
        <v>2028</v>
      </c>
      <c r="B44" s="141">
        <v>25.648171939301701</v>
      </c>
      <c r="C44" s="141">
        <v>21.396944273707899</v>
      </c>
      <c r="D44" s="141">
        <v>18.277234137281201</v>
      </c>
      <c r="E44" s="141">
        <v>23.063180270952799</v>
      </c>
    </row>
    <row r="45" spans="1:5">
      <c r="A45" s="140">
        <v>2029</v>
      </c>
      <c r="B45" s="141">
        <v>26.042820047719701</v>
      </c>
      <c r="C45" s="141">
        <v>21.745397991291799</v>
      </c>
      <c r="D45" s="141">
        <v>18.670965490112199</v>
      </c>
      <c r="E45" s="141">
        <v>23.462382571649002</v>
      </c>
    </row>
    <row r="46" spans="1:5">
      <c r="A46" s="140">
        <v>2030</v>
      </c>
      <c r="B46" s="141">
        <v>26.372092349296999</v>
      </c>
      <c r="C46" s="141">
        <v>22.001114592658901</v>
      </c>
      <c r="D46" s="141">
        <v>19.0104735172904</v>
      </c>
      <c r="E46" s="141">
        <v>23.8102497228491</v>
      </c>
    </row>
    <row r="47" spans="1:5">
      <c r="A47" s="140">
        <v>2031</v>
      </c>
      <c r="B47" s="141">
        <v>26.648808241750899</v>
      </c>
      <c r="C47" s="141">
        <v>22.205407674425999</v>
      </c>
      <c r="D47" s="141">
        <v>19.295097922026699</v>
      </c>
      <c r="E47" s="141">
        <v>24.104664386901099</v>
      </c>
    </row>
    <row r="48" spans="1:5">
      <c r="A48" s="140">
        <v>2032</v>
      </c>
      <c r="B48" s="141">
        <v>26.947600455643801</v>
      </c>
      <c r="C48" s="141">
        <v>22.418679201040501</v>
      </c>
      <c r="D48" s="141">
        <v>19.595624354503801</v>
      </c>
      <c r="E48" s="141">
        <v>24.411279353359301</v>
      </c>
    </row>
    <row r="49" spans="1:17">
      <c r="A49" s="140">
        <v>2033</v>
      </c>
      <c r="B49" s="141">
        <v>27.2363119973846</v>
      </c>
      <c r="C49" s="141">
        <v>22.644059877850399</v>
      </c>
      <c r="D49" s="141">
        <v>19.893887008804398</v>
      </c>
      <c r="E49" s="141">
        <v>24.724139930990599</v>
      </c>
    </row>
    <row r="50" spans="1:17">
      <c r="A50" s="140">
        <v>2034</v>
      </c>
      <c r="B50" s="141">
        <v>27.518832432206001</v>
      </c>
      <c r="C50" s="141">
        <v>22.869037728072598</v>
      </c>
      <c r="D50" s="141">
        <v>20.1762278393457</v>
      </c>
      <c r="E50" s="141">
        <v>25.037746101629399</v>
      </c>
    </row>
    <row r="51" spans="1:17">
      <c r="A51" s="140">
        <v>2035</v>
      </c>
      <c r="B51" s="141">
        <v>27.774648367602499</v>
      </c>
      <c r="C51" s="141">
        <v>23.091231540493901</v>
      </c>
      <c r="D51" s="141">
        <v>20.4647275406696</v>
      </c>
      <c r="E51" s="141">
        <v>25.348551200498498</v>
      </c>
    </row>
    <row r="52" spans="1:17" ht="15" customHeight="1">
      <c r="A52" s="142" t="s">
        <v>922</v>
      </c>
    </row>
    <row r="53" spans="1:17" ht="15" customHeight="1">
      <c r="A53" s="142"/>
    </row>
    <row r="54" spans="1:17" ht="14" customHeight="1">
      <c r="A54" s="138" t="s">
        <v>927</v>
      </c>
    </row>
    <row r="55" spans="1:17" ht="22" customHeight="1" thickBot="1">
      <c r="A55" s="139" t="s">
        <v>325</v>
      </c>
      <c r="B55" s="140">
        <v>2020</v>
      </c>
      <c r="C55" s="140">
        <v>2021</v>
      </c>
      <c r="D55" s="140">
        <v>2022</v>
      </c>
      <c r="E55" s="140">
        <v>2023</v>
      </c>
      <c r="F55" s="140">
        <v>2024</v>
      </c>
      <c r="G55" s="140">
        <v>2025</v>
      </c>
      <c r="H55" s="140">
        <v>2026</v>
      </c>
      <c r="I55" s="140">
        <v>2027</v>
      </c>
      <c r="J55" s="140">
        <v>2028</v>
      </c>
      <c r="K55" s="140">
        <v>2029</v>
      </c>
      <c r="L55" s="140">
        <v>2030</v>
      </c>
      <c r="M55" s="140">
        <v>2031</v>
      </c>
      <c r="N55" s="140">
        <v>2032</v>
      </c>
      <c r="O55" s="140">
        <v>2033</v>
      </c>
      <c r="P55" s="140">
        <v>2034</v>
      </c>
      <c r="Q55" s="140">
        <v>2035</v>
      </c>
    </row>
    <row r="56" spans="1:17" ht="15.5" thickTop="1" thickBot="1">
      <c r="A56" s="139" t="s">
        <v>303</v>
      </c>
      <c r="B56" s="141">
        <v>20.6389962967211</v>
      </c>
      <c r="C56" s="141">
        <v>22.862612227231601</v>
      </c>
      <c r="D56" s="141">
        <v>23.123199639175699</v>
      </c>
      <c r="E56" s="141">
        <v>23.694329640603399</v>
      </c>
      <c r="F56" s="141">
        <v>23.995651450870898</v>
      </c>
      <c r="G56" s="141">
        <v>24.643049678567198</v>
      </c>
      <c r="H56" s="141">
        <v>25.0349178684911</v>
      </c>
      <c r="I56" s="141">
        <v>25.186140271005101</v>
      </c>
      <c r="J56" s="141">
        <v>25.648171939301701</v>
      </c>
      <c r="K56" s="141">
        <v>26.042820047719701</v>
      </c>
      <c r="L56" s="141">
        <v>26.372092349296999</v>
      </c>
      <c r="M56" s="141">
        <v>26.648808241750899</v>
      </c>
      <c r="N56" s="141">
        <v>26.947600455643801</v>
      </c>
      <c r="O56" s="141">
        <v>27.2363119973846</v>
      </c>
      <c r="P56" s="141">
        <v>27.518832432206001</v>
      </c>
      <c r="Q56" s="141">
        <v>27.774648367602499</v>
      </c>
    </row>
    <row r="57" spans="1:17" ht="15.5" thickTop="1" thickBot="1">
      <c r="A57" s="139" t="s">
        <v>306</v>
      </c>
      <c r="B57" s="141">
        <v>18.760060301584499</v>
      </c>
      <c r="C57" s="141">
        <v>19.2438123667241</v>
      </c>
      <c r="D57" s="141">
        <v>19.3760045583041</v>
      </c>
      <c r="E57" s="141">
        <v>19.750635948163001</v>
      </c>
      <c r="F57" s="141">
        <v>20.0330213037197</v>
      </c>
      <c r="G57" s="141">
        <v>20.585957942423001</v>
      </c>
      <c r="H57" s="141">
        <v>20.862102749042201</v>
      </c>
      <c r="I57" s="141">
        <v>21.002170963700099</v>
      </c>
      <c r="J57" s="141">
        <v>21.396944273707899</v>
      </c>
      <c r="K57" s="141">
        <v>21.745397991291799</v>
      </c>
      <c r="L57" s="141">
        <v>22.001114592658901</v>
      </c>
      <c r="M57" s="141">
        <v>22.205407674425999</v>
      </c>
      <c r="N57" s="141">
        <v>22.418679201040501</v>
      </c>
      <c r="O57" s="141">
        <v>22.644059877850399</v>
      </c>
      <c r="P57" s="141">
        <v>22.869037728072598</v>
      </c>
      <c r="Q57" s="141">
        <v>23.091231540493901</v>
      </c>
    </row>
    <row r="58" spans="1:17" ht="15.5" thickTop="1" thickBot="1">
      <c r="A58" s="139" t="s">
        <v>308</v>
      </c>
      <c r="B58" s="141">
        <v>14.2481027179153</v>
      </c>
      <c r="C58" s="141">
        <v>14.9334681092274</v>
      </c>
      <c r="D58" s="141">
        <v>15.8387146319526</v>
      </c>
      <c r="E58" s="141">
        <v>16.388155608968901</v>
      </c>
      <c r="F58" s="141">
        <v>16.6718601828068</v>
      </c>
      <c r="G58" s="141">
        <v>17.266337566185999</v>
      </c>
      <c r="H58" s="141">
        <v>17.6260689889335</v>
      </c>
      <c r="I58" s="141">
        <v>17.824767705746201</v>
      </c>
      <c r="J58" s="141">
        <v>18.277234137281201</v>
      </c>
      <c r="K58" s="141">
        <v>18.670965490112199</v>
      </c>
      <c r="L58" s="141">
        <v>19.0104735172904</v>
      </c>
      <c r="M58" s="141">
        <v>19.295097922026699</v>
      </c>
      <c r="N58" s="141">
        <v>19.595624354503801</v>
      </c>
      <c r="O58" s="141">
        <v>19.893887008804398</v>
      </c>
      <c r="P58" s="141">
        <v>20.1762278393457</v>
      </c>
      <c r="Q58" s="141">
        <v>20.4647275406696</v>
      </c>
    </row>
    <row r="59" spans="1:17" ht="15.5" thickTop="1" thickBot="1">
      <c r="A59" s="139" t="s">
        <v>921</v>
      </c>
      <c r="B59" s="141">
        <v>20.3907633013275</v>
      </c>
      <c r="C59" s="141">
        <v>20.2066867485477</v>
      </c>
      <c r="D59" s="141">
        <v>20.676803360401699</v>
      </c>
      <c r="E59" s="141">
        <v>21.229939251726499</v>
      </c>
      <c r="F59" s="141">
        <v>21.527734722522499</v>
      </c>
      <c r="G59" s="141">
        <v>22.118603832234701</v>
      </c>
      <c r="H59" s="141">
        <v>22.4264002403444</v>
      </c>
      <c r="I59" s="141">
        <v>22.608635614613</v>
      </c>
      <c r="J59" s="141">
        <v>23.063180270952799</v>
      </c>
      <c r="K59" s="141">
        <v>23.462382571649002</v>
      </c>
      <c r="L59" s="141">
        <v>23.8102497228491</v>
      </c>
      <c r="M59" s="141">
        <v>24.104664386901099</v>
      </c>
      <c r="N59" s="141">
        <v>24.411279353359301</v>
      </c>
      <c r="O59" s="141">
        <v>24.724139930990599</v>
      </c>
      <c r="P59" s="141">
        <v>25.037746101629399</v>
      </c>
      <c r="Q59" s="141">
        <v>25.348551200498498</v>
      </c>
    </row>
    <row r="60" spans="1:17" ht="15" thickTop="1"/>
  </sheetData>
  <mergeCells count="3">
    <mergeCell ref="A1:E1"/>
    <mergeCell ref="A2:E2"/>
    <mergeCell ref="A3:E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21DB3-864E-4D73-B37D-34CBC412EF55}">
  <dimension ref="A1:J52"/>
  <sheetViews>
    <sheetView workbookViewId="0">
      <selection activeCell="D18" sqref="D18"/>
    </sheetView>
  </sheetViews>
  <sheetFormatPr defaultRowHeight="14.5"/>
  <cols>
    <col min="1" max="10" width="20" style="138" customWidth="1"/>
    <col min="11" max="16384" width="8.7265625" style="138"/>
  </cols>
  <sheetData>
    <row r="1" spans="1:10" ht="18.5">
      <c r="A1" s="231" t="s">
        <v>943</v>
      </c>
      <c r="B1" s="232"/>
      <c r="C1" s="232"/>
      <c r="D1" s="232"/>
      <c r="E1" s="232"/>
      <c r="F1" s="232"/>
      <c r="G1" s="232"/>
      <c r="H1" s="232"/>
      <c r="I1" s="232"/>
    </row>
    <row r="2" spans="1:10" ht="15.5">
      <c r="A2" s="233" t="s">
        <v>942</v>
      </c>
      <c r="B2" s="232"/>
      <c r="C2" s="232"/>
      <c r="D2" s="232"/>
      <c r="E2" s="232"/>
      <c r="F2" s="232"/>
      <c r="G2" s="232"/>
      <c r="H2" s="232"/>
      <c r="I2" s="232"/>
    </row>
    <row r="3" spans="1:10" ht="15.5">
      <c r="A3" s="233" t="s">
        <v>941</v>
      </c>
      <c r="B3" s="232"/>
      <c r="C3" s="232"/>
      <c r="D3" s="232"/>
      <c r="E3" s="232"/>
      <c r="F3" s="232"/>
      <c r="G3" s="232"/>
      <c r="H3" s="232"/>
      <c r="I3" s="232"/>
    </row>
    <row r="5" spans="1:10" ht="15" thickBot="1">
      <c r="A5" s="139" t="s">
        <v>940</v>
      </c>
      <c r="B5" s="139" t="s">
        <v>939</v>
      </c>
      <c r="C5" s="139" t="s">
        <v>938</v>
      </c>
      <c r="D5" s="139" t="s">
        <v>937</v>
      </c>
      <c r="E5" s="139" t="s">
        <v>936</v>
      </c>
      <c r="F5" s="139" t="s">
        <v>935</v>
      </c>
      <c r="G5" s="139" t="s">
        <v>934</v>
      </c>
      <c r="H5" s="139" t="s">
        <v>933</v>
      </c>
      <c r="I5" s="139" t="s">
        <v>932</v>
      </c>
      <c r="J5" s="139" t="s">
        <v>931</v>
      </c>
    </row>
    <row r="6" spans="1:10" ht="15" thickTop="1">
      <c r="A6" s="140">
        <v>1990</v>
      </c>
      <c r="B6" s="145">
        <v>0.96672785578898446</v>
      </c>
      <c r="C6" s="145">
        <v>1.0329551461577484</v>
      </c>
      <c r="D6" s="145">
        <v>0.68870129740188168</v>
      </c>
      <c r="E6" s="145">
        <v>1.1958855278358818</v>
      </c>
      <c r="F6" s="145">
        <v>1.0174222987298025</v>
      </c>
      <c r="G6" s="145">
        <v>0.92772725616796337</v>
      </c>
      <c r="H6" s="145">
        <v>1.0201865014221709</v>
      </c>
      <c r="I6" s="145">
        <v>1.0330663581453166</v>
      </c>
      <c r="J6" s="145">
        <v>0.6418421533142441</v>
      </c>
    </row>
    <row r="7" spans="1:10">
      <c r="A7" s="140">
        <v>1991</v>
      </c>
      <c r="B7" s="145">
        <v>0.97643831665079484</v>
      </c>
      <c r="C7" s="145">
        <v>1.0240891648188071</v>
      </c>
      <c r="D7" s="145">
        <v>0.58531685300236858</v>
      </c>
      <c r="E7" s="145">
        <v>1.327446552237658</v>
      </c>
      <c r="F7" s="145">
        <v>1.1178824967425804</v>
      </c>
      <c r="G7" s="145">
        <v>1.0530818941343494</v>
      </c>
      <c r="H7" s="145">
        <v>0.95240631389455221</v>
      </c>
      <c r="I7" s="145">
        <v>0.95757280608983053</v>
      </c>
      <c r="J7" s="145">
        <v>0.59919879207184001</v>
      </c>
    </row>
    <row r="8" spans="1:10">
      <c r="A8" s="140">
        <v>1992</v>
      </c>
      <c r="B8" s="145">
        <v>0.92533953334048735</v>
      </c>
      <c r="C8" s="145">
        <v>1.0280179609776614</v>
      </c>
      <c r="D8" s="145">
        <v>0.45590901988654059</v>
      </c>
      <c r="E8" s="145">
        <v>1.1803850667675027</v>
      </c>
      <c r="F8" s="145">
        <v>1.0341424892578226</v>
      </c>
      <c r="G8" s="145">
        <v>0.94101148812031776</v>
      </c>
      <c r="H8" s="145">
        <v>0.97771448477405909</v>
      </c>
      <c r="I8" s="145">
        <v>0.99712496158717201</v>
      </c>
      <c r="J8" s="145">
        <v>0.61512122475557274</v>
      </c>
    </row>
    <row r="9" spans="1:10">
      <c r="A9" s="140">
        <v>1993</v>
      </c>
      <c r="B9" s="145">
        <v>0.89532132298031675</v>
      </c>
      <c r="C9" s="145">
        <v>0.94491944474182166</v>
      </c>
      <c r="D9" s="145">
        <v>0.49356957024287251</v>
      </c>
      <c r="E9" s="145">
        <v>1.2723922931161384</v>
      </c>
      <c r="F9" s="145">
        <v>1.109022421345282</v>
      </c>
      <c r="G9" s="145">
        <v>1.0288662672545121</v>
      </c>
      <c r="H9" s="145">
        <v>1.027488601451656</v>
      </c>
      <c r="I9" s="145">
        <v>1.0746441110768437</v>
      </c>
      <c r="J9" s="145">
        <v>0.64643621096949333</v>
      </c>
    </row>
    <row r="10" spans="1:10">
      <c r="A10" s="140">
        <v>1994</v>
      </c>
      <c r="B10" s="145">
        <v>0.92783334186080391</v>
      </c>
      <c r="C10" s="145">
        <v>0.95272265017221303</v>
      </c>
      <c r="D10" s="145">
        <v>0.63879249708823715</v>
      </c>
      <c r="E10" s="145">
        <v>1.2514311772495392</v>
      </c>
      <c r="F10" s="145">
        <v>1.0775314711454167</v>
      </c>
      <c r="G10" s="145">
        <v>1.0200870766412309</v>
      </c>
      <c r="H10" s="145">
        <v>1.0439361101678788</v>
      </c>
      <c r="I10" s="145">
        <v>1.0016753642041898</v>
      </c>
      <c r="J10" s="145">
        <v>0.65678402913446521</v>
      </c>
    </row>
    <row r="11" spans="1:10">
      <c r="A11" s="140">
        <v>1995</v>
      </c>
      <c r="B11" s="145">
        <v>0.9649994282930312</v>
      </c>
      <c r="C11" s="145">
        <v>0.99067177389065941</v>
      </c>
      <c r="D11" s="145">
        <v>0.61405314991744042</v>
      </c>
      <c r="E11" s="145">
        <v>1.2022299600725777</v>
      </c>
      <c r="F11" s="145">
        <v>1.0700303398394437</v>
      </c>
      <c r="G11" s="145">
        <v>0.96852061069030637</v>
      </c>
      <c r="H11" s="145">
        <v>0.98796475628714442</v>
      </c>
      <c r="I11" s="145">
        <v>0.95200199010933506</v>
      </c>
      <c r="J11" s="145">
        <v>0.62157010084915276</v>
      </c>
    </row>
    <row r="12" spans="1:10">
      <c r="A12" s="140">
        <v>1996</v>
      </c>
      <c r="B12" s="145">
        <v>0.87915481386953265</v>
      </c>
      <c r="C12" s="145">
        <v>0.87294425418539834</v>
      </c>
      <c r="D12" s="145">
        <v>0.61562841233064158</v>
      </c>
      <c r="E12" s="145">
        <v>1.2525541307263754</v>
      </c>
      <c r="F12" s="145">
        <v>0.94496162920750304</v>
      </c>
      <c r="G12" s="145">
        <v>0.82603653223531626</v>
      </c>
      <c r="H12" s="145">
        <v>0.99880109067365941</v>
      </c>
      <c r="I12" s="145">
        <v>0.96743732351729061</v>
      </c>
      <c r="J12" s="145">
        <v>0.628387693698086</v>
      </c>
    </row>
    <row r="13" spans="1:10">
      <c r="A13" s="140">
        <v>1997</v>
      </c>
      <c r="B13" s="145">
        <v>0.90629252630913382</v>
      </c>
      <c r="C13" s="145">
        <v>0.91133718232201655</v>
      </c>
      <c r="D13" s="145">
        <v>0.6723609260905089</v>
      </c>
      <c r="E13" s="145">
        <v>1.2942940178653111</v>
      </c>
      <c r="F13" s="145">
        <v>0.9813849220358194</v>
      </c>
      <c r="G13" s="145">
        <v>0.81644672077448921</v>
      </c>
      <c r="H13" s="145">
        <v>1.102519373868736</v>
      </c>
      <c r="I13" s="145">
        <v>1.0274404282387042</v>
      </c>
      <c r="J13" s="145">
        <v>0.51929614222276177</v>
      </c>
    </row>
    <row r="14" spans="1:10">
      <c r="A14" s="140">
        <v>1998</v>
      </c>
      <c r="B14" s="145">
        <v>0.92663713534043457</v>
      </c>
      <c r="C14" s="145">
        <v>0.97036303053439343</v>
      </c>
      <c r="D14" s="145">
        <v>0.96161012741073215</v>
      </c>
      <c r="E14" s="145">
        <v>1.276259968290496</v>
      </c>
      <c r="F14" s="145">
        <v>0.87615712823658587</v>
      </c>
      <c r="G14" s="145">
        <v>0.74158025846792808</v>
      </c>
      <c r="H14" s="145">
        <v>1.0685629433244797</v>
      </c>
      <c r="I14" s="145">
        <v>0.94616925025757481</v>
      </c>
      <c r="J14" s="145">
        <v>0.40006920409624147</v>
      </c>
    </row>
    <row r="15" spans="1:10">
      <c r="A15" s="140">
        <v>1999</v>
      </c>
      <c r="B15" s="145">
        <v>0.95474919247080403</v>
      </c>
      <c r="C15" s="145">
        <v>0.98570449118184666</v>
      </c>
      <c r="D15" s="145">
        <v>0.70973906619686744</v>
      </c>
      <c r="E15" s="145">
        <v>1.1332653035280604</v>
      </c>
      <c r="F15" s="145">
        <v>0.79191055589002779</v>
      </c>
      <c r="G15" s="145">
        <v>0.65738247877144496</v>
      </c>
      <c r="H15" s="145">
        <v>1.0249179937687563</v>
      </c>
      <c r="I15" s="145">
        <v>0.86611663786491089</v>
      </c>
      <c r="J15" s="145">
        <v>0.5098841587204217</v>
      </c>
    </row>
    <row r="16" spans="1:10">
      <c r="A16" s="140">
        <v>2000</v>
      </c>
      <c r="B16" s="145">
        <v>1.1282113372003493</v>
      </c>
      <c r="C16" s="145">
        <v>1.1081240816349023</v>
      </c>
      <c r="D16" s="145">
        <v>1.0424255070395292</v>
      </c>
      <c r="E16" s="145">
        <v>1.4489289082593475</v>
      </c>
      <c r="F16" s="145">
        <v>1.0156057580838647</v>
      </c>
      <c r="G16" s="145">
        <v>0.89889526343301829</v>
      </c>
      <c r="H16" s="145">
        <v>1.1966669505909617</v>
      </c>
      <c r="I16" s="145">
        <v>1.0676386617042224</v>
      </c>
      <c r="J16" s="145">
        <v>0.71170900781358271</v>
      </c>
    </row>
    <row r="17" spans="1:10">
      <c r="A17" s="140">
        <v>2001</v>
      </c>
      <c r="B17" s="145">
        <v>0.81541677165648419</v>
      </c>
      <c r="C17" s="145">
        <v>1.4639815469675135</v>
      </c>
      <c r="D17" s="145">
        <v>1.2311150767178665</v>
      </c>
      <c r="E17" s="145">
        <v>1.4537396577927948</v>
      </c>
      <c r="F17" s="145">
        <v>1.0106009406018768</v>
      </c>
      <c r="G17" s="145">
        <v>0.89831097883746647</v>
      </c>
      <c r="H17" s="145">
        <v>1.8702823007993863</v>
      </c>
      <c r="I17" s="145">
        <v>1.7178258819553289</v>
      </c>
      <c r="J17" s="145">
        <v>1.8246146868933391</v>
      </c>
    </row>
    <row r="18" spans="1:10">
      <c r="A18" s="140">
        <v>2002</v>
      </c>
      <c r="B18" s="145">
        <v>0.92840859862859348</v>
      </c>
      <c r="C18" s="145">
        <v>0.82454596872591479</v>
      </c>
      <c r="D18" s="145">
        <v>0.76457390097044586</v>
      </c>
      <c r="E18" s="145">
        <v>1.1440259527950027</v>
      </c>
      <c r="F18" s="145">
        <v>0.77846453509947766</v>
      </c>
      <c r="G18" s="145">
        <v>0.66397062556928255</v>
      </c>
      <c r="H18" s="145">
        <v>1.0169399769755649</v>
      </c>
      <c r="I18" s="145">
        <v>0.81869695489567962</v>
      </c>
      <c r="J18" s="145">
        <v>0.61611835019070627</v>
      </c>
    </row>
    <row r="19" spans="1:10">
      <c r="A19" s="140">
        <v>2003</v>
      </c>
      <c r="B19" s="145">
        <v>1.2358983161875867</v>
      </c>
      <c r="C19" s="145">
        <v>1.1297131803811769</v>
      </c>
      <c r="D19" s="145">
        <v>1.102394712658948</v>
      </c>
      <c r="E19" s="145">
        <v>1.3984884069620918</v>
      </c>
      <c r="F19" s="145">
        <v>1.0125703294933814</v>
      </c>
      <c r="G19" s="145">
        <v>0.87970071743548439</v>
      </c>
      <c r="H19" s="145">
        <v>1.2126669623104751</v>
      </c>
      <c r="I19" s="145">
        <v>1.0243630439260776</v>
      </c>
      <c r="J19" s="145">
        <v>0.67705099424091209</v>
      </c>
    </row>
    <row r="20" spans="1:10">
      <c r="A20" s="140">
        <v>2004</v>
      </c>
      <c r="B20" s="145">
        <v>1.2544794403361026</v>
      </c>
      <c r="C20" s="145">
        <v>1.1078922521488233</v>
      </c>
      <c r="D20" s="145">
        <v>1.0994846051482585</v>
      </c>
      <c r="E20" s="145">
        <v>1.4986698170777106</v>
      </c>
      <c r="F20" s="145">
        <v>1.0873552001382805</v>
      </c>
      <c r="G20" s="145">
        <v>0.96798959067297152</v>
      </c>
      <c r="H20" s="145">
        <v>1.2855291202924533</v>
      </c>
      <c r="I20" s="145">
        <v>1.0729142411379256</v>
      </c>
      <c r="J20" s="145">
        <v>0.84941760181419612</v>
      </c>
    </row>
    <row r="21" spans="1:10">
      <c r="A21" s="140">
        <v>2005</v>
      </c>
      <c r="B21" s="145">
        <v>1.5191359032474103</v>
      </c>
      <c r="C21" s="145">
        <v>1.388099821009029</v>
      </c>
      <c r="D21" s="145">
        <v>1.3414961517159052</v>
      </c>
      <c r="E21" s="145">
        <v>1.7097300677498695</v>
      </c>
      <c r="F21" s="145">
        <v>1.2793673225401871</v>
      </c>
      <c r="G21" s="145">
        <v>1.1750863041955959</v>
      </c>
      <c r="H21" s="145">
        <v>1.5353836650056871</v>
      </c>
      <c r="I21" s="145">
        <v>1.2956248307604632</v>
      </c>
      <c r="J21" s="145">
        <v>1.0431829751772697</v>
      </c>
    </row>
    <row r="22" spans="1:10">
      <c r="A22" s="140">
        <v>2006</v>
      </c>
      <c r="B22" s="145">
        <v>1.5312174475248983</v>
      </c>
      <c r="C22" s="145">
        <v>1.3716377139341596</v>
      </c>
      <c r="D22" s="145">
        <v>1.2836638759705619</v>
      </c>
      <c r="E22" s="145">
        <v>1.6120531949129393</v>
      </c>
      <c r="F22" s="145">
        <v>1.1859513745167085</v>
      </c>
      <c r="G22" s="145">
        <v>1.0591100897167427</v>
      </c>
      <c r="H22" s="145">
        <v>1.5502873289367927</v>
      </c>
      <c r="I22" s="145">
        <v>1.261667567147928</v>
      </c>
      <c r="J22" s="145">
        <v>0.99831807174037024</v>
      </c>
    </row>
    <row r="23" spans="1:10">
      <c r="A23" s="140">
        <v>2007</v>
      </c>
      <c r="B23" s="145">
        <v>1.4400895308695565</v>
      </c>
      <c r="C23" s="145">
        <v>1.3629797602415363</v>
      </c>
      <c r="D23" s="145">
        <v>1.2419943583547071</v>
      </c>
      <c r="E23" s="145">
        <v>1.5785045119426686</v>
      </c>
      <c r="F23" s="145">
        <v>1.1222593200141995</v>
      </c>
      <c r="G23" s="145">
        <v>1.0151814252491798</v>
      </c>
      <c r="H23" s="145">
        <v>1.4813383018642068</v>
      </c>
      <c r="I23" s="145">
        <v>1.1784900196497081</v>
      </c>
      <c r="J23" s="145">
        <v>0.85006504708869857</v>
      </c>
    </row>
    <row r="24" spans="1:10">
      <c r="A24" s="140">
        <v>2008</v>
      </c>
      <c r="B24" s="145">
        <v>1.5160955247348256</v>
      </c>
      <c r="C24" s="145">
        <v>1.43468288958321</v>
      </c>
      <c r="D24" s="145">
        <v>1.3645817772054134</v>
      </c>
      <c r="E24" s="145">
        <v>1.7495284411236114</v>
      </c>
      <c r="F24" s="145">
        <v>1.3438304137927946</v>
      </c>
      <c r="G24" s="145">
        <v>1.2346564659317665</v>
      </c>
      <c r="H24" s="145">
        <v>1.5951769109042033</v>
      </c>
      <c r="I24" s="145">
        <v>1.3017543096327282</v>
      </c>
      <c r="J24" s="145">
        <v>2.7011749581656441</v>
      </c>
    </row>
    <row r="25" spans="1:10">
      <c r="A25" s="140">
        <v>2009</v>
      </c>
      <c r="B25" s="145">
        <v>1.1615621279286759</v>
      </c>
      <c r="C25" s="145">
        <v>1.0118583547462707</v>
      </c>
      <c r="D25" s="145">
        <v>0.90727908822816583</v>
      </c>
      <c r="E25" s="145">
        <v>1.2081303131832768</v>
      </c>
      <c r="F25" s="145">
        <v>0.82264185804674694</v>
      </c>
      <c r="G25" s="145">
        <v>0.68688763496850613</v>
      </c>
      <c r="H25" s="145">
        <v>1.173058076588479</v>
      </c>
      <c r="I25" s="145">
        <v>0.80196832675952079</v>
      </c>
      <c r="J25" s="145">
        <v>0.7380200784764589</v>
      </c>
    </row>
    <row r="26" spans="1:10">
      <c r="A26" s="140">
        <v>2010</v>
      </c>
      <c r="B26" s="145">
        <v>1.1706043626159537</v>
      </c>
      <c r="C26" s="145">
        <v>1.0169519217664067</v>
      </c>
      <c r="D26" s="145">
        <v>0.90683324192789461</v>
      </c>
      <c r="E26" s="145">
        <v>1.2887640191286027</v>
      </c>
      <c r="F26" s="145">
        <v>0.90396311927995265</v>
      </c>
      <c r="G26" s="145">
        <v>0.76850974903435532</v>
      </c>
      <c r="H26" s="145">
        <v>1.2490003524266073</v>
      </c>
      <c r="I26" s="145">
        <v>0.85824698529500543</v>
      </c>
      <c r="J26" s="145">
        <v>0.7857985521021924</v>
      </c>
    </row>
    <row r="27" spans="1:10">
      <c r="A27" s="140">
        <v>2011</v>
      </c>
      <c r="B27" s="145">
        <v>1.1679287793870987</v>
      </c>
      <c r="C27" s="145">
        <v>1.0120287416334575</v>
      </c>
      <c r="D27" s="145">
        <v>0.90919093615297664</v>
      </c>
      <c r="E27" s="145">
        <v>1.2520511165612636</v>
      </c>
      <c r="F27" s="145">
        <v>0.88373888443542836</v>
      </c>
      <c r="G27" s="145">
        <v>0.7514687900457383</v>
      </c>
      <c r="H27" s="145">
        <v>1.1908850870305472</v>
      </c>
      <c r="I27" s="145">
        <v>0.79306091451117711</v>
      </c>
      <c r="J27" s="145">
        <v>0.74923579908572235</v>
      </c>
    </row>
    <row r="28" spans="1:10">
      <c r="A28" s="140">
        <v>2012</v>
      </c>
      <c r="B28" s="145">
        <v>1.102025314026629</v>
      </c>
      <c r="C28" s="145">
        <v>0.91310618092281504</v>
      </c>
      <c r="D28" s="145">
        <v>0.78355373542956908</v>
      </c>
      <c r="E28" s="145">
        <v>1.1145583870166371</v>
      </c>
      <c r="F28" s="145">
        <v>0.72655800904629153</v>
      </c>
      <c r="G28" s="145">
        <v>0.58871862876888914</v>
      </c>
      <c r="H28" s="145">
        <v>0.96517612982102297</v>
      </c>
      <c r="I28" s="145">
        <v>0.578248590437484</v>
      </c>
      <c r="J28" s="145">
        <v>0.60723281932102102</v>
      </c>
    </row>
    <row r="29" spans="1:10">
      <c r="A29" s="140">
        <v>2013</v>
      </c>
      <c r="B29" s="145">
        <v>1.1151028796405833</v>
      </c>
      <c r="C29" s="145">
        <v>0.92147011461357931</v>
      </c>
      <c r="D29" s="145">
        <v>0.82690277589494343</v>
      </c>
      <c r="E29" s="145">
        <v>1.2393703206555098</v>
      </c>
      <c r="F29" s="145">
        <v>0.81799982113835645</v>
      </c>
      <c r="G29" s="145">
        <v>0.68370872765781643</v>
      </c>
      <c r="H29" s="145">
        <v>1.1347815065055722</v>
      </c>
      <c r="I29" s="145">
        <v>0.72263033945865418</v>
      </c>
      <c r="J29" s="145">
        <v>0.71393868146792305</v>
      </c>
    </row>
    <row r="30" spans="1:10">
      <c r="A30" s="140">
        <v>2014</v>
      </c>
      <c r="B30" s="145">
        <v>1.2474175762427497</v>
      </c>
      <c r="C30" s="145">
        <v>1.0659980036178369</v>
      </c>
      <c r="D30" s="145">
        <v>0.96856118598931618</v>
      </c>
      <c r="E30" s="145">
        <v>1.4370636809207116</v>
      </c>
      <c r="F30" s="145">
        <v>0.92506460653018263</v>
      </c>
      <c r="G30" s="145">
        <v>0.78767592638223849</v>
      </c>
      <c r="H30" s="145">
        <v>1.310522264347888</v>
      </c>
      <c r="I30" s="145">
        <v>0.82298994332437736</v>
      </c>
      <c r="J30" s="145">
        <v>0.82450456945148831</v>
      </c>
    </row>
    <row r="31" spans="1:10">
      <c r="A31" s="140">
        <v>2015</v>
      </c>
      <c r="B31" s="145">
        <v>1.3197059855692754</v>
      </c>
      <c r="C31" s="145">
        <v>1.005429777815307</v>
      </c>
      <c r="D31" s="145">
        <v>0.84880779845426202</v>
      </c>
      <c r="E31" s="145">
        <v>1.3019795689182256</v>
      </c>
      <c r="F31" s="145">
        <v>0.75864315118252845</v>
      </c>
      <c r="G31" s="145">
        <v>0.61491806952786821</v>
      </c>
      <c r="H31" s="145">
        <v>1.2793986859371598</v>
      </c>
      <c r="I31" s="145">
        <v>0.74531091041431408</v>
      </c>
      <c r="J31" s="145">
        <v>0.80492341977136728</v>
      </c>
    </row>
    <row r="32" spans="1:10">
      <c r="A32" s="140">
        <v>2016</v>
      </c>
      <c r="B32" s="145">
        <v>1.0067408812992744</v>
      </c>
      <c r="C32" s="145">
        <v>0.95397115407894051</v>
      </c>
      <c r="D32" s="145">
        <v>0.79274372766698653</v>
      </c>
      <c r="E32" s="145">
        <v>0.82257216959410062</v>
      </c>
      <c r="F32" s="145">
        <v>0.74559952451284717</v>
      </c>
      <c r="G32" s="145">
        <v>0.58772881517688225</v>
      </c>
      <c r="H32" s="145">
        <v>0.93563825323943928</v>
      </c>
      <c r="I32" s="145">
        <v>0.73007429201257756</v>
      </c>
      <c r="J32" s="145">
        <v>0.59056519383299588</v>
      </c>
    </row>
    <row r="33" spans="1:10">
      <c r="A33" s="140">
        <v>2017</v>
      </c>
      <c r="B33" s="145">
        <v>1.0952199182789117</v>
      </c>
      <c r="C33" s="145">
        <v>1.0808042351698193</v>
      </c>
      <c r="D33" s="145">
        <v>0.91423938665455307</v>
      </c>
      <c r="E33" s="145">
        <v>0.84069150664512327</v>
      </c>
      <c r="F33" s="145">
        <v>0.71684779518888808</v>
      </c>
      <c r="G33" s="145">
        <v>0.55543512540504947</v>
      </c>
      <c r="H33" s="145">
        <v>1.0028237885653162</v>
      </c>
      <c r="I33" s="145">
        <v>0.75099883280295376</v>
      </c>
      <c r="J33" s="145">
        <v>0.55827150406116322</v>
      </c>
    </row>
    <row r="34" spans="1:10">
      <c r="A34" s="140">
        <v>2018</v>
      </c>
      <c r="B34" s="145">
        <v>1.0678501890106604</v>
      </c>
      <c r="C34" s="145">
        <v>1.0522242323340152</v>
      </c>
      <c r="D34" s="145">
        <v>0.89245312065145954</v>
      </c>
      <c r="E34" s="145">
        <v>0.84190446918843564</v>
      </c>
      <c r="F34" s="145">
        <v>0.72461791889831917</v>
      </c>
      <c r="G34" s="145">
        <v>0.56110696680740868</v>
      </c>
      <c r="H34" s="145">
        <v>0.93986252768258693</v>
      </c>
      <c r="I34" s="145">
        <v>0.6249216302000451</v>
      </c>
      <c r="J34" s="145">
        <v>0.56394334546352232</v>
      </c>
    </row>
    <row r="35" spans="1:10">
      <c r="A35" s="140">
        <v>2019</v>
      </c>
      <c r="B35" s="145">
        <v>1.0954335908774113</v>
      </c>
      <c r="C35" s="145">
        <v>1.1246167340192121</v>
      </c>
      <c r="D35" s="145">
        <v>0.93820795179486594</v>
      </c>
      <c r="E35" s="145">
        <v>0.91630434493053936</v>
      </c>
      <c r="F35" s="145">
        <v>0.80303898673530538</v>
      </c>
      <c r="G35" s="145">
        <v>0.63203778348865791</v>
      </c>
      <c r="H35" s="145">
        <v>0.9732787159258881</v>
      </c>
      <c r="I35" s="145">
        <v>0.75659072695336593</v>
      </c>
      <c r="J35" s="145">
        <v>0.63487416214477166</v>
      </c>
    </row>
    <row r="36" spans="1:10">
      <c r="A36" s="140">
        <v>2020</v>
      </c>
      <c r="B36" s="145">
        <v>1.1423717418845294</v>
      </c>
      <c r="C36" s="145">
        <v>1.0765148858544167</v>
      </c>
      <c r="D36" s="145">
        <v>0.81893962923505448</v>
      </c>
      <c r="E36" s="145">
        <v>1.0006441629179381</v>
      </c>
      <c r="F36" s="145">
        <v>0.84169732019326071</v>
      </c>
      <c r="G36" s="145">
        <v>0.53890368125810384</v>
      </c>
      <c r="H36" s="145">
        <v>1.281354119434724</v>
      </c>
      <c r="I36" s="145">
        <v>0.8537545249395706</v>
      </c>
      <c r="J36" s="145">
        <v>0.60362928851228825</v>
      </c>
    </row>
    <row r="37" spans="1:10">
      <c r="A37" s="140">
        <v>2021</v>
      </c>
      <c r="B37" s="145">
        <v>1.2361179727016711</v>
      </c>
      <c r="C37" s="145">
        <v>1.1115090337268503</v>
      </c>
      <c r="D37" s="145">
        <v>0.77095075698898896</v>
      </c>
      <c r="E37" s="145">
        <v>1.011877813105351</v>
      </c>
      <c r="F37" s="145">
        <v>0.88711713265560066</v>
      </c>
      <c r="G37" s="145">
        <v>0.44963200979497275</v>
      </c>
      <c r="H37" s="145">
        <v>1.4742089923757644</v>
      </c>
      <c r="I37" s="145">
        <v>1.018689315462092</v>
      </c>
      <c r="J37" s="145">
        <v>0.51217695303555166</v>
      </c>
    </row>
    <row r="38" spans="1:10">
      <c r="A38" s="140">
        <v>2022</v>
      </c>
      <c r="B38" s="145">
        <v>1.2738024372793253</v>
      </c>
      <c r="C38" s="145">
        <v>1.1482230874537371</v>
      </c>
      <c r="D38" s="145">
        <v>0.79220209323836421</v>
      </c>
      <c r="E38" s="145">
        <v>1.041658046128342</v>
      </c>
      <c r="F38" s="145">
        <v>0.90633385230327856</v>
      </c>
      <c r="G38" s="145">
        <v>0.45764985058408625</v>
      </c>
      <c r="H38" s="145">
        <v>1.5216683173034158</v>
      </c>
      <c r="I38" s="145">
        <v>1.0422553663435863</v>
      </c>
      <c r="J38" s="145">
        <v>0.52158878928347374</v>
      </c>
    </row>
    <row r="39" spans="1:10">
      <c r="A39" s="140">
        <v>2023</v>
      </c>
      <c r="B39" s="145">
        <v>1.3118799412914783</v>
      </c>
      <c r="C39" s="145">
        <v>1.1896408123206879</v>
      </c>
      <c r="D39" s="145">
        <v>0.81604644424570116</v>
      </c>
      <c r="E39" s="145">
        <v>1.0738893807508436</v>
      </c>
      <c r="F39" s="145">
        <v>0.93014625015167507</v>
      </c>
      <c r="G39" s="145">
        <v>0.46882545651705199</v>
      </c>
      <c r="H39" s="145">
        <v>1.5706728735627689</v>
      </c>
      <c r="I39" s="145">
        <v>1.0722218303248521</v>
      </c>
      <c r="J39" s="145">
        <v>0.53423081110966264</v>
      </c>
    </row>
    <row r="40" spans="1:10">
      <c r="A40" s="140">
        <v>2024</v>
      </c>
      <c r="B40" s="145">
        <v>1.3502788094816298</v>
      </c>
      <c r="C40" s="145">
        <v>1.2332786043627488</v>
      </c>
      <c r="D40" s="145">
        <v>0.83814052275626172</v>
      </c>
      <c r="E40" s="145">
        <v>1.1055214931676005</v>
      </c>
      <c r="F40" s="145">
        <v>0.95279684161883815</v>
      </c>
      <c r="G40" s="145">
        <v>0.47787868224034713</v>
      </c>
      <c r="H40" s="145">
        <v>1.6191881768513279</v>
      </c>
      <c r="I40" s="145">
        <v>1.1015335236039703</v>
      </c>
      <c r="J40" s="145">
        <v>0.54417246984159273</v>
      </c>
    </row>
    <row r="41" spans="1:10">
      <c r="A41" s="140">
        <v>2025</v>
      </c>
      <c r="B41" s="145">
        <v>1.3900150673133647</v>
      </c>
      <c r="C41" s="145">
        <v>1.2796128513763796</v>
      </c>
      <c r="D41" s="145">
        <v>0.8619565786841703</v>
      </c>
      <c r="E41" s="145">
        <v>1.1397326546788675</v>
      </c>
      <c r="F41" s="145">
        <v>0.97913853760565428</v>
      </c>
      <c r="G41" s="145">
        <v>0.48957233849637533</v>
      </c>
      <c r="H41" s="145">
        <v>1.6709860248641135</v>
      </c>
      <c r="I41" s="145">
        <v>1.1342903295753695</v>
      </c>
      <c r="J41" s="145">
        <v>0.55736839679131989</v>
      </c>
    </row>
    <row r="42" spans="1:10">
      <c r="A42" s="140">
        <v>2026</v>
      </c>
      <c r="B42" s="145">
        <v>1.431444414256519</v>
      </c>
      <c r="C42" s="145">
        <v>1.3277446057051874</v>
      </c>
      <c r="D42" s="145">
        <v>0.8870241764178397</v>
      </c>
      <c r="E42" s="145">
        <v>1.1749252621573272</v>
      </c>
      <c r="F42" s="145">
        <v>1.0059554092807763</v>
      </c>
      <c r="G42" s="145">
        <v>0.50110485039116193</v>
      </c>
      <c r="H42" s="145">
        <v>1.7242564021041884</v>
      </c>
      <c r="I42" s="145">
        <v>1.167793582353871</v>
      </c>
      <c r="J42" s="145">
        <v>0.57060846693194178</v>
      </c>
    </row>
    <row r="43" spans="1:10">
      <c r="A43" s="140">
        <v>2027</v>
      </c>
      <c r="B43" s="145">
        <v>1.4744542690362683</v>
      </c>
      <c r="C43" s="145">
        <v>1.3794942509011276</v>
      </c>
      <c r="D43" s="145">
        <v>0.91363477145349281</v>
      </c>
      <c r="E43" s="145">
        <v>1.2094213700463341</v>
      </c>
      <c r="F43" s="145">
        <v>1.0304112701249013</v>
      </c>
      <c r="G43" s="145">
        <v>0.51060924634347704</v>
      </c>
      <c r="H43" s="145">
        <v>1.7772505118907924</v>
      </c>
      <c r="I43" s="145">
        <v>1.1997464228763908</v>
      </c>
      <c r="J43" s="145">
        <v>0.58205945002039194</v>
      </c>
    </row>
    <row r="44" spans="1:10">
      <c r="A44" s="140">
        <v>2028</v>
      </c>
      <c r="B44" s="145">
        <v>1.5195928154241596</v>
      </c>
      <c r="C44" s="145">
        <v>1.4331441132118117</v>
      </c>
      <c r="D44" s="145">
        <v>0.94179296238301791</v>
      </c>
      <c r="E44" s="145">
        <v>1.2508272582804352</v>
      </c>
      <c r="F44" s="145">
        <v>1.0623233439158233</v>
      </c>
      <c r="G44" s="145">
        <v>0.52741721938831243</v>
      </c>
      <c r="H44" s="145">
        <v>1.8380630377030303</v>
      </c>
      <c r="I44" s="145">
        <v>1.2404163237189458</v>
      </c>
      <c r="J44" s="145">
        <v>0.60115667316528265</v>
      </c>
    </row>
    <row r="45" spans="1:10">
      <c r="A45" s="140">
        <v>2029</v>
      </c>
      <c r="B45" s="145">
        <v>1.5662155153315229</v>
      </c>
      <c r="C45" s="145">
        <v>1.4883031984081023</v>
      </c>
      <c r="D45" s="145">
        <v>0.97044725855099156</v>
      </c>
      <c r="E45" s="145">
        <v>1.2878778170195069</v>
      </c>
      <c r="F45" s="145">
        <v>1.086788361563179</v>
      </c>
      <c r="G45" s="145">
        <v>0.53751001420428812</v>
      </c>
      <c r="H45" s="145">
        <v>1.8959371905961278</v>
      </c>
      <c r="I45" s="145">
        <v>1.2741243077996787</v>
      </c>
      <c r="J45" s="145">
        <v>0.61314585948466738</v>
      </c>
    </row>
    <row r="46" spans="1:10">
      <c r="A46" s="140">
        <v>2030</v>
      </c>
      <c r="B46" s="145">
        <v>1.6149975510335952</v>
      </c>
      <c r="C46" s="145">
        <v>1.5429263157650204</v>
      </c>
      <c r="D46" s="145">
        <v>1.0006151683943367</v>
      </c>
      <c r="E46" s="145">
        <v>1.3286929405618437</v>
      </c>
      <c r="F46" s="145">
        <v>1.112520315289252</v>
      </c>
      <c r="G46" s="145">
        <v>0.55080658117407177</v>
      </c>
      <c r="H46" s="145">
        <v>1.9583490366090017</v>
      </c>
      <c r="I46" s="145">
        <v>1.3106435419544062</v>
      </c>
      <c r="J46" s="145">
        <v>0.6284947550774671</v>
      </c>
    </row>
    <row r="47" spans="1:10">
      <c r="A47" s="140">
        <v>2031</v>
      </c>
      <c r="B47" s="145">
        <v>1.6471908075690596</v>
      </c>
      <c r="C47" s="145">
        <v>1.5789747377706229</v>
      </c>
      <c r="D47" s="145">
        <v>1.0191136997895986</v>
      </c>
      <c r="E47" s="145">
        <v>1.3559909425599508</v>
      </c>
      <c r="F47" s="145">
        <v>1.1357649926021061</v>
      </c>
      <c r="G47" s="145">
        <v>0.55950980179054011</v>
      </c>
      <c r="H47" s="145">
        <v>1.999776413526317</v>
      </c>
      <c r="I47" s="145">
        <v>1.336830955940969</v>
      </c>
      <c r="J47" s="145">
        <v>0.63814326349882533</v>
      </c>
    </row>
    <row r="48" spans="1:10">
      <c r="A48" s="140">
        <v>2032</v>
      </c>
      <c r="B48" s="145">
        <v>1.6890655217970791</v>
      </c>
      <c r="C48" s="145">
        <v>1.6272632923974357</v>
      </c>
      <c r="D48" s="145">
        <v>1.0445378136947405</v>
      </c>
      <c r="E48" s="145">
        <v>1.3911815860090997</v>
      </c>
      <c r="F48" s="145">
        <v>1.1612944219023213</v>
      </c>
      <c r="G48" s="145">
        <v>0.57085692485910966</v>
      </c>
      <c r="H48" s="145">
        <v>2.0533615693699989</v>
      </c>
      <c r="I48" s="145">
        <v>1.3696781380390934</v>
      </c>
      <c r="J48" s="145">
        <v>0.65116926368513295</v>
      </c>
    </row>
    <row r="49" spans="1:10">
      <c r="A49" s="140">
        <v>2033</v>
      </c>
      <c r="B49" s="145">
        <v>1.7309402360250987</v>
      </c>
      <c r="C49" s="145">
        <v>1.6755518470242372</v>
      </c>
      <c r="D49" s="145">
        <v>1.0699619275998824</v>
      </c>
      <c r="E49" s="145">
        <v>1.4263722294582453</v>
      </c>
      <c r="F49" s="145">
        <v>1.1868238512025457</v>
      </c>
      <c r="G49" s="145">
        <v>0.58220404792767666</v>
      </c>
      <c r="H49" s="145">
        <v>2.1069467252136835</v>
      </c>
      <c r="I49" s="145">
        <v>1.4025253201372068</v>
      </c>
      <c r="J49" s="145">
        <v>0.66419526387144079</v>
      </c>
    </row>
    <row r="50" spans="1:10">
      <c r="A50" s="140">
        <v>2034</v>
      </c>
      <c r="B50" s="145">
        <v>1.7728149502531152</v>
      </c>
      <c r="C50" s="145">
        <v>1.7238404016510502</v>
      </c>
      <c r="D50" s="145">
        <v>1.0953860415050243</v>
      </c>
      <c r="E50" s="145">
        <v>1.4615628729073906</v>
      </c>
      <c r="F50" s="145">
        <v>1.212353280502759</v>
      </c>
      <c r="G50" s="145">
        <v>0.5935511709962461</v>
      </c>
      <c r="H50" s="145">
        <v>2.1605318810573686</v>
      </c>
      <c r="I50" s="145">
        <v>1.4353725022353314</v>
      </c>
      <c r="J50" s="145">
        <v>0.67722126405774719</v>
      </c>
    </row>
    <row r="51" spans="1:10">
      <c r="A51" s="140">
        <v>2035</v>
      </c>
      <c r="B51" s="145">
        <v>1.814689664481135</v>
      </c>
      <c r="C51" s="145">
        <v>1.772128956277863</v>
      </c>
      <c r="D51" s="145">
        <v>1.1208101554101686</v>
      </c>
      <c r="E51" s="145">
        <v>1.4967535163565397</v>
      </c>
      <c r="F51" s="145">
        <v>1.2378827098029834</v>
      </c>
      <c r="G51" s="145">
        <v>0.60489829406481432</v>
      </c>
      <c r="H51" s="145">
        <v>2.2141170369010537</v>
      </c>
      <c r="I51" s="145">
        <v>1.4682196843334561</v>
      </c>
      <c r="J51" s="145">
        <v>0.69024726424405491</v>
      </c>
    </row>
    <row r="52" spans="1:10">
      <c r="A52" s="144" t="s">
        <v>930</v>
      </c>
    </row>
  </sheetData>
  <mergeCells count="3">
    <mergeCell ref="A1:I1"/>
    <mergeCell ref="A2:I2"/>
    <mergeCell ref="A3:I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020F-1F5A-43A4-9BA0-01F2167AAC8A}">
  <sheetPr>
    <tabColor theme="0" tint="-0.14999847407452621"/>
  </sheetPr>
  <dimension ref="A1:K10"/>
  <sheetViews>
    <sheetView workbookViewId="0">
      <selection activeCell="A17" sqref="A1:XFD17"/>
    </sheetView>
  </sheetViews>
  <sheetFormatPr defaultColWidth="8.7265625" defaultRowHeight="14.5"/>
  <cols>
    <col min="1" max="1" width="11.81640625" style="113" customWidth="1"/>
    <col min="2" max="2" width="12.453125" style="113" bestFit="1" customWidth="1"/>
    <col min="3" max="3" width="8.7265625" style="113"/>
    <col min="4" max="4" width="11.453125" style="113" bestFit="1" customWidth="1"/>
    <col min="5" max="5" width="8.7265625" style="113"/>
    <col min="6" max="6" width="16.54296875" style="113" customWidth="1"/>
    <col min="7" max="16384" width="8.7265625" style="113"/>
  </cols>
  <sheetData>
    <row r="1" spans="1:11">
      <c r="C1" s="113" t="s">
        <v>714</v>
      </c>
      <c r="D1" s="113" t="s">
        <v>710</v>
      </c>
      <c r="E1" s="113" t="s">
        <v>711</v>
      </c>
      <c r="F1" s="113" t="s">
        <v>712</v>
      </c>
      <c r="G1" s="113" t="s">
        <v>713</v>
      </c>
    </row>
    <row r="2" spans="1:11">
      <c r="A2" s="113" t="s">
        <v>705</v>
      </c>
      <c r="B2" s="113" t="s">
        <v>706</v>
      </c>
    </row>
    <row r="3" spans="1:11">
      <c r="B3" s="113">
        <v>2022</v>
      </c>
      <c r="C3" s="49">
        <v>0.13</v>
      </c>
      <c r="E3" s="115">
        <f>E4</f>
        <v>0.27</v>
      </c>
      <c r="F3" s="39">
        <f>F4</f>
        <v>0.38900000000000001</v>
      </c>
      <c r="G3" s="47"/>
    </row>
    <row r="4" spans="1:11">
      <c r="A4" s="113" t="s">
        <v>709</v>
      </c>
      <c r="C4" s="49">
        <v>0.13</v>
      </c>
      <c r="E4" s="115">
        <v>0.27</v>
      </c>
      <c r="F4" s="39">
        <v>0.38900000000000001</v>
      </c>
      <c r="G4" s="47"/>
    </row>
    <row r="5" spans="1:11">
      <c r="B5" s="113">
        <v>2021</v>
      </c>
      <c r="C5" s="49">
        <v>0.13</v>
      </c>
      <c r="D5" s="113">
        <f>C5*I5</f>
        <v>0.53299999999999992</v>
      </c>
      <c r="E5" s="115">
        <f>0.265</f>
        <v>0.26500000000000001</v>
      </c>
      <c r="F5" s="115">
        <f>F4</f>
        <v>0.38900000000000001</v>
      </c>
      <c r="G5" s="47">
        <f>D5+E5+F5</f>
        <v>1.1869999999999998</v>
      </c>
      <c r="I5" s="113">
        <f>'EIA gasoline 2022'!$B$30</f>
        <v>4.0999999999999996</v>
      </c>
      <c r="J5" s="49">
        <f>G5/I5</f>
        <v>0.2895121951219512</v>
      </c>
    </row>
    <row r="6" spans="1:11">
      <c r="A6" s="113" t="s">
        <v>708</v>
      </c>
      <c r="C6" s="49">
        <v>0.13</v>
      </c>
      <c r="E6" s="115">
        <v>0.26</v>
      </c>
      <c r="F6" s="115">
        <v>0.38500000000000001</v>
      </c>
      <c r="G6" s="47"/>
    </row>
    <row r="7" spans="1:11">
      <c r="B7" s="113">
        <v>2020</v>
      </c>
      <c r="C7" s="49">
        <v>0.13</v>
      </c>
      <c r="D7" s="113">
        <f>C7*I7</f>
        <v>0.43901000000000001</v>
      </c>
      <c r="E7" s="115">
        <f>(E6+E8)/2</f>
        <v>0.29000000000000004</v>
      </c>
      <c r="F7" s="39">
        <f>(F6+F8)/2</f>
        <v>0.3725</v>
      </c>
      <c r="G7" s="47">
        <f>D7+E7+F7</f>
        <v>1.10151</v>
      </c>
      <c r="I7" s="113">
        <f>'EIA gasoline 2022'!K29</f>
        <v>3.3769999999999998</v>
      </c>
      <c r="J7" s="49">
        <f>G7/I7</f>
        <v>0.32618004145691443</v>
      </c>
    </row>
    <row r="8" spans="1:11">
      <c r="A8" s="113" t="s">
        <v>707</v>
      </c>
      <c r="C8" s="49">
        <v>0.13</v>
      </c>
      <c r="E8" s="115">
        <v>0.32</v>
      </c>
      <c r="F8" s="39">
        <v>0.36</v>
      </c>
      <c r="G8" s="47"/>
    </row>
    <row r="9" spans="1:11">
      <c r="J9" s="61">
        <f>(J5+J7)/2</f>
        <v>0.30784611828943281</v>
      </c>
      <c r="K9" s="113" t="s">
        <v>1216</v>
      </c>
    </row>
    <row r="10" spans="1:11">
      <c r="K10" s="113" t="s">
        <v>715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6BDA6-B6BA-4E75-A1B9-6A56C07426E8}">
  <dimension ref="A1:D20"/>
  <sheetViews>
    <sheetView workbookViewId="0">
      <selection activeCell="Q16" sqref="Q16"/>
    </sheetView>
  </sheetViews>
  <sheetFormatPr defaultRowHeight="14.5"/>
  <cols>
    <col min="1" max="16384" width="8.7265625" style="113"/>
  </cols>
  <sheetData>
    <row r="1" spans="1:2">
      <c r="A1" s="113" t="s">
        <v>1243</v>
      </c>
    </row>
    <row r="3" spans="1:2">
      <c r="A3" s="113" t="s">
        <v>1239</v>
      </c>
    </row>
    <row r="4" spans="1:2">
      <c r="A4" s="113" t="s">
        <v>1240</v>
      </c>
    </row>
    <row r="5" spans="1:2">
      <c r="A5" s="113" t="s">
        <v>1241</v>
      </c>
    </row>
    <row r="6" spans="1:2">
      <c r="A6" s="113" t="s">
        <v>299</v>
      </c>
    </row>
    <row r="7" spans="1:2">
      <c r="A7" s="113" t="s">
        <v>325</v>
      </c>
      <c r="B7" s="113" t="s">
        <v>1242</v>
      </c>
    </row>
    <row r="8" spans="1:2">
      <c r="A8" s="113">
        <v>2023</v>
      </c>
      <c r="B8" s="113">
        <v>8.6300000000000008</v>
      </c>
    </row>
    <row r="9" spans="1:2">
      <c r="A9" s="113">
        <v>2022</v>
      </c>
      <c r="B9" s="113">
        <v>22.94</v>
      </c>
    </row>
    <row r="10" spans="1:2">
      <c r="A10" s="113">
        <v>2021</v>
      </c>
      <c r="B10" s="113">
        <v>0</v>
      </c>
    </row>
    <row r="13" spans="1:2">
      <c r="A13" s="113" t="s">
        <v>1244</v>
      </c>
    </row>
    <row r="14" spans="1:2">
      <c r="A14" s="113" t="s">
        <v>1245</v>
      </c>
    </row>
    <row r="15" spans="1:2">
      <c r="A15" s="113" t="s">
        <v>1246</v>
      </c>
    </row>
    <row r="16" spans="1:2">
      <c r="A16" s="113" t="s">
        <v>299</v>
      </c>
    </row>
    <row r="17" spans="1:4">
      <c r="A17" s="113" t="s">
        <v>325</v>
      </c>
      <c r="B17" s="113" t="s">
        <v>1247</v>
      </c>
      <c r="C17" s="113" t="s">
        <v>1248</v>
      </c>
      <c r="D17" s="113" t="s">
        <v>1249</v>
      </c>
    </row>
    <row r="18" spans="1:4">
      <c r="A18" s="113">
        <v>2023</v>
      </c>
      <c r="B18" s="113">
        <v>24.59</v>
      </c>
      <c r="C18" s="113">
        <v>15.58</v>
      </c>
      <c r="D18" s="113">
        <v>11.24</v>
      </c>
    </row>
    <row r="19" spans="1:4">
      <c r="A19" s="113">
        <v>2022</v>
      </c>
      <c r="B19" s="113">
        <v>48.32</v>
      </c>
      <c r="C19" s="113">
        <v>26.23</v>
      </c>
      <c r="D19" s="113">
        <v>25.52</v>
      </c>
    </row>
    <row r="20" spans="1:4">
      <c r="A20" s="113">
        <v>2021</v>
      </c>
      <c r="B20" s="113">
        <v>0</v>
      </c>
      <c r="C20" s="113">
        <v>0</v>
      </c>
      <c r="D20" s="113">
        <v>0</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A391B-E77F-41A4-A61C-231E9F64FA4E}">
  <sheetPr>
    <tabColor theme="0" tint="-0.14999847407452621"/>
  </sheetPr>
  <dimension ref="A1:K10"/>
  <sheetViews>
    <sheetView workbookViewId="0">
      <selection activeCell="A11" sqref="A1:XFD11"/>
    </sheetView>
  </sheetViews>
  <sheetFormatPr defaultRowHeight="14.5"/>
  <cols>
    <col min="1" max="1" width="11.81640625" customWidth="1"/>
    <col min="2" max="2" width="12.453125" bestFit="1" customWidth="1"/>
    <col min="4" max="4" width="11.453125" bestFit="1" customWidth="1"/>
    <col min="6" max="6" width="16.54296875" customWidth="1"/>
  </cols>
  <sheetData>
    <row r="1" spans="1:11" s="113" customFormat="1">
      <c r="C1" s="113" t="s">
        <v>714</v>
      </c>
      <c r="D1" s="113" t="s">
        <v>710</v>
      </c>
      <c r="E1" s="113" t="s">
        <v>711</v>
      </c>
      <c r="F1" s="113" t="s">
        <v>712</v>
      </c>
      <c r="H1" s="113" t="s">
        <v>1213</v>
      </c>
      <c r="I1" s="113" t="s">
        <v>1214</v>
      </c>
    </row>
    <row r="2" spans="1:11">
      <c r="A2" t="s">
        <v>705</v>
      </c>
      <c r="B2" t="s">
        <v>706</v>
      </c>
      <c r="C2" s="113"/>
    </row>
    <row r="3" spans="1:11" s="113" customFormat="1">
      <c r="B3" s="113">
        <v>2022</v>
      </c>
      <c r="C3" s="113">
        <v>2.2499999999999999E-2</v>
      </c>
      <c r="E3" s="115">
        <f>E4</f>
        <v>5.5E-2</v>
      </c>
      <c r="F3" s="39">
        <f>F4</f>
        <v>0.51100000000000001</v>
      </c>
      <c r="G3" s="47"/>
    </row>
    <row r="4" spans="1:11" s="113" customFormat="1">
      <c r="A4" t="s">
        <v>709</v>
      </c>
      <c r="C4" s="113">
        <v>2.2499999999999999E-2</v>
      </c>
      <c r="E4" s="115">
        <v>5.5E-2</v>
      </c>
      <c r="F4" s="39">
        <v>0.51100000000000001</v>
      </c>
      <c r="G4" s="47"/>
    </row>
    <row r="5" spans="1:11">
      <c r="B5">
        <v>2021</v>
      </c>
      <c r="C5" s="113">
        <v>2.2499999999999999E-2</v>
      </c>
      <c r="D5" s="113">
        <f>C5*I5</f>
        <v>9.2249999999999985E-2</v>
      </c>
      <c r="E5" s="115">
        <f>E4</f>
        <v>5.5E-2</v>
      </c>
      <c r="F5" s="115">
        <f>F4</f>
        <v>0.51100000000000001</v>
      </c>
      <c r="G5" s="47">
        <f>D5+E5+F5</f>
        <v>0.65825</v>
      </c>
      <c r="H5" s="47"/>
      <c r="I5" s="113">
        <f>'EIA gasoline 2022'!$B$30</f>
        <v>4.0999999999999996</v>
      </c>
      <c r="J5" s="49">
        <f>G5/I5</f>
        <v>0.16054878048780488</v>
      </c>
    </row>
    <row r="6" spans="1:11">
      <c r="A6" t="s">
        <v>708</v>
      </c>
      <c r="C6" s="113">
        <v>2.2499999999999999E-2</v>
      </c>
      <c r="D6" s="113"/>
      <c r="E6" s="115">
        <v>0.05</v>
      </c>
      <c r="F6" s="115">
        <v>0.505</v>
      </c>
      <c r="G6" s="47"/>
    </row>
    <row r="7" spans="1:11">
      <c r="B7">
        <v>2020</v>
      </c>
      <c r="C7" s="113">
        <v>2.2499999999999999E-2</v>
      </c>
      <c r="D7" s="113">
        <f>C7*I7</f>
        <v>7.0470000000000005E-2</v>
      </c>
      <c r="E7" s="115">
        <f>(E6+E8)/2</f>
        <v>5.5E-2</v>
      </c>
      <c r="F7" s="39">
        <f>(F6+F8)/2</f>
        <v>0.48899999999999999</v>
      </c>
      <c r="G7" s="47">
        <f t="shared" ref="G7" si="0">D7+E7+F7</f>
        <v>0.61446999999999996</v>
      </c>
      <c r="H7" s="47"/>
      <c r="I7">
        <f>'EIA gasoline 2022'!$B$29</f>
        <v>3.1320000000000001</v>
      </c>
      <c r="J7" s="49">
        <f>G7/I7</f>
        <v>0.19619093231162194</v>
      </c>
    </row>
    <row r="8" spans="1:11">
      <c r="A8" t="s">
        <v>707</v>
      </c>
      <c r="C8">
        <v>2.2499999999999999E-2</v>
      </c>
      <c r="D8" s="113"/>
      <c r="E8" s="115">
        <v>0.06</v>
      </c>
      <c r="F8" s="39">
        <v>0.47299999999999998</v>
      </c>
      <c r="G8" s="47"/>
    </row>
    <row r="9" spans="1:11">
      <c r="I9" s="49">
        <f>(J7+J5)/2</f>
        <v>0.17836985639971342</v>
      </c>
      <c r="K9" t="s">
        <v>1215</v>
      </c>
    </row>
    <row r="10" spans="1:11">
      <c r="B10" s="21"/>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982BC-5EB3-44DD-887B-222AAE21C35F}">
  <sheetPr>
    <tabColor theme="0" tint="-0.14999847407452621"/>
  </sheetPr>
  <dimension ref="A1:K10"/>
  <sheetViews>
    <sheetView workbookViewId="0">
      <selection activeCell="A11" sqref="A1:XFD11"/>
    </sheetView>
  </sheetViews>
  <sheetFormatPr defaultColWidth="8.7265625" defaultRowHeight="14.5"/>
  <cols>
    <col min="1" max="1" width="11.81640625" style="113" customWidth="1"/>
    <col min="2" max="2" width="12.453125" style="113" bestFit="1" customWidth="1"/>
    <col min="3" max="3" width="8.7265625" style="113"/>
    <col min="4" max="4" width="11.453125" style="113" bestFit="1" customWidth="1"/>
    <col min="5" max="5" width="8.7265625" style="113"/>
    <col min="6" max="6" width="16.54296875" style="113" customWidth="1"/>
    <col min="7" max="16384" width="8.7265625" style="113"/>
  </cols>
  <sheetData>
    <row r="1" spans="1:11">
      <c r="C1" s="113" t="s">
        <v>714</v>
      </c>
      <c r="E1" s="113" t="s">
        <v>710</v>
      </c>
      <c r="G1" s="113" t="s">
        <v>711</v>
      </c>
      <c r="I1" s="113" t="s">
        <v>1219</v>
      </c>
    </row>
    <row r="2" spans="1:11">
      <c r="A2" s="113" t="s">
        <v>705</v>
      </c>
      <c r="B2" s="113" t="s">
        <v>706</v>
      </c>
      <c r="D2" s="82" t="s">
        <v>663</v>
      </c>
      <c r="F2" s="113" t="s">
        <v>663</v>
      </c>
      <c r="H2" s="82" t="s">
        <v>663</v>
      </c>
    </row>
    <row r="3" spans="1:11">
      <c r="B3" s="113">
        <v>2022</v>
      </c>
      <c r="C3" s="113">
        <v>7.2499999999999995E-2</v>
      </c>
      <c r="E3" s="115">
        <f>E4</f>
        <v>7.9000000000000001E-2</v>
      </c>
      <c r="F3" s="115">
        <f>E3/About!$B$128</f>
        <v>5.750431282346176E-7</v>
      </c>
      <c r="G3" s="39">
        <v>0.02</v>
      </c>
      <c r="H3" s="39">
        <f>G3/About!$B$128</f>
        <v>1.4558053879357408E-7</v>
      </c>
      <c r="I3" s="47"/>
    </row>
    <row r="4" spans="1:11">
      <c r="A4" s="113" t="s">
        <v>709</v>
      </c>
      <c r="C4" s="113">
        <v>7.2499999999999995E-2</v>
      </c>
      <c r="E4" s="115">
        <v>7.9000000000000001E-2</v>
      </c>
      <c r="F4" s="115">
        <f>E4/About!$B$128</f>
        <v>5.750431282346176E-7</v>
      </c>
      <c r="G4" s="39">
        <v>0.02</v>
      </c>
      <c r="H4" s="39">
        <f>G4/About!$B$128</f>
        <v>1.4558053879357408E-7</v>
      </c>
      <c r="I4" s="47"/>
    </row>
    <row r="5" spans="1:11">
      <c r="B5" s="113">
        <v>2021</v>
      </c>
      <c r="C5" s="113">
        <v>7.2499999999999995E-2</v>
      </c>
      <c r="E5" s="115">
        <f>(E4+E6)/2</f>
        <v>9.2499999999999999E-2</v>
      </c>
      <c r="F5" s="115">
        <f>E5/About!$B$128</f>
        <v>6.7330999192028013E-7</v>
      </c>
      <c r="G5" s="39">
        <v>0.02</v>
      </c>
      <c r="H5" s="39">
        <f>G5/About!$B$128</f>
        <v>1.4558053879357408E-7</v>
      </c>
      <c r="I5" s="47"/>
      <c r="J5" s="47"/>
    </row>
    <row r="6" spans="1:11">
      <c r="A6" s="113" t="s">
        <v>708</v>
      </c>
      <c r="C6" s="113">
        <v>7.2499999999999995E-2</v>
      </c>
      <c r="E6" s="115">
        <v>0.106</v>
      </c>
      <c r="F6" s="115">
        <f>E6/About!$B$128</f>
        <v>7.7157685560594255E-7</v>
      </c>
      <c r="G6" s="39">
        <v>0.02</v>
      </c>
      <c r="H6" s="39">
        <f>G6/About!$B$128</f>
        <v>1.4558053879357408E-7</v>
      </c>
      <c r="I6" s="47"/>
      <c r="K6" s="113" t="s">
        <v>1220</v>
      </c>
    </row>
    <row r="7" spans="1:11">
      <c r="B7" s="113">
        <v>2020</v>
      </c>
      <c r="C7" s="113">
        <v>7.2499999999999995E-2</v>
      </c>
      <c r="D7" s="21">
        <f>C7*K7</f>
        <v>6.3904623363048531E-7</v>
      </c>
      <c r="E7" s="115">
        <f>(E6+E8)/2</f>
        <v>0.1055</v>
      </c>
      <c r="F7" s="115">
        <f>E7/About!$B$128</f>
        <v>7.6793734213610319E-7</v>
      </c>
      <c r="G7" s="39">
        <v>0.02</v>
      </c>
      <c r="H7" s="39">
        <f>G7/About!$B$128</f>
        <v>1.4558053879357408E-7</v>
      </c>
      <c r="I7" s="21">
        <f>D7+F7+H7</f>
        <v>1.5525641145601626E-6</v>
      </c>
      <c r="J7" s="49">
        <f>I7/K7</f>
        <v>0.1761388963457966</v>
      </c>
      <c r="K7" s="21">
        <f>Jetkerosene!C10</f>
        <v>8.8144308086963498E-6</v>
      </c>
    </row>
    <row r="8" spans="1:11">
      <c r="A8" s="113" t="s">
        <v>707</v>
      </c>
      <c r="C8" s="113">
        <v>7.2499999999999995E-2</v>
      </c>
      <c r="D8" s="21">
        <f>C8*K8</f>
        <v>9.6100845820767635E-7</v>
      </c>
      <c r="E8" s="115">
        <v>0.105</v>
      </c>
      <c r="F8" s="115">
        <f>E8/About!$B$128</f>
        <v>7.6429782866626383E-7</v>
      </c>
      <c r="G8" s="39">
        <v>0.02</v>
      </c>
      <c r="H8" s="39">
        <f>G8/About!$B$128</f>
        <v>1.4558053879357408E-7</v>
      </c>
      <c r="I8" s="21">
        <f>D8+F8+H8</f>
        <v>1.8708868256675142E-6</v>
      </c>
      <c r="J8" s="49">
        <f>I8/K8</f>
        <v>0.14114266498118871</v>
      </c>
      <c r="K8" s="21">
        <f>Jetkerosene!B10</f>
        <v>1.3255289078726573E-5</v>
      </c>
    </row>
    <row r="10" spans="1:11">
      <c r="J10" s="49">
        <f>(J7+J8)/2</f>
        <v>0.15864078066349266</v>
      </c>
      <c r="K10" s="113" t="s">
        <v>1221</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99FAA-DFD5-461E-B9B4-24FB4CCCB767}">
  <sheetPr>
    <tabColor theme="0" tint="-0.14999847407452621"/>
  </sheetPr>
  <dimension ref="A1:O35"/>
  <sheetViews>
    <sheetView workbookViewId="0">
      <selection activeCell="C25" sqref="C25"/>
    </sheetView>
  </sheetViews>
  <sheetFormatPr defaultRowHeight="14.5"/>
  <cols>
    <col min="1" max="1" width="33.81640625" customWidth="1"/>
    <col min="2" max="2" width="19.26953125" bestFit="1" customWidth="1"/>
    <col min="3" max="3" width="16.54296875" customWidth="1"/>
  </cols>
  <sheetData>
    <row r="1" spans="1:15" s="32" customFormat="1">
      <c r="A1" t="s">
        <v>654</v>
      </c>
    </row>
    <row r="2" spans="1:15" s="32" customFormat="1">
      <c r="B2" s="32">
        <v>2018</v>
      </c>
      <c r="C2" s="32">
        <v>2018</v>
      </c>
      <c r="D2" s="32">
        <v>2018</v>
      </c>
      <c r="E2" s="32">
        <v>2018</v>
      </c>
      <c r="F2" s="32">
        <v>2019</v>
      </c>
      <c r="G2" s="32">
        <v>2019</v>
      </c>
      <c r="H2" s="32">
        <v>2019</v>
      </c>
      <c r="I2" s="32">
        <v>2019</v>
      </c>
      <c r="J2" s="32">
        <v>2020</v>
      </c>
      <c r="K2" s="32">
        <v>2020</v>
      </c>
      <c r="L2" s="32">
        <v>2020</v>
      </c>
      <c r="M2" s="32">
        <v>2020</v>
      </c>
    </row>
    <row r="3" spans="1:15">
      <c r="B3" s="32" t="s">
        <v>528</v>
      </c>
      <c r="C3" s="32" t="s">
        <v>518</v>
      </c>
      <c r="D3" s="32" t="s">
        <v>519</v>
      </c>
      <c r="E3" s="32" t="s">
        <v>520</v>
      </c>
      <c r="F3" s="32" t="s">
        <v>528</v>
      </c>
      <c r="G3" s="32" t="s">
        <v>518</v>
      </c>
      <c r="H3" s="32" t="s">
        <v>519</v>
      </c>
      <c r="I3" s="32" t="s">
        <v>520</v>
      </c>
      <c r="J3" t="s">
        <v>517</v>
      </c>
      <c r="K3" t="s">
        <v>514</v>
      </c>
      <c r="L3" t="s">
        <v>515</v>
      </c>
      <c r="M3" t="s">
        <v>516</v>
      </c>
      <c r="N3" s="65">
        <v>44197</v>
      </c>
      <c r="O3" s="65">
        <v>44287</v>
      </c>
    </row>
    <row r="4" spans="1:15">
      <c r="A4" s="67" t="s">
        <v>382</v>
      </c>
      <c r="B4" s="67">
        <v>3.03</v>
      </c>
      <c r="C4" s="67">
        <v>3.39</v>
      </c>
      <c r="D4" s="67">
        <v>3.52</v>
      </c>
      <c r="E4" s="67">
        <v>3.63</v>
      </c>
      <c r="F4" s="32">
        <v>3.17</v>
      </c>
      <c r="G4" s="32">
        <v>3.57</v>
      </c>
      <c r="H4" s="39">
        <v>3.58</v>
      </c>
      <c r="I4" s="39">
        <v>3.93</v>
      </c>
      <c r="J4" s="39">
        <v>3.47</v>
      </c>
      <c r="K4" s="39">
        <v>2.83</v>
      </c>
      <c r="L4" s="39">
        <v>3</v>
      </c>
      <c r="M4" s="39">
        <v>3.1</v>
      </c>
      <c r="N4" s="39">
        <v>3.18</v>
      </c>
      <c r="O4" s="39">
        <v>3.69</v>
      </c>
    </row>
    <row r="5" spans="1:15">
      <c r="A5" s="67" t="s">
        <v>533</v>
      </c>
      <c r="B5" s="67">
        <v>3.29</v>
      </c>
      <c r="C5" s="67">
        <v>3.52</v>
      </c>
      <c r="D5" s="67">
        <v>3.81</v>
      </c>
      <c r="E5" s="67">
        <v>3.91</v>
      </c>
      <c r="F5" s="32">
        <v>3.55</v>
      </c>
      <c r="G5" s="32">
        <v>3.73</v>
      </c>
      <c r="H5" s="39">
        <v>3.82</v>
      </c>
      <c r="I5" s="39">
        <v>4</v>
      </c>
      <c r="J5" s="39">
        <v>3.86</v>
      </c>
      <c r="K5" s="39">
        <v>3</v>
      </c>
      <c r="L5" s="39">
        <v>3.21</v>
      </c>
      <c r="M5" s="39">
        <v>3.26</v>
      </c>
      <c r="N5" s="39">
        <v>3.2</v>
      </c>
      <c r="O5" s="39">
        <v>3.78</v>
      </c>
    </row>
    <row r="6" spans="1:15" s="32" customFormat="1">
      <c r="A6" s="67" t="s">
        <v>530</v>
      </c>
      <c r="B6" s="67"/>
      <c r="C6" s="67">
        <v>4.21</v>
      </c>
      <c r="D6" s="67">
        <v>4.04</v>
      </c>
      <c r="E6" s="67">
        <v>4.08</v>
      </c>
      <c r="F6" s="32">
        <v>4.22</v>
      </c>
      <c r="G6" s="32">
        <v>4.1100000000000003</v>
      </c>
      <c r="H6" s="39">
        <v>4.0999999999999996</v>
      </c>
      <c r="I6" s="39">
        <v>4.03</v>
      </c>
      <c r="J6" s="39">
        <v>4.07</v>
      </c>
      <c r="K6" s="39">
        <v>3.93</v>
      </c>
      <c r="L6" s="39">
        <v>4.08</v>
      </c>
      <c r="M6" s="39">
        <v>3.99</v>
      </c>
      <c r="N6" s="39">
        <v>4.1500000000000004</v>
      </c>
      <c r="O6" s="39">
        <v>4.1900000000000004</v>
      </c>
    </row>
    <row r="7" spans="1:15" s="32" customFormat="1">
      <c r="A7" s="67" t="s">
        <v>531</v>
      </c>
      <c r="B7" s="67">
        <v>3.49</v>
      </c>
      <c r="C7" s="67">
        <v>3.64</v>
      </c>
      <c r="D7" s="67">
        <v>3.87</v>
      </c>
      <c r="E7" s="67">
        <v>3.98</v>
      </c>
      <c r="F7" s="32">
        <v>3.63</v>
      </c>
      <c r="G7" s="32">
        <v>3.83</v>
      </c>
      <c r="H7" s="39">
        <v>3.85</v>
      </c>
      <c r="I7" s="39">
        <v>3.89</v>
      </c>
      <c r="J7" s="39">
        <v>3.79</v>
      </c>
      <c r="K7" s="39">
        <v>3.33</v>
      </c>
      <c r="L7" s="39">
        <v>3.23</v>
      </c>
      <c r="M7" s="39">
        <v>3.24</v>
      </c>
      <c r="N7" s="39">
        <v>3.39</v>
      </c>
      <c r="O7" s="39">
        <v>3.89</v>
      </c>
    </row>
    <row r="8" spans="1:15">
      <c r="A8" s="67" t="s">
        <v>532</v>
      </c>
      <c r="B8" s="67">
        <v>3.97</v>
      </c>
      <c r="C8" s="67">
        <v>3.93</v>
      </c>
      <c r="D8" s="67">
        <v>4.0599999999999996</v>
      </c>
      <c r="E8" s="67">
        <v>4.21</v>
      </c>
      <c r="F8" s="32">
        <v>4.18</v>
      </c>
      <c r="G8" s="32">
        <v>4.24</v>
      </c>
      <c r="H8" s="39">
        <v>4.37</v>
      </c>
      <c r="I8" s="39">
        <v>4.4400000000000004</v>
      </c>
      <c r="J8" s="39">
        <v>4.55</v>
      </c>
      <c r="K8" s="39">
        <v>4.38</v>
      </c>
      <c r="L8" s="39">
        <v>4.16</v>
      </c>
      <c r="M8" s="39">
        <v>4.2699999999999996</v>
      </c>
      <c r="N8" s="39">
        <v>4.22</v>
      </c>
      <c r="O8" s="39">
        <v>4.33</v>
      </c>
    </row>
    <row r="9" spans="1:15" s="32" customFormat="1">
      <c r="A9" s="67" t="s">
        <v>529</v>
      </c>
      <c r="B9" s="67">
        <v>3.45</v>
      </c>
      <c r="C9" s="67">
        <v>2.81</v>
      </c>
      <c r="D9" s="39">
        <v>2.8</v>
      </c>
      <c r="E9" s="39">
        <v>2.8</v>
      </c>
      <c r="F9" s="39">
        <v>2.79</v>
      </c>
      <c r="G9" s="39">
        <v>2.86</v>
      </c>
      <c r="H9" s="39">
        <v>2.86</v>
      </c>
      <c r="I9" s="39">
        <v>2.82</v>
      </c>
      <c r="J9" s="39">
        <v>2.79</v>
      </c>
      <c r="K9" s="39">
        <v>2.86</v>
      </c>
      <c r="L9" s="68">
        <v>2.76</v>
      </c>
      <c r="M9" s="68">
        <v>2.82</v>
      </c>
      <c r="N9" s="68">
        <v>2.75</v>
      </c>
      <c r="O9" s="68">
        <v>2.72</v>
      </c>
    </row>
    <row r="10" spans="1:15" s="32" customFormat="1">
      <c r="A10" s="67"/>
      <c r="B10" s="78"/>
      <c r="D10" s="39"/>
      <c r="E10" s="39"/>
      <c r="F10" s="39"/>
      <c r="G10" s="39"/>
      <c r="H10" s="39"/>
      <c r="I10" s="39"/>
      <c r="J10" s="39"/>
      <c r="K10" s="39"/>
    </row>
    <row r="11" spans="1:15" s="32" customFormat="1">
      <c r="A11" s="67"/>
      <c r="B11" s="67"/>
      <c r="D11" s="39"/>
      <c r="E11" s="39"/>
      <c r="F11" s="39"/>
      <c r="G11" s="39"/>
      <c r="H11" s="39"/>
      <c r="I11" s="39"/>
      <c r="J11" s="39"/>
      <c r="K11" s="39"/>
    </row>
    <row r="12" spans="1:15">
      <c r="A12" t="s">
        <v>523</v>
      </c>
      <c r="B12" s="178">
        <f>AVERAGE(B19:K19)</f>
        <v>0.20146361186633599</v>
      </c>
      <c r="C12" s="32"/>
      <c r="D12" s="39"/>
      <c r="E12" s="39"/>
      <c r="F12" s="39"/>
      <c r="G12" s="39"/>
      <c r="H12" s="39"/>
      <c r="I12" s="39"/>
      <c r="J12" s="39"/>
      <c r="K12" s="39"/>
    </row>
    <row r="13" spans="1:15" s="32" customFormat="1">
      <c r="A13" s="67" t="s">
        <v>526</v>
      </c>
      <c r="B13" s="178">
        <f>AVERAGE(B20:K20)</f>
        <v>0.23024202954597497</v>
      </c>
      <c r="D13" s="39"/>
      <c r="E13" s="39"/>
      <c r="F13" s="39"/>
      <c r="G13" s="39"/>
      <c r="H13" s="39"/>
      <c r="I13" s="39"/>
      <c r="J13" s="39"/>
      <c r="K13" s="39"/>
    </row>
    <row r="14" spans="1:15" s="32" customFormat="1">
      <c r="A14" s="67" t="s">
        <v>527</v>
      </c>
      <c r="B14" s="178">
        <f>AVERAGE(B21:K21)</f>
        <v>5.7429761270359835E-2</v>
      </c>
      <c r="D14" s="39"/>
      <c r="E14" s="39"/>
      <c r="F14" s="39"/>
      <c r="G14" s="39"/>
      <c r="H14" s="39"/>
      <c r="I14" s="39"/>
      <c r="J14" s="39"/>
      <c r="K14" s="39"/>
    </row>
    <row r="15" spans="1:15" s="32" customFormat="1"/>
    <row r="16" spans="1:15" s="32" customFormat="1">
      <c r="A16" s="67" t="s">
        <v>577</v>
      </c>
    </row>
    <row r="17" spans="1:13" s="32" customFormat="1">
      <c r="D17" s="39"/>
      <c r="E17" s="39"/>
      <c r="F17" s="39"/>
      <c r="G17" s="39"/>
      <c r="H17" s="39"/>
      <c r="I17" s="39"/>
      <c r="J17" s="39"/>
      <c r="K17" s="39"/>
    </row>
    <row r="18" spans="1:13" s="32" customFormat="1">
      <c r="A18" s="66" t="s">
        <v>521</v>
      </c>
      <c r="B18">
        <f>B19</f>
        <v>0.15151515151515146</v>
      </c>
      <c r="C18" s="32">
        <f>C19</f>
        <v>0.10704960835509142</v>
      </c>
      <c r="D18" s="32">
        <f>D19</f>
        <v>0.13506493506493505</v>
      </c>
      <c r="E18" s="32">
        <f>E19</f>
        <v>0.14138817480719801</v>
      </c>
      <c r="F18"/>
      <c r="G18"/>
      <c r="H18"/>
      <c r="I18"/>
      <c r="J18"/>
      <c r="K18">
        <f>K19</f>
        <v>0.11311053984575833</v>
      </c>
      <c r="M18" t="s">
        <v>522</v>
      </c>
    </row>
    <row r="19" spans="1:13">
      <c r="A19" s="66" t="s">
        <v>521</v>
      </c>
      <c r="B19" s="32">
        <f t="shared" ref="B19:K19" si="0">(F8-F7)/F7</f>
        <v>0.15151515151515146</v>
      </c>
      <c r="C19" s="32">
        <f t="shared" si="0"/>
        <v>0.10704960835509142</v>
      </c>
      <c r="D19" s="32">
        <f t="shared" si="0"/>
        <v>0.13506493506493505</v>
      </c>
      <c r="E19" s="32">
        <f t="shared" si="0"/>
        <v>0.14138817480719801</v>
      </c>
      <c r="F19" s="32">
        <f t="shared" si="0"/>
        <v>0.20052770448548807</v>
      </c>
      <c r="G19" s="32">
        <f t="shared" si="0"/>
        <v>0.31531531531531526</v>
      </c>
      <c r="H19" s="32">
        <f t="shared" si="0"/>
        <v>0.28792569659442729</v>
      </c>
      <c r="I19" s="32">
        <f t="shared" si="0"/>
        <v>0.31790123456790104</v>
      </c>
      <c r="J19" s="32">
        <f t="shared" si="0"/>
        <v>0.24483775811209427</v>
      </c>
      <c r="K19" s="32">
        <f t="shared" si="0"/>
        <v>0.11311053984575833</v>
      </c>
    </row>
    <row r="20" spans="1:13">
      <c r="A20" s="32" t="s">
        <v>525</v>
      </c>
      <c r="B20" s="32">
        <f t="shared" ref="B20:K20" si="1">F6/F4-1</f>
        <v>0.33123028391167186</v>
      </c>
      <c r="C20" s="32">
        <f t="shared" si="1"/>
        <v>0.1512605042016808</v>
      </c>
      <c r="D20" s="32">
        <f t="shared" si="1"/>
        <v>0.14525139664804465</v>
      </c>
      <c r="E20" s="32">
        <f t="shared" si="1"/>
        <v>2.5445292620865256E-2</v>
      </c>
      <c r="F20" s="32">
        <f t="shared" si="1"/>
        <v>0.17291066282420742</v>
      </c>
      <c r="G20" s="32">
        <f t="shared" si="1"/>
        <v>0.38869257950530045</v>
      </c>
      <c r="H20" s="32">
        <f t="shared" si="1"/>
        <v>0.3600000000000001</v>
      </c>
      <c r="I20" s="32">
        <f t="shared" si="1"/>
        <v>0.2870967741935484</v>
      </c>
      <c r="J20" s="32">
        <f t="shared" si="1"/>
        <v>0.30503144654088055</v>
      </c>
      <c r="K20" s="32">
        <f t="shared" si="1"/>
        <v>0.13550135501355021</v>
      </c>
    </row>
    <row r="21" spans="1:13">
      <c r="A21" s="32" t="s">
        <v>524</v>
      </c>
      <c r="B21" s="32">
        <f t="shared" ref="B21:K21" si="2">F5/F4-1</f>
        <v>0.11987381703470024</v>
      </c>
      <c r="C21" s="32">
        <f t="shared" si="2"/>
        <v>4.481792717086841E-2</v>
      </c>
      <c r="D21" s="32">
        <f t="shared" si="2"/>
        <v>6.7039106145251326E-2</v>
      </c>
      <c r="E21" s="32">
        <f t="shared" si="2"/>
        <v>1.7811704834605591E-2</v>
      </c>
      <c r="F21" s="32">
        <f t="shared" si="2"/>
        <v>0.11239193083573484</v>
      </c>
      <c r="G21" s="32">
        <f t="shared" si="2"/>
        <v>6.0070671378091856E-2</v>
      </c>
      <c r="H21" s="32">
        <f t="shared" si="2"/>
        <v>7.0000000000000062E-2</v>
      </c>
      <c r="I21" s="32">
        <f t="shared" si="2"/>
        <v>5.1612903225806361E-2</v>
      </c>
      <c r="J21" s="32">
        <f t="shared" si="2"/>
        <v>6.2893081761006275E-3</v>
      </c>
      <c r="K21" s="32">
        <f t="shared" si="2"/>
        <v>2.4390243902439046E-2</v>
      </c>
    </row>
    <row r="23" spans="1:13" s="113" customFormat="1">
      <c r="A23" s="113" t="s">
        <v>1223</v>
      </c>
    </row>
    <row r="24" spans="1:13" s="113" customFormat="1">
      <c r="B24" s="113">
        <v>2020</v>
      </c>
      <c r="C24" s="113">
        <v>2021</v>
      </c>
    </row>
    <row r="25" spans="1:13" s="113" customFormat="1">
      <c r="A25" s="113" t="s">
        <v>1222</v>
      </c>
      <c r="B25" s="47">
        <f>C30*About!C185</f>
        <v>2.4905616063706675</v>
      </c>
      <c r="C25" s="47">
        <f>F32*About!C186</f>
        <v>3.5332559451543708</v>
      </c>
    </row>
    <row r="26" spans="1:13" s="113" customFormat="1"/>
    <row r="27" spans="1:13" s="113" customFormat="1"/>
    <row r="28" spans="1:13" s="113" customFormat="1"/>
    <row r="29" spans="1:13" s="32" customFormat="1" ht="58">
      <c r="B29" s="32" t="s">
        <v>661</v>
      </c>
      <c r="C29" s="108" t="s">
        <v>660</v>
      </c>
      <c r="D29" s="109" t="s">
        <v>651</v>
      </c>
      <c r="E29" s="109" t="s">
        <v>652</v>
      </c>
      <c r="F29" s="32" t="s">
        <v>662</v>
      </c>
    </row>
    <row r="30" spans="1:13" s="32" customFormat="1">
      <c r="A30" s="67" t="s">
        <v>650</v>
      </c>
      <c r="B30" s="67"/>
      <c r="C30" s="107">
        <f>AVERAGE(J9:M9)</f>
        <v>2.8075000000000001</v>
      </c>
      <c r="D30" s="47">
        <f>C30*About!$C$185</f>
        <v>2.4905616063706675</v>
      </c>
      <c r="E30" s="21">
        <f>D30/B34</f>
        <v>1.9351683033183119E-5</v>
      </c>
    </row>
    <row r="31" spans="1:13" s="32" customFormat="1">
      <c r="A31" s="32" t="s">
        <v>656</v>
      </c>
      <c r="C31" s="47">
        <f>AVERAGE(J6:M6)</f>
        <v>4.0175000000000001</v>
      </c>
      <c r="D31" s="47">
        <f>C31*About!$C$185</f>
        <v>3.5639648276381681</v>
      </c>
      <c r="E31" s="21">
        <f>D31/B35</f>
        <v>3.1180794642503657E-5</v>
      </c>
    </row>
    <row r="32" spans="1:13">
      <c r="B32" s="32">
        <f>AVERAGE(F6:I6)</f>
        <v>4.1150000000000002</v>
      </c>
      <c r="F32" s="47">
        <f>AVERAGE(N6:O6)</f>
        <v>4.17</v>
      </c>
    </row>
    <row r="34" spans="1:4">
      <c r="A34" t="s">
        <v>658</v>
      </c>
      <c r="B34">
        <v>128700</v>
      </c>
      <c r="D34" t="s">
        <v>657</v>
      </c>
    </row>
    <row r="35" spans="1:4">
      <c r="A35" t="s">
        <v>659</v>
      </c>
      <c r="B35">
        <v>114300</v>
      </c>
      <c r="D35" s="113" t="s">
        <v>657</v>
      </c>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927DD-2086-41BC-985C-F0A5FF47056A}">
  <sheetPr>
    <tabColor theme="0" tint="-0.14999847407452621"/>
  </sheetPr>
  <dimension ref="A1:R34"/>
  <sheetViews>
    <sheetView topLeftCell="A21" workbookViewId="0">
      <selection activeCell="B35" sqref="B35"/>
    </sheetView>
  </sheetViews>
  <sheetFormatPr defaultRowHeight="14.5"/>
  <sheetData>
    <row r="1" spans="1:18" ht="15.5">
      <c r="A1" s="81" t="s">
        <v>266</v>
      </c>
      <c r="B1" s="158" t="s">
        <v>267</v>
      </c>
      <c r="C1" s="113"/>
      <c r="D1" s="113"/>
      <c r="E1" s="113"/>
      <c r="F1" s="113"/>
      <c r="G1" s="113"/>
      <c r="H1" s="113"/>
      <c r="I1" s="113"/>
      <c r="J1" s="113"/>
      <c r="K1" s="113"/>
      <c r="M1" s="113"/>
      <c r="N1" s="113"/>
      <c r="O1" s="113"/>
      <c r="P1" s="113"/>
      <c r="Q1" s="113"/>
      <c r="R1" s="113"/>
    </row>
    <row r="2" spans="1:18" ht="47.5">
      <c r="A2" s="159" t="s">
        <v>268</v>
      </c>
      <c r="B2" s="160" t="s">
        <v>269</v>
      </c>
      <c r="C2" s="160" t="s">
        <v>270</v>
      </c>
      <c r="D2" s="160" t="s">
        <v>271</v>
      </c>
      <c r="E2" s="160" t="s">
        <v>272</v>
      </c>
      <c r="F2" s="160" t="s">
        <v>273</v>
      </c>
      <c r="G2" s="160" t="s">
        <v>274</v>
      </c>
      <c r="H2" s="160" t="s">
        <v>275</v>
      </c>
      <c r="I2" s="160" t="s">
        <v>276</v>
      </c>
      <c r="J2" s="160" t="s">
        <v>277</v>
      </c>
      <c r="K2" s="160" t="s">
        <v>278</v>
      </c>
      <c r="M2" s="164" t="s">
        <v>1196</v>
      </c>
      <c r="N2" s="113"/>
      <c r="O2" s="113"/>
      <c r="P2" s="113"/>
      <c r="Q2" s="113"/>
      <c r="R2" s="113"/>
    </row>
    <row r="3" spans="1:18" ht="156.5">
      <c r="A3" s="161" t="s">
        <v>279</v>
      </c>
      <c r="B3" s="162" t="s">
        <v>280</v>
      </c>
      <c r="C3" s="162" t="s">
        <v>281</v>
      </c>
      <c r="D3" s="162" t="s">
        <v>282</v>
      </c>
      <c r="E3" s="162" t="s">
        <v>283</v>
      </c>
      <c r="F3" s="162" t="s">
        <v>284</v>
      </c>
      <c r="G3" s="162" t="s">
        <v>285</v>
      </c>
      <c r="H3" s="162" t="s">
        <v>286</v>
      </c>
      <c r="I3" s="162" t="s">
        <v>287</v>
      </c>
      <c r="J3" s="162" t="s">
        <v>288</v>
      </c>
      <c r="K3" s="162" t="s">
        <v>289</v>
      </c>
      <c r="M3" s="165" t="s">
        <v>1197</v>
      </c>
      <c r="N3" s="166"/>
      <c r="O3" s="166"/>
      <c r="P3" s="166"/>
      <c r="Q3" s="166"/>
      <c r="R3" s="113"/>
    </row>
    <row r="4" spans="1:18">
      <c r="A4" s="163">
        <v>34880</v>
      </c>
      <c r="B4" s="113"/>
      <c r="C4" s="113">
        <v>1.26</v>
      </c>
      <c r="D4" s="113"/>
      <c r="E4" s="113">
        <v>1.2150000000000001</v>
      </c>
      <c r="F4" s="113"/>
      <c r="G4" s="113">
        <v>1.325</v>
      </c>
      <c r="H4" s="113"/>
      <c r="I4" s="113">
        <v>1.41</v>
      </c>
      <c r="J4" s="113">
        <v>1.2949999999999999</v>
      </c>
      <c r="K4" s="113"/>
      <c r="M4" s="167"/>
      <c r="N4" s="166"/>
      <c r="O4" s="166"/>
      <c r="P4" s="166"/>
      <c r="Q4" s="166"/>
      <c r="R4" s="113"/>
    </row>
    <row r="5" spans="1:18">
      <c r="A5" s="163">
        <v>35246</v>
      </c>
      <c r="B5" s="113"/>
      <c r="C5" s="113">
        <v>1.357</v>
      </c>
      <c r="D5" s="113"/>
      <c r="E5" s="113">
        <v>1.3120000000000001</v>
      </c>
      <c r="F5" s="113"/>
      <c r="G5" s="113">
        <v>1.425</v>
      </c>
      <c r="H5" s="113"/>
      <c r="I5" s="113">
        <v>1.5049999999999999</v>
      </c>
      <c r="J5" s="113">
        <v>1.4410000000000001</v>
      </c>
      <c r="K5" s="113"/>
      <c r="M5" s="168" t="s">
        <v>1198</v>
      </c>
      <c r="N5" s="166"/>
      <c r="O5" s="166"/>
      <c r="P5" s="166"/>
      <c r="Q5" s="166"/>
      <c r="R5" s="113"/>
    </row>
    <row r="6" spans="1:18">
      <c r="A6" s="163">
        <v>35611</v>
      </c>
      <c r="B6" s="113"/>
      <c r="C6" s="113">
        <v>1.391</v>
      </c>
      <c r="D6" s="113"/>
      <c r="E6" s="113">
        <v>1.345</v>
      </c>
      <c r="F6" s="113"/>
      <c r="G6" s="113">
        <v>1.4610000000000001</v>
      </c>
      <c r="H6" s="113"/>
      <c r="I6" s="113">
        <v>1.5429999999999999</v>
      </c>
      <c r="J6" s="113">
        <v>1.383</v>
      </c>
      <c r="K6" s="113"/>
      <c r="M6" s="169" t="s">
        <v>1199</v>
      </c>
      <c r="N6" s="170" t="s">
        <v>1200</v>
      </c>
      <c r="O6" s="171" t="s">
        <v>290</v>
      </c>
      <c r="P6" s="170" t="s">
        <v>291</v>
      </c>
      <c r="Q6" s="170" t="s">
        <v>292</v>
      </c>
      <c r="R6" s="113"/>
    </row>
    <row r="7" spans="1:18">
      <c r="A7" s="163">
        <v>35976</v>
      </c>
      <c r="B7" s="113"/>
      <c r="C7" s="113">
        <v>1.22</v>
      </c>
      <c r="D7" s="113"/>
      <c r="E7" s="113">
        <v>1.1739999999999999</v>
      </c>
      <c r="F7" s="113"/>
      <c r="G7" s="113">
        <v>1.2809999999999999</v>
      </c>
      <c r="H7" s="113"/>
      <c r="I7" s="113">
        <v>1.377</v>
      </c>
      <c r="J7" s="113">
        <v>1.1839999999999999</v>
      </c>
      <c r="K7" s="113"/>
      <c r="M7" s="172" t="s">
        <v>1201</v>
      </c>
      <c r="N7" s="173" t="s">
        <v>1197</v>
      </c>
      <c r="O7" s="174">
        <v>10</v>
      </c>
      <c r="P7" s="173" t="s">
        <v>1202</v>
      </c>
      <c r="Q7" s="173">
        <v>2021</v>
      </c>
      <c r="R7" s="175" t="s">
        <v>1203</v>
      </c>
    </row>
    <row r="8" spans="1:18">
      <c r="A8" s="163">
        <v>36341</v>
      </c>
      <c r="B8" s="113"/>
      <c r="C8" s="113">
        <v>1.419</v>
      </c>
      <c r="D8" s="113"/>
      <c r="E8" s="113">
        <v>1.373</v>
      </c>
      <c r="F8" s="113"/>
      <c r="G8" s="113">
        <v>1.478</v>
      </c>
      <c r="H8" s="113"/>
      <c r="I8" s="113">
        <v>1.58</v>
      </c>
      <c r="J8" s="113">
        <v>1.3480000000000001</v>
      </c>
      <c r="K8" s="113"/>
      <c r="M8" s="113"/>
      <c r="N8" s="113"/>
      <c r="O8" s="113"/>
      <c r="P8" s="113"/>
      <c r="Q8" s="113"/>
      <c r="R8" s="113"/>
    </row>
    <row r="9" spans="1:18">
      <c r="A9" s="163">
        <v>36707</v>
      </c>
      <c r="B9" s="113"/>
      <c r="C9" s="113">
        <v>1.714</v>
      </c>
      <c r="D9" s="113"/>
      <c r="E9" s="113">
        <v>1.669</v>
      </c>
      <c r="F9" s="113"/>
      <c r="G9" s="113">
        <v>1.7709999999999999</v>
      </c>
      <c r="H9" s="113"/>
      <c r="I9" s="113">
        <v>1.87</v>
      </c>
      <c r="J9" s="113">
        <v>1.6719999999999999</v>
      </c>
      <c r="K9" s="113"/>
      <c r="M9" s="113" t="s">
        <v>293</v>
      </c>
      <c r="N9" s="166" t="s">
        <v>1204</v>
      </c>
      <c r="O9" s="113"/>
      <c r="P9" s="113"/>
      <c r="Q9" s="113"/>
      <c r="R9" s="113"/>
    </row>
    <row r="10" spans="1:18">
      <c r="A10" s="163">
        <v>37072</v>
      </c>
      <c r="B10" s="113">
        <v>1.677</v>
      </c>
      <c r="C10" s="113">
        <v>1.677</v>
      </c>
      <c r="D10" s="113">
        <v>1.6319999999999999</v>
      </c>
      <c r="E10" s="113">
        <v>1.6319999999999999</v>
      </c>
      <c r="F10" s="113">
        <v>1.736</v>
      </c>
      <c r="G10" s="113">
        <v>1.736</v>
      </c>
      <c r="H10" s="113">
        <v>1.8360000000000001</v>
      </c>
      <c r="I10" s="113">
        <v>1.8360000000000001</v>
      </c>
      <c r="J10" s="113">
        <v>1.5429999999999999</v>
      </c>
      <c r="K10" s="113"/>
      <c r="M10" s="113" t="s">
        <v>294</v>
      </c>
      <c r="N10" s="166" t="s">
        <v>1205</v>
      </c>
      <c r="O10" s="113"/>
      <c r="P10" s="113"/>
      <c r="Q10" s="113"/>
      <c r="R10" s="113"/>
    </row>
    <row r="11" spans="1:18">
      <c r="A11" s="163">
        <v>37437</v>
      </c>
      <c r="B11" s="113">
        <v>1.5609999999999999</v>
      </c>
      <c r="C11" s="113">
        <v>1.5609999999999999</v>
      </c>
      <c r="D11" s="113">
        <v>1.514</v>
      </c>
      <c r="E11" s="113">
        <v>1.514</v>
      </c>
      <c r="F11" s="113">
        <v>1.6220000000000001</v>
      </c>
      <c r="G11" s="113">
        <v>1.6220000000000001</v>
      </c>
      <c r="H11" s="113">
        <v>1.724</v>
      </c>
      <c r="I11" s="113">
        <v>1.724</v>
      </c>
      <c r="J11" s="113">
        <v>1.45</v>
      </c>
      <c r="K11" s="113"/>
      <c r="M11" s="113"/>
      <c r="N11" s="113"/>
      <c r="O11" s="113"/>
      <c r="P11" s="113"/>
      <c r="Q11" s="113"/>
      <c r="R11" s="113"/>
    </row>
    <row r="12" spans="1:18">
      <c r="A12" s="163">
        <v>37802</v>
      </c>
      <c r="B12" s="113">
        <v>1.8779999999999999</v>
      </c>
      <c r="C12" s="113">
        <v>1.8779999999999999</v>
      </c>
      <c r="D12" s="113">
        <v>1.831</v>
      </c>
      <c r="E12" s="113">
        <v>1.831</v>
      </c>
      <c r="F12" s="113">
        <v>1.94</v>
      </c>
      <c r="G12" s="113">
        <v>1.94</v>
      </c>
      <c r="H12" s="113">
        <v>2.04</v>
      </c>
      <c r="I12" s="113">
        <v>2.04</v>
      </c>
      <c r="J12" s="113">
        <v>1.657</v>
      </c>
      <c r="K12" s="113"/>
      <c r="M12" s="113" t="s">
        <v>295</v>
      </c>
      <c r="N12" s="176" t="s">
        <v>1206</v>
      </c>
      <c r="O12" s="113"/>
      <c r="P12" s="113"/>
      <c r="Q12" s="113"/>
      <c r="R12" s="113"/>
    </row>
    <row r="13" spans="1:18">
      <c r="A13" s="163">
        <v>38168</v>
      </c>
      <c r="B13" s="113">
        <v>2.1659999999999999</v>
      </c>
      <c r="C13" s="113">
        <v>2.1659999999999999</v>
      </c>
      <c r="D13" s="113">
        <v>2.12</v>
      </c>
      <c r="E13" s="113">
        <v>2.12</v>
      </c>
      <c r="F13" s="113">
        <v>2.2269999999999999</v>
      </c>
      <c r="G13" s="113">
        <v>2.2269999999999999</v>
      </c>
      <c r="H13" s="113">
        <v>2.327</v>
      </c>
      <c r="I13" s="113">
        <v>2.327</v>
      </c>
      <c r="J13" s="113">
        <v>2.0990000000000002</v>
      </c>
      <c r="K13" s="113"/>
      <c r="M13" s="113" t="s">
        <v>296</v>
      </c>
      <c r="N13" s="177" t="s">
        <v>1207</v>
      </c>
      <c r="O13" s="113"/>
      <c r="P13" s="113"/>
      <c r="Q13" s="113"/>
      <c r="R13" s="113"/>
    </row>
    <row r="14" spans="1:18">
      <c r="A14" s="163">
        <v>38533</v>
      </c>
      <c r="B14" s="113">
        <v>2.5169999999999999</v>
      </c>
      <c r="C14" s="113">
        <v>2.5169999999999999</v>
      </c>
      <c r="D14" s="113">
        <v>2.4729999999999999</v>
      </c>
      <c r="E14" s="113">
        <v>2.4729999999999999</v>
      </c>
      <c r="F14" s="113">
        <v>2.5739999999999998</v>
      </c>
      <c r="G14" s="113">
        <v>2.5739999999999998</v>
      </c>
      <c r="H14" s="113">
        <v>2.6720000000000002</v>
      </c>
      <c r="I14" s="113">
        <v>2.6720000000000002</v>
      </c>
      <c r="J14" s="113">
        <v>2.6080000000000001</v>
      </c>
      <c r="K14" s="113"/>
      <c r="M14" s="113" t="s">
        <v>297</v>
      </c>
      <c r="N14" s="177" t="s">
        <v>3</v>
      </c>
      <c r="O14" s="113"/>
      <c r="P14" s="113"/>
      <c r="Q14" s="113"/>
      <c r="R14" s="113"/>
    </row>
    <row r="15" spans="1:18">
      <c r="A15" s="163">
        <v>38898</v>
      </c>
      <c r="B15" s="113">
        <v>2.855</v>
      </c>
      <c r="C15" s="113">
        <v>2.855</v>
      </c>
      <c r="D15" s="113">
        <v>2.8090000000000002</v>
      </c>
      <c r="E15" s="113">
        <v>2.8090000000000002</v>
      </c>
      <c r="F15" s="113">
        <v>2.9129999999999998</v>
      </c>
      <c r="G15" s="113">
        <v>2.9129999999999998</v>
      </c>
      <c r="H15" s="113">
        <v>3.0129999999999999</v>
      </c>
      <c r="I15" s="113">
        <v>3.0129999999999999</v>
      </c>
      <c r="J15" s="113">
        <v>2.9220000000000002</v>
      </c>
      <c r="K15" s="113"/>
      <c r="M15" s="113" t="s">
        <v>477</v>
      </c>
      <c r="N15" s="177" t="s">
        <v>478</v>
      </c>
      <c r="O15" s="113"/>
      <c r="P15" s="113"/>
      <c r="Q15" s="113"/>
      <c r="R15" s="113"/>
    </row>
    <row r="16" spans="1:18">
      <c r="A16" s="163">
        <v>39263</v>
      </c>
      <c r="B16" s="113">
        <v>3.1240000000000001</v>
      </c>
      <c r="C16" s="113">
        <v>3.1240000000000001</v>
      </c>
      <c r="D16" s="113">
        <v>3.077</v>
      </c>
      <c r="E16" s="113">
        <v>3.077</v>
      </c>
      <c r="F16" s="113">
        <v>3.1850000000000001</v>
      </c>
      <c r="G16" s="113">
        <v>3.1850000000000001</v>
      </c>
      <c r="H16" s="113">
        <v>3.2850000000000001</v>
      </c>
      <c r="I16" s="113">
        <v>3.2850000000000001</v>
      </c>
      <c r="J16" s="113">
        <v>3.0939999999999999</v>
      </c>
      <c r="K16" s="113"/>
      <c r="M16" s="113"/>
      <c r="N16" s="113" t="s">
        <v>479</v>
      </c>
      <c r="O16" s="113"/>
      <c r="P16" s="113"/>
      <c r="Q16" s="175" t="s">
        <v>1208</v>
      </c>
      <c r="R16" s="113"/>
    </row>
    <row r="17" spans="1:18">
      <c r="A17" s="163">
        <v>39629</v>
      </c>
      <c r="B17" s="113">
        <v>3.5609999999999999</v>
      </c>
      <c r="C17" s="113">
        <v>3.5609999999999999</v>
      </c>
      <c r="D17" s="113">
        <v>3.512</v>
      </c>
      <c r="E17" s="113">
        <v>3.512</v>
      </c>
      <c r="F17" s="113">
        <v>3.6240000000000001</v>
      </c>
      <c r="G17" s="113">
        <v>3.6240000000000001</v>
      </c>
      <c r="H17" s="113">
        <v>3.7269999999999999</v>
      </c>
      <c r="I17" s="113">
        <v>3.7269999999999999</v>
      </c>
      <c r="J17" s="113">
        <v>3.9249999999999998</v>
      </c>
      <c r="K17" s="113">
        <v>3.9249999999999998</v>
      </c>
      <c r="M17" s="113"/>
      <c r="N17" s="113"/>
      <c r="O17" s="113"/>
      <c r="P17" s="113"/>
      <c r="Q17" s="113"/>
      <c r="R17" s="113"/>
    </row>
    <row r="18" spans="1:18">
      <c r="A18" s="163">
        <v>39994</v>
      </c>
      <c r="B18" s="113">
        <v>2.7250000000000001</v>
      </c>
      <c r="C18" s="113">
        <v>2.7250000000000001</v>
      </c>
      <c r="D18" s="113">
        <v>2.6779999999999999</v>
      </c>
      <c r="E18" s="113">
        <v>2.6779999999999999</v>
      </c>
      <c r="F18" s="113">
        <v>2.7850000000000001</v>
      </c>
      <c r="G18" s="113">
        <v>2.7850000000000001</v>
      </c>
      <c r="H18" s="113">
        <v>2.8879999999999999</v>
      </c>
      <c r="I18" s="113">
        <v>2.8879999999999999</v>
      </c>
      <c r="J18" s="113">
        <v>2.6070000000000002</v>
      </c>
      <c r="K18" s="113">
        <v>2.6070000000000002</v>
      </c>
      <c r="M18" s="113"/>
      <c r="N18" s="113"/>
      <c r="O18" s="113"/>
      <c r="P18" s="113"/>
      <c r="Q18" s="113"/>
      <c r="R18" s="113"/>
    </row>
    <row r="19" spans="1:18">
      <c r="A19" s="163">
        <v>40359</v>
      </c>
      <c r="B19" s="113">
        <v>3.1379999999999999</v>
      </c>
      <c r="C19" s="113">
        <v>3.1379999999999999</v>
      </c>
      <c r="D19" s="113">
        <v>3.0910000000000002</v>
      </c>
      <c r="E19" s="113">
        <v>3.0910000000000002</v>
      </c>
      <c r="F19" s="113">
        <v>3.2</v>
      </c>
      <c r="G19" s="113">
        <v>3.2</v>
      </c>
      <c r="H19" s="113">
        <v>3.302</v>
      </c>
      <c r="I19" s="113">
        <v>3.302</v>
      </c>
      <c r="J19" s="113">
        <v>3.157</v>
      </c>
      <c r="K19" s="113">
        <v>3.157</v>
      </c>
      <c r="M19" s="113"/>
      <c r="N19" s="113"/>
      <c r="O19" s="113"/>
      <c r="P19" s="113"/>
      <c r="Q19" s="113"/>
      <c r="R19" s="113"/>
    </row>
    <row r="20" spans="1:18">
      <c r="A20" s="163">
        <v>40724</v>
      </c>
      <c r="B20" s="113">
        <v>3.863</v>
      </c>
      <c r="C20" s="113"/>
      <c r="D20" s="113">
        <v>3.8170000000000002</v>
      </c>
      <c r="E20" s="113"/>
      <c r="F20" s="113">
        <v>3.9239999999999999</v>
      </c>
      <c r="G20" s="113"/>
      <c r="H20" s="113">
        <v>4.0259999999999998</v>
      </c>
      <c r="I20" s="113"/>
      <c r="J20" s="113"/>
      <c r="K20" s="113">
        <v>4.0839999999999996</v>
      </c>
    </row>
    <row r="21" spans="1:18">
      <c r="A21" s="163">
        <v>41090</v>
      </c>
      <c r="B21" s="113">
        <v>4.0810000000000004</v>
      </c>
      <c r="C21" s="113"/>
      <c r="D21" s="113">
        <v>4.0339999999999998</v>
      </c>
      <c r="E21" s="113"/>
      <c r="F21" s="113">
        <v>4.141</v>
      </c>
      <c r="G21" s="113"/>
      <c r="H21" s="113">
        <v>4.2439999999999998</v>
      </c>
      <c r="I21" s="113"/>
      <c r="J21" s="113">
        <v>4.2300000000000004</v>
      </c>
      <c r="K21" s="113">
        <v>4.2300000000000004</v>
      </c>
    </row>
    <row r="22" spans="1:18">
      <c r="A22" s="163">
        <v>41455</v>
      </c>
      <c r="B22" s="113">
        <v>3.9329999999999998</v>
      </c>
      <c r="C22" s="113"/>
      <c r="D22" s="113">
        <v>3.8860000000000001</v>
      </c>
      <c r="E22" s="113"/>
      <c r="F22" s="113">
        <v>3.9940000000000002</v>
      </c>
      <c r="G22" s="113"/>
      <c r="H22" s="113">
        <v>4.0979999999999999</v>
      </c>
      <c r="I22" s="113"/>
      <c r="J22" s="113">
        <v>4.1260000000000003</v>
      </c>
      <c r="K22" s="113">
        <v>4.1260000000000003</v>
      </c>
    </row>
    <row r="23" spans="1:18">
      <c r="A23" s="163">
        <v>41820</v>
      </c>
      <c r="B23" s="113">
        <v>3.794</v>
      </c>
      <c r="C23" s="113"/>
      <c r="D23" s="113">
        <v>3.7450000000000001</v>
      </c>
      <c r="E23" s="113"/>
      <c r="F23" s="113">
        <v>3.8570000000000002</v>
      </c>
      <c r="G23" s="113"/>
      <c r="H23" s="113">
        <v>3.9630000000000001</v>
      </c>
      <c r="I23" s="113"/>
      <c r="J23" s="113">
        <v>4.0039999999999996</v>
      </c>
      <c r="K23" s="113">
        <v>4.0039999999999996</v>
      </c>
    </row>
    <row r="24" spans="1:18">
      <c r="A24" s="163">
        <v>42185</v>
      </c>
      <c r="B24" s="113">
        <v>3.2210000000000001</v>
      </c>
      <c r="C24" s="113"/>
      <c r="D24" s="113">
        <v>3.169</v>
      </c>
      <c r="E24" s="113"/>
      <c r="F24" s="113">
        <v>3.2879999999999998</v>
      </c>
      <c r="G24" s="113"/>
      <c r="H24" s="113">
        <v>3.4009999999999998</v>
      </c>
      <c r="I24" s="113"/>
      <c r="J24" s="113">
        <v>3.0150000000000001</v>
      </c>
      <c r="K24" s="113">
        <v>3.0150000000000001</v>
      </c>
    </row>
    <row r="25" spans="1:18">
      <c r="A25" s="163">
        <v>42551</v>
      </c>
      <c r="B25" s="113">
        <v>2.782</v>
      </c>
      <c r="C25" s="113"/>
      <c r="D25" s="113">
        <v>2.7269999999999999</v>
      </c>
      <c r="E25" s="113"/>
      <c r="F25" s="113">
        <v>2.855</v>
      </c>
      <c r="G25" s="113"/>
      <c r="H25" s="113">
        <v>2.97</v>
      </c>
      <c r="I25" s="113"/>
      <c r="J25" s="113">
        <v>2.6539999999999999</v>
      </c>
      <c r="K25" s="113">
        <v>2.6539999999999999</v>
      </c>
    </row>
    <row r="26" spans="1:18">
      <c r="A26" s="163">
        <v>42916</v>
      </c>
      <c r="B26" s="113">
        <v>3.08</v>
      </c>
      <c r="C26" s="113"/>
      <c r="D26" s="113">
        <v>3.0230000000000001</v>
      </c>
      <c r="E26" s="113"/>
      <c r="F26" s="113">
        <v>3.1579999999999999</v>
      </c>
      <c r="G26" s="113"/>
      <c r="H26" s="113">
        <v>3.274</v>
      </c>
      <c r="I26" s="113"/>
      <c r="J26" s="113">
        <v>3.0670000000000002</v>
      </c>
      <c r="K26" s="113">
        <v>3.0670000000000002</v>
      </c>
    </row>
    <row r="27" spans="1:18">
      <c r="A27" s="163">
        <v>43281</v>
      </c>
      <c r="B27" s="113">
        <v>3.5510000000000002</v>
      </c>
      <c r="C27" s="113"/>
      <c r="D27" s="113">
        <v>3.4830000000000001</v>
      </c>
      <c r="E27" s="113"/>
      <c r="F27" s="113">
        <v>3.6560000000000001</v>
      </c>
      <c r="G27" s="113"/>
      <c r="H27" s="113">
        <v>3.7690000000000001</v>
      </c>
      <c r="I27" s="113"/>
      <c r="J27" s="113">
        <v>3.8740000000000001</v>
      </c>
      <c r="K27" s="113">
        <v>3.8740000000000001</v>
      </c>
    </row>
    <row r="28" spans="1:18">
      <c r="A28" s="163">
        <v>43646</v>
      </c>
      <c r="B28" s="113">
        <v>3.677</v>
      </c>
      <c r="C28" s="113"/>
      <c r="D28" s="113">
        <v>3.6019999999999999</v>
      </c>
      <c r="E28" s="113"/>
      <c r="F28" s="113">
        <v>3.802</v>
      </c>
      <c r="G28" s="113"/>
      <c r="H28" s="113">
        <v>3.9049999999999998</v>
      </c>
      <c r="I28" s="113"/>
      <c r="J28" s="113">
        <v>3.923</v>
      </c>
      <c r="K28" s="113">
        <v>3.923</v>
      </c>
    </row>
    <row r="29" spans="1:18">
      <c r="A29" s="163">
        <v>44012</v>
      </c>
      <c r="B29" s="113">
        <v>3.1320000000000001</v>
      </c>
      <c r="C29" s="113"/>
      <c r="D29" s="113">
        <v>3.05</v>
      </c>
      <c r="E29" s="113"/>
      <c r="F29" s="113">
        <v>3.2839999999999998</v>
      </c>
      <c r="G29" s="113"/>
      <c r="H29" s="113">
        <v>3.3769999999999998</v>
      </c>
      <c r="I29" s="113"/>
      <c r="J29" s="113">
        <v>3.3769999999999998</v>
      </c>
      <c r="K29" s="113">
        <v>3.3769999999999998</v>
      </c>
    </row>
    <row r="30" spans="1:18">
      <c r="A30" s="163">
        <v>44377</v>
      </c>
      <c r="B30" s="113">
        <v>4.0999999999999996</v>
      </c>
      <c r="C30" s="113"/>
      <c r="D30" s="113">
        <v>4.0129999999999999</v>
      </c>
      <c r="E30" s="113"/>
      <c r="F30" s="113">
        <v>4.258</v>
      </c>
      <c r="G30" s="113"/>
      <c r="H30" s="113">
        <v>4.3630000000000004</v>
      </c>
      <c r="I30" s="113"/>
      <c r="J30" s="113">
        <v>4.1639999999999997</v>
      </c>
      <c r="K30" s="113">
        <v>4.1639999999999997</v>
      </c>
    </row>
    <row r="33" spans="1:2">
      <c r="A33" t="s">
        <v>1224</v>
      </c>
      <c r="B33">
        <f>B29/B28</f>
        <v>0.851781343486538</v>
      </c>
    </row>
    <row r="34" spans="1:2">
      <c r="A34" t="s">
        <v>1225</v>
      </c>
      <c r="B34">
        <f>B30/B28</f>
        <v>1.1150394343214576</v>
      </c>
    </row>
  </sheetData>
  <hyperlinks>
    <hyperlink ref="A1" location="Contents!A1" display="Back to Contents" xr:uid="{4DD72B7C-9EB2-4ECB-9171-38769542DD24}"/>
    <hyperlink ref="M7" location="'Data 1'!A1" display="Data 1" xr:uid="{02315B37-E7B2-439F-A8C7-6202989EE355}"/>
    <hyperlink ref="N13" r:id="rId1" xr:uid="{CF6473D0-2338-472B-922E-DDC140D61293}"/>
    <hyperlink ref="N14" r:id="rId2" display="http://www.eia.gov/" xr:uid="{755B30B5-343C-43E6-B919-7AD4CE887C48}"/>
    <hyperlink ref="N15" r:id="rId3" display="mailto:infoctr@eia.gov" xr:uid="{566B054C-6DC3-4315-B25B-3073F25FA2C1}"/>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65798-8907-4B6E-9FCE-135A332F17C1}">
  <sheetPr>
    <tabColor theme="0" tint="-0.14999847407452621"/>
  </sheetPr>
  <dimension ref="A1:P99"/>
  <sheetViews>
    <sheetView topLeftCell="A83" workbookViewId="0">
      <selection activeCell="C91" sqref="A87:C91"/>
    </sheetView>
  </sheetViews>
  <sheetFormatPr defaultRowHeight="14.5"/>
  <cols>
    <col min="1" max="1" width="19.08984375" customWidth="1"/>
    <col min="2" max="2" width="11.81640625" bestFit="1" customWidth="1"/>
  </cols>
  <sheetData>
    <row r="1" spans="1:5" s="113" customFormat="1">
      <c r="B1" s="113">
        <v>2020</v>
      </c>
    </row>
    <row r="2" spans="1:5" s="113" customFormat="1">
      <c r="A2" s="113" t="s">
        <v>164</v>
      </c>
    </row>
    <row r="3" spans="1:5" s="113" customFormat="1">
      <c r="A3" s="113" t="s">
        <v>165</v>
      </c>
      <c r="B3" s="113">
        <f t="shared" ref="B3" si="0">N83</f>
        <v>3.36</v>
      </c>
      <c r="C3" s="113">
        <f>N84</f>
        <v>5.57</v>
      </c>
    </row>
    <row r="4" spans="1:5" s="113" customFormat="1">
      <c r="A4" s="113" t="s">
        <v>166</v>
      </c>
      <c r="B4" s="198">
        <f>G83</f>
        <v>14.14</v>
      </c>
      <c r="C4" s="198">
        <f>I83</f>
        <v>9.7799999999999994</v>
      </c>
    </row>
    <row r="5" spans="1:5">
      <c r="A5" t="s">
        <v>167</v>
      </c>
    </row>
    <row r="6" spans="1:5">
      <c r="A6" t="s">
        <v>168</v>
      </c>
      <c r="B6" s="184"/>
      <c r="C6" s="184"/>
      <c r="D6" s="184"/>
      <c r="E6" s="184"/>
    </row>
    <row r="7" spans="1:5" s="113" customFormat="1">
      <c r="B7" s="198"/>
      <c r="C7" s="198"/>
      <c r="D7" s="198"/>
      <c r="E7" s="198"/>
    </row>
    <row r="8" spans="1:5" s="113" customFormat="1">
      <c r="B8" s="198"/>
      <c r="C8" s="198"/>
      <c r="D8" s="198"/>
      <c r="E8" s="198"/>
    </row>
    <row r="9" spans="1:5" s="113" customFormat="1">
      <c r="B9" s="198"/>
      <c r="C9" s="198"/>
      <c r="D9" s="198"/>
      <c r="E9" s="198"/>
    </row>
    <row r="10" spans="1:5" s="113" customFormat="1">
      <c r="B10" s="198"/>
      <c r="C10" s="198"/>
      <c r="D10" s="198"/>
      <c r="E10" s="198"/>
    </row>
    <row r="11" spans="1:5" s="113" customFormat="1">
      <c r="B11" s="198"/>
      <c r="C11" s="198"/>
      <c r="D11" s="198"/>
      <c r="E11" s="198"/>
    </row>
    <row r="12" spans="1:5" ht="18">
      <c r="A12" s="185" t="s">
        <v>1196</v>
      </c>
      <c r="B12" s="188"/>
      <c r="C12" s="188"/>
      <c r="D12" s="188"/>
      <c r="E12" s="188"/>
    </row>
    <row r="13" spans="1:5" ht="15.5">
      <c r="A13" s="191" t="s">
        <v>508</v>
      </c>
      <c r="B13" s="188"/>
      <c r="C13" s="188"/>
      <c r="D13" s="188"/>
      <c r="E13" s="188"/>
    </row>
    <row r="14" spans="1:5">
      <c r="A14" s="190" t="s">
        <v>1198</v>
      </c>
      <c r="B14" s="188"/>
      <c r="C14" s="188"/>
      <c r="D14" s="188"/>
      <c r="E14" s="188"/>
    </row>
    <row r="15" spans="1:5">
      <c r="A15" s="189" t="s">
        <v>1199</v>
      </c>
      <c r="B15" s="186" t="s">
        <v>1200</v>
      </c>
      <c r="C15" s="187" t="s">
        <v>290</v>
      </c>
      <c r="D15" s="186" t="s">
        <v>291</v>
      </c>
      <c r="E15" s="186" t="s">
        <v>292</v>
      </c>
    </row>
    <row r="16" spans="1:5">
      <c r="A16" s="192" t="s">
        <v>1201</v>
      </c>
      <c r="B16" s="193" t="s">
        <v>508</v>
      </c>
      <c r="C16" s="194">
        <v>13</v>
      </c>
      <c r="D16" s="193" t="s">
        <v>1202</v>
      </c>
      <c r="E16" s="193">
        <v>2021</v>
      </c>
    </row>
    <row r="18" spans="1:14">
      <c r="A18" s="184" t="s">
        <v>293</v>
      </c>
      <c r="B18" s="188" t="s">
        <v>1266</v>
      </c>
      <c r="C18" s="184"/>
      <c r="D18" s="184"/>
      <c r="E18" s="184"/>
    </row>
    <row r="19" spans="1:14">
      <c r="A19" s="184" t="s">
        <v>294</v>
      </c>
      <c r="B19" s="188" t="s">
        <v>1267</v>
      </c>
      <c r="C19" s="184"/>
      <c r="D19" s="184"/>
      <c r="E19" s="184"/>
    </row>
    <row r="21" spans="1:14">
      <c r="A21" s="184" t="s">
        <v>295</v>
      </c>
      <c r="B21" s="196" t="s">
        <v>1268</v>
      </c>
      <c r="C21" s="184"/>
      <c r="D21" s="184"/>
      <c r="E21" s="184"/>
    </row>
    <row r="22" spans="1:14">
      <c r="A22" s="184" t="s">
        <v>296</v>
      </c>
      <c r="B22" s="197" t="s">
        <v>1269</v>
      </c>
      <c r="C22" s="184"/>
      <c r="D22" s="184"/>
      <c r="E22" s="184"/>
    </row>
    <row r="23" spans="1:14">
      <c r="A23" s="184" t="s">
        <v>297</v>
      </c>
      <c r="B23" s="197" t="s">
        <v>3</v>
      </c>
      <c r="C23" s="184"/>
      <c r="D23" s="184"/>
      <c r="E23" s="184"/>
    </row>
    <row r="24" spans="1:14">
      <c r="A24" s="184" t="s">
        <v>477</v>
      </c>
      <c r="B24" s="197" t="s">
        <v>478</v>
      </c>
      <c r="C24" s="184"/>
      <c r="D24" s="184"/>
      <c r="E24" s="184"/>
    </row>
    <row r="25" spans="1:14">
      <c r="A25" s="184"/>
      <c r="B25" s="184" t="s">
        <v>479</v>
      </c>
      <c r="C25" s="184"/>
      <c r="D25" s="184"/>
      <c r="E25" s="195" t="s">
        <v>1270</v>
      </c>
    </row>
    <row r="27" spans="1:14" ht="15.5">
      <c r="A27" s="199" t="s">
        <v>266</v>
      </c>
      <c r="B27" s="202" t="s">
        <v>481</v>
      </c>
      <c r="C27" s="198"/>
      <c r="D27" s="198"/>
      <c r="E27" s="198"/>
      <c r="F27" s="198"/>
      <c r="G27" s="198"/>
      <c r="H27" s="198"/>
      <c r="I27" s="198"/>
      <c r="J27" s="198"/>
      <c r="K27" s="198"/>
      <c r="L27" s="198"/>
      <c r="M27" s="198"/>
      <c r="N27" s="198"/>
    </row>
    <row r="28" spans="1:14" ht="58.5">
      <c r="A28" s="201" t="s">
        <v>268</v>
      </c>
      <c r="B28" s="200" t="s">
        <v>498</v>
      </c>
      <c r="C28" s="200" t="s">
        <v>499</v>
      </c>
      <c r="D28" s="200" t="s">
        <v>500</v>
      </c>
      <c r="E28" s="200" t="s">
        <v>501</v>
      </c>
      <c r="F28" s="200" t="s">
        <v>482</v>
      </c>
      <c r="G28" s="200" t="s">
        <v>483</v>
      </c>
      <c r="H28" s="200" t="s">
        <v>484</v>
      </c>
      <c r="I28" s="200" t="s">
        <v>485</v>
      </c>
      <c r="J28" s="200" t="s">
        <v>486</v>
      </c>
      <c r="K28" s="200" t="s">
        <v>487</v>
      </c>
      <c r="L28" s="200" t="s">
        <v>488</v>
      </c>
      <c r="M28" s="200" t="s">
        <v>502</v>
      </c>
      <c r="N28" s="200" t="s">
        <v>489</v>
      </c>
    </row>
    <row r="29" spans="1:14" ht="127">
      <c r="A29" s="182" t="s">
        <v>279</v>
      </c>
      <c r="B29" s="183" t="s">
        <v>503</v>
      </c>
      <c r="C29" s="183" t="s">
        <v>504</v>
      </c>
      <c r="D29" s="183" t="s">
        <v>505</v>
      </c>
      <c r="E29" s="183" t="s">
        <v>506</v>
      </c>
      <c r="F29" s="183" t="s">
        <v>490</v>
      </c>
      <c r="G29" s="183" t="s">
        <v>491</v>
      </c>
      <c r="H29" s="183" t="s">
        <v>492</v>
      </c>
      <c r="I29" s="183" t="s">
        <v>493</v>
      </c>
      <c r="J29" s="183" t="s">
        <v>494</v>
      </c>
      <c r="K29" s="183" t="s">
        <v>495</v>
      </c>
      <c r="L29" s="183" t="s">
        <v>496</v>
      </c>
      <c r="M29" s="183" t="s">
        <v>507</v>
      </c>
      <c r="N29" s="183" t="s">
        <v>497</v>
      </c>
    </row>
    <row r="30" spans="1:14">
      <c r="A30" s="203">
        <v>24653</v>
      </c>
      <c r="B30" s="198">
        <v>0.3</v>
      </c>
      <c r="C30" s="198"/>
      <c r="D30" s="198"/>
      <c r="E30" s="198">
        <v>0.25</v>
      </c>
      <c r="F30" s="198"/>
      <c r="G30" s="198">
        <v>0.93</v>
      </c>
      <c r="H30" s="198"/>
      <c r="I30" s="198">
        <v>0.68</v>
      </c>
      <c r="J30" s="198"/>
      <c r="K30" s="198"/>
      <c r="L30" s="198"/>
      <c r="M30" s="198"/>
      <c r="N30" s="198"/>
    </row>
    <row r="31" spans="1:14">
      <c r="A31" s="203">
        <v>25019</v>
      </c>
      <c r="B31" s="198">
        <v>0.31</v>
      </c>
      <c r="C31" s="198"/>
      <c r="D31" s="198"/>
      <c r="E31" s="198">
        <v>0.24</v>
      </c>
      <c r="F31" s="198"/>
      <c r="G31" s="198">
        <v>0.93</v>
      </c>
      <c r="H31" s="198"/>
      <c r="I31" s="198">
        <v>0.69</v>
      </c>
      <c r="J31" s="198"/>
      <c r="K31" s="198"/>
      <c r="L31" s="198"/>
      <c r="M31" s="198"/>
      <c r="N31" s="198"/>
    </row>
    <row r="32" spans="1:14">
      <c r="A32" s="203">
        <v>25384</v>
      </c>
      <c r="B32" s="198">
        <v>0.31</v>
      </c>
      <c r="C32" s="198"/>
      <c r="D32" s="198"/>
      <c r="E32" s="198">
        <v>0.3</v>
      </c>
      <c r="F32" s="198"/>
      <c r="G32" s="198">
        <v>0.93</v>
      </c>
      <c r="H32" s="198"/>
      <c r="I32" s="198">
        <v>0.69</v>
      </c>
      <c r="J32" s="198"/>
      <c r="K32" s="198"/>
      <c r="L32" s="198"/>
      <c r="M32" s="198"/>
      <c r="N32" s="198"/>
    </row>
    <row r="33" spans="1:14">
      <c r="A33" s="203">
        <v>25749</v>
      </c>
      <c r="B33" s="198">
        <v>0.32</v>
      </c>
      <c r="C33" s="198"/>
      <c r="D33" s="198"/>
      <c r="E33" s="198">
        <v>0.28999999999999998</v>
      </c>
      <c r="F33" s="198"/>
      <c r="G33" s="198">
        <v>0.99</v>
      </c>
      <c r="H33" s="198"/>
      <c r="I33" s="198">
        <v>0.73</v>
      </c>
      <c r="J33" s="198"/>
      <c r="K33" s="198"/>
      <c r="L33" s="198"/>
      <c r="M33" s="198"/>
      <c r="N33" s="198"/>
    </row>
    <row r="34" spans="1:14">
      <c r="A34" s="203">
        <v>26114</v>
      </c>
      <c r="B34" s="198">
        <v>0.33</v>
      </c>
      <c r="C34" s="198"/>
      <c r="D34" s="198"/>
      <c r="E34" s="198">
        <v>0.35</v>
      </c>
      <c r="F34" s="198"/>
      <c r="G34" s="198">
        <v>1.03</v>
      </c>
      <c r="H34" s="198"/>
      <c r="I34" s="198">
        <v>0.76</v>
      </c>
      <c r="J34" s="198"/>
      <c r="K34" s="198"/>
      <c r="L34" s="198"/>
      <c r="M34" s="198"/>
      <c r="N34" s="198"/>
    </row>
    <row r="35" spans="1:14">
      <c r="A35" s="203">
        <v>26480</v>
      </c>
      <c r="B35" s="198">
        <v>0.37</v>
      </c>
      <c r="C35" s="198"/>
      <c r="D35" s="198"/>
      <c r="E35" s="198">
        <v>0.35</v>
      </c>
      <c r="F35" s="198"/>
      <c r="G35" s="198">
        <v>1.08</v>
      </c>
      <c r="H35" s="198"/>
      <c r="I35" s="198">
        <v>0.81</v>
      </c>
      <c r="J35" s="198"/>
      <c r="K35" s="198"/>
      <c r="L35" s="198"/>
      <c r="M35" s="198"/>
      <c r="N35" s="198"/>
    </row>
    <row r="36" spans="1:14">
      <c r="A36" s="203">
        <v>26845</v>
      </c>
      <c r="B36" s="198">
        <v>0.37</v>
      </c>
      <c r="C36" s="198"/>
      <c r="D36" s="198"/>
      <c r="E36" s="198">
        <v>0.39</v>
      </c>
      <c r="F36" s="198"/>
      <c r="G36" s="198">
        <v>1.1599999999999999</v>
      </c>
      <c r="H36" s="198"/>
      <c r="I36" s="198">
        <v>0.85</v>
      </c>
      <c r="J36" s="198"/>
      <c r="K36" s="198"/>
      <c r="L36" s="198"/>
      <c r="M36" s="198"/>
      <c r="N36" s="198"/>
    </row>
    <row r="37" spans="1:14">
      <c r="A37" s="203">
        <v>27210</v>
      </c>
      <c r="B37" s="198">
        <v>0.44</v>
      </c>
      <c r="C37" s="198"/>
      <c r="D37" s="198"/>
      <c r="E37" s="198">
        <v>0.45</v>
      </c>
      <c r="F37" s="198"/>
      <c r="G37" s="198">
        <v>1.38</v>
      </c>
      <c r="H37" s="198"/>
      <c r="I37" s="198">
        <v>0.99</v>
      </c>
      <c r="J37" s="198"/>
      <c r="K37" s="198"/>
      <c r="L37" s="198"/>
      <c r="M37" s="198"/>
      <c r="N37" s="198"/>
    </row>
    <row r="38" spans="1:14">
      <c r="A38" s="203">
        <v>27575</v>
      </c>
      <c r="B38" s="198">
        <v>0.7</v>
      </c>
      <c r="C38" s="198"/>
      <c r="D38" s="198"/>
      <c r="E38" s="198">
        <v>0.47</v>
      </c>
      <c r="F38" s="198"/>
      <c r="G38" s="198">
        <v>1.57</v>
      </c>
      <c r="H38" s="198"/>
      <c r="I38" s="198">
        <v>1.29</v>
      </c>
      <c r="J38" s="198"/>
      <c r="K38" s="198"/>
      <c r="L38" s="198"/>
      <c r="M38" s="198"/>
      <c r="N38" s="198"/>
    </row>
    <row r="39" spans="1:14">
      <c r="A39" s="203">
        <v>27941</v>
      </c>
      <c r="B39" s="198">
        <v>0.94</v>
      </c>
      <c r="C39" s="198"/>
      <c r="D39" s="198"/>
      <c r="E39" s="198">
        <v>0.69</v>
      </c>
      <c r="F39" s="198"/>
      <c r="G39" s="198">
        <v>1.77</v>
      </c>
      <c r="H39" s="198"/>
      <c r="I39" s="198">
        <v>1.59</v>
      </c>
      <c r="J39" s="198"/>
      <c r="K39" s="198"/>
      <c r="L39" s="198"/>
      <c r="M39" s="198"/>
      <c r="N39" s="198"/>
    </row>
    <row r="40" spans="1:14">
      <c r="A40" s="203">
        <v>28306</v>
      </c>
      <c r="B40" s="198">
        <v>1.17</v>
      </c>
      <c r="C40" s="198"/>
      <c r="D40" s="198"/>
      <c r="E40" s="198">
        <v>0.73</v>
      </c>
      <c r="F40" s="198"/>
      <c r="G40" s="198">
        <v>1.89</v>
      </c>
      <c r="H40" s="198"/>
      <c r="I40" s="198">
        <v>2.0699999999999998</v>
      </c>
      <c r="J40" s="198"/>
      <c r="K40" s="198"/>
      <c r="L40" s="198"/>
      <c r="M40" s="198"/>
      <c r="N40" s="198"/>
    </row>
    <row r="41" spans="1:14">
      <c r="A41" s="203">
        <v>28671</v>
      </c>
      <c r="B41" s="198">
        <v>1.36</v>
      </c>
      <c r="C41" s="198"/>
      <c r="D41" s="198"/>
      <c r="E41" s="198">
        <v>0.85</v>
      </c>
      <c r="F41" s="198"/>
      <c r="G41" s="198">
        <v>1.99</v>
      </c>
      <c r="H41" s="198"/>
      <c r="I41" s="198">
        <v>2.2400000000000002</v>
      </c>
      <c r="J41" s="198"/>
      <c r="K41" s="198"/>
      <c r="L41" s="198"/>
      <c r="M41" s="198"/>
      <c r="N41" s="198"/>
    </row>
    <row r="42" spans="1:14">
      <c r="A42" s="203">
        <v>29036</v>
      </c>
      <c r="B42" s="198">
        <v>1.7</v>
      </c>
      <c r="C42" s="198"/>
      <c r="D42" s="198"/>
      <c r="E42" s="198">
        <v>1.75</v>
      </c>
      <c r="F42" s="198"/>
      <c r="G42" s="198">
        <v>2.4700000000000002</v>
      </c>
      <c r="H42" s="198"/>
      <c r="I42" s="198">
        <v>2.73</v>
      </c>
      <c r="J42" s="198"/>
      <c r="K42" s="198"/>
      <c r="L42" s="198"/>
      <c r="M42" s="198"/>
      <c r="N42" s="198"/>
    </row>
    <row r="43" spans="1:14">
      <c r="A43" s="203">
        <v>29402</v>
      </c>
      <c r="B43" s="198">
        <v>2.17</v>
      </c>
      <c r="C43" s="198"/>
      <c r="D43" s="198"/>
      <c r="E43" s="198">
        <v>2.16</v>
      </c>
      <c r="F43" s="198"/>
      <c r="G43" s="198">
        <v>3.51</v>
      </c>
      <c r="H43" s="198"/>
      <c r="I43" s="198">
        <v>3.98</v>
      </c>
      <c r="J43" s="198"/>
      <c r="K43" s="198"/>
      <c r="L43" s="198"/>
      <c r="M43" s="198"/>
    </row>
    <row r="44" spans="1:14">
      <c r="A44" s="203">
        <v>29767</v>
      </c>
      <c r="B44" s="198">
        <v>2.57</v>
      </c>
      <c r="C44" s="198"/>
      <c r="D44" s="198"/>
      <c r="E44" s="198">
        <v>2.9</v>
      </c>
      <c r="F44" s="198"/>
      <c r="G44" s="198">
        <v>3.74</v>
      </c>
      <c r="H44" s="198"/>
      <c r="I44" s="198">
        <v>4.38</v>
      </c>
      <c r="J44" s="198"/>
      <c r="K44" s="198"/>
      <c r="L44" s="198"/>
      <c r="M44" s="198"/>
    </row>
    <row r="45" spans="1:14">
      <c r="A45" s="203">
        <v>30132</v>
      </c>
      <c r="B45" s="198">
        <v>3.09</v>
      </c>
      <c r="C45" s="198"/>
      <c r="D45" s="198"/>
      <c r="E45" s="198">
        <v>3.3</v>
      </c>
      <c r="F45" s="198"/>
      <c r="G45" s="198">
        <v>4.43</v>
      </c>
      <c r="H45" s="198"/>
      <c r="I45" s="198">
        <v>5.32</v>
      </c>
      <c r="J45" s="198"/>
      <c r="K45" s="198"/>
      <c r="L45" s="198"/>
      <c r="M45" s="198"/>
    </row>
    <row r="46" spans="1:14">
      <c r="A46" s="203">
        <v>30497</v>
      </c>
      <c r="B46" s="198">
        <v>3.57</v>
      </c>
      <c r="C46" s="198"/>
      <c r="D46" s="198"/>
      <c r="E46" s="198">
        <v>4.1399999999999997</v>
      </c>
      <c r="F46" s="198"/>
      <c r="G46" s="198">
        <v>5.41</v>
      </c>
      <c r="H46" s="198"/>
      <c r="I46" s="198">
        <v>6.33</v>
      </c>
      <c r="J46" s="198"/>
      <c r="K46" s="198"/>
      <c r="L46" s="198"/>
      <c r="M46" s="198"/>
    </row>
    <row r="47" spans="1:14">
      <c r="A47" s="203">
        <v>30863</v>
      </c>
      <c r="B47" s="198">
        <v>3.8</v>
      </c>
      <c r="C47" s="198"/>
      <c r="D47" s="198"/>
      <c r="E47" s="198">
        <v>4.13</v>
      </c>
      <c r="F47" s="198">
        <v>3.97</v>
      </c>
      <c r="G47" s="198">
        <v>5.84</v>
      </c>
      <c r="H47" s="198"/>
      <c r="I47" s="198">
        <v>6.95</v>
      </c>
      <c r="J47" s="198"/>
      <c r="K47" s="198"/>
      <c r="L47" s="198"/>
      <c r="M47" s="198"/>
    </row>
    <row r="48" spans="1:14">
      <c r="A48" s="203">
        <v>31228</v>
      </c>
      <c r="B48" s="198">
        <v>3.36</v>
      </c>
      <c r="C48" s="198"/>
      <c r="D48" s="198"/>
      <c r="E48" s="198">
        <v>3.7</v>
      </c>
      <c r="F48" s="198">
        <v>3.54</v>
      </c>
      <c r="G48" s="198">
        <v>5.72</v>
      </c>
      <c r="H48" s="198"/>
      <c r="I48" s="198">
        <v>6.63</v>
      </c>
      <c r="J48" s="198"/>
      <c r="K48" s="198"/>
      <c r="L48" s="198"/>
      <c r="M48" s="198"/>
    </row>
    <row r="49" spans="1:14">
      <c r="A49" s="203">
        <v>31593</v>
      </c>
      <c r="B49" s="198">
        <v>2.89</v>
      </c>
      <c r="C49" s="198"/>
      <c r="D49" s="198"/>
      <c r="E49" s="198">
        <v>3.56</v>
      </c>
      <c r="F49" s="198">
        <v>2.76</v>
      </c>
      <c r="G49" s="198">
        <v>5.14</v>
      </c>
      <c r="H49" s="198"/>
      <c r="I49" s="198">
        <v>5.86</v>
      </c>
      <c r="J49" s="198"/>
      <c r="K49" s="198"/>
      <c r="L49" s="198"/>
      <c r="M49" s="198"/>
    </row>
    <row r="50" spans="1:14">
      <c r="A50" s="203">
        <v>31958</v>
      </c>
      <c r="B50" s="198">
        <v>2.37</v>
      </c>
      <c r="C50" s="198"/>
      <c r="D50" s="198"/>
      <c r="E50" s="198">
        <v>3.02</v>
      </c>
      <c r="F50" s="198">
        <v>2.39</v>
      </c>
      <c r="G50" s="198">
        <v>5.26</v>
      </c>
      <c r="H50" s="198"/>
      <c r="I50" s="198">
        <v>5.42</v>
      </c>
      <c r="J50" s="198"/>
      <c r="K50" s="198"/>
      <c r="L50" s="198"/>
      <c r="M50" s="198"/>
    </row>
    <row r="51" spans="1:14">
      <c r="A51" s="203">
        <v>32324</v>
      </c>
      <c r="B51" s="198">
        <v>2.39</v>
      </c>
      <c r="C51" s="198"/>
      <c r="D51" s="198"/>
      <c r="E51" s="198">
        <v>2.5499999999999998</v>
      </c>
      <c r="F51" s="198">
        <v>2.6</v>
      </c>
      <c r="G51" s="198">
        <v>5.64</v>
      </c>
      <c r="H51" s="198"/>
      <c r="I51" s="198">
        <v>4.68</v>
      </c>
      <c r="J51" s="198"/>
      <c r="K51" s="198"/>
      <c r="L51" s="198"/>
      <c r="M51" s="198"/>
    </row>
    <row r="52" spans="1:14">
      <c r="A52" s="203">
        <v>32689</v>
      </c>
      <c r="B52" s="198">
        <v>2.3199999999999998</v>
      </c>
      <c r="C52" s="198"/>
      <c r="D52" s="198"/>
      <c r="E52" s="198">
        <v>2.39</v>
      </c>
      <c r="F52" s="198">
        <v>2.75</v>
      </c>
      <c r="G52" s="198">
        <v>5.59</v>
      </c>
      <c r="H52" s="198">
        <v>100</v>
      </c>
      <c r="I52" s="198">
        <v>4.88</v>
      </c>
      <c r="J52" s="198"/>
      <c r="K52" s="198"/>
      <c r="L52" s="198"/>
      <c r="M52" s="198"/>
    </row>
    <row r="53" spans="1:14">
      <c r="A53" s="203">
        <v>33054</v>
      </c>
      <c r="B53" s="198">
        <v>2.36</v>
      </c>
      <c r="C53" s="198"/>
      <c r="D53" s="198"/>
      <c r="E53" s="198">
        <v>2.4</v>
      </c>
      <c r="F53" s="198">
        <v>2.9</v>
      </c>
      <c r="G53" s="198">
        <v>5.78</v>
      </c>
      <c r="H53" s="198">
        <v>100</v>
      </c>
      <c r="I53" s="198">
        <v>5.12</v>
      </c>
      <c r="J53" s="198">
        <v>86.6</v>
      </c>
      <c r="K53" s="198"/>
      <c r="L53" s="198"/>
      <c r="M53" s="198">
        <v>4.84</v>
      </c>
    </row>
    <row r="54" spans="1:14">
      <c r="A54" s="203">
        <v>33419</v>
      </c>
      <c r="B54" s="198">
        <v>2.46</v>
      </c>
      <c r="C54" s="198"/>
      <c r="D54" s="198"/>
      <c r="E54" s="198">
        <v>2.19</v>
      </c>
      <c r="F54" s="198">
        <v>2.8</v>
      </c>
      <c r="G54" s="198">
        <v>6.27</v>
      </c>
      <c r="H54" s="198">
        <v>99.7</v>
      </c>
      <c r="I54" s="198">
        <v>5.5</v>
      </c>
      <c r="J54" s="198">
        <v>77.8</v>
      </c>
      <c r="K54" s="198"/>
      <c r="L54" s="198"/>
      <c r="M54" s="198">
        <v>5.77</v>
      </c>
    </row>
    <row r="55" spans="1:14">
      <c r="A55" s="203">
        <v>33785</v>
      </c>
      <c r="B55" s="198">
        <v>2.34</v>
      </c>
      <c r="C55" s="198"/>
      <c r="D55" s="198"/>
      <c r="E55" s="198">
        <v>1.4</v>
      </c>
      <c r="F55" s="198">
        <v>2.72</v>
      </c>
      <c r="G55" s="198">
        <v>5.97</v>
      </c>
      <c r="H55" s="198">
        <v>99.2</v>
      </c>
      <c r="I55" s="198">
        <v>5.15</v>
      </c>
      <c r="J55" s="198">
        <v>74.5</v>
      </c>
      <c r="K55" s="198"/>
      <c r="L55" s="198"/>
      <c r="M55" s="198">
        <v>6.43</v>
      </c>
    </row>
    <row r="56" spans="1:14">
      <c r="A56" s="203">
        <v>34150</v>
      </c>
      <c r="B56" s="198">
        <v>2.38</v>
      </c>
      <c r="C56" s="198"/>
      <c r="D56" s="198"/>
      <c r="E56" s="198">
        <v>0.53</v>
      </c>
      <c r="F56" s="198">
        <v>2.85</v>
      </c>
      <c r="G56" s="198">
        <v>6.23</v>
      </c>
      <c r="H56" s="198">
        <v>99.2</v>
      </c>
      <c r="I56" s="198">
        <v>6.03</v>
      </c>
      <c r="J56" s="198">
        <v>76.900000000000006</v>
      </c>
      <c r="K56" s="198"/>
      <c r="L56" s="198"/>
      <c r="M56" s="198">
        <v>4.76</v>
      </c>
    </row>
    <row r="57" spans="1:14">
      <c r="A57" s="203">
        <v>34515</v>
      </c>
      <c r="B57" s="198">
        <v>1.5</v>
      </c>
      <c r="C57" s="198"/>
      <c r="D57" s="198"/>
      <c r="E57" s="198">
        <v>0.33</v>
      </c>
      <c r="F57" s="198">
        <v>2.57</v>
      </c>
      <c r="G57" s="198">
        <v>6.39</v>
      </c>
      <c r="H57" s="198">
        <v>99.3</v>
      </c>
      <c r="I57" s="198">
        <v>7.12</v>
      </c>
      <c r="J57" s="198">
        <v>48.8</v>
      </c>
      <c r="K57" s="198"/>
      <c r="L57" s="198"/>
      <c r="M57" s="198">
        <v>5.09</v>
      </c>
    </row>
    <row r="58" spans="1:14">
      <c r="A58" s="203">
        <v>34880</v>
      </c>
      <c r="B58" s="198">
        <v>1.73</v>
      </c>
      <c r="C58" s="198"/>
      <c r="D58" s="198"/>
      <c r="E58" s="198">
        <v>1.01</v>
      </c>
      <c r="F58" s="198">
        <v>2.0299999999999998</v>
      </c>
      <c r="G58" s="198">
        <v>6.42</v>
      </c>
      <c r="H58" s="198">
        <v>99.4</v>
      </c>
      <c r="I58" s="198">
        <v>6.21</v>
      </c>
      <c r="J58" s="198">
        <v>52.1</v>
      </c>
      <c r="K58" s="198"/>
      <c r="L58" s="198"/>
      <c r="M58" s="198">
        <v>5.54</v>
      </c>
    </row>
    <row r="59" spans="1:14">
      <c r="A59" s="203">
        <v>35246</v>
      </c>
      <c r="B59" s="198">
        <v>1.82</v>
      </c>
      <c r="C59" s="198"/>
      <c r="D59" s="198"/>
      <c r="E59" s="198">
        <v>1.63</v>
      </c>
      <c r="F59" s="198">
        <v>2.59</v>
      </c>
      <c r="G59" s="198">
        <v>6.44</v>
      </c>
      <c r="H59" s="198">
        <v>99.2</v>
      </c>
      <c r="I59" s="198">
        <v>5.96</v>
      </c>
      <c r="J59" s="198">
        <v>54.9</v>
      </c>
      <c r="K59" s="198"/>
      <c r="L59" s="198"/>
      <c r="M59" s="198">
        <v>4.75</v>
      </c>
      <c r="N59" s="198"/>
    </row>
    <row r="60" spans="1:14">
      <c r="A60" s="203">
        <v>35611</v>
      </c>
      <c r="B60" s="198">
        <v>2.41</v>
      </c>
      <c r="C60" s="198"/>
      <c r="D60" s="198">
        <v>3.15</v>
      </c>
      <c r="E60" s="198">
        <v>1.47</v>
      </c>
      <c r="F60" s="198">
        <v>2.98</v>
      </c>
      <c r="G60" s="198">
        <v>6.81</v>
      </c>
      <c r="H60" s="198">
        <v>99.2</v>
      </c>
      <c r="I60" s="198">
        <v>6.41</v>
      </c>
      <c r="J60" s="198">
        <v>50.4</v>
      </c>
      <c r="K60" s="198">
        <v>4.18</v>
      </c>
      <c r="L60" s="198">
        <v>9</v>
      </c>
      <c r="M60" s="198">
        <v>4.5</v>
      </c>
      <c r="N60" s="198">
        <v>3.08</v>
      </c>
    </row>
    <row r="61" spans="1:14">
      <c r="A61" s="203">
        <v>35976</v>
      </c>
      <c r="B61" s="198">
        <v>1.97</v>
      </c>
      <c r="C61" s="198"/>
      <c r="D61" s="198">
        <v>2.58</v>
      </c>
      <c r="E61" s="198">
        <v>1.93</v>
      </c>
      <c r="F61" s="198">
        <v>2.38</v>
      </c>
      <c r="G61" s="198">
        <v>6.92</v>
      </c>
      <c r="H61" s="198">
        <v>1</v>
      </c>
      <c r="I61" s="198">
        <v>6.33</v>
      </c>
      <c r="J61" s="198">
        <v>48.7</v>
      </c>
      <c r="K61" s="198">
        <v>3.75</v>
      </c>
      <c r="L61" s="198">
        <v>10.4</v>
      </c>
      <c r="M61" s="198">
        <v>4.2300000000000004</v>
      </c>
      <c r="N61" s="198">
        <v>2.79</v>
      </c>
    </row>
    <row r="62" spans="1:14">
      <c r="A62" s="203">
        <v>36341</v>
      </c>
      <c r="B62" s="198">
        <v>2.36</v>
      </c>
      <c r="C62" s="198"/>
      <c r="D62" s="198">
        <v>2.73</v>
      </c>
      <c r="E62" s="198">
        <v>2.08</v>
      </c>
      <c r="F62" s="198">
        <v>2.61</v>
      </c>
      <c r="G62" s="198">
        <v>6.62</v>
      </c>
      <c r="H62" s="198">
        <v>99.3</v>
      </c>
      <c r="I62" s="198">
        <v>6.14</v>
      </c>
      <c r="J62" s="198">
        <v>57.1</v>
      </c>
      <c r="K62" s="198">
        <v>3.33</v>
      </c>
      <c r="L62" s="198">
        <v>12.9</v>
      </c>
      <c r="M62" s="198">
        <v>4.43</v>
      </c>
      <c r="N62" s="198">
        <v>2.76</v>
      </c>
    </row>
    <row r="63" spans="1:14">
      <c r="A63" s="203">
        <v>36707</v>
      </c>
      <c r="B63" s="198">
        <v>4.8099999999999996</v>
      </c>
      <c r="C63" s="198"/>
      <c r="D63" s="198">
        <v>5.97</v>
      </c>
      <c r="E63" s="198">
        <v>3.62</v>
      </c>
      <c r="F63" s="198">
        <v>4.32</v>
      </c>
      <c r="G63" s="198">
        <v>8.2100000000000009</v>
      </c>
      <c r="H63" s="198">
        <v>99.1</v>
      </c>
      <c r="I63" s="198">
        <v>7.54</v>
      </c>
      <c r="J63" s="198">
        <v>57.1</v>
      </c>
      <c r="K63" s="198">
        <v>5.29</v>
      </c>
      <c r="L63" s="198">
        <v>8.6999999999999993</v>
      </c>
      <c r="M63" s="198">
        <v>5.92</v>
      </c>
      <c r="N63" s="198">
        <v>5.88</v>
      </c>
    </row>
    <row r="64" spans="1:14">
      <c r="A64" s="203">
        <v>37072</v>
      </c>
      <c r="B64" s="198">
        <v>6.93</v>
      </c>
      <c r="C64" s="198"/>
      <c r="D64" s="198">
        <v>6.85</v>
      </c>
      <c r="E64" s="198">
        <v>4.7</v>
      </c>
      <c r="F64" s="198">
        <v>6.64</v>
      </c>
      <c r="G64" s="198">
        <v>10.43</v>
      </c>
      <c r="H64" s="198">
        <v>99.4</v>
      </c>
      <c r="I64" s="198">
        <v>9.33</v>
      </c>
      <c r="J64" s="198">
        <v>62.6</v>
      </c>
      <c r="K64" s="198">
        <v>6.6</v>
      </c>
      <c r="L64" s="198">
        <v>9.1</v>
      </c>
      <c r="M64" s="198">
        <v>6.51</v>
      </c>
      <c r="N64" s="198">
        <v>9.3800000000000008</v>
      </c>
    </row>
    <row r="65" spans="1:14">
      <c r="A65" s="203">
        <v>37437</v>
      </c>
      <c r="B65" s="198">
        <v>2.92</v>
      </c>
      <c r="C65" s="198"/>
      <c r="D65" s="198">
        <v>3.21</v>
      </c>
      <c r="E65" s="198"/>
      <c r="F65" s="198">
        <v>3.2</v>
      </c>
      <c r="G65" s="198">
        <v>7.11</v>
      </c>
      <c r="H65" s="198">
        <v>99.4</v>
      </c>
      <c r="I65" s="198">
        <v>6.07</v>
      </c>
      <c r="J65" s="198">
        <v>68.599999999999994</v>
      </c>
      <c r="K65" s="198">
        <v>4.93</v>
      </c>
      <c r="L65" s="198">
        <v>7.7</v>
      </c>
      <c r="M65" s="198">
        <v>4.3499999999999996</v>
      </c>
      <c r="N65" s="198">
        <v>3.82</v>
      </c>
    </row>
    <row r="66" spans="1:14">
      <c r="A66" s="203">
        <v>37802</v>
      </c>
      <c r="B66" s="198">
        <v>5.04</v>
      </c>
      <c r="C66" s="198"/>
      <c r="D66" s="198">
        <v>5.25</v>
      </c>
      <c r="E66" s="198"/>
      <c r="F66" s="198">
        <v>5.16</v>
      </c>
      <c r="G66" s="198">
        <v>9.1300000000000008</v>
      </c>
      <c r="H66" s="198">
        <v>98.3</v>
      </c>
      <c r="I66" s="198">
        <v>8.15</v>
      </c>
      <c r="J66" s="198">
        <v>70.3</v>
      </c>
      <c r="K66" s="198">
        <v>7.19</v>
      </c>
      <c r="L66" s="198">
        <v>4.9000000000000004</v>
      </c>
      <c r="M66" s="198">
        <v>5.76</v>
      </c>
      <c r="N66" s="198">
        <v>5.5</v>
      </c>
    </row>
    <row r="67" spans="1:14">
      <c r="A67" s="203">
        <v>38168</v>
      </c>
      <c r="B67" s="198">
        <v>5.65</v>
      </c>
      <c r="C67" s="198"/>
      <c r="D67" s="198">
        <v>5.78</v>
      </c>
      <c r="E67" s="198"/>
      <c r="F67" s="198">
        <v>6.04</v>
      </c>
      <c r="G67" s="198">
        <v>9.86</v>
      </c>
      <c r="H67" s="198">
        <v>99.6</v>
      </c>
      <c r="I67" s="198">
        <v>8.6300000000000008</v>
      </c>
      <c r="J67" s="198">
        <v>71.2</v>
      </c>
      <c r="K67" s="198">
        <v>7.89</v>
      </c>
      <c r="L67" s="198">
        <v>5.2</v>
      </c>
      <c r="M67" s="198">
        <v>6.97</v>
      </c>
      <c r="N67" s="198">
        <v>6.05</v>
      </c>
    </row>
    <row r="68" spans="1:14">
      <c r="A68" s="203">
        <v>38533</v>
      </c>
      <c r="B68" s="198">
        <v>7.45</v>
      </c>
      <c r="C68" s="198"/>
      <c r="D68" s="198">
        <v>7.91</v>
      </c>
      <c r="E68" s="198"/>
      <c r="F68" s="198">
        <v>7.88</v>
      </c>
      <c r="G68" s="198">
        <v>11.85</v>
      </c>
      <c r="H68" s="198">
        <v>99.7</v>
      </c>
      <c r="I68" s="198">
        <v>10.69</v>
      </c>
      <c r="J68" s="198">
        <v>68.7</v>
      </c>
      <c r="K68" s="198">
        <v>9.84</v>
      </c>
      <c r="L68" s="198">
        <v>5.5</v>
      </c>
      <c r="M68" s="198">
        <v>8.8000000000000007</v>
      </c>
      <c r="N68" s="198">
        <v>8.08</v>
      </c>
    </row>
    <row r="69" spans="1:14">
      <c r="A69" s="203">
        <v>38898</v>
      </c>
      <c r="B69" s="198">
        <v>6.47</v>
      </c>
      <c r="C69" s="198"/>
      <c r="D69" s="198">
        <v>6.33</v>
      </c>
      <c r="E69" s="198"/>
      <c r="F69" s="198">
        <v>6.76</v>
      </c>
      <c r="G69" s="198">
        <v>11.79</v>
      </c>
      <c r="H69" s="198">
        <v>99.6</v>
      </c>
      <c r="I69" s="198">
        <v>10.43</v>
      </c>
      <c r="J69" s="198">
        <v>64.7</v>
      </c>
      <c r="K69" s="198">
        <v>9.3000000000000007</v>
      </c>
      <c r="L69" s="198">
        <v>5.7</v>
      </c>
      <c r="M69" s="198">
        <v>7.92</v>
      </c>
      <c r="N69" s="198">
        <v>6.71</v>
      </c>
    </row>
    <row r="70" spans="1:14">
      <c r="A70" s="203">
        <v>39263</v>
      </c>
      <c r="B70" s="198">
        <v>6.62</v>
      </c>
      <c r="C70" s="198"/>
      <c r="D70" s="198">
        <v>6.53</v>
      </c>
      <c r="E70" s="198"/>
      <c r="F70" s="198">
        <v>6.82</v>
      </c>
      <c r="G70" s="198">
        <v>11.57</v>
      </c>
      <c r="H70" s="198">
        <v>99.5</v>
      </c>
      <c r="I70" s="198">
        <v>10.199999999999999</v>
      </c>
      <c r="J70" s="198">
        <v>60.7</v>
      </c>
      <c r="K70" s="198">
        <v>9.07</v>
      </c>
      <c r="L70" s="198">
        <v>5.3</v>
      </c>
      <c r="M70" s="198">
        <v>7.72</v>
      </c>
      <c r="N70" s="198">
        <v>6.72</v>
      </c>
    </row>
    <row r="71" spans="1:14">
      <c r="A71" s="203">
        <v>39629</v>
      </c>
      <c r="B71" s="198">
        <v>8.3800000000000008</v>
      </c>
      <c r="C71" s="198">
        <v>9.15</v>
      </c>
      <c r="D71" s="198">
        <v>8.06</v>
      </c>
      <c r="E71" s="198"/>
      <c r="F71" s="198">
        <v>8.11</v>
      </c>
      <c r="G71" s="198">
        <v>12.75</v>
      </c>
      <c r="H71" s="198">
        <v>99.3</v>
      </c>
      <c r="I71" s="198">
        <v>11.75</v>
      </c>
      <c r="J71" s="198">
        <v>56.7</v>
      </c>
      <c r="K71" s="198">
        <v>10.8</v>
      </c>
      <c r="L71" s="198">
        <v>5.0999999999999996</v>
      </c>
      <c r="M71" s="198">
        <v>11.32</v>
      </c>
      <c r="N71" s="198">
        <v>8.23</v>
      </c>
    </row>
    <row r="72" spans="1:14">
      <c r="A72" s="203">
        <v>39994</v>
      </c>
      <c r="B72" s="198">
        <v>3.96</v>
      </c>
      <c r="C72" s="198">
        <v>2.83</v>
      </c>
      <c r="D72" s="198">
        <v>3.76</v>
      </c>
      <c r="E72" s="198"/>
      <c r="F72" s="198">
        <v>4.17</v>
      </c>
      <c r="G72" s="198">
        <v>9.43</v>
      </c>
      <c r="H72" s="198">
        <v>98.9</v>
      </c>
      <c r="I72" s="198">
        <v>7.75</v>
      </c>
      <c r="J72" s="198">
        <v>54.9</v>
      </c>
      <c r="K72" s="198">
        <v>6.56</v>
      </c>
      <c r="L72" s="198">
        <v>4.7</v>
      </c>
      <c r="M72" s="198">
        <v>7.61</v>
      </c>
      <c r="N72" s="198">
        <v>4.4400000000000004</v>
      </c>
    </row>
    <row r="73" spans="1:14">
      <c r="A73" s="203">
        <v>40359</v>
      </c>
      <c r="B73" s="198">
        <v>4.87</v>
      </c>
      <c r="C73" s="198">
        <v>4.76</v>
      </c>
      <c r="D73" s="198">
        <v>4.51</v>
      </c>
      <c r="E73" s="198"/>
      <c r="F73" s="198">
        <v>4.8600000000000003</v>
      </c>
      <c r="G73" s="198">
        <v>9.92</v>
      </c>
      <c r="H73" s="198">
        <v>98.5</v>
      </c>
      <c r="I73" s="198">
        <v>8.3000000000000007</v>
      </c>
      <c r="J73" s="198">
        <v>54.1</v>
      </c>
      <c r="K73" s="198">
        <v>7.02</v>
      </c>
      <c r="L73" s="198">
        <v>4.5999999999999996</v>
      </c>
      <c r="M73" s="198">
        <v>5.55</v>
      </c>
      <c r="N73" s="198">
        <v>4.99</v>
      </c>
    </row>
    <row r="74" spans="1:14">
      <c r="A74" s="203">
        <v>40724</v>
      </c>
      <c r="B74" s="198"/>
      <c r="C74" s="198">
        <v>3.57</v>
      </c>
      <c r="D74" s="198">
        <v>4.18</v>
      </c>
      <c r="E74" s="198"/>
      <c r="F74" s="198">
        <v>4.47</v>
      </c>
      <c r="G74" s="198">
        <v>9.93</v>
      </c>
      <c r="H74" s="198">
        <v>98.3</v>
      </c>
      <c r="I74" s="198">
        <v>8.2899999999999991</v>
      </c>
      <c r="J74" s="198">
        <v>54.3</v>
      </c>
      <c r="K74" s="198">
        <v>7.04</v>
      </c>
      <c r="L74" s="198">
        <v>4.5</v>
      </c>
      <c r="M74" s="198">
        <v>7.32</v>
      </c>
      <c r="N74" s="198">
        <v>4.71</v>
      </c>
    </row>
    <row r="75" spans="1:14">
      <c r="A75" s="203">
        <v>41090</v>
      </c>
      <c r="B75" s="198"/>
      <c r="C75" s="198"/>
      <c r="D75" s="198">
        <v>2.9</v>
      </c>
      <c r="E75" s="198"/>
      <c r="F75" s="198">
        <v>3.46</v>
      </c>
      <c r="G75" s="198">
        <v>9.14</v>
      </c>
      <c r="H75" s="198">
        <v>97.5</v>
      </c>
      <c r="I75" s="198">
        <v>7.05</v>
      </c>
      <c r="J75" s="198">
        <v>50</v>
      </c>
      <c r="K75" s="198">
        <v>5.77</v>
      </c>
      <c r="L75" s="198">
        <v>4.2</v>
      </c>
      <c r="M75" s="198">
        <v>7.01</v>
      </c>
      <c r="N75" s="198">
        <v>3.68</v>
      </c>
    </row>
    <row r="76" spans="1:14">
      <c r="A76" s="203">
        <v>41455</v>
      </c>
      <c r="B76" s="198"/>
      <c r="C76" s="198">
        <v>3.59</v>
      </c>
      <c r="D76" s="198">
        <v>3.89</v>
      </c>
      <c r="E76" s="198"/>
      <c r="F76" s="198">
        <v>4.18</v>
      </c>
      <c r="G76" s="198">
        <v>9.92</v>
      </c>
      <c r="H76" s="198">
        <v>96.1</v>
      </c>
      <c r="I76" s="198">
        <v>7.81</v>
      </c>
      <c r="J76" s="198">
        <v>49.9</v>
      </c>
      <c r="K76" s="198">
        <v>6.57</v>
      </c>
      <c r="L76" s="198">
        <v>4</v>
      </c>
      <c r="M76" s="198"/>
      <c r="N76" s="198">
        <v>4.53</v>
      </c>
    </row>
    <row r="77" spans="1:14">
      <c r="A77" s="203">
        <v>41820</v>
      </c>
      <c r="B77" s="198"/>
      <c r="C77" s="198">
        <v>0</v>
      </c>
      <c r="D77" s="198">
        <v>4.5599999999999996</v>
      </c>
      <c r="E77" s="198"/>
      <c r="F77" s="198">
        <v>4.88</v>
      </c>
      <c r="G77" s="198">
        <v>11.51</v>
      </c>
      <c r="H77" s="198">
        <v>94.8</v>
      </c>
      <c r="I77" s="198">
        <v>9.0500000000000007</v>
      </c>
      <c r="J77" s="198">
        <v>48.4</v>
      </c>
      <c r="K77" s="198">
        <v>7.65</v>
      </c>
      <c r="L77" s="198">
        <v>3.7</v>
      </c>
      <c r="M77" s="198"/>
      <c r="N77" s="198">
        <v>5.22</v>
      </c>
    </row>
    <row r="78" spans="1:14">
      <c r="A78" s="203">
        <v>42185</v>
      </c>
      <c r="B78" s="198"/>
      <c r="C78" s="198"/>
      <c r="D78" s="198">
        <v>2.76</v>
      </c>
      <c r="E78" s="198"/>
      <c r="F78" s="198">
        <v>3.27</v>
      </c>
      <c r="G78" s="198">
        <v>11.39</v>
      </c>
      <c r="H78" s="198">
        <v>94.9</v>
      </c>
      <c r="I78" s="198">
        <v>8.0399999999999991</v>
      </c>
      <c r="J78" s="198">
        <v>49.9</v>
      </c>
      <c r="K78" s="198">
        <v>6.41</v>
      </c>
      <c r="L78" s="198">
        <v>3.8</v>
      </c>
      <c r="M78" s="198"/>
      <c r="N78" s="198">
        <v>3.4</v>
      </c>
    </row>
    <row r="79" spans="1:14">
      <c r="A79" s="203">
        <v>42551</v>
      </c>
      <c r="B79" s="198"/>
      <c r="C79" s="198">
        <v>3.39</v>
      </c>
      <c r="D79" s="198">
        <v>2.57</v>
      </c>
      <c r="E79" s="198"/>
      <c r="F79" s="198">
        <v>2.96</v>
      </c>
      <c r="G79" s="198">
        <v>11.84</v>
      </c>
      <c r="H79" s="198">
        <v>95.1</v>
      </c>
      <c r="I79" s="198">
        <v>8.42</v>
      </c>
      <c r="J79" s="198">
        <v>51.1</v>
      </c>
      <c r="K79" s="198">
        <v>6.79</v>
      </c>
      <c r="L79" s="198">
        <v>3.9</v>
      </c>
      <c r="M79" s="198"/>
      <c r="N79" s="198">
        <v>3.16</v>
      </c>
    </row>
    <row r="80" spans="1:14">
      <c r="A80" s="203">
        <v>42916</v>
      </c>
      <c r="B80" s="198"/>
      <c r="C80" s="198">
        <v>3.57</v>
      </c>
      <c r="D80" s="198">
        <v>3.06</v>
      </c>
      <c r="E80" s="198"/>
      <c r="F80" s="198">
        <v>3.45</v>
      </c>
      <c r="G80" s="198">
        <v>12.49</v>
      </c>
      <c r="H80" s="198">
        <v>95.1</v>
      </c>
      <c r="I80" s="198">
        <v>8.76</v>
      </c>
      <c r="J80" s="198">
        <v>52.4</v>
      </c>
      <c r="K80" s="198">
        <v>7.05</v>
      </c>
      <c r="L80" s="198">
        <v>4.2</v>
      </c>
      <c r="M80" s="198"/>
      <c r="N80" s="198">
        <v>3.76</v>
      </c>
    </row>
    <row r="81" spans="1:16">
      <c r="A81" s="203">
        <v>43281</v>
      </c>
      <c r="B81" s="198"/>
      <c r="C81" s="198">
        <v>4.71</v>
      </c>
      <c r="D81" s="198">
        <v>3.19</v>
      </c>
      <c r="E81" s="198"/>
      <c r="F81" s="198">
        <v>3.29</v>
      </c>
      <c r="G81" s="198">
        <v>12.3</v>
      </c>
      <c r="H81" s="198">
        <v>94.9</v>
      </c>
      <c r="I81" s="198">
        <v>8.57</v>
      </c>
      <c r="J81" s="198">
        <v>51.3</v>
      </c>
      <c r="K81" s="198">
        <v>7.12</v>
      </c>
      <c r="L81" s="198">
        <v>4.0999999999999996</v>
      </c>
      <c r="M81" s="198"/>
      <c r="N81" s="198">
        <v>4.63</v>
      </c>
    </row>
    <row r="82" spans="1:16">
      <c r="A82" s="203">
        <v>43646</v>
      </c>
      <c r="B82" s="198"/>
      <c r="C82" s="198">
        <v>3.71</v>
      </c>
      <c r="D82" s="198">
        <v>2.77</v>
      </c>
      <c r="E82" s="198"/>
      <c r="F82" s="198">
        <v>3.1</v>
      </c>
      <c r="G82" s="198">
        <v>12.95</v>
      </c>
      <c r="H82" s="198">
        <v>95</v>
      </c>
      <c r="I82" s="198">
        <v>9.41</v>
      </c>
      <c r="J82" s="198">
        <v>52.9</v>
      </c>
      <c r="K82" s="198">
        <v>7.69</v>
      </c>
      <c r="L82" s="198">
        <v>4.2</v>
      </c>
      <c r="M82" s="198"/>
      <c r="N82" s="198">
        <v>3.87</v>
      </c>
    </row>
    <row r="83" spans="1:16">
      <c r="A83" s="203">
        <v>44012</v>
      </c>
      <c r="B83" s="198"/>
      <c r="C83" s="198">
        <v>4.12</v>
      </c>
      <c r="D83" s="198">
        <v>2.4700000000000002</v>
      </c>
      <c r="E83" s="198"/>
      <c r="F83" s="198">
        <v>3.02</v>
      </c>
      <c r="G83" s="198">
        <v>14.14</v>
      </c>
      <c r="H83" s="198">
        <v>95.5</v>
      </c>
      <c r="I83" s="198">
        <v>9.7799999999999994</v>
      </c>
      <c r="J83" s="198">
        <v>50.4</v>
      </c>
      <c r="K83" s="198">
        <v>7.55</v>
      </c>
      <c r="L83" s="198">
        <v>4.5</v>
      </c>
      <c r="M83" s="198"/>
      <c r="N83" s="198">
        <v>3.36</v>
      </c>
    </row>
    <row r="84" spans="1:16">
      <c r="A84" s="203">
        <v>44377</v>
      </c>
      <c r="B84" s="198"/>
      <c r="C84" s="198"/>
      <c r="D84" s="198"/>
      <c r="E84" s="198"/>
      <c r="F84" s="198"/>
      <c r="G84" s="198">
        <f>G83*(1+M87/2)</f>
        <v>16.190768211920531</v>
      </c>
      <c r="H84" s="198"/>
      <c r="I84" s="198">
        <f>I83*(1+M87/2)</f>
        <v>11.198423841059602</v>
      </c>
      <c r="J84" s="198"/>
      <c r="K84" s="198">
        <v>9.74</v>
      </c>
      <c r="L84" s="204">
        <v>4.8</v>
      </c>
      <c r="N84" s="198">
        <v>5.57</v>
      </c>
    </row>
    <row r="86" spans="1:16" ht="29">
      <c r="A86" t="s">
        <v>1276</v>
      </c>
      <c r="G86" s="109" t="s">
        <v>303</v>
      </c>
      <c r="H86" s="109"/>
      <c r="I86" s="109" t="s">
        <v>306</v>
      </c>
      <c r="J86" s="109"/>
      <c r="K86" s="183" t="s">
        <v>308</v>
      </c>
      <c r="N86" t="s">
        <v>1271</v>
      </c>
    </row>
    <row r="87" spans="1:16">
      <c r="B87">
        <v>2020</v>
      </c>
      <c r="C87">
        <v>2021</v>
      </c>
      <c r="L87" t="s">
        <v>1272</v>
      </c>
      <c r="M87" s="49">
        <f>(K84-K83)/K83</f>
        <v>0.29006622516556296</v>
      </c>
      <c r="O87" s="49">
        <f>(N84-N83)/N83</f>
        <v>0.65773809523809534</v>
      </c>
      <c r="P87" s="113" t="s">
        <v>1273</v>
      </c>
    </row>
    <row r="88" spans="1:16">
      <c r="A88" t="s">
        <v>165</v>
      </c>
      <c r="B88">
        <f>B96/$B$93</f>
        <v>3.2401157184185149E-6</v>
      </c>
      <c r="C88" s="113">
        <f>C96/$B$93</f>
        <v>5.3712632594021216E-6</v>
      </c>
    </row>
    <row r="89" spans="1:16">
      <c r="A89" t="s">
        <v>166</v>
      </c>
      <c r="B89" s="113">
        <f t="shared" ref="B89:C91" si="1">B97/$B$93</f>
        <v>1.3635486981677918E-5</v>
      </c>
      <c r="C89" s="113">
        <f t="shared" si="1"/>
        <v>1.5613084100212662E-5</v>
      </c>
    </row>
    <row r="90" spans="1:16">
      <c r="A90" t="s">
        <v>167</v>
      </c>
      <c r="B90" s="113">
        <f t="shared" si="1"/>
        <v>9.4310511089681776E-6</v>
      </c>
      <c r="C90" s="113">
        <f t="shared" si="1"/>
        <v>1.0798865806229124E-5</v>
      </c>
    </row>
    <row r="91" spans="1:16">
      <c r="A91" t="s">
        <v>168</v>
      </c>
      <c r="B91" s="113">
        <f t="shared" si="1"/>
        <v>7.2806171648987462E-6</v>
      </c>
      <c r="C91" s="113">
        <f t="shared" si="1"/>
        <v>9.3924783027965283E-6</v>
      </c>
    </row>
    <row r="92" spans="1:16">
      <c r="B92" t="s">
        <v>1274</v>
      </c>
    </row>
    <row r="93" spans="1:16">
      <c r="A93" t="str">
        <f>About!A131</f>
        <v>1 cubic foot of natural gas</v>
      </c>
      <c r="B93">
        <f>About!B131*1000</f>
        <v>1037000</v>
      </c>
    </row>
    <row r="95" spans="1:16">
      <c r="B95">
        <v>2020</v>
      </c>
      <c r="C95">
        <v>2021</v>
      </c>
    </row>
    <row r="96" spans="1:16">
      <c r="A96" t="s">
        <v>165</v>
      </c>
      <c r="B96" s="198">
        <v>3.36</v>
      </c>
      <c r="C96">
        <f>N84</f>
        <v>5.57</v>
      </c>
    </row>
    <row r="97" spans="1:3">
      <c r="A97" t="s">
        <v>166</v>
      </c>
      <c r="B97">
        <f>G83</f>
        <v>14.14</v>
      </c>
      <c r="C97">
        <f>G84</f>
        <v>16.190768211920531</v>
      </c>
    </row>
    <row r="98" spans="1:3">
      <c r="A98" t="s">
        <v>167</v>
      </c>
      <c r="B98">
        <f>I83</f>
        <v>9.7799999999999994</v>
      </c>
      <c r="C98">
        <f>I84</f>
        <v>11.198423841059602</v>
      </c>
    </row>
    <row r="99" spans="1:3">
      <c r="A99" t="s">
        <v>168</v>
      </c>
      <c r="B99">
        <f>K83</f>
        <v>7.55</v>
      </c>
      <c r="C99">
        <f>$K$84</f>
        <v>9.74</v>
      </c>
    </row>
  </sheetData>
  <hyperlinks>
    <hyperlink ref="A16" location="'Data 1'!A1" display="Data 1" xr:uid="{00000000-0004-0000-1700-000000000000}"/>
    <hyperlink ref="B22" r:id="rId1" xr:uid="{00000000-0004-0000-1700-000001000000}"/>
    <hyperlink ref="B23" r:id="rId2" display="http://www.eia.gov/" xr:uid="{00000000-0004-0000-1700-000002000000}"/>
    <hyperlink ref="B24" r:id="rId3" display="mailto:infoctr@eia.gov" xr:uid="{00000000-0004-0000-1700-000003000000}"/>
    <hyperlink ref="A27" location="Contents!A1" display="Back to Contents" xr:uid="{00000000-0004-0000-1700-000004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B8DDA-05E6-4979-9291-95CF0CA1A0F9}">
  <sheetPr>
    <tabColor theme="0" tint="-0.14999847407452621"/>
  </sheetPr>
  <dimension ref="A1:O495"/>
  <sheetViews>
    <sheetView workbookViewId="0">
      <pane xSplit="1" ySplit="3" topLeftCell="H4" activePane="bottomRight" state="frozen"/>
      <selection activeCell="H94" sqref="H94"/>
      <selection pane="topRight" activeCell="H94" sqref="H94"/>
      <selection pane="bottomLeft" activeCell="H94" sqref="H94"/>
      <selection pane="bottomRight" activeCell="O1" sqref="O1"/>
    </sheetView>
  </sheetViews>
  <sheetFormatPr defaultColWidth="9.1796875" defaultRowHeight="12.5"/>
  <cols>
    <col min="1" max="1" width="15.1796875" style="42" customWidth="1"/>
    <col min="2" max="15" width="19" style="42" customWidth="1"/>
    <col min="16" max="256" width="9.1796875" style="42"/>
    <col min="257" max="257" width="15.1796875" style="42" customWidth="1"/>
    <col min="258" max="271" width="19" style="42" customWidth="1"/>
    <col min="272" max="512" width="9.1796875" style="42"/>
    <col min="513" max="513" width="15.1796875" style="42" customWidth="1"/>
    <col min="514" max="527" width="19" style="42" customWidth="1"/>
    <col min="528" max="768" width="9.1796875" style="42"/>
    <col min="769" max="769" width="15.1796875" style="42" customWidth="1"/>
    <col min="770" max="783" width="19" style="42" customWidth="1"/>
    <col min="784" max="1024" width="9.1796875" style="42"/>
    <col min="1025" max="1025" width="15.1796875" style="42" customWidth="1"/>
    <col min="1026" max="1039" width="19" style="42" customWidth="1"/>
    <col min="1040" max="1280" width="9.1796875" style="42"/>
    <col min="1281" max="1281" width="15.1796875" style="42" customWidth="1"/>
    <col min="1282" max="1295" width="19" style="42" customWidth="1"/>
    <col min="1296" max="1536" width="9.1796875" style="42"/>
    <col min="1537" max="1537" width="15.1796875" style="42" customWidth="1"/>
    <col min="1538" max="1551" width="19" style="42" customWidth="1"/>
    <col min="1552" max="1792" width="9.1796875" style="42"/>
    <col min="1793" max="1793" width="15.1796875" style="42" customWidth="1"/>
    <col min="1794" max="1807" width="19" style="42" customWidth="1"/>
    <col min="1808" max="2048" width="9.1796875" style="42"/>
    <col min="2049" max="2049" width="15.1796875" style="42" customWidth="1"/>
    <col min="2050" max="2063" width="19" style="42" customWidth="1"/>
    <col min="2064" max="2304" width="9.1796875" style="42"/>
    <col min="2305" max="2305" width="15.1796875" style="42" customWidth="1"/>
    <col min="2306" max="2319" width="19" style="42" customWidth="1"/>
    <col min="2320" max="2560" width="9.1796875" style="42"/>
    <col min="2561" max="2561" width="15.1796875" style="42" customWidth="1"/>
    <col min="2562" max="2575" width="19" style="42" customWidth="1"/>
    <col min="2576" max="2816" width="9.1796875" style="42"/>
    <col min="2817" max="2817" width="15.1796875" style="42" customWidth="1"/>
    <col min="2818" max="2831" width="19" style="42" customWidth="1"/>
    <col min="2832" max="3072" width="9.1796875" style="42"/>
    <col min="3073" max="3073" width="15.1796875" style="42" customWidth="1"/>
    <col min="3074" max="3087" width="19" style="42" customWidth="1"/>
    <col min="3088" max="3328" width="9.1796875" style="42"/>
    <col min="3329" max="3329" width="15.1796875" style="42" customWidth="1"/>
    <col min="3330" max="3343" width="19" style="42" customWidth="1"/>
    <col min="3344" max="3584" width="9.1796875" style="42"/>
    <col min="3585" max="3585" width="15.1796875" style="42" customWidth="1"/>
    <col min="3586" max="3599" width="19" style="42" customWidth="1"/>
    <col min="3600" max="3840" width="9.1796875" style="42"/>
    <col min="3841" max="3841" width="15.1796875" style="42" customWidth="1"/>
    <col min="3842" max="3855" width="19" style="42" customWidth="1"/>
    <col min="3856" max="4096" width="9.1796875" style="42"/>
    <col min="4097" max="4097" width="15.1796875" style="42" customWidth="1"/>
    <col min="4098" max="4111" width="19" style="42" customWidth="1"/>
    <col min="4112" max="4352" width="9.1796875" style="42"/>
    <col min="4353" max="4353" width="15.1796875" style="42" customWidth="1"/>
    <col min="4354" max="4367" width="19" style="42" customWidth="1"/>
    <col min="4368" max="4608" width="9.1796875" style="42"/>
    <col min="4609" max="4609" width="15.1796875" style="42" customWidth="1"/>
    <col min="4610" max="4623" width="19" style="42" customWidth="1"/>
    <col min="4624" max="4864" width="9.1796875" style="42"/>
    <col min="4865" max="4865" width="15.1796875" style="42" customWidth="1"/>
    <col min="4866" max="4879" width="19" style="42" customWidth="1"/>
    <col min="4880" max="5120" width="9.1796875" style="42"/>
    <col min="5121" max="5121" width="15.1796875" style="42" customWidth="1"/>
    <col min="5122" max="5135" width="19" style="42" customWidth="1"/>
    <col min="5136" max="5376" width="9.1796875" style="42"/>
    <col min="5377" max="5377" width="15.1796875" style="42" customWidth="1"/>
    <col min="5378" max="5391" width="19" style="42" customWidth="1"/>
    <col min="5392" max="5632" width="9.1796875" style="42"/>
    <col min="5633" max="5633" width="15.1796875" style="42" customWidth="1"/>
    <col min="5634" max="5647" width="19" style="42" customWidth="1"/>
    <col min="5648" max="5888" width="9.1796875" style="42"/>
    <col min="5889" max="5889" width="15.1796875" style="42" customWidth="1"/>
    <col min="5890" max="5903" width="19" style="42" customWidth="1"/>
    <col min="5904" max="6144" width="9.1796875" style="42"/>
    <col min="6145" max="6145" width="15.1796875" style="42" customWidth="1"/>
    <col min="6146" max="6159" width="19" style="42" customWidth="1"/>
    <col min="6160" max="6400" width="9.1796875" style="42"/>
    <col min="6401" max="6401" width="15.1796875" style="42" customWidth="1"/>
    <col min="6402" max="6415" width="19" style="42" customWidth="1"/>
    <col min="6416" max="6656" width="9.1796875" style="42"/>
    <col min="6657" max="6657" width="15.1796875" style="42" customWidth="1"/>
    <col min="6658" max="6671" width="19" style="42" customWidth="1"/>
    <col min="6672" max="6912" width="9.1796875" style="42"/>
    <col min="6913" max="6913" width="15.1796875" style="42" customWidth="1"/>
    <col min="6914" max="6927" width="19" style="42" customWidth="1"/>
    <col min="6928" max="7168" width="9.1796875" style="42"/>
    <col min="7169" max="7169" width="15.1796875" style="42" customWidth="1"/>
    <col min="7170" max="7183" width="19" style="42" customWidth="1"/>
    <col min="7184" max="7424" width="9.1796875" style="42"/>
    <col min="7425" max="7425" width="15.1796875" style="42" customWidth="1"/>
    <col min="7426" max="7439" width="19" style="42" customWidth="1"/>
    <col min="7440" max="7680" width="9.1796875" style="42"/>
    <col min="7681" max="7681" width="15.1796875" style="42" customWidth="1"/>
    <col min="7682" max="7695" width="19" style="42" customWidth="1"/>
    <col min="7696" max="7936" width="9.1796875" style="42"/>
    <col min="7937" max="7937" width="15.1796875" style="42" customWidth="1"/>
    <col min="7938" max="7951" width="19" style="42" customWidth="1"/>
    <col min="7952" max="8192" width="9.1796875" style="42"/>
    <col min="8193" max="8193" width="15.1796875" style="42" customWidth="1"/>
    <col min="8194" max="8207" width="19" style="42" customWidth="1"/>
    <col min="8208" max="8448" width="9.1796875" style="42"/>
    <col min="8449" max="8449" width="15.1796875" style="42" customWidth="1"/>
    <col min="8450" max="8463" width="19" style="42" customWidth="1"/>
    <col min="8464" max="8704" width="9.1796875" style="42"/>
    <col min="8705" max="8705" width="15.1796875" style="42" customWidth="1"/>
    <col min="8706" max="8719" width="19" style="42" customWidth="1"/>
    <col min="8720" max="8960" width="9.1796875" style="42"/>
    <col min="8961" max="8961" width="15.1796875" style="42" customWidth="1"/>
    <col min="8962" max="8975" width="19" style="42" customWidth="1"/>
    <col min="8976" max="9216" width="9.1796875" style="42"/>
    <col min="9217" max="9217" width="15.1796875" style="42" customWidth="1"/>
    <col min="9218" max="9231" width="19" style="42" customWidth="1"/>
    <col min="9232" max="9472" width="9.1796875" style="42"/>
    <col min="9473" max="9473" width="15.1796875" style="42" customWidth="1"/>
    <col min="9474" max="9487" width="19" style="42" customWidth="1"/>
    <col min="9488" max="9728" width="9.1796875" style="42"/>
    <col min="9729" max="9729" width="15.1796875" style="42" customWidth="1"/>
    <col min="9730" max="9743" width="19" style="42" customWidth="1"/>
    <col min="9744" max="9984" width="9.1796875" style="42"/>
    <col min="9985" max="9985" width="15.1796875" style="42" customWidth="1"/>
    <col min="9986" max="9999" width="19" style="42" customWidth="1"/>
    <col min="10000" max="10240" width="9.1796875" style="42"/>
    <col min="10241" max="10241" width="15.1796875" style="42" customWidth="1"/>
    <col min="10242" max="10255" width="19" style="42" customWidth="1"/>
    <col min="10256" max="10496" width="9.1796875" style="42"/>
    <col min="10497" max="10497" width="15.1796875" style="42" customWidth="1"/>
    <col min="10498" max="10511" width="19" style="42" customWidth="1"/>
    <col min="10512" max="10752" width="9.1796875" style="42"/>
    <col min="10753" max="10753" width="15.1796875" style="42" customWidth="1"/>
    <col min="10754" max="10767" width="19" style="42" customWidth="1"/>
    <col min="10768" max="11008" width="9.1796875" style="42"/>
    <col min="11009" max="11009" width="15.1796875" style="42" customWidth="1"/>
    <col min="11010" max="11023" width="19" style="42" customWidth="1"/>
    <col min="11024" max="11264" width="9.1796875" style="42"/>
    <col min="11265" max="11265" width="15.1796875" style="42" customWidth="1"/>
    <col min="11266" max="11279" width="19" style="42" customWidth="1"/>
    <col min="11280" max="11520" width="9.1796875" style="42"/>
    <col min="11521" max="11521" width="15.1796875" style="42" customWidth="1"/>
    <col min="11522" max="11535" width="19" style="42" customWidth="1"/>
    <col min="11536" max="11776" width="9.1796875" style="42"/>
    <col min="11777" max="11777" width="15.1796875" style="42" customWidth="1"/>
    <col min="11778" max="11791" width="19" style="42" customWidth="1"/>
    <col min="11792" max="12032" width="9.1796875" style="42"/>
    <col min="12033" max="12033" width="15.1796875" style="42" customWidth="1"/>
    <col min="12034" max="12047" width="19" style="42" customWidth="1"/>
    <col min="12048" max="12288" width="9.1796875" style="42"/>
    <col min="12289" max="12289" width="15.1796875" style="42" customWidth="1"/>
    <col min="12290" max="12303" width="19" style="42" customWidth="1"/>
    <col min="12304" max="12544" width="9.1796875" style="42"/>
    <col min="12545" max="12545" width="15.1796875" style="42" customWidth="1"/>
    <col min="12546" max="12559" width="19" style="42" customWidth="1"/>
    <col min="12560" max="12800" width="9.1796875" style="42"/>
    <col min="12801" max="12801" width="15.1796875" style="42" customWidth="1"/>
    <col min="12802" max="12815" width="19" style="42" customWidth="1"/>
    <col min="12816" max="13056" width="9.1796875" style="42"/>
    <col min="13057" max="13057" width="15.1796875" style="42" customWidth="1"/>
    <col min="13058" max="13071" width="19" style="42" customWidth="1"/>
    <col min="13072" max="13312" width="9.1796875" style="42"/>
    <col min="13313" max="13313" width="15.1796875" style="42" customWidth="1"/>
    <col min="13314" max="13327" width="19" style="42" customWidth="1"/>
    <col min="13328" max="13568" width="9.1796875" style="42"/>
    <col min="13569" max="13569" width="15.1796875" style="42" customWidth="1"/>
    <col min="13570" max="13583" width="19" style="42" customWidth="1"/>
    <col min="13584" max="13824" width="9.1796875" style="42"/>
    <col min="13825" max="13825" width="15.1796875" style="42" customWidth="1"/>
    <col min="13826" max="13839" width="19" style="42" customWidth="1"/>
    <col min="13840" max="14080" width="9.1796875" style="42"/>
    <col min="14081" max="14081" width="15.1796875" style="42" customWidth="1"/>
    <col min="14082" max="14095" width="19" style="42" customWidth="1"/>
    <col min="14096" max="14336" width="9.1796875" style="42"/>
    <col min="14337" max="14337" width="15.1796875" style="42" customWidth="1"/>
    <col min="14338" max="14351" width="19" style="42" customWidth="1"/>
    <col min="14352" max="14592" width="9.1796875" style="42"/>
    <col min="14593" max="14593" width="15.1796875" style="42" customWidth="1"/>
    <col min="14594" max="14607" width="19" style="42" customWidth="1"/>
    <col min="14608" max="14848" width="9.1796875" style="42"/>
    <col min="14849" max="14849" width="15.1796875" style="42" customWidth="1"/>
    <col min="14850" max="14863" width="19" style="42" customWidth="1"/>
    <col min="14864" max="15104" width="9.1796875" style="42"/>
    <col min="15105" max="15105" width="15.1796875" style="42" customWidth="1"/>
    <col min="15106" max="15119" width="19" style="42" customWidth="1"/>
    <col min="15120" max="15360" width="9.1796875" style="42"/>
    <col min="15361" max="15361" width="15.1796875" style="42" customWidth="1"/>
    <col min="15362" max="15375" width="19" style="42" customWidth="1"/>
    <col min="15376" max="15616" width="9.1796875" style="42"/>
    <col min="15617" max="15617" width="15.1796875" style="42" customWidth="1"/>
    <col min="15618" max="15631" width="19" style="42" customWidth="1"/>
    <col min="15632" max="15872" width="9.1796875" style="42"/>
    <col min="15873" max="15873" width="15.1796875" style="42" customWidth="1"/>
    <col min="15874" max="15887" width="19" style="42" customWidth="1"/>
    <col min="15888" max="16128" width="9.1796875" style="42"/>
    <col min="16129" max="16129" width="15.1796875" style="42" customWidth="1"/>
    <col min="16130" max="16143" width="19" style="42" customWidth="1"/>
    <col min="16144" max="16384" width="9.1796875" style="42"/>
  </cols>
  <sheetData>
    <row r="1" spans="1:15" ht="15.5">
      <c r="A1" s="40"/>
      <c r="B1" s="41" t="s">
        <v>481</v>
      </c>
    </row>
    <row r="2" spans="1:15" ht="23">
      <c r="A2" s="43" t="s">
        <v>268</v>
      </c>
      <c r="B2" s="44" t="s">
        <v>498</v>
      </c>
      <c r="C2" s="44" t="s">
        <v>499</v>
      </c>
      <c r="D2" s="44" t="s">
        <v>500</v>
      </c>
      <c r="E2" s="44" t="s">
        <v>501</v>
      </c>
      <c r="F2" s="44" t="s">
        <v>482</v>
      </c>
      <c r="G2" s="44" t="s">
        <v>483</v>
      </c>
      <c r="H2" s="44" t="s">
        <v>484</v>
      </c>
      <c r="I2" s="44" t="s">
        <v>485</v>
      </c>
      <c r="J2" s="44" t="s">
        <v>486</v>
      </c>
      <c r="K2" s="44" t="s">
        <v>487</v>
      </c>
      <c r="L2" s="44" t="s">
        <v>488</v>
      </c>
      <c r="M2" s="44" t="s">
        <v>502</v>
      </c>
      <c r="N2" s="44" t="s">
        <v>489</v>
      </c>
      <c r="O2" s="44"/>
    </row>
    <row r="3" spans="1:15" ht="91">
      <c r="A3" s="45" t="s">
        <v>279</v>
      </c>
      <c r="B3" s="46" t="s">
        <v>503</v>
      </c>
      <c r="C3" s="46" t="s">
        <v>504</v>
      </c>
      <c r="D3" s="46" t="s">
        <v>505</v>
      </c>
      <c r="E3" s="46" t="s">
        <v>506</v>
      </c>
      <c r="F3" s="46" t="s">
        <v>490</v>
      </c>
      <c r="G3" s="46" t="s">
        <v>491</v>
      </c>
      <c r="H3" s="46" t="s">
        <v>492</v>
      </c>
      <c r="I3" s="46" t="s">
        <v>493</v>
      </c>
      <c r="J3" s="46" t="s">
        <v>494</v>
      </c>
      <c r="K3" s="46" t="s">
        <v>495</v>
      </c>
      <c r="L3" s="46" t="s">
        <v>496</v>
      </c>
      <c r="M3" s="46" t="s">
        <v>507</v>
      </c>
      <c r="N3" s="46" t="s">
        <v>497</v>
      </c>
      <c r="O3" s="46"/>
    </row>
    <row r="4" spans="1:15">
      <c r="A4" s="59">
        <v>24653</v>
      </c>
      <c r="B4" s="42">
        <v>0.3</v>
      </c>
      <c r="E4" s="42">
        <v>0.25</v>
      </c>
      <c r="G4" s="42">
        <v>0.93</v>
      </c>
      <c r="I4" s="42">
        <v>0.68</v>
      </c>
    </row>
    <row r="5" spans="1:15">
      <c r="A5" s="59">
        <v>25019</v>
      </c>
      <c r="B5" s="42">
        <v>0.31</v>
      </c>
      <c r="E5" s="42">
        <v>0.24</v>
      </c>
      <c r="G5" s="42">
        <v>0.93</v>
      </c>
      <c r="I5" s="42">
        <v>0.69</v>
      </c>
    </row>
    <row r="6" spans="1:15">
      <c r="A6" s="59">
        <v>25384</v>
      </c>
      <c r="B6" s="42">
        <v>0.31</v>
      </c>
      <c r="E6" s="42">
        <v>0.3</v>
      </c>
      <c r="G6" s="42">
        <v>0.93</v>
      </c>
      <c r="I6" s="42">
        <v>0.69</v>
      </c>
    </row>
    <row r="7" spans="1:15">
      <c r="A7" s="59">
        <v>25749</v>
      </c>
      <c r="B7" s="42">
        <v>0.32</v>
      </c>
      <c r="E7" s="42">
        <v>0.28999999999999998</v>
      </c>
      <c r="G7" s="42">
        <v>0.99</v>
      </c>
      <c r="I7" s="42">
        <v>0.73</v>
      </c>
    </row>
    <row r="8" spans="1:15">
      <c r="A8" s="59">
        <v>26114</v>
      </c>
      <c r="B8" s="42">
        <v>0.33</v>
      </c>
      <c r="E8" s="42">
        <v>0.35</v>
      </c>
      <c r="G8" s="42">
        <v>1.03</v>
      </c>
      <c r="I8" s="42">
        <v>0.76</v>
      </c>
    </row>
    <row r="9" spans="1:15">
      <c r="A9" s="59">
        <v>26480</v>
      </c>
      <c r="B9" s="42">
        <v>0.37</v>
      </c>
      <c r="E9" s="42">
        <v>0.35</v>
      </c>
      <c r="G9" s="42">
        <v>1.08</v>
      </c>
      <c r="I9" s="42">
        <v>0.81</v>
      </c>
    </row>
    <row r="10" spans="1:15">
      <c r="A10" s="59">
        <v>26845</v>
      </c>
      <c r="B10" s="42">
        <v>0.37</v>
      </c>
      <c r="E10" s="42">
        <v>0.39</v>
      </c>
      <c r="G10" s="42">
        <v>1.1599999999999999</v>
      </c>
      <c r="I10" s="42">
        <v>0.85</v>
      </c>
    </row>
    <row r="11" spans="1:15">
      <c r="A11" s="59">
        <v>27210</v>
      </c>
      <c r="B11" s="42">
        <v>0.44</v>
      </c>
      <c r="E11" s="42">
        <v>0.45</v>
      </c>
      <c r="G11" s="42">
        <v>1.38</v>
      </c>
      <c r="I11" s="42">
        <v>0.99</v>
      </c>
    </row>
    <row r="12" spans="1:15">
      <c r="A12" s="59">
        <v>27575</v>
      </c>
      <c r="B12" s="42">
        <v>0.7</v>
      </c>
      <c r="E12" s="42">
        <v>0.47</v>
      </c>
      <c r="G12" s="42">
        <v>1.57</v>
      </c>
      <c r="I12" s="42">
        <v>1.29</v>
      </c>
    </row>
    <row r="13" spans="1:15">
      <c r="A13" s="59">
        <v>27941</v>
      </c>
      <c r="B13" s="42">
        <v>0.94</v>
      </c>
      <c r="E13" s="42">
        <v>0.69</v>
      </c>
      <c r="G13" s="42">
        <v>1.77</v>
      </c>
      <c r="I13" s="42">
        <v>1.59</v>
      </c>
    </row>
    <row r="14" spans="1:15">
      <c r="A14" s="59">
        <v>28306</v>
      </c>
      <c r="B14" s="42">
        <v>1.17</v>
      </c>
      <c r="E14" s="42">
        <v>0.73</v>
      </c>
      <c r="G14" s="42">
        <v>1.89</v>
      </c>
      <c r="I14" s="42">
        <v>2.0699999999999998</v>
      </c>
    </row>
    <row r="15" spans="1:15">
      <c r="A15" s="59">
        <v>28671</v>
      </c>
      <c r="B15" s="42">
        <v>1.36</v>
      </c>
      <c r="E15" s="42">
        <v>0.85</v>
      </c>
      <c r="G15" s="42">
        <v>1.99</v>
      </c>
      <c r="I15" s="42">
        <v>2.2400000000000002</v>
      </c>
    </row>
    <row r="16" spans="1:15">
      <c r="A16" s="59">
        <v>29036</v>
      </c>
      <c r="B16" s="42">
        <v>1.7</v>
      </c>
      <c r="E16" s="42">
        <v>1.75</v>
      </c>
      <c r="G16" s="42">
        <v>2.4700000000000002</v>
      </c>
      <c r="I16" s="42">
        <v>2.73</v>
      </c>
    </row>
    <row r="17" spans="1:13">
      <c r="A17" s="59">
        <v>29402</v>
      </c>
      <c r="B17" s="42">
        <v>2.17</v>
      </c>
      <c r="E17" s="42">
        <v>2.16</v>
      </c>
      <c r="G17" s="42">
        <v>3.51</v>
      </c>
      <c r="I17" s="42">
        <v>3.98</v>
      </c>
    </row>
    <row r="18" spans="1:13">
      <c r="A18" s="59">
        <v>29767</v>
      </c>
      <c r="B18" s="42">
        <v>2.57</v>
      </c>
      <c r="E18" s="42">
        <v>2.9</v>
      </c>
      <c r="G18" s="42">
        <v>3.74</v>
      </c>
      <c r="I18" s="42">
        <v>4.38</v>
      </c>
    </row>
    <row r="19" spans="1:13">
      <c r="A19" s="59">
        <v>30132</v>
      </c>
      <c r="B19" s="42">
        <v>3.09</v>
      </c>
      <c r="E19" s="42">
        <v>3.3</v>
      </c>
      <c r="G19" s="42">
        <v>4.43</v>
      </c>
      <c r="I19" s="42">
        <v>5.32</v>
      </c>
    </row>
    <row r="20" spans="1:13">
      <c r="A20" s="59">
        <v>30497</v>
      </c>
      <c r="B20" s="42">
        <v>3.57</v>
      </c>
      <c r="E20" s="42">
        <v>4.1399999999999997</v>
      </c>
      <c r="G20" s="42">
        <v>5.41</v>
      </c>
      <c r="I20" s="42">
        <v>6.33</v>
      </c>
    </row>
    <row r="21" spans="1:13">
      <c r="A21" s="59">
        <v>30863</v>
      </c>
      <c r="B21" s="42">
        <v>3.8</v>
      </c>
      <c r="E21" s="42">
        <v>4.13</v>
      </c>
      <c r="F21" s="42">
        <v>3.97</v>
      </c>
      <c r="G21" s="42">
        <v>5.84</v>
      </c>
      <c r="I21" s="42">
        <v>6.95</v>
      </c>
    </row>
    <row r="22" spans="1:13">
      <c r="A22" s="59">
        <v>31228</v>
      </c>
      <c r="B22" s="42">
        <v>3.36</v>
      </c>
      <c r="E22" s="42">
        <v>3.7</v>
      </c>
      <c r="F22" s="42">
        <v>3.54</v>
      </c>
      <c r="G22" s="42">
        <v>5.72</v>
      </c>
      <c r="I22" s="42">
        <v>6.63</v>
      </c>
    </row>
    <row r="23" spans="1:13">
      <c r="A23" s="59">
        <v>31593</v>
      </c>
      <c r="B23" s="42">
        <v>2.89</v>
      </c>
      <c r="E23" s="42">
        <v>3.56</v>
      </c>
      <c r="F23" s="42">
        <v>2.76</v>
      </c>
      <c r="G23" s="42">
        <v>5.14</v>
      </c>
      <c r="I23" s="42">
        <v>5.86</v>
      </c>
    </row>
    <row r="24" spans="1:13">
      <c r="A24" s="59">
        <v>31958</v>
      </c>
      <c r="B24" s="42">
        <v>2.37</v>
      </c>
      <c r="E24" s="42">
        <v>3.02</v>
      </c>
      <c r="F24" s="42">
        <v>2.39</v>
      </c>
      <c r="G24" s="42">
        <v>5.26</v>
      </c>
      <c r="I24" s="42">
        <v>5.42</v>
      </c>
    </row>
    <row r="25" spans="1:13">
      <c r="A25" s="59">
        <v>32324</v>
      </c>
      <c r="B25" s="42">
        <v>2.39</v>
      </c>
      <c r="E25" s="42">
        <v>2.5499999999999998</v>
      </c>
      <c r="F25" s="42">
        <v>2.6</v>
      </c>
      <c r="G25" s="42">
        <v>5.64</v>
      </c>
      <c r="I25" s="42">
        <v>4.68</v>
      </c>
    </row>
    <row r="26" spans="1:13">
      <c r="A26" s="59">
        <v>32689</v>
      </c>
      <c r="B26" s="42">
        <v>2.3199999999999998</v>
      </c>
      <c r="E26" s="42">
        <v>2.39</v>
      </c>
      <c r="F26" s="42">
        <v>2.75</v>
      </c>
      <c r="G26" s="42">
        <v>5.59</v>
      </c>
      <c r="H26" s="42">
        <v>100</v>
      </c>
      <c r="I26" s="42">
        <v>4.88</v>
      </c>
    </row>
    <row r="27" spans="1:13">
      <c r="A27" s="59">
        <v>33054</v>
      </c>
      <c r="B27" s="42">
        <v>2.36</v>
      </c>
      <c r="E27" s="42">
        <v>2.4</v>
      </c>
      <c r="F27" s="42">
        <v>2.9</v>
      </c>
      <c r="G27" s="42">
        <v>5.78</v>
      </c>
      <c r="H27" s="42">
        <v>100</v>
      </c>
      <c r="I27" s="42">
        <v>5.12</v>
      </c>
      <c r="J27" s="42">
        <v>86.6</v>
      </c>
      <c r="M27" s="42">
        <v>4.84</v>
      </c>
    </row>
    <row r="28" spans="1:13">
      <c r="A28" s="59">
        <v>33419</v>
      </c>
      <c r="B28" s="42">
        <v>2.46</v>
      </c>
      <c r="E28" s="42">
        <v>2.19</v>
      </c>
      <c r="F28" s="42">
        <v>2.8</v>
      </c>
      <c r="G28" s="42">
        <v>6.27</v>
      </c>
      <c r="H28" s="42">
        <v>99.7</v>
      </c>
      <c r="I28" s="42">
        <v>5.5</v>
      </c>
      <c r="J28" s="42">
        <v>77.8</v>
      </c>
      <c r="M28" s="42">
        <v>5.77</v>
      </c>
    </row>
    <row r="29" spans="1:13">
      <c r="A29" s="59">
        <v>33785</v>
      </c>
      <c r="B29" s="42">
        <v>2.34</v>
      </c>
      <c r="E29" s="42">
        <v>1.4</v>
      </c>
      <c r="F29" s="42">
        <v>2.72</v>
      </c>
      <c r="G29" s="42">
        <v>5.97</v>
      </c>
      <c r="H29" s="42">
        <v>99.2</v>
      </c>
      <c r="I29" s="42">
        <v>5.15</v>
      </c>
      <c r="J29" s="42">
        <v>74.5</v>
      </c>
      <c r="M29" s="42">
        <v>6.43</v>
      </c>
    </row>
    <row r="30" spans="1:13">
      <c r="A30" s="59">
        <v>34150</v>
      </c>
      <c r="B30" s="42">
        <v>2.38</v>
      </c>
      <c r="E30" s="42">
        <v>0.53</v>
      </c>
      <c r="F30" s="42">
        <v>2.85</v>
      </c>
      <c r="G30" s="42">
        <v>6.23</v>
      </c>
      <c r="H30" s="42">
        <v>99.2</v>
      </c>
      <c r="I30" s="42">
        <v>6.03</v>
      </c>
      <c r="J30" s="42">
        <v>76.900000000000006</v>
      </c>
      <c r="M30" s="42">
        <v>4.76</v>
      </c>
    </row>
    <row r="31" spans="1:13">
      <c r="A31" s="59">
        <v>34515</v>
      </c>
      <c r="B31" s="42">
        <v>1.5</v>
      </c>
      <c r="E31" s="42">
        <v>0.33</v>
      </c>
      <c r="F31" s="42">
        <v>2.57</v>
      </c>
      <c r="G31" s="42">
        <v>6.39</v>
      </c>
      <c r="H31" s="42">
        <v>99.3</v>
      </c>
      <c r="I31" s="42">
        <v>7.12</v>
      </c>
      <c r="J31" s="42">
        <v>48.8</v>
      </c>
      <c r="M31" s="42">
        <v>5.09</v>
      </c>
    </row>
    <row r="32" spans="1:13">
      <c r="A32" s="59">
        <v>34880</v>
      </c>
      <c r="B32" s="42">
        <v>1.73</v>
      </c>
      <c r="E32" s="42">
        <v>1.01</v>
      </c>
      <c r="F32" s="42">
        <v>2.0299999999999998</v>
      </c>
      <c r="G32" s="42">
        <v>6.42</v>
      </c>
      <c r="H32" s="42">
        <v>99.4</v>
      </c>
      <c r="I32" s="42">
        <v>6.21</v>
      </c>
      <c r="J32" s="42">
        <v>52.1</v>
      </c>
      <c r="M32" s="42">
        <v>5.54</v>
      </c>
    </row>
    <row r="33" spans="1:14">
      <c r="A33" s="59">
        <v>35246</v>
      </c>
      <c r="B33" s="42">
        <v>1.82</v>
      </c>
      <c r="E33" s="42">
        <v>1.63</v>
      </c>
      <c r="F33" s="42">
        <v>2.59</v>
      </c>
      <c r="G33" s="42">
        <v>6.44</v>
      </c>
      <c r="H33" s="42">
        <v>99.2</v>
      </c>
      <c r="I33" s="42">
        <v>5.96</v>
      </c>
      <c r="J33" s="42">
        <v>54.9</v>
      </c>
      <c r="M33" s="42">
        <v>4.75</v>
      </c>
    </row>
    <row r="34" spans="1:14">
      <c r="A34" s="59">
        <v>35611</v>
      </c>
      <c r="B34" s="42">
        <v>2.41</v>
      </c>
      <c r="D34" s="42">
        <v>3.15</v>
      </c>
      <c r="E34" s="42">
        <v>1.47</v>
      </c>
      <c r="F34" s="42">
        <v>2.98</v>
      </c>
      <c r="G34" s="42">
        <v>6.81</v>
      </c>
      <c r="H34" s="42">
        <v>99.2</v>
      </c>
      <c r="I34" s="42">
        <v>6.41</v>
      </c>
      <c r="J34" s="42">
        <v>50.4</v>
      </c>
      <c r="K34" s="42">
        <v>4.18</v>
      </c>
      <c r="L34" s="42">
        <v>9</v>
      </c>
      <c r="M34" s="42">
        <v>4.5</v>
      </c>
      <c r="N34" s="42">
        <v>3.08</v>
      </c>
    </row>
    <row r="35" spans="1:14">
      <c r="A35" s="59">
        <v>35976</v>
      </c>
      <c r="B35" s="42">
        <v>1.97</v>
      </c>
      <c r="D35" s="42">
        <v>2.58</v>
      </c>
      <c r="E35" s="42">
        <v>1.93</v>
      </c>
      <c r="F35" s="42">
        <v>2.38</v>
      </c>
      <c r="G35" s="42">
        <v>6.92</v>
      </c>
      <c r="H35" s="42">
        <v>1</v>
      </c>
      <c r="I35" s="42">
        <v>6.33</v>
      </c>
      <c r="J35" s="42">
        <v>48.7</v>
      </c>
      <c r="K35" s="42">
        <v>3.75</v>
      </c>
      <c r="L35" s="42">
        <v>10.4</v>
      </c>
      <c r="M35" s="42">
        <v>4.2300000000000004</v>
      </c>
      <c r="N35" s="42">
        <v>2.79</v>
      </c>
    </row>
    <row r="36" spans="1:14">
      <c r="A36" s="59">
        <v>36341</v>
      </c>
      <c r="B36" s="42">
        <v>2.36</v>
      </c>
      <c r="D36" s="42">
        <v>2.73</v>
      </c>
      <c r="E36" s="42">
        <v>2.08</v>
      </c>
      <c r="F36" s="42">
        <v>2.61</v>
      </c>
      <c r="G36" s="42">
        <v>6.62</v>
      </c>
      <c r="H36" s="42">
        <v>99.3</v>
      </c>
      <c r="I36" s="42">
        <v>6.14</v>
      </c>
      <c r="J36" s="42">
        <v>57.1</v>
      </c>
      <c r="K36" s="42">
        <v>3.33</v>
      </c>
      <c r="L36" s="42">
        <v>12.9</v>
      </c>
      <c r="M36" s="42">
        <v>4.43</v>
      </c>
      <c r="N36" s="42">
        <v>2.76</v>
      </c>
    </row>
    <row r="37" spans="1:14">
      <c r="A37" s="59">
        <v>36707</v>
      </c>
      <c r="B37" s="42">
        <v>4.8099999999999996</v>
      </c>
      <c r="D37" s="42">
        <v>5.97</v>
      </c>
      <c r="E37" s="42">
        <v>3.62</v>
      </c>
      <c r="F37" s="42">
        <v>4.32</v>
      </c>
      <c r="G37" s="42">
        <v>8.2100000000000009</v>
      </c>
      <c r="H37" s="42">
        <v>99.1</v>
      </c>
      <c r="I37" s="42">
        <v>7.54</v>
      </c>
      <c r="J37" s="42">
        <v>57.1</v>
      </c>
      <c r="K37" s="42">
        <v>5.29</v>
      </c>
      <c r="L37" s="42">
        <v>8.6999999999999993</v>
      </c>
      <c r="M37" s="42">
        <v>5.92</v>
      </c>
      <c r="N37" s="42">
        <v>5.88</v>
      </c>
    </row>
    <row r="38" spans="1:14">
      <c r="A38" s="59">
        <v>37072</v>
      </c>
      <c r="B38" s="42">
        <v>6.93</v>
      </c>
      <c r="D38" s="42">
        <v>6.85</v>
      </c>
      <c r="E38" s="42">
        <v>4.7</v>
      </c>
      <c r="F38" s="42">
        <v>6.64</v>
      </c>
      <c r="G38" s="42">
        <v>10.43</v>
      </c>
      <c r="H38" s="42">
        <v>99.4</v>
      </c>
      <c r="I38" s="42">
        <v>9.33</v>
      </c>
      <c r="J38" s="42">
        <v>62.6</v>
      </c>
      <c r="K38" s="42">
        <v>6.6</v>
      </c>
      <c r="L38" s="42">
        <v>9.1</v>
      </c>
      <c r="M38" s="42">
        <v>6.51</v>
      </c>
      <c r="N38" s="42">
        <v>9.3800000000000008</v>
      </c>
    </row>
    <row r="39" spans="1:14">
      <c r="A39" s="59">
        <v>37437</v>
      </c>
      <c r="B39" s="42">
        <v>2.92</v>
      </c>
      <c r="D39" s="42">
        <v>3.21</v>
      </c>
      <c r="F39" s="42">
        <v>3.2</v>
      </c>
      <c r="G39" s="42">
        <v>7.11</v>
      </c>
      <c r="H39" s="42">
        <v>99.4</v>
      </c>
      <c r="I39" s="42">
        <v>6.07</v>
      </c>
      <c r="J39" s="42">
        <v>68.599999999999994</v>
      </c>
      <c r="K39" s="42">
        <v>4.93</v>
      </c>
      <c r="L39" s="42">
        <v>7.7</v>
      </c>
      <c r="M39" s="42">
        <v>4.3499999999999996</v>
      </c>
      <c r="N39" s="42">
        <v>3.82</v>
      </c>
    </row>
    <row r="40" spans="1:14">
      <c r="A40" s="59">
        <v>37802</v>
      </c>
      <c r="B40" s="42">
        <v>5.04</v>
      </c>
      <c r="D40" s="42">
        <v>5.25</v>
      </c>
      <c r="F40" s="42">
        <v>5.16</v>
      </c>
      <c r="G40" s="42">
        <v>9.1300000000000008</v>
      </c>
      <c r="H40" s="42">
        <v>98.3</v>
      </c>
      <c r="I40" s="42">
        <v>8.15</v>
      </c>
      <c r="J40" s="42">
        <v>70.3</v>
      </c>
      <c r="K40" s="42">
        <v>7.19</v>
      </c>
      <c r="L40" s="42">
        <v>4.9000000000000004</v>
      </c>
      <c r="M40" s="42">
        <v>5.76</v>
      </c>
      <c r="N40" s="42">
        <v>5.5</v>
      </c>
    </row>
    <row r="41" spans="1:14">
      <c r="A41" s="59">
        <v>38168</v>
      </c>
      <c r="B41" s="42">
        <v>5.65</v>
      </c>
      <c r="D41" s="42">
        <v>5.78</v>
      </c>
      <c r="F41" s="42">
        <v>6.04</v>
      </c>
      <c r="G41" s="42">
        <v>9.86</v>
      </c>
      <c r="H41" s="42">
        <v>99.6</v>
      </c>
      <c r="I41" s="42">
        <v>8.6300000000000008</v>
      </c>
      <c r="J41" s="42">
        <v>71.2</v>
      </c>
      <c r="K41" s="42">
        <v>7.89</v>
      </c>
      <c r="L41" s="42">
        <v>5.2</v>
      </c>
      <c r="M41" s="42">
        <v>6.97</v>
      </c>
      <c r="N41" s="42">
        <v>6.05</v>
      </c>
    </row>
    <row r="42" spans="1:14">
      <c r="A42" s="59">
        <v>38533</v>
      </c>
      <c r="B42" s="42">
        <v>7.45</v>
      </c>
      <c r="D42" s="42">
        <v>7.91</v>
      </c>
      <c r="F42" s="42">
        <v>7.88</v>
      </c>
      <c r="G42" s="42">
        <v>11.85</v>
      </c>
      <c r="H42" s="42">
        <v>99.7</v>
      </c>
      <c r="I42" s="42">
        <v>10.69</v>
      </c>
      <c r="J42" s="42">
        <v>68.7</v>
      </c>
      <c r="K42" s="42">
        <v>9.84</v>
      </c>
      <c r="L42" s="42">
        <v>5.5</v>
      </c>
      <c r="M42" s="42">
        <v>8.8000000000000007</v>
      </c>
      <c r="N42" s="42">
        <v>8.08</v>
      </c>
    </row>
    <row r="43" spans="1:14">
      <c r="A43" s="59">
        <v>38898</v>
      </c>
      <c r="B43" s="42">
        <v>6.47</v>
      </c>
      <c r="D43" s="42">
        <v>6.33</v>
      </c>
      <c r="F43" s="42">
        <v>6.76</v>
      </c>
      <c r="G43" s="42">
        <v>11.79</v>
      </c>
      <c r="H43" s="42">
        <v>99.6</v>
      </c>
      <c r="I43" s="42">
        <v>10.43</v>
      </c>
      <c r="J43" s="42">
        <v>64.7</v>
      </c>
      <c r="K43" s="42">
        <v>9.3000000000000007</v>
      </c>
      <c r="L43" s="42">
        <v>5.7</v>
      </c>
      <c r="M43" s="42">
        <v>7.92</v>
      </c>
      <c r="N43" s="42">
        <v>6.71</v>
      </c>
    </row>
    <row r="44" spans="1:14">
      <c r="A44" s="59">
        <v>39263</v>
      </c>
      <c r="B44" s="42">
        <v>6.62</v>
      </c>
      <c r="D44" s="42">
        <v>6.53</v>
      </c>
      <c r="F44" s="42">
        <v>6.82</v>
      </c>
      <c r="G44" s="42">
        <v>11.57</v>
      </c>
      <c r="H44" s="42">
        <v>99.5</v>
      </c>
      <c r="I44" s="42">
        <v>10.199999999999999</v>
      </c>
      <c r="J44" s="42">
        <v>60.7</v>
      </c>
      <c r="K44" s="42">
        <v>9.07</v>
      </c>
      <c r="L44" s="42">
        <v>5.3</v>
      </c>
      <c r="M44" s="42">
        <v>7.72</v>
      </c>
      <c r="N44" s="42">
        <v>6.72</v>
      </c>
    </row>
    <row r="45" spans="1:14">
      <c r="A45" s="59">
        <v>39629</v>
      </c>
      <c r="B45" s="42">
        <v>8.3800000000000008</v>
      </c>
      <c r="C45" s="42">
        <v>9.15</v>
      </c>
      <c r="D45" s="42">
        <v>8.06</v>
      </c>
      <c r="F45" s="42">
        <v>8.11</v>
      </c>
      <c r="G45" s="42">
        <v>12.75</v>
      </c>
      <c r="H45" s="42">
        <v>99.3</v>
      </c>
      <c r="I45" s="42">
        <v>11.75</v>
      </c>
      <c r="J45" s="42">
        <v>56.7</v>
      </c>
      <c r="K45" s="42">
        <v>10.8</v>
      </c>
      <c r="L45" s="42">
        <v>5.0999999999999996</v>
      </c>
      <c r="M45" s="42">
        <v>11.32</v>
      </c>
      <c r="N45" s="42">
        <v>8.23</v>
      </c>
    </row>
    <row r="46" spans="1:14">
      <c r="A46" s="59">
        <v>39994</v>
      </c>
      <c r="B46" s="42">
        <v>3.96</v>
      </c>
      <c r="C46" s="42">
        <v>2.83</v>
      </c>
      <c r="D46" s="42">
        <v>3.76</v>
      </c>
      <c r="F46" s="42">
        <v>4.17</v>
      </c>
      <c r="G46" s="42">
        <v>9.43</v>
      </c>
      <c r="H46" s="42">
        <v>98.9</v>
      </c>
      <c r="I46" s="42">
        <v>7.75</v>
      </c>
      <c r="J46" s="42">
        <v>54.9</v>
      </c>
      <c r="K46" s="42">
        <v>6.56</v>
      </c>
      <c r="L46" s="42">
        <v>4.7</v>
      </c>
      <c r="M46" s="42">
        <v>7.61</v>
      </c>
      <c r="N46" s="42">
        <v>4.4400000000000004</v>
      </c>
    </row>
    <row r="47" spans="1:14">
      <c r="A47" s="59">
        <v>40359</v>
      </c>
      <c r="B47" s="42">
        <v>4.87</v>
      </c>
      <c r="C47" s="42">
        <v>4.76</v>
      </c>
      <c r="D47" s="42">
        <v>4.51</v>
      </c>
      <c r="F47" s="42">
        <v>4.8600000000000003</v>
      </c>
      <c r="G47" s="42">
        <v>9.92</v>
      </c>
      <c r="H47" s="42">
        <v>98.5</v>
      </c>
      <c r="I47" s="42">
        <v>8.3000000000000007</v>
      </c>
      <c r="J47" s="42">
        <v>54.1</v>
      </c>
      <c r="K47" s="42">
        <v>7.02</v>
      </c>
      <c r="L47" s="42">
        <v>4.5999999999999996</v>
      </c>
      <c r="M47" s="42">
        <v>5.55</v>
      </c>
      <c r="N47" s="42">
        <v>4.99</v>
      </c>
    </row>
    <row r="48" spans="1:14">
      <c r="A48" s="59">
        <v>40724</v>
      </c>
      <c r="C48" s="42">
        <v>3.57</v>
      </c>
      <c r="D48" s="42">
        <v>4.18</v>
      </c>
      <c r="F48" s="42">
        <v>4.47</v>
      </c>
      <c r="G48" s="42">
        <v>9.93</v>
      </c>
      <c r="H48" s="42">
        <v>98.3</v>
      </c>
      <c r="I48" s="42">
        <v>8.2899999999999991</v>
      </c>
      <c r="J48" s="42">
        <v>54.3</v>
      </c>
      <c r="K48" s="42">
        <v>7.04</v>
      </c>
      <c r="L48" s="42">
        <v>4.5</v>
      </c>
      <c r="M48" s="42">
        <v>7.32</v>
      </c>
      <c r="N48" s="42">
        <v>4.71</v>
      </c>
    </row>
    <row r="49" spans="1:14">
      <c r="A49" s="59">
        <v>41090</v>
      </c>
      <c r="D49" s="42">
        <v>2.9</v>
      </c>
      <c r="F49" s="42">
        <v>3.46</v>
      </c>
      <c r="G49" s="42">
        <v>9.14</v>
      </c>
      <c r="H49" s="42">
        <v>97.5</v>
      </c>
      <c r="I49" s="42">
        <v>7.05</v>
      </c>
      <c r="J49" s="42">
        <v>50</v>
      </c>
      <c r="K49" s="42">
        <v>5.77</v>
      </c>
      <c r="L49" s="42">
        <v>4.2</v>
      </c>
      <c r="M49" s="42">
        <v>7.01</v>
      </c>
      <c r="N49" s="42">
        <v>3.68</v>
      </c>
    </row>
    <row r="50" spans="1:14">
      <c r="A50" s="59">
        <v>41455</v>
      </c>
      <c r="C50" s="42">
        <v>3.59</v>
      </c>
      <c r="D50" s="42">
        <v>3.89</v>
      </c>
      <c r="F50" s="42">
        <v>4.18</v>
      </c>
      <c r="G50" s="42">
        <v>9.92</v>
      </c>
      <c r="H50" s="42">
        <v>96.1</v>
      </c>
      <c r="I50" s="42">
        <v>7.81</v>
      </c>
      <c r="J50" s="42">
        <v>49.9</v>
      </c>
      <c r="K50" s="42">
        <v>6.57</v>
      </c>
      <c r="L50" s="42">
        <v>4</v>
      </c>
      <c r="N50" s="42">
        <v>4.53</v>
      </c>
    </row>
    <row r="51" spans="1:14">
      <c r="A51" s="59">
        <v>41820</v>
      </c>
      <c r="C51" s="42">
        <v>0</v>
      </c>
      <c r="D51" s="42">
        <v>4.5599999999999996</v>
      </c>
      <c r="F51" s="42">
        <v>4.88</v>
      </c>
      <c r="G51" s="42">
        <v>11.51</v>
      </c>
      <c r="H51" s="42">
        <v>94.8</v>
      </c>
      <c r="I51" s="42">
        <v>9.0500000000000007</v>
      </c>
      <c r="J51" s="42">
        <v>48.4</v>
      </c>
      <c r="K51" s="42">
        <v>7.65</v>
      </c>
      <c r="L51" s="42">
        <v>3.7</v>
      </c>
      <c r="N51" s="42">
        <v>5.22</v>
      </c>
    </row>
    <row r="52" spans="1:14">
      <c r="A52" s="59">
        <v>42185</v>
      </c>
      <c r="D52" s="42">
        <v>2.76</v>
      </c>
      <c r="F52" s="42">
        <v>3.27</v>
      </c>
      <c r="G52" s="42">
        <v>11.39</v>
      </c>
      <c r="H52" s="42">
        <v>94.9</v>
      </c>
      <c r="I52" s="42">
        <v>8.0399999999999991</v>
      </c>
      <c r="J52" s="42">
        <v>49.9</v>
      </c>
      <c r="K52" s="42">
        <v>6.41</v>
      </c>
      <c r="L52" s="42">
        <v>3.8</v>
      </c>
      <c r="N52" s="42">
        <v>3.4</v>
      </c>
    </row>
    <row r="53" spans="1:14">
      <c r="A53" s="59">
        <v>42551</v>
      </c>
      <c r="C53" s="42">
        <v>3.39</v>
      </c>
      <c r="D53" s="42">
        <v>2.57</v>
      </c>
      <c r="F53" s="42">
        <v>2.96</v>
      </c>
      <c r="G53" s="42">
        <v>11.84</v>
      </c>
      <c r="H53" s="42">
        <v>95.1</v>
      </c>
      <c r="I53" s="42">
        <v>8.42</v>
      </c>
      <c r="J53" s="42">
        <v>51.1</v>
      </c>
      <c r="K53" s="42">
        <v>6.79</v>
      </c>
      <c r="L53" s="42">
        <v>3.9</v>
      </c>
      <c r="N53" s="42">
        <v>3.16</v>
      </c>
    </row>
    <row r="54" spans="1:14">
      <c r="A54" s="59">
        <v>42916</v>
      </c>
      <c r="C54" s="42">
        <v>3.57</v>
      </c>
      <c r="D54" s="42">
        <v>3.06</v>
      </c>
      <c r="F54" s="42">
        <v>3.45</v>
      </c>
      <c r="G54" s="42">
        <v>12.49</v>
      </c>
      <c r="H54" s="42">
        <v>95.1</v>
      </c>
      <c r="I54" s="42">
        <v>8.76</v>
      </c>
      <c r="J54" s="42">
        <v>52.4</v>
      </c>
      <c r="K54" s="42">
        <v>7.05</v>
      </c>
      <c r="L54" s="42">
        <v>4.2</v>
      </c>
      <c r="N54" s="42">
        <v>3.76</v>
      </c>
    </row>
    <row r="55" spans="1:14">
      <c r="A55" s="59">
        <v>43281</v>
      </c>
      <c r="C55" s="42">
        <v>4.71</v>
      </c>
      <c r="D55" s="42">
        <v>3.19</v>
      </c>
      <c r="F55" s="42">
        <v>3.29</v>
      </c>
      <c r="G55" s="42">
        <v>12.3</v>
      </c>
      <c r="H55" s="42">
        <v>94.9</v>
      </c>
      <c r="I55" s="42">
        <v>8.57</v>
      </c>
      <c r="J55" s="42">
        <v>51.3</v>
      </c>
      <c r="K55" s="42">
        <v>7.12</v>
      </c>
      <c r="L55" s="42">
        <v>4.0999999999999996</v>
      </c>
      <c r="N55" s="42">
        <v>4.63</v>
      </c>
    </row>
    <row r="56" spans="1:14">
      <c r="A56" s="59">
        <v>43646</v>
      </c>
      <c r="C56" s="42">
        <v>3.71</v>
      </c>
      <c r="D56" s="42">
        <v>2.77</v>
      </c>
      <c r="F56" s="42">
        <v>3.1</v>
      </c>
      <c r="G56" s="42">
        <v>12.95</v>
      </c>
      <c r="H56" s="42">
        <v>95</v>
      </c>
      <c r="I56" s="42">
        <v>9.41</v>
      </c>
      <c r="J56" s="42">
        <v>52.9</v>
      </c>
      <c r="K56" s="42">
        <v>7.69</v>
      </c>
      <c r="L56" s="42">
        <v>4.2</v>
      </c>
      <c r="N56" s="42">
        <v>3.87</v>
      </c>
    </row>
    <row r="57" spans="1:14">
      <c r="A57" s="59">
        <v>44012</v>
      </c>
      <c r="F57" s="42">
        <v>3.02</v>
      </c>
      <c r="I57" s="42">
        <v>9.86</v>
      </c>
      <c r="J57" s="42">
        <v>50.7</v>
      </c>
      <c r="K57" s="42">
        <v>7.64</v>
      </c>
      <c r="L57" s="42">
        <v>4.4000000000000004</v>
      </c>
      <c r="N57" s="42">
        <v>3.38</v>
      </c>
    </row>
    <row r="58" spans="1:14">
      <c r="A58" s="59"/>
    </row>
    <row r="59" spans="1:14" ht="13">
      <c r="A59" s="119" t="s">
        <v>771</v>
      </c>
      <c r="B59" s="120"/>
      <c r="C59" s="120"/>
      <c r="D59" s="120"/>
      <c r="E59" s="120"/>
      <c r="F59" s="120"/>
      <c r="G59" s="120"/>
      <c r="H59" s="120"/>
      <c r="I59" s="120"/>
      <c r="J59" s="120"/>
      <c r="K59" s="120"/>
      <c r="L59" s="120"/>
      <c r="M59" s="120"/>
      <c r="N59" s="120"/>
    </row>
    <row r="62" spans="1:14" ht="15.5">
      <c r="A62" s="41" t="s">
        <v>508</v>
      </c>
      <c r="B62" s="54"/>
      <c r="C62" s="53" t="s">
        <v>290</v>
      </c>
      <c r="D62" s="52" t="s">
        <v>291</v>
      </c>
      <c r="E62" s="52" t="s">
        <v>292</v>
      </c>
      <c r="G62" s="62"/>
    </row>
    <row r="63" spans="1:14">
      <c r="A63" s="42" t="s">
        <v>293</v>
      </c>
      <c r="B63" s="42" t="s">
        <v>473</v>
      </c>
      <c r="G63" s="62"/>
    </row>
    <row r="64" spans="1:14">
      <c r="A64" s="42" t="s">
        <v>294</v>
      </c>
      <c r="B64" s="42" t="s">
        <v>474</v>
      </c>
      <c r="G64" s="62"/>
    </row>
    <row r="65" spans="1:9">
      <c r="G65" s="62"/>
    </row>
    <row r="66" spans="1:9">
      <c r="A66" s="42" t="s">
        <v>295</v>
      </c>
      <c r="B66" s="55" t="s">
        <v>475</v>
      </c>
      <c r="G66" s="62"/>
    </row>
    <row r="67" spans="1:9">
      <c r="A67" s="42" t="s">
        <v>296</v>
      </c>
      <c r="B67" s="56" t="s">
        <v>476</v>
      </c>
      <c r="G67" s="62"/>
    </row>
    <row r="68" spans="1:9">
      <c r="A68" s="42" t="s">
        <v>297</v>
      </c>
      <c r="B68" s="56" t="s">
        <v>3</v>
      </c>
      <c r="G68" s="62"/>
    </row>
    <row r="69" spans="1:9">
      <c r="A69" s="42" t="s">
        <v>477</v>
      </c>
      <c r="B69" s="56" t="s">
        <v>478</v>
      </c>
      <c r="G69" s="62"/>
    </row>
    <row r="70" spans="1:9">
      <c r="B70" s="42" t="s">
        <v>479</v>
      </c>
      <c r="E70" s="57" t="s">
        <v>480</v>
      </c>
      <c r="G70" s="62"/>
    </row>
    <row r="71" spans="1:9">
      <c r="A71" s="58"/>
      <c r="G71" s="62"/>
    </row>
    <row r="72" spans="1:9">
      <c r="A72" s="58"/>
      <c r="B72" s="42" t="s">
        <v>481</v>
      </c>
      <c r="G72" s="62"/>
    </row>
    <row r="73" spans="1:9">
      <c r="A73" s="58" t="s">
        <v>268</v>
      </c>
      <c r="B73" s="42" t="s">
        <v>482</v>
      </c>
      <c r="C73" s="42" t="s">
        <v>483</v>
      </c>
      <c r="D73" s="42" t="s">
        <v>484</v>
      </c>
      <c r="E73" s="42" t="s">
        <v>485</v>
      </c>
      <c r="F73" s="42" t="s">
        <v>486</v>
      </c>
      <c r="G73" s="62" t="s">
        <v>487</v>
      </c>
      <c r="H73" s="42" t="s">
        <v>488</v>
      </c>
      <c r="I73" s="42" t="s">
        <v>489</v>
      </c>
    </row>
    <row r="74" spans="1:9" ht="75">
      <c r="A74" s="58" t="s">
        <v>279</v>
      </c>
      <c r="B74" s="60" t="s">
        <v>490</v>
      </c>
      <c r="C74" s="60" t="s">
        <v>491</v>
      </c>
      <c r="D74" s="60" t="s">
        <v>492</v>
      </c>
      <c r="E74" s="60" t="s">
        <v>493</v>
      </c>
      <c r="F74" s="60" t="s">
        <v>494</v>
      </c>
      <c r="G74" s="63" t="s">
        <v>495</v>
      </c>
      <c r="H74" s="60" t="s">
        <v>496</v>
      </c>
      <c r="I74" s="60" t="s">
        <v>497</v>
      </c>
    </row>
    <row r="75" spans="1:9">
      <c r="A75" s="58">
        <v>32523</v>
      </c>
      <c r="B75" s="42">
        <v>2.88</v>
      </c>
      <c r="C75" s="42">
        <v>5.84</v>
      </c>
      <c r="E75" s="42">
        <v>5.28</v>
      </c>
      <c r="F75" s="42">
        <v>94.6</v>
      </c>
      <c r="G75" s="62"/>
    </row>
    <row r="76" spans="1:9">
      <c r="A76" s="58">
        <v>32554</v>
      </c>
      <c r="B76" s="42">
        <v>2.95</v>
      </c>
      <c r="C76" s="42">
        <v>5.63</v>
      </c>
      <c r="E76" s="42">
        <v>5.25</v>
      </c>
      <c r="F76" s="42">
        <v>95.1</v>
      </c>
      <c r="G76" s="62"/>
    </row>
    <row r="77" spans="1:9">
      <c r="A77" s="58">
        <v>32582</v>
      </c>
      <c r="B77" s="42">
        <v>2.5299999999999998</v>
      </c>
      <c r="C77" s="42">
        <v>5.21</v>
      </c>
      <c r="E77" s="42">
        <v>5.27</v>
      </c>
      <c r="F77" s="42">
        <v>93</v>
      </c>
      <c r="G77" s="62"/>
    </row>
    <row r="78" spans="1:9">
      <c r="A78" s="58">
        <v>32613</v>
      </c>
      <c r="B78" s="42">
        <v>2.4900000000000002</v>
      </c>
      <c r="C78" s="42">
        <v>4.62</v>
      </c>
      <c r="E78" s="42">
        <v>5.16</v>
      </c>
      <c r="F78" s="42">
        <v>88.3</v>
      </c>
      <c r="G78" s="62"/>
    </row>
    <row r="79" spans="1:9">
      <c r="A79" s="58">
        <v>32643</v>
      </c>
      <c r="B79" s="42">
        <v>2.87</v>
      </c>
      <c r="C79" s="42">
        <v>5.69</v>
      </c>
      <c r="E79" s="42">
        <v>4.28</v>
      </c>
      <c r="F79" s="42">
        <v>94.8</v>
      </c>
      <c r="G79" s="62"/>
    </row>
    <row r="80" spans="1:9">
      <c r="A80" s="58">
        <v>32674</v>
      </c>
      <c r="B80" s="42">
        <v>2.68</v>
      </c>
      <c r="C80" s="42">
        <v>6.09</v>
      </c>
      <c r="E80" s="42">
        <v>4.07</v>
      </c>
      <c r="F80" s="42">
        <v>92.8</v>
      </c>
      <c r="G80" s="62"/>
    </row>
    <row r="81" spans="1:7">
      <c r="A81" s="58">
        <v>32704</v>
      </c>
      <c r="B81" s="42">
        <v>2.77</v>
      </c>
      <c r="C81" s="42">
        <v>6.07</v>
      </c>
      <c r="E81" s="42">
        <v>4.63</v>
      </c>
      <c r="F81" s="42">
        <v>89.4</v>
      </c>
      <c r="G81" s="62"/>
    </row>
    <row r="82" spans="1:7">
      <c r="A82" s="58">
        <v>32735</v>
      </c>
      <c r="B82" s="42">
        <v>2.84</v>
      </c>
      <c r="C82" s="42">
        <v>5.9</v>
      </c>
      <c r="E82" s="42">
        <v>4.57</v>
      </c>
      <c r="F82" s="42">
        <v>87.8</v>
      </c>
      <c r="G82" s="62"/>
    </row>
    <row r="83" spans="1:7">
      <c r="A83" s="58">
        <v>32766</v>
      </c>
      <c r="B83" s="42">
        <v>2.82</v>
      </c>
      <c r="C83" s="42">
        <v>6.1</v>
      </c>
      <c r="E83" s="42">
        <v>4.3899999999999997</v>
      </c>
      <c r="F83" s="42">
        <v>91</v>
      </c>
      <c r="G83" s="62"/>
    </row>
    <row r="84" spans="1:7">
      <c r="A84" s="58">
        <v>32796</v>
      </c>
      <c r="B84" s="42">
        <v>2.59</v>
      </c>
      <c r="C84" s="42">
        <v>6.11</v>
      </c>
      <c r="E84" s="42">
        <v>4.3499999999999996</v>
      </c>
      <c r="F84" s="42">
        <v>88.5</v>
      </c>
      <c r="G84" s="62"/>
    </row>
    <row r="85" spans="1:7">
      <c r="A85" s="58">
        <v>32827</v>
      </c>
      <c r="B85" s="42">
        <v>2.83</v>
      </c>
      <c r="C85" s="42">
        <v>5.12</v>
      </c>
      <c r="E85" s="42">
        <v>5.13</v>
      </c>
      <c r="F85" s="42">
        <v>90.1</v>
      </c>
      <c r="G85" s="62"/>
    </row>
    <row r="86" spans="1:7">
      <c r="A86" s="58">
        <v>32857</v>
      </c>
      <c r="B86" s="42">
        <v>2.85</v>
      </c>
      <c r="C86" s="42">
        <v>5.38</v>
      </c>
      <c r="E86" s="42">
        <v>5.49</v>
      </c>
      <c r="F86" s="42">
        <v>92.2</v>
      </c>
      <c r="G86" s="62"/>
    </row>
    <row r="87" spans="1:7">
      <c r="A87" s="58">
        <v>32888</v>
      </c>
      <c r="B87" s="42">
        <v>3.02</v>
      </c>
      <c r="C87" s="42">
        <v>5.72</v>
      </c>
      <c r="E87" s="42">
        <v>5.56</v>
      </c>
      <c r="F87" s="42">
        <v>95.8</v>
      </c>
      <c r="G87" s="62"/>
    </row>
    <row r="88" spans="1:7">
      <c r="A88" s="58">
        <v>32919</v>
      </c>
      <c r="B88" s="42">
        <v>2.87</v>
      </c>
      <c r="C88" s="42">
        <v>5.77</v>
      </c>
      <c r="E88" s="42">
        <v>5.64</v>
      </c>
      <c r="F88" s="42">
        <v>81.099999999999994</v>
      </c>
      <c r="G88" s="62"/>
    </row>
    <row r="89" spans="1:7">
      <c r="A89" s="58">
        <v>32947</v>
      </c>
      <c r="B89" s="42">
        <v>2.7</v>
      </c>
      <c r="C89" s="42">
        <v>5.64</v>
      </c>
      <c r="E89" s="42">
        <v>5.64</v>
      </c>
      <c r="F89" s="42">
        <v>94.4</v>
      </c>
      <c r="G89" s="62"/>
    </row>
    <row r="90" spans="1:7">
      <c r="A90" s="58">
        <v>32978</v>
      </c>
      <c r="B90" s="42">
        <v>2.79</v>
      </c>
      <c r="C90" s="42">
        <v>5.07</v>
      </c>
      <c r="E90" s="42">
        <v>5.29</v>
      </c>
      <c r="F90" s="42">
        <v>90.4</v>
      </c>
      <c r="G90" s="62"/>
    </row>
    <row r="91" spans="1:7">
      <c r="A91" s="58">
        <v>33008</v>
      </c>
      <c r="B91" s="42">
        <v>2.83</v>
      </c>
      <c r="C91" s="42">
        <v>5.96</v>
      </c>
      <c r="E91" s="42">
        <v>4.54</v>
      </c>
      <c r="F91" s="42">
        <v>90.2</v>
      </c>
      <c r="G91" s="62"/>
    </row>
    <row r="92" spans="1:7">
      <c r="A92" s="58">
        <v>33039</v>
      </c>
      <c r="B92" s="42">
        <v>2.9</v>
      </c>
      <c r="C92" s="42">
        <v>6.22</v>
      </c>
      <c r="E92" s="42">
        <v>4.37</v>
      </c>
      <c r="F92" s="42">
        <v>85.6</v>
      </c>
      <c r="G92" s="62"/>
    </row>
    <row r="93" spans="1:7">
      <c r="A93" s="58">
        <v>33069</v>
      </c>
      <c r="B93" s="42">
        <v>3.23</v>
      </c>
      <c r="C93" s="42">
        <v>6.07</v>
      </c>
      <c r="E93" s="42">
        <v>4.4000000000000004</v>
      </c>
      <c r="F93" s="42">
        <v>78</v>
      </c>
      <c r="G93" s="62"/>
    </row>
    <row r="94" spans="1:7">
      <c r="A94" s="58">
        <v>33100</v>
      </c>
      <c r="B94" s="42">
        <v>2.87</v>
      </c>
      <c r="C94" s="42">
        <v>5.9</v>
      </c>
      <c r="E94" s="42">
        <v>4.6399999999999997</v>
      </c>
      <c r="F94" s="42">
        <v>82.6</v>
      </c>
      <c r="G94" s="62"/>
    </row>
    <row r="95" spans="1:7">
      <c r="A95" s="58">
        <v>33131</v>
      </c>
      <c r="B95" s="42">
        <v>2.84</v>
      </c>
      <c r="C95" s="42">
        <v>6.04</v>
      </c>
      <c r="E95" s="42">
        <v>4.37</v>
      </c>
      <c r="F95" s="42">
        <v>79.099999999999994</v>
      </c>
      <c r="G95" s="62"/>
    </row>
    <row r="96" spans="1:7">
      <c r="A96" s="58">
        <v>33161</v>
      </c>
      <c r="B96" s="42">
        <v>2.82</v>
      </c>
      <c r="C96" s="42">
        <v>6.15</v>
      </c>
      <c r="E96" s="42">
        <v>5.03</v>
      </c>
      <c r="F96" s="42">
        <v>82.3</v>
      </c>
      <c r="G96" s="62"/>
    </row>
    <row r="97" spans="1:7">
      <c r="A97" s="58">
        <v>33192</v>
      </c>
      <c r="B97" s="42">
        <v>2.96</v>
      </c>
      <c r="C97" s="42">
        <v>5.36</v>
      </c>
      <c r="E97" s="42">
        <v>5.05</v>
      </c>
      <c r="F97" s="42">
        <v>85.6</v>
      </c>
      <c r="G97" s="62"/>
    </row>
    <row r="98" spans="1:7">
      <c r="A98" s="58">
        <v>33222</v>
      </c>
      <c r="B98" s="42">
        <v>2.99</v>
      </c>
      <c r="C98" s="42">
        <v>5.99</v>
      </c>
      <c r="E98" s="42">
        <v>5.58</v>
      </c>
      <c r="F98" s="42">
        <v>88.3</v>
      </c>
      <c r="G98" s="62"/>
    </row>
    <row r="99" spans="1:7">
      <c r="A99" s="58">
        <v>33253</v>
      </c>
      <c r="B99" s="42">
        <v>2.91</v>
      </c>
      <c r="C99" s="42">
        <v>6.6</v>
      </c>
      <c r="E99" s="42">
        <v>6.08</v>
      </c>
      <c r="F99" s="42">
        <v>90.5</v>
      </c>
      <c r="G99" s="62"/>
    </row>
    <row r="100" spans="1:7">
      <c r="A100" s="58">
        <v>33284</v>
      </c>
      <c r="B100" s="42">
        <v>2.84</v>
      </c>
      <c r="C100" s="42">
        <v>6.03</v>
      </c>
      <c r="E100" s="42">
        <v>6.29</v>
      </c>
      <c r="F100" s="42">
        <v>88.4</v>
      </c>
      <c r="G100" s="62"/>
    </row>
    <row r="101" spans="1:7">
      <c r="A101" s="58">
        <v>33312</v>
      </c>
      <c r="B101" s="42">
        <v>2.64</v>
      </c>
      <c r="C101" s="42">
        <v>6.04</v>
      </c>
      <c r="E101" s="42">
        <v>6.29</v>
      </c>
      <c r="F101" s="42">
        <v>90.2</v>
      </c>
      <c r="G101" s="62"/>
    </row>
    <row r="102" spans="1:7">
      <c r="A102" s="58">
        <v>33343</v>
      </c>
      <c r="B102" s="42">
        <v>2.69</v>
      </c>
      <c r="C102" s="42">
        <v>5.91</v>
      </c>
      <c r="E102" s="42">
        <v>5.6</v>
      </c>
      <c r="F102" s="42">
        <v>71</v>
      </c>
      <c r="G102" s="62"/>
    </row>
    <row r="103" spans="1:7">
      <c r="A103" s="58">
        <v>33373</v>
      </c>
      <c r="B103" s="42">
        <v>2.63</v>
      </c>
      <c r="C103" s="42">
        <v>6.33</v>
      </c>
      <c r="E103" s="42">
        <v>4.71</v>
      </c>
      <c r="F103" s="42">
        <v>82.2</v>
      </c>
      <c r="G103" s="62"/>
    </row>
    <row r="104" spans="1:7">
      <c r="A104" s="58">
        <v>33404</v>
      </c>
      <c r="B104" s="42">
        <v>2.78</v>
      </c>
      <c r="C104" s="42">
        <v>6.68</v>
      </c>
      <c r="E104" s="42">
        <v>5.17</v>
      </c>
      <c r="F104" s="42">
        <v>71</v>
      </c>
      <c r="G104" s="62"/>
    </row>
    <row r="105" spans="1:7">
      <c r="A105" s="58">
        <v>33434</v>
      </c>
      <c r="B105" s="42">
        <v>2.71</v>
      </c>
      <c r="C105" s="42">
        <v>6.52</v>
      </c>
      <c r="E105" s="42">
        <v>4.88</v>
      </c>
      <c r="F105" s="42">
        <v>68</v>
      </c>
      <c r="G105" s="62"/>
    </row>
    <row r="106" spans="1:7">
      <c r="A106" s="58">
        <v>33465</v>
      </c>
      <c r="B106" s="42">
        <v>2.78</v>
      </c>
      <c r="C106" s="42">
        <v>6.42</v>
      </c>
      <c r="E106" s="42">
        <v>5.42</v>
      </c>
      <c r="F106" s="42">
        <v>85.8</v>
      </c>
      <c r="G106" s="62"/>
    </row>
    <row r="107" spans="1:7">
      <c r="A107" s="58">
        <v>33496</v>
      </c>
      <c r="B107" s="42">
        <v>2.76</v>
      </c>
      <c r="C107" s="42">
        <v>6.48</v>
      </c>
      <c r="E107" s="42">
        <v>4.21</v>
      </c>
      <c r="F107" s="42">
        <v>68</v>
      </c>
      <c r="G107" s="62"/>
    </row>
    <row r="108" spans="1:7">
      <c r="A108" s="58">
        <v>33526</v>
      </c>
      <c r="B108" s="42">
        <v>2.8</v>
      </c>
      <c r="C108" s="42">
        <v>6.46</v>
      </c>
      <c r="E108" s="42">
        <v>4.09</v>
      </c>
      <c r="F108" s="42">
        <v>64.7</v>
      </c>
      <c r="G108" s="62"/>
    </row>
    <row r="109" spans="1:7">
      <c r="A109" s="58">
        <v>33557</v>
      </c>
      <c r="B109" s="42">
        <v>2.78</v>
      </c>
      <c r="C109" s="42">
        <v>5.92</v>
      </c>
      <c r="E109" s="42">
        <v>6.31</v>
      </c>
      <c r="F109" s="42">
        <v>69.8</v>
      </c>
      <c r="G109" s="62"/>
    </row>
    <row r="110" spans="1:7">
      <c r="A110" s="58">
        <v>33587</v>
      </c>
      <c r="B110" s="42">
        <v>3.25</v>
      </c>
      <c r="C110" s="42">
        <v>6.21</v>
      </c>
      <c r="E110" s="42">
        <v>5.92</v>
      </c>
      <c r="F110" s="42">
        <v>80.3</v>
      </c>
      <c r="G110" s="62"/>
    </row>
    <row r="111" spans="1:7">
      <c r="A111" s="58">
        <v>33618</v>
      </c>
      <c r="B111" s="42">
        <v>2.87</v>
      </c>
      <c r="C111" s="42">
        <v>6.15</v>
      </c>
      <c r="E111" s="42">
        <v>4.8</v>
      </c>
      <c r="F111" s="42">
        <v>86.6</v>
      </c>
      <c r="G111" s="62"/>
    </row>
    <row r="112" spans="1:7">
      <c r="A112" s="58">
        <v>33649</v>
      </c>
      <c r="B112" s="42">
        <v>2.56</v>
      </c>
      <c r="C112" s="42">
        <v>6.03</v>
      </c>
      <c r="E112" s="42">
        <v>8.65</v>
      </c>
      <c r="F112" s="42">
        <v>65.599999999999994</v>
      </c>
      <c r="G112" s="62"/>
    </row>
    <row r="113" spans="1:7">
      <c r="A113" s="58">
        <v>33678</v>
      </c>
      <c r="B113" s="42">
        <v>2.37</v>
      </c>
      <c r="C113" s="42">
        <v>5.76</v>
      </c>
      <c r="E113" s="42">
        <v>5.94</v>
      </c>
      <c r="F113" s="42">
        <v>75.7</v>
      </c>
      <c r="G113" s="62"/>
    </row>
    <row r="114" spans="1:7">
      <c r="A114" s="58">
        <v>33709</v>
      </c>
      <c r="B114" s="42">
        <v>2.88</v>
      </c>
      <c r="C114" s="42">
        <v>5.52</v>
      </c>
      <c r="E114" s="42">
        <v>5.93</v>
      </c>
      <c r="F114" s="42">
        <v>79</v>
      </c>
      <c r="G114" s="62"/>
    </row>
    <row r="115" spans="1:7">
      <c r="A115" s="58">
        <v>33739</v>
      </c>
      <c r="B115" s="42">
        <v>2.4700000000000002</v>
      </c>
      <c r="C115" s="42">
        <v>5.99</v>
      </c>
      <c r="E115" s="42">
        <v>3.77</v>
      </c>
      <c r="F115" s="42">
        <v>63.5</v>
      </c>
      <c r="G115" s="62"/>
    </row>
    <row r="116" spans="1:7">
      <c r="A116" s="58">
        <v>33770</v>
      </c>
      <c r="B116" s="42">
        <v>2.59</v>
      </c>
      <c r="C116" s="42">
        <v>6.28</v>
      </c>
      <c r="E116" s="42">
        <v>3.91</v>
      </c>
      <c r="F116" s="42">
        <v>74.5</v>
      </c>
      <c r="G116" s="62"/>
    </row>
    <row r="117" spans="1:7">
      <c r="A117" s="58">
        <v>33800</v>
      </c>
      <c r="B117" s="42">
        <v>2.73</v>
      </c>
      <c r="C117" s="42">
        <v>6.27</v>
      </c>
      <c r="E117" s="42">
        <v>4.3899999999999997</v>
      </c>
      <c r="F117" s="42">
        <v>60.9</v>
      </c>
      <c r="G117" s="62"/>
    </row>
    <row r="118" spans="1:7">
      <c r="A118" s="58">
        <v>33831</v>
      </c>
      <c r="B118" s="42">
        <v>2.82</v>
      </c>
      <c r="C118" s="42">
        <v>6.21</v>
      </c>
      <c r="E118" s="42">
        <v>4.4000000000000004</v>
      </c>
      <c r="F118" s="42">
        <v>64.599999999999994</v>
      </c>
      <c r="G118" s="62"/>
    </row>
    <row r="119" spans="1:7">
      <c r="A119" s="58">
        <v>33862</v>
      </c>
      <c r="B119" s="42">
        <v>2.8</v>
      </c>
      <c r="C119" s="42">
        <v>6.29</v>
      </c>
      <c r="E119" s="42">
        <v>4.2</v>
      </c>
      <c r="F119" s="42">
        <v>79.7</v>
      </c>
      <c r="G119" s="62"/>
    </row>
    <row r="120" spans="1:7">
      <c r="A120" s="58">
        <v>33892</v>
      </c>
      <c r="B120" s="42">
        <v>2.92</v>
      </c>
      <c r="C120" s="42">
        <v>6.35</v>
      </c>
      <c r="E120" s="42">
        <v>4.53</v>
      </c>
      <c r="F120" s="42">
        <v>79</v>
      </c>
      <c r="G120" s="62"/>
    </row>
    <row r="121" spans="1:7">
      <c r="A121" s="58">
        <v>33923</v>
      </c>
      <c r="B121" s="42">
        <v>2.91</v>
      </c>
      <c r="C121" s="42">
        <v>5.6</v>
      </c>
      <c r="E121" s="42">
        <v>5.45</v>
      </c>
      <c r="F121" s="42">
        <v>76.7</v>
      </c>
      <c r="G121" s="62"/>
    </row>
    <row r="122" spans="1:7">
      <c r="A122" s="58">
        <v>33953</v>
      </c>
      <c r="B122" s="42">
        <v>2.75</v>
      </c>
      <c r="C122" s="42">
        <v>5.8</v>
      </c>
      <c r="E122" s="42">
        <v>5.73</v>
      </c>
      <c r="F122" s="42">
        <v>81.400000000000006</v>
      </c>
      <c r="G122" s="62"/>
    </row>
    <row r="123" spans="1:7">
      <c r="A123" s="58">
        <v>33984</v>
      </c>
      <c r="B123" s="42">
        <v>2.74</v>
      </c>
      <c r="C123" s="42">
        <v>6.2</v>
      </c>
      <c r="E123" s="42">
        <v>7.66</v>
      </c>
      <c r="F123" s="42">
        <v>79.900000000000006</v>
      </c>
      <c r="G123" s="62"/>
    </row>
    <row r="124" spans="1:7">
      <c r="A124" s="58">
        <v>34015</v>
      </c>
      <c r="B124" s="42">
        <v>2.69</v>
      </c>
      <c r="C124" s="42">
        <v>6.02</v>
      </c>
      <c r="E124" s="42">
        <v>6</v>
      </c>
      <c r="F124" s="42">
        <v>82.3</v>
      </c>
      <c r="G124" s="62"/>
    </row>
    <row r="125" spans="1:7">
      <c r="A125" s="58">
        <v>34043</v>
      </c>
      <c r="B125" s="42">
        <v>2.9</v>
      </c>
      <c r="C125" s="42">
        <v>5.87</v>
      </c>
      <c r="E125" s="42">
        <v>6.84</v>
      </c>
      <c r="F125" s="42">
        <v>77.599999999999994</v>
      </c>
      <c r="G125" s="62"/>
    </row>
    <row r="126" spans="1:7">
      <c r="A126" s="58">
        <v>34074</v>
      </c>
      <c r="B126" s="42">
        <v>2.86</v>
      </c>
      <c r="C126" s="42">
        <v>5.71</v>
      </c>
      <c r="E126" s="42">
        <v>6.08</v>
      </c>
      <c r="F126" s="42">
        <v>80.7</v>
      </c>
      <c r="G126" s="62"/>
    </row>
    <row r="127" spans="1:7">
      <c r="A127" s="58">
        <v>34104</v>
      </c>
      <c r="B127" s="42">
        <v>2.97</v>
      </c>
      <c r="C127" s="42">
        <v>6.1</v>
      </c>
      <c r="E127" s="42">
        <v>5.79</v>
      </c>
      <c r="F127" s="42">
        <v>76.8</v>
      </c>
      <c r="G127" s="62"/>
    </row>
    <row r="128" spans="1:7">
      <c r="A128" s="58">
        <v>34135</v>
      </c>
      <c r="B128" s="42">
        <v>2.84</v>
      </c>
      <c r="C128" s="42">
        <v>6.58</v>
      </c>
      <c r="E128" s="42">
        <v>6.44</v>
      </c>
      <c r="F128" s="42">
        <v>71.400000000000006</v>
      </c>
      <c r="G128" s="62"/>
    </row>
    <row r="129" spans="1:7">
      <c r="A129" s="58">
        <v>34165</v>
      </c>
      <c r="B129" s="42">
        <v>2.81</v>
      </c>
      <c r="C129" s="42">
        <v>6.61</v>
      </c>
      <c r="E129" s="42">
        <v>5.12</v>
      </c>
      <c r="F129" s="42">
        <v>76.400000000000006</v>
      </c>
      <c r="G129" s="62"/>
    </row>
    <row r="130" spans="1:7">
      <c r="A130" s="58">
        <v>34196</v>
      </c>
      <c r="B130" s="42">
        <v>2.77</v>
      </c>
      <c r="C130" s="42">
        <v>6.61</v>
      </c>
      <c r="E130" s="42">
        <v>6.58</v>
      </c>
      <c r="F130" s="42">
        <v>70.3</v>
      </c>
      <c r="G130" s="62"/>
    </row>
    <row r="131" spans="1:7">
      <c r="A131" s="58">
        <v>34227</v>
      </c>
      <c r="B131" s="42">
        <v>3.08</v>
      </c>
      <c r="C131" s="42">
        <v>6.67</v>
      </c>
      <c r="E131" s="42">
        <v>5.75</v>
      </c>
      <c r="F131" s="42">
        <v>70.599999999999994</v>
      </c>
      <c r="G131" s="62"/>
    </row>
    <row r="132" spans="1:7">
      <c r="A132" s="58">
        <v>34257</v>
      </c>
      <c r="B132" s="42">
        <v>2.84</v>
      </c>
      <c r="C132" s="42">
        <v>6.69</v>
      </c>
      <c r="E132" s="42">
        <v>4.92</v>
      </c>
      <c r="F132" s="42">
        <v>73.8</v>
      </c>
      <c r="G132" s="62"/>
    </row>
    <row r="133" spans="1:7">
      <c r="A133" s="58">
        <v>34288</v>
      </c>
      <c r="B133" s="42">
        <v>3.05</v>
      </c>
      <c r="C133" s="42">
        <v>6.29</v>
      </c>
      <c r="E133" s="42">
        <v>5.03</v>
      </c>
      <c r="F133" s="42">
        <v>75.7</v>
      </c>
      <c r="G133" s="62"/>
    </row>
    <row r="134" spans="1:7">
      <c r="A134" s="58">
        <v>34318</v>
      </c>
      <c r="B134" s="42">
        <v>2.86</v>
      </c>
      <c r="C134" s="42">
        <v>6.33</v>
      </c>
      <c r="E134" s="42">
        <v>5.69</v>
      </c>
      <c r="F134" s="42">
        <v>78.8</v>
      </c>
      <c r="G134" s="62"/>
    </row>
    <row r="135" spans="1:7">
      <c r="A135" s="58">
        <v>34349</v>
      </c>
      <c r="B135" s="42">
        <v>2.83</v>
      </c>
      <c r="C135" s="42">
        <v>6.36</v>
      </c>
      <c r="E135" s="42">
        <v>8.16</v>
      </c>
      <c r="F135" s="42">
        <v>51.3</v>
      </c>
      <c r="G135" s="62"/>
    </row>
    <row r="136" spans="1:7">
      <c r="A136" s="58">
        <v>34380</v>
      </c>
      <c r="B136" s="42">
        <v>3.09</v>
      </c>
      <c r="C136" s="42">
        <v>6.25</v>
      </c>
      <c r="E136" s="42">
        <v>8.6999999999999993</v>
      </c>
      <c r="F136" s="42">
        <v>47.2</v>
      </c>
      <c r="G136" s="62"/>
    </row>
    <row r="137" spans="1:7">
      <c r="A137" s="58">
        <v>34408</v>
      </c>
      <c r="B137" s="42">
        <v>2.98</v>
      </c>
      <c r="C137" s="42">
        <v>6.13</v>
      </c>
      <c r="E137" s="42">
        <v>8.27</v>
      </c>
      <c r="F137" s="42">
        <v>50.6</v>
      </c>
      <c r="G137" s="62"/>
    </row>
    <row r="138" spans="1:7">
      <c r="A138" s="58">
        <v>34439</v>
      </c>
      <c r="B138" s="42">
        <v>2.62</v>
      </c>
      <c r="C138" s="42">
        <v>6.55</v>
      </c>
      <c r="E138" s="42">
        <v>8.2799999999999994</v>
      </c>
      <c r="F138" s="42">
        <v>40.5</v>
      </c>
      <c r="G138" s="62"/>
    </row>
    <row r="139" spans="1:7">
      <c r="A139" s="58">
        <v>34469</v>
      </c>
      <c r="B139" s="42">
        <v>2.57</v>
      </c>
      <c r="C139" s="42">
        <v>5.62</v>
      </c>
      <c r="E139" s="42">
        <v>5.85</v>
      </c>
      <c r="F139" s="42">
        <v>47.4</v>
      </c>
      <c r="G139" s="62"/>
    </row>
    <row r="140" spans="1:7">
      <c r="A140" s="58">
        <v>34500</v>
      </c>
      <c r="B140" s="42">
        <v>2.57</v>
      </c>
      <c r="C140" s="42">
        <v>6.64</v>
      </c>
      <c r="E140" s="42">
        <v>7.77</v>
      </c>
      <c r="F140" s="42">
        <v>32.200000000000003</v>
      </c>
      <c r="G140" s="62"/>
    </row>
    <row r="141" spans="1:7">
      <c r="A141" s="58">
        <v>34530</v>
      </c>
      <c r="B141" s="42">
        <v>2.4500000000000002</v>
      </c>
      <c r="C141" s="42">
        <v>6.55</v>
      </c>
      <c r="E141" s="42">
        <v>5.42</v>
      </c>
      <c r="F141" s="42">
        <v>36.4</v>
      </c>
      <c r="G141" s="62"/>
    </row>
    <row r="142" spans="1:7">
      <c r="A142" s="58">
        <v>34561</v>
      </c>
      <c r="B142" s="42">
        <v>2.5299999999999998</v>
      </c>
      <c r="C142" s="42">
        <v>6.68</v>
      </c>
      <c r="E142" s="42">
        <v>7.45</v>
      </c>
      <c r="F142" s="42">
        <v>46.5</v>
      </c>
      <c r="G142" s="62"/>
    </row>
    <row r="143" spans="1:7">
      <c r="A143" s="58">
        <v>34592</v>
      </c>
      <c r="B143" s="42">
        <v>2.23</v>
      </c>
      <c r="C143" s="42">
        <v>6.66</v>
      </c>
      <c r="E143" s="42">
        <v>7.19</v>
      </c>
      <c r="F143" s="42">
        <v>46</v>
      </c>
      <c r="G143" s="62"/>
    </row>
    <row r="144" spans="1:7">
      <c r="A144" s="58">
        <v>34622</v>
      </c>
      <c r="B144" s="42">
        <v>2.48</v>
      </c>
      <c r="C144" s="42">
        <v>6.71</v>
      </c>
      <c r="E144" s="42">
        <v>5.68</v>
      </c>
      <c r="F144" s="42">
        <v>52.2</v>
      </c>
      <c r="G144" s="62"/>
    </row>
    <row r="145" spans="1:7">
      <c r="A145" s="58">
        <v>34653</v>
      </c>
      <c r="B145" s="42">
        <v>2.2200000000000002</v>
      </c>
      <c r="C145" s="42">
        <v>6.33</v>
      </c>
      <c r="E145" s="42">
        <v>6.02</v>
      </c>
      <c r="F145" s="42">
        <v>57.8</v>
      </c>
      <c r="G145" s="62"/>
    </row>
    <row r="146" spans="1:7">
      <c r="A146" s="58">
        <v>34683</v>
      </c>
      <c r="B146" s="42">
        <v>2.39</v>
      </c>
      <c r="C146" s="42">
        <v>6.63</v>
      </c>
      <c r="E146" s="42">
        <v>6.83</v>
      </c>
      <c r="F146" s="42">
        <v>68.2</v>
      </c>
      <c r="G146" s="62"/>
    </row>
    <row r="147" spans="1:7">
      <c r="A147" s="58">
        <v>34714</v>
      </c>
      <c r="B147" s="42">
        <v>1.94</v>
      </c>
      <c r="C147" s="42">
        <v>6.52</v>
      </c>
      <c r="E147" s="42">
        <v>7.11</v>
      </c>
      <c r="F147" s="42">
        <v>61.3</v>
      </c>
      <c r="G147" s="62"/>
    </row>
    <row r="148" spans="1:7">
      <c r="A148" s="58">
        <v>34745</v>
      </c>
      <c r="B148" s="42">
        <v>1.95</v>
      </c>
      <c r="C148" s="42">
        <v>6.39</v>
      </c>
      <c r="E148" s="42">
        <v>6.74</v>
      </c>
      <c r="F148" s="42">
        <v>58.6</v>
      </c>
      <c r="G148" s="62"/>
    </row>
    <row r="149" spans="1:7">
      <c r="A149" s="58">
        <v>34773</v>
      </c>
      <c r="B149" s="42">
        <v>1.89</v>
      </c>
      <c r="C149" s="42">
        <v>6.28</v>
      </c>
      <c r="E149" s="42">
        <v>6.41</v>
      </c>
      <c r="F149" s="42">
        <v>64.7</v>
      </c>
      <c r="G149" s="62"/>
    </row>
    <row r="150" spans="1:7">
      <c r="A150" s="58">
        <v>34804</v>
      </c>
      <c r="B150" s="42">
        <v>2.12</v>
      </c>
      <c r="C150" s="42">
        <v>6.22</v>
      </c>
      <c r="E150" s="42">
        <v>5.98</v>
      </c>
      <c r="F150" s="42">
        <v>56.8</v>
      </c>
      <c r="G150" s="62"/>
    </row>
    <row r="151" spans="1:7">
      <c r="A151" s="58">
        <v>34834</v>
      </c>
      <c r="B151" s="42">
        <v>2.0299999999999998</v>
      </c>
      <c r="C151" s="42">
        <v>6.58</v>
      </c>
      <c r="E151" s="42">
        <v>5.56</v>
      </c>
      <c r="F151" s="42">
        <v>50.3</v>
      </c>
      <c r="G151" s="62"/>
    </row>
    <row r="152" spans="1:7">
      <c r="A152" s="58">
        <v>34865</v>
      </c>
      <c r="B152" s="42">
        <v>1.84</v>
      </c>
      <c r="C152" s="42">
        <v>7.11</v>
      </c>
      <c r="E152" s="42">
        <v>5.98</v>
      </c>
      <c r="F152" s="42">
        <v>53.1</v>
      </c>
      <c r="G152" s="62"/>
    </row>
    <row r="153" spans="1:7">
      <c r="A153" s="58">
        <v>34895</v>
      </c>
      <c r="B153" s="42">
        <v>2.1800000000000002</v>
      </c>
      <c r="C153" s="42">
        <v>6.88</v>
      </c>
      <c r="E153" s="42">
        <v>5.68</v>
      </c>
      <c r="F153" s="42">
        <v>44.7</v>
      </c>
      <c r="G153" s="62"/>
    </row>
    <row r="154" spans="1:7">
      <c r="A154" s="58">
        <v>34926</v>
      </c>
      <c r="B154" s="42">
        <v>2.25</v>
      </c>
      <c r="C154" s="42">
        <v>6.76</v>
      </c>
      <c r="E154" s="42">
        <v>6.2</v>
      </c>
      <c r="F154" s="42">
        <v>44.1</v>
      </c>
      <c r="G154" s="62"/>
    </row>
    <row r="155" spans="1:7">
      <c r="A155" s="58">
        <v>34957</v>
      </c>
      <c r="B155" s="42">
        <v>2.06</v>
      </c>
      <c r="C155" s="42">
        <v>6.9</v>
      </c>
      <c r="E155" s="42">
        <v>6</v>
      </c>
      <c r="F155" s="42">
        <v>39.9</v>
      </c>
      <c r="G155" s="62"/>
    </row>
    <row r="156" spans="1:7">
      <c r="A156" s="58">
        <v>34987</v>
      </c>
      <c r="B156" s="42">
        <v>2.14</v>
      </c>
      <c r="C156" s="42">
        <v>6.66</v>
      </c>
      <c r="E156" s="42">
        <v>6.04</v>
      </c>
      <c r="F156" s="42">
        <v>43.4</v>
      </c>
      <c r="G156" s="62"/>
    </row>
    <row r="157" spans="1:7">
      <c r="A157" s="58">
        <v>35018</v>
      </c>
      <c r="B157" s="42">
        <v>2.15</v>
      </c>
      <c r="C157" s="42">
        <v>5.78</v>
      </c>
      <c r="E157" s="42">
        <v>4.67</v>
      </c>
      <c r="F157" s="42">
        <v>48.7</v>
      </c>
      <c r="G157" s="62"/>
    </row>
    <row r="158" spans="1:7">
      <c r="A158" s="58">
        <v>35048</v>
      </c>
      <c r="B158" s="42">
        <v>1.9</v>
      </c>
      <c r="C158" s="42">
        <v>5.92</v>
      </c>
      <c r="E158" s="42">
        <v>7.01</v>
      </c>
      <c r="F158" s="42">
        <v>50.9</v>
      </c>
      <c r="G158" s="62"/>
    </row>
    <row r="159" spans="1:7">
      <c r="A159" s="58">
        <v>35079</v>
      </c>
      <c r="B159" s="42">
        <v>2.29</v>
      </c>
      <c r="C159" s="42">
        <v>6.48</v>
      </c>
      <c r="E159" s="42">
        <v>6.74</v>
      </c>
      <c r="F159" s="42">
        <v>59.9</v>
      </c>
      <c r="G159" s="62"/>
    </row>
    <row r="160" spans="1:7">
      <c r="A160" s="58">
        <v>35110</v>
      </c>
      <c r="B160" s="42">
        <v>2.25</v>
      </c>
      <c r="C160" s="42">
        <v>6.33</v>
      </c>
      <c r="E160" s="42">
        <v>6.19</v>
      </c>
      <c r="F160" s="42">
        <v>59.6</v>
      </c>
      <c r="G160" s="62"/>
    </row>
    <row r="161" spans="1:7">
      <c r="A161" s="58">
        <v>35139</v>
      </c>
      <c r="B161" s="42">
        <v>2.42</v>
      </c>
      <c r="C161" s="42">
        <v>6.21</v>
      </c>
      <c r="E161" s="42">
        <v>6.6</v>
      </c>
      <c r="F161" s="42">
        <v>63.7</v>
      </c>
      <c r="G161" s="62"/>
    </row>
    <row r="162" spans="1:7">
      <c r="A162" s="58">
        <v>35170</v>
      </c>
      <c r="B162" s="42">
        <v>2.2200000000000002</v>
      </c>
      <c r="C162" s="42">
        <v>6.01</v>
      </c>
      <c r="E162" s="42">
        <v>5.99</v>
      </c>
      <c r="F162" s="42">
        <v>64.099999999999994</v>
      </c>
      <c r="G162" s="62"/>
    </row>
    <row r="163" spans="1:7">
      <c r="A163" s="58">
        <v>35200</v>
      </c>
      <c r="B163" s="42">
        <v>2.14</v>
      </c>
      <c r="C163" s="42">
        <v>6.39</v>
      </c>
      <c r="E163" s="42">
        <v>5.55</v>
      </c>
      <c r="F163" s="42">
        <v>52.6</v>
      </c>
      <c r="G163" s="62"/>
    </row>
    <row r="164" spans="1:7">
      <c r="A164" s="58">
        <v>35231</v>
      </c>
      <c r="B164" s="42">
        <v>2.56</v>
      </c>
      <c r="C164" s="42">
        <v>6.99</v>
      </c>
      <c r="E164" s="42">
        <v>5.42</v>
      </c>
      <c r="F164" s="42">
        <v>53.5</v>
      </c>
      <c r="G164" s="62"/>
    </row>
    <row r="165" spans="1:7">
      <c r="A165" s="58">
        <v>35261</v>
      </c>
      <c r="B165" s="42">
        <v>2.42</v>
      </c>
      <c r="C165" s="42">
        <v>8.2799999999999994</v>
      </c>
      <c r="E165" s="42">
        <v>5.5</v>
      </c>
      <c r="F165" s="42">
        <v>48.4</v>
      </c>
      <c r="G165" s="62"/>
    </row>
    <row r="166" spans="1:7">
      <c r="A166" s="58">
        <v>35292</v>
      </c>
      <c r="B166" s="42">
        <v>2.77</v>
      </c>
      <c r="C166" s="42">
        <v>6.85</v>
      </c>
      <c r="E166" s="42">
        <v>5.25</v>
      </c>
      <c r="F166" s="42">
        <v>44.7</v>
      </c>
      <c r="G166" s="62"/>
    </row>
    <row r="167" spans="1:7">
      <c r="A167" s="58">
        <v>35323</v>
      </c>
      <c r="B167" s="42">
        <v>2.34</v>
      </c>
      <c r="C167" s="42">
        <v>5.94</v>
      </c>
      <c r="E167" s="42">
        <v>5.46</v>
      </c>
      <c r="F167" s="42">
        <v>45.3</v>
      </c>
      <c r="G167" s="62"/>
    </row>
    <row r="168" spans="1:7">
      <c r="A168" s="58">
        <v>35353</v>
      </c>
      <c r="B168" s="42">
        <v>2.37</v>
      </c>
      <c r="C168" s="42">
        <v>6.67</v>
      </c>
      <c r="E168" s="42">
        <v>5.68</v>
      </c>
      <c r="F168" s="42">
        <v>44.1</v>
      </c>
      <c r="G168" s="62"/>
    </row>
    <row r="169" spans="1:7">
      <c r="A169" s="58">
        <v>35384</v>
      </c>
      <c r="B169" s="42">
        <v>3</v>
      </c>
      <c r="C169" s="42">
        <v>6.41</v>
      </c>
      <c r="E169" s="42">
        <v>5.49</v>
      </c>
      <c r="F169" s="42">
        <v>57.9</v>
      </c>
      <c r="G169" s="62"/>
    </row>
    <row r="170" spans="1:7">
      <c r="A170" s="58">
        <v>35414</v>
      </c>
      <c r="B170" s="42">
        <v>3.81</v>
      </c>
      <c r="C170" s="42">
        <v>6.2</v>
      </c>
      <c r="E170" s="42">
        <v>6.36</v>
      </c>
      <c r="F170" s="42">
        <v>56.1</v>
      </c>
      <c r="G170" s="62"/>
    </row>
    <row r="171" spans="1:7">
      <c r="A171" s="58">
        <v>35445</v>
      </c>
      <c r="B171" s="42">
        <v>4.1399999999999997</v>
      </c>
      <c r="C171" s="42">
        <v>6.27</v>
      </c>
      <c r="E171" s="42">
        <v>7.12</v>
      </c>
      <c r="F171" s="42">
        <v>57.4</v>
      </c>
      <c r="G171" s="62"/>
    </row>
    <row r="172" spans="1:7">
      <c r="A172" s="58">
        <v>35476</v>
      </c>
      <c r="B172" s="42">
        <v>3.21</v>
      </c>
      <c r="C172" s="42">
        <v>6.27</v>
      </c>
      <c r="E172" s="42">
        <v>6.92</v>
      </c>
      <c r="F172" s="42">
        <v>59.3</v>
      </c>
      <c r="G172" s="62"/>
    </row>
    <row r="173" spans="1:7">
      <c r="A173" s="58">
        <v>35504</v>
      </c>
      <c r="B173" s="42">
        <v>2.25</v>
      </c>
      <c r="C173" s="42">
        <v>6.42</v>
      </c>
      <c r="E173" s="42">
        <v>6.65</v>
      </c>
      <c r="F173" s="42">
        <v>54.6</v>
      </c>
      <c r="G173" s="62"/>
    </row>
    <row r="174" spans="1:7">
      <c r="A174" s="58">
        <v>35535</v>
      </c>
      <c r="B174" s="42">
        <v>2.2999999999999998</v>
      </c>
      <c r="C174" s="42">
        <v>6.18</v>
      </c>
      <c r="E174" s="42">
        <v>6.04</v>
      </c>
      <c r="F174" s="42">
        <v>52.5</v>
      </c>
      <c r="G174" s="62"/>
    </row>
    <row r="175" spans="1:7">
      <c r="A175" s="58">
        <v>35565</v>
      </c>
      <c r="B175" s="42">
        <v>2.5499999999999998</v>
      </c>
      <c r="C175" s="42">
        <v>6.38</v>
      </c>
      <c r="E175" s="42">
        <v>5.28</v>
      </c>
      <c r="F175" s="42">
        <v>50</v>
      </c>
      <c r="G175" s="62"/>
    </row>
    <row r="176" spans="1:7">
      <c r="A176" s="58">
        <v>35596</v>
      </c>
      <c r="B176" s="42">
        <v>2.67</v>
      </c>
      <c r="C176" s="42">
        <v>7.7</v>
      </c>
      <c r="E176" s="42">
        <v>6.26</v>
      </c>
      <c r="F176" s="42">
        <v>48.5</v>
      </c>
      <c r="G176" s="62"/>
    </row>
    <row r="177" spans="1:7">
      <c r="A177" s="58">
        <v>35626</v>
      </c>
      <c r="B177" s="42">
        <v>3.72</v>
      </c>
      <c r="C177" s="42">
        <v>7.05</v>
      </c>
      <c r="E177" s="42">
        <v>5.85</v>
      </c>
      <c r="F177" s="42">
        <v>45.6</v>
      </c>
      <c r="G177" s="62"/>
    </row>
    <row r="178" spans="1:7">
      <c r="A178" s="58">
        <v>35657</v>
      </c>
      <c r="B178" s="42">
        <v>2.79</v>
      </c>
      <c r="C178" s="42">
        <v>7.56</v>
      </c>
      <c r="E178" s="42">
        <v>4.95</v>
      </c>
      <c r="F178" s="42">
        <v>41.5</v>
      </c>
      <c r="G178" s="62"/>
    </row>
    <row r="179" spans="1:7">
      <c r="A179" s="58">
        <v>35688</v>
      </c>
      <c r="B179" s="42">
        <v>2.74</v>
      </c>
      <c r="C179" s="42">
        <v>7.42</v>
      </c>
      <c r="E179" s="42">
        <v>5.83</v>
      </c>
      <c r="F179" s="42">
        <v>40.700000000000003</v>
      </c>
      <c r="G179" s="62"/>
    </row>
    <row r="180" spans="1:7">
      <c r="A180" s="58">
        <v>35718</v>
      </c>
      <c r="B180" s="42">
        <v>3.18</v>
      </c>
      <c r="C180" s="42">
        <v>7.8</v>
      </c>
      <c r="E180" s="42">
        <v>6.64</v>
      </c>
      <c r="F180" s="42">
        <v>41.6</v>
      </c>
      <c r="G180" s="62"/>
    </row>
    <row r="181" spans="1:7">
      <c r="A181" s="58">
        <v>35749</v>
      </c>
      <c r="B181" s="42">
        <v>3.3</v>
      </c>
      <c r="C181" s="42">
        <v>7.48</v>
      </c>
      <c r="E181" s="42">
        <v>7.03</v>
      </c>
      <c r="F181" s="42">
        <v>49.2</v>
      </c>
      <c r="G181" s="62"/>
    </row>
    <row r="182" spans="1:7">
      <c r="A182" s="58">
        <v>35779</v>
      </c>
      <c r="B182" s="42">
        <v>2.65</v>
      </c>
      <c r="C182" s="42">
        <v>7.2</v>
      </c>
      <c r="E182" s="42">
        <v>6.98</v>
      </c>
      <c r="F182" s="42">
        <v>54.8</v>
      </c>
      <c r="G182" s="62"/>
    </row>
    <row r="183" spans="1:7">
      <c r="A183" s="58">
        <v>35810</v>
      </c>
      <c r="B183" s="42">
        <v>2.35</v>
      </c>
      <c r="C183" s="42">
        <v>7.27</v>
      </c>
      <c r="E183" s="42">
        <v>6.8</v>
      </c>
      <c r="F183" s="42">
        <v>63.4</v>
      </c>
      <c r="G183" s="62"/>
    </row>
    <row r="184" spans="1:7">
      <c r="A184" s="58">
        <v>35841</v>
      </c>
      <c r="B184" s="42">
        <v>2.12</v>
      </c>
      <c r="C184" s="42">
        <v>6.48</v>
      </c>
      <c r="E184" s="42">
        <v>6.86</v>
      </c>
      <c r="F184" s="42">
        <v>59.8</v>
      </c>
      <c r="G184" s="62"/>
    </row>
    <row r="185" spans="1:7">
      <c r="A185" s="58">
        <v>35869</v>
      </c>
      <c r="B185" s="42">
        <v>2.38</v>
      </c>
      <c r="C185" s="42">
        <v>6.77</v>
      </c>
      <c r="E185" s="42">
        <v>7.18</v>
      </c>
      <c r="F185" s="42">
        <v>75.5</v>
      </c>
      <c r="G185" s="62"/>
    </row>
    <row r="186" spans="1:7">
      <c r="A186" s="58">
        <v>35900</v>
      </c>
      <c r="B186" s="42">
        <v>2.33</v>
      </c>
      <c r="C186" s="42">
        <v>6.79</v>
      </c>
      <c r="E186" s="42">
        <v>6.76</v>
      </c>
      <c r="F186" s="42">
        <v>58.3</v>
      </c>
      <c r="G186" s="62"/>
    </row>
    <row r="187" spans="1:7">
      <c r="A187" s="58">
        <v>35930</v>
      </c>
      <c r="B187" s="42">
        <v>2.4900000000000002</v>
      </c>
      <c r="C187" s="42">
        <v>7</v>
      </c>
      <c r="E187" s="42">
        <v>5.77</v>
      </c>
      <c r="F187" s="42">
        <v>53.9</v>
      </c>
      <c r="G187" s="62"/>
    </row>
    <row r="188" spans="1:7">
      <c r="A188" s="58">
        <v>35961</v>
      </c>
      <c r="B188" s="42">
        <v>2.34</v>
      </c>
      <c r="C188" s="42">
        <v>7.31</v>
      </c>
      <c r="E188" s="42">
        <v>6.01</v>
      </c>
      <c r="F188" s="42">
        <v>58.4</v>
      </c>
      <c r="G188" s="62"/>
    </row>
    <row r="189" spans="1:7">
      <c r="A189" s="58">
        <v>35991</v>
      </c>
      <c r="B189" s="42">
        <v>2.39</v>
      </c>
      <c r="C189" s="42">
        <v>7.06</v>
      </c>
      <c r="E189" s="42">
        <v>5.59</v>
      </c>
      <c r="F189" s="42">
        <v>36.4</v>
      </c>
      <c r="G189" s="62"/>
    </row>
    <row r="190" spans="1:7">
      <c r="A190" s="58">
        <v>36022</v>
      </c>
      <c r="B190" s="42">
        <v>2.46</v>
      </c>
      <c r="C190" s="42">
        <v>7.2</v>
      </c>
      <c r="E190" s="42">
        <v>5.98</v>
      </c>
      <c r="F190" s="42">
        <v>29</v>
      </c>
      <c r="G190" s="62"/>
    </row>
    <row r="191" spans="1:7">
      <c r="A191" s="58">
        <v>36053</v>
      </c>
      <c r="B191" s="42">
        <v>1.98</v>
      </c>
      <c r="C191" s="42">
        <v>7</v>
      </c>
      <c r="E191" s="42">
        <v>5.93</v>
      </c>
      <c r="F191" s="42">
        <v>33.200000000000003</v>
      </c>
      <c r="G191" s="62"/>
    </row>
    <row r="192" spans="1:7">
      <c r="A192" s="58">
        <v>36083</v>
      </c>
      <c r="B192" s="42">
        <v>2.2200000000000002</v>
      </c>
      <c r="C192" s="42">
        <v>6.87</v>
      </c>
      <c r="E192" s="42">
        <v>5.73</v>
      </c>
      <c r="F192" s="42">
        <v>37.5</v>
      </c>
      <c r="G192" s="62"/>
    </row>
    <row r="193" spans="1:7">
      <c r="A193" s="58">
        <v>36114</v>
      </c>
      <c r="B193" s="42">
        <v>2.4900000000000002</v>
      </c>
      <c r="C193" s="42">
        <v>6.79</v>
      </c>
      <c r="E193" s="42">
        <v>6.08</v>
      </c>
      <c r="F193" s="42">
        <v>38.799999999999997</v>
      </c>
      <c r="G193" s="62"/>
    </row>
    <row r="194" spans="1:7">
      <c r="A194" s="58">
        <v>36144</v>
      </c>
      <c r="B194" s="42">
        <v>2.75</v>
      </c>
      <c r="C194" s="42">
        <v>6.88</v>
      </c>
      <c r="E194" s="42">
        <v>6.38</v>
      </c>
      <c r="F194" s="42">
        <v>49.2</v>
      </c>
      <c r="G194" s="62"/>
    </row>
    <row r="195" spans="1:7">
      <c r="A195" s="58">
        <v>36175</v>
      </c>
      <c r="B195" s="42">
        <v>2.21</v>
      </c>
      <c r="C195" s="42">
        <v>6.82</v>
      </c>
      <c r="E195" s="42">
        <v>6.15</v>
      </c>
      <c r="F195" s="42">
        <v>63.5</v>
      </c>
      <c r="G195" s="62"/>
    </row>
    <row r="196" spans="1:7">
      <c r="A196" s="58">
        <v>36206</v>
      </c>
      <c r="B196" s="42">
        <v>2.2000000000000002</v>
      </c>
      <c r="C196" s="42">
        <v>6.54</v>
      </c>
      <c r="E196" s="42">
        <v>6.64</v>
      </c>
      <c r="F196" s="42">
        <v>60.4</v>
      </c>
      <c r="G196" s="62"/>
    </row>
    <row r="197" spans="1:7">
      <c r="A197" s="58">
        <v>36234</v>
      </c>
      <c r="B197" s="42">
        <v>2.06</v>
      </c>
      <c r="C197" s="42">
        <v>6.22</v>
      </c>
      <c r="E197" s="42">
        <v>5.46</v>
      </c>
      <c r="F197" s="42">
        <v>61.4</v>
      </c>
      <c r="G197" s="62"/>
    </row>
    <row r="198" spans="1:7">
      <c r="A198" s="58">
        <v>36265</v>
      </c>
      <c r="B198" s="42">
        <v>2.15</v>
      </c>
      <c r="C198" s="42">
        <v>5.98</v>
      </c>
      <c r="E198" s="42">
        <v>5.88</v>
      </c>
      <c r="F198" s="42">
        <v>62.5</v>
      </c>
      <c r="G198" s="62"/>
    </row>
    <row r="199" spans="1:7">
      <c r="A199" s="58">
        <v>36295</v>
      </c>
      <c r="B199" s="42">
        <v>2.7</v>
      </c>
      <c r="C199" s="42">
        <v>6.22</v>
      </c>
      <c r="E199" s="42">
        <v>5.53</v>
      </c>
      <c r="F199" s="42">
        <v>51.1</v>
      </c>
      <c r="G199" s="62"/>
    </row>
    <row r="200" spans="1:7">
      <c r="A200" s="58">
        <v>36326</v>
      </c>
      <c r="B200" s="42">
        <v>2.6</v>
      </c>
      <c r="C200" s="42">
        <v>6.82</v>
      </c>
      <c r="E200" s="42">
        <v>5.74</v>
      </c>
      <c r="F200" s="42">
        <v>61.9</v>
      </c>
      <c r="G200" s="62"/>
    </row>
    <row r="201" spans="1:7">
      <c r="A201" s="58">
        <v>36356</v>
      </c>
      <c r="B201" s="42">
        <v>2.61</v>
      </c>
      <c r="C201" s="42">
        <v>7.04</v>
      </c>
      <c r="E201" s="42">
        <v>6</v>
      </c>
      <c r="F201" s="42">
        <v>53.8</v>
      </c>
      <c r="G201" s="62"/>
    </row>
    <row r="202" spans="1:7">
      <c r="A202" s="58">
        <v>36387</v>
      </c>
      <c r="B202" s="42">
        <v>2.82</v>
      </c>
      <c r="C202" s="42">
        <v>7.21</v>
      </c>
      <c r="E202" s="42">
        <v>6.42</v>
      </c>
      <c r="F202" s="42">
        <v>39</v>
      </c>
      <c r="G202" s="62"/>
    </row>
    <row r="203" spans="1:7">
      <c r="A203" s="58">
        <v>36418</v>
      </c>
      <c r="B203" s="42">
        <v>3.02</v>
      </c>
      <c r="C203" s="42">
        <v>6.88</v>
      </c>
      <c r="E203" s="42">
        <v>6.3</v>
      </c>
      <c r="F203" s="42">
        <v>51.2</v>
      </c>
      <c r="G203" s="62"/>
    </row>
    <row r="204" spans="1:7">
      <c r="A204" s="58">
        <v>36448</v>
      </c>
      <c r="B204" s="42">
        <v>3.44</v>
      </c>
      <c r="C204" s="42">
        <v>7.51</v>
      </c>
      <c r="E204" s="42">
        <v>6.69</v>
      </c>
      <c r="F204" s="42">
        <v>55.4</v>
      </c>
      <c r="G204" s="62"/>
    </row>
    <row r="205" spans="1:7">
      <c r="A205" s="58">
        <v>36479</v>
      </c>
      <c r="B205" s="42">
        <v>3.27</v>
      </c>
      <c r="C205" s="42">
        <v>7.13</v>
      </c>
      <c r="E205" s="42">
        <v>6.74</v>
      </c>
      <c r="F205" s="42">
        <v>54.2</v>
      </c>
      <c r="G205" s="62"/>
    </row>
    <row r="206" spans="1:7">
      <c r="A206" s="58">
        <v>36509</v>
      </c>
      <c r="B206" s="42">
        <v>2.65</v>
      </c>
      <c r="C206" s="42">
        <v>6.52</v>
      </c>
      <c r="E206" s="42">
        <v>6.76</v>
      </c>
      <c r="F206" s="42">
        <v>60.7</v>
      </c>
      <c r="G206" s="62"/>
    </row>
    <row r="207" spans="1:7">
      <c r="A207" s="58">
        <v>36540</v>
      </c>
      <c r="B207" s="42">
        <v>2.59</v>
      </c>
      <c r="C207" s="42">
        <v>6.32</v>
      </c>
      <c r="E207" s="42">
        <v>6.2</v>
      </c>
      <c r="F207" s="42">
        <v>58.3</v>
      </c>
      <c r="G207" s="62"/>
    </row>
    <row r="208" spans="1:7">
      <c r="A208" s="58">
        <v>36571</v>
      </c>
      <c r="B208" s="42">
        <v>2.88</v>
      </c>
      <c r="C208" s="42">
        <v>7.01</v>
      </c>
      <c r="E208" s="42">
        <v>6.73</v>
      </c>
      <c r="F208" s="42">
        <v>61.2</v>
      </c>
      <c r="G208" s="62"/>
    </row>
    <row r="209" spans="1:8">
      <c r="A209" s="58">
        <v>36600</v>
      </c>
      <c r="B209" s="42">
        <v>2.9</v>
      </c>
      <c r="C209" s="42">
        <v>7.07</v>
      </c>
      <c r="E209" s="42">
        <v>6.68</v>
      </c>
      <c r="F209" s="42">
        <v>60.3</v>
      </c>
      <c r="G209" s="62"/>
    </row>
    <row r="210" spans="1:8">
      <c r="A210" s="58">
        <v>36631</v>
      </c>
      <c r="B210" s="42">
        <v>3.4</v>
      </c>
      <c r="C210" s="42">
        <v>7.2</v>
      </c>
      <c r="E210" s="42">
        <v>6.29</v>
      </c>
      <c r="F210" s="42">
        <v>59.1</v>
      </c>
      <c r="G210" s="62"/>
    </row>
    <row r="211" spans="1:8">
      <c r="A211" s="58">
        <v>36661</v>
      </c>
      <c r="B211" s="42">
        <v>3.44</v>
      </c>
      <c r="C211" s="42">
        <v>7.78</v>
      </c>
      <c r="E211" s="42">
        <v>7.04</v>
      </c>
      <c r="F211" s="42">
        <v>54.5</v>
      </c>
      <c r="G211" s="62"/>
    </row>
    <row r="212" spans="1:8">
      <c r="A212" s="58">
        <v>36692</v>
      </c>
      <c r="B212" s="42">
        <v>4.42</v>
      </c>
      <c r="C212" s="42">
        <v>8.3800000000000008</v>
      </c>
      <c r="E212" s="42">
        <v>6.69</v>
      </c>
      <c r="F212" s="42">
        <v>59.3</v>
      </c>
      <c r="G212" s="62"/>
    </row>
    <row r="213" spans="1:8">
      <c r="A213" s="58">
        <v>36722</v>
      </c>
      <c r="B213" s="42">
        <v>4.7699999999999996</v>
      </c>
      <c r="C213" s="42">
        <v>8.93</v>
      </c>
      <c r="E213" s="42">
        <v>7.57</v>
      </c>
      <c r="F213" s="42">
        <v>52.3</v>
      </c>
      <c r="G213" s="62"/>
    </row>
    <row r="214" spans="1:8">
      <c r="A214" s="58">
        <v>36753</v>
      </c>
      <c r="B214" s="42">
        <v>4.1100000000000003</v>
      </c>
      <c r="C214" s="42">
        <v>8.75</v>
      </c>
      <c r="E214" s="42">
        <v>7.29</v>
      </c>
      <c r="F214" s="42">
        <v>47.5</v>
      </c>
      <c r="G214" s="62"/>
    </row>
    <row r="215" spans="1:8">
      <c r="A215" s="58">
        <v>36784</v>
      </c>
      <c r="B215" s="42">
        <v>4.9800000000000004</v>
      </c>
      <c r="C215" s="42">
        <v>8.84</v>
      </c>
      <c r="E215" s="42">
        <v>7.96</v>
      </c>
      <c r="F215" s="42">
        <v>49.8</v>
      </c>
      <c r="G215" s="62"/>
    </row>
    <row r="216" spans="1:8">
      <c r="A216" s="58">
        <v>36814</v>
      </c>
      <c r="B216" s="42">
        <v>5.17</v>
      </c>
      <c r="C216" s="42">
        <v>9.89</v>
      </c>
      <c r="E216" s="42">
        <v>8.52</v>
      </c>
      <c r="F216" s="42">
        <v>57</v>
      </c>
      <c r="G216" s="62"/>
    </row>
    <row r="217" spans="1:8">
      <c r="A217" s="58">
        <v>36845</v>
      </c>
      <c r="B217" s="42">
        <v>5.09</v>
      </c>
      <c r="C217" s="42">
        <v>9.5399999999999991</v>
      </c>
      <c r="E217" s="42">
        <v>8.76</v>
      </c>
      <c r="F217" s="42">
        <v>56.4</v>
      </c>
      <c r="G217" s="62"/>
    </row>
    <row r="218" spans="1:8">
      <c r="A218" s="58">
        <v>36875</v>
      </c>
      <c r="B218" s="42">
        <v>7.3</v>
      </c>
      <c r="C218" s="42">
        <v>10.48</v>
      </c>
      <c r="E218" s="42">
        <v>10.41</v>
      </c>
      <c r="F218" s="42">
        <v>63.5</v>
      </c>
      <c r="G218" s="62"/>
    </row>
    <row r="219" spans="1:8">
      <c r="A219" s="58">
        <v>36906</v>
      </c>
      <c r="B219" s="42">
        <v>12.64</v>
      </c>
      <c r="C219" s="42">
        <v>12.23</v>
      </c>
      <c r="E219" s="42">
        <v>12.35</v>
      </c>
      <c r="F219" s="42">
        <v>63.8</v>
      </c>
      <c r="G219" s="62">
        <v>7.75</v>
      </c>
      <c r="H219" s="42">
        <v>14.3</v>
      </c>
    </row>
    <row r="220" spans="1:8">
      <c r="A220" s="58">
        <v>36937</v>
      </c>
      <c r="B220" s="42">
        <v>9.42</v>
      </c>
      <c r="C220" s="42">
        <v>13.91</v>
      </c>
      <c r="E220" s="42">
        <v>14.26</v>
      </c>
      <c r="F220" s="42">
        <v>66.5</v>
      </c>
      <c r="G220" s="62">
        <v>9.34</v>
      </c>
      <c r="H220" s="42">
        <v>12.9</v>
      </c>
    </row>
    <row r="221" spans="1:8">
      <c r="A221" s="58">
        <v>36965</v>
      </c>
      <c r="B221" s="42">
        <v>8.36</v>
      </c>
      <c r="C221" s="42">
        <v>13.92</v>
      </c>
      <c r="E221" s="42">
        <v>14.2</v>
      </c>
      <c r="F221" s="42">
        <v>64.3</v>
      </c>
      <c r="G221" s="62">
        <v>9.84</v>
      </c>
      <c r="H221" s="42">
        <v>13</v>
      </c>
    </row>
    <row r="222" spans="1:8">
      <c r="A222" s="58">
        <v>36996</v>
      </c>
      <c r="B222" s="42">
        <v>7.52</v>
      </c>
      <c r="C222" s="42">
        <v>12.05</v>
      </c>
      <c r="E222" s="42">
        <v>11.58</v>
      </c>
      <c r="F222" s="42">
        <v>51.9</v>
      </c>
      <c r="G222" s="62">
        <v>10.06</v>
      </c>
      <c r="H222" s="42">
        <v>10.4</v>
      </c>
    </row>
    <row r="223" spans="1:8">
      <c r="A223" s="58">
        <v>37026</v>
      </c>
      <c r="B223" s="42">
        <v>7.32</v>
      </c>
      <c r="C223" s="42">
        <v>11.74</v>
      </c>
      <c r="E223" s="42">
        <v>10.78</v>
      </c>
      <c r="F223" s="42">
        <v>62.7</v>
      </c>
      <c r="G223" s="62">
        <v>7.53</v>
      </c>
      <c r="H223" s="42">
        <v>9</v>
      </c>
    </row>
    <row r="224" spans="1:8">
      <c r="A224" s="58">
        <v>37057</v>
      </c>
      <c r="B224" s="42">
        <v>8.08</v>
      </c>
      <c r="C224" s="42">
        <v>11.4</v>
      </c>
      <c r="E224" s="42">
        <v>9.65</v>
      </c>
      <c r="F224" s="42">
        <v>66.2</v>
      </c>
      <c r="G224" s="62">
        <v>7.09</v>
      </c>
      <c r="H224" s="42">
        <v>7.7</v>
      </c>
    </row>
    <row r="225" spans="1:9">
      <c r="A225" s="58">
        <v>37087</v>
      </c>
      <c r="B225" s="42">
        <v>2.92</v>
      </c>
      <c r="C225" s="42">
        <v>8.75</v>
      </c>
      <c r="E225" s="42">
        <v>7.32</v>
      </c>
      <c r="F225" s="42">
        <v>59.8</v>
      </c>
      <c r="G225" s="62">
        <v>5.17</v>
      </c>
      <c r="H225" s="42">
        <v>6.6</v>
      </c>
    </row>
    <row r="226" spans="1:9">
      <c r="A226" s="58">
        <v>37118</v>
      </c>
      <c r="B226" s="42">
        <v>2.8</v>
      </c>
      <c r="C226" s="42">
        <v>8.26</v>
      </c>
      <c r="E226" s="42">
        <v>6.69</v>
      </c>
      <c r="F226" s="42">
        <v>60.3</v>
      </c>
      <c r="G226" s="62">
        <v>4.68</v>
      </c>
      <c r="H226" s="42">
        <v>6.7</v>
      </c>
    </row>
    <row r="227" spans="1:9">
      <c r="A227" s="58">
        <v>37149</v>
      </c>
      <c r="B227" s="42">
        <v>2.71</v>
      </c>
      <c r="C227" s="42">
        <v>7.33</v>
      </c>
      <c r="E227" s="42">
        <v>5.56</v>
      </c>
      <c r="F227" s="42">
        <v>60.3</v>
      </c>
      <c r="G227" s="62">
        <v>3.83</v>
      </c>
      <c r="H227" s="42">
        <v>6.4</v>
      </c>
    </row>
    <row r="228" spans="1:9">
      <c r="A228" s="58">
        <v>37179</v>
      </c>
      <c r="B228" s="42">
        <v>2.38</v>
      </c>
      <c r="C228" s="42">
        <v>6.05</v>
      </c>
      <c r="E228" s="42">
        <v>4.67</v>
      </c>
      <c r="F228" s="42">
        <v>63.5</v>
      </c>
      <c r="G228" s="62">
        <v>3.31</v>
      </c>
      <c r="H228" s="42">
        <v>8</v>
      </c>
    </row>
    <row r="229" spans="1:9">
      <c r="A229" s="58">
        <v>37210</v>
      </c>
      <c r="B229" s="42">
        <v>3.15</v>
      </c>
      <c r="C229" s="42">
        <v>5.88</v>
      </c>
      <c r="E229" s="42">
        <v>5.18</v>
      </c>
      <c r="F229" s="42">
        <v>63.2</v>
      </c>
      <c r="G229" s="62">
        <v>3.4</v>
      </c>
      <c r="H229" s="42">
        <v>8.1999999999999993</v>
      </c>
    </row>
    <row r="230" spans="1:9">
      <c r="A230" s="58">
        <v>37240</v>
      </c>
      <c r="B230" s="42">
        <v>2.8</v>
      </c>
      <c r="C230" s="42">
        <v>6.08</v>
      </c>
      <c r="E230" s="42">
        <v>5.35</v>
      </c>
      <c r="F230" s="42">
        <v>68</v>
      </c>
      <c r="G230" s="62">
        <v>3.75</v>
      </c>
      <c r="H230" s="42">
        <v>8</v>
      </c>
    </row>
    <row r="231" spans="1:9">
      <c r="A231" s="58">
        <v>37271</v>
      </c>
      <c r="B231" s="42">
        <v>2.68</v>
      </c>
      <c r="C231" s="42">
        <v>7.13</v>
      </c>
      <c r="D231" s="42">
        <v>99.3</v>
      </c>
      <c r="E231" s="42">
        <v>6.61</v>
      </c>
      <c r="F231" s="42">
        <v>70.7</v>
      </c>
      <c r="G231" s="62">
        <v>5.51</v>
      </c>
      <c r="H231" s="42">
        <v>8</v>
      </c>
      <c r="I231" s="42">
        <v>3.42</v>
      </c>
    </row>
    <row r="232" spans="1:9">
      <c r="A232" s="58">
        <v>37302</v>
      </c>
      <c r="B232" s="42">
        <v>2.4</v>
      </c>
      <c r="C232" s="42">
        <v>6.69</v>
      </c>
      <c r="D232" s="42">
        <v>99.3</v>
      </c>
      <c r="E232" s="42">
        <v>5.91</v>
      </c>
      <c r="F232" s="42">
        <v>70.5</v>
      </c>
      <c r="G232" s="62">
        <v>4.5</v>
      </c>
      <c r="H232" s="42">
        <v>9.4</v>
      </c>
      <c r="I232" s="42">
        <v>3.23</v>
      </c>
    </row>
    <row r="233" spans="1:9">
      <c r="A233" s="58">
        <v>37330</v>
      </c>
      <c r="B233" s="42">
        <v>2.75</v>
      </c>
      <c r="C233" s="42">
        <v>6.01</v>
      </c>
      <c r="D233" s="42">
        <v>99.4</v>
      </c>
      <c r="E233" s="42">
        <v>5.57</v>
      </c>
      <c r="F233" s="42">
        <v>73.599999999999994</v>
      </c>
      <c r="G233" s="62">
        <v>4.25</v>
      </c>
      <c r="H233" s="42">
        <v>8.8000000000000007</v>
      </c>
      <c r="I233" s="42">
        <v>3.71</v>
      </c>
    </row>
    <row r="234" spans="1:9">
      <c r="A234" s="58">
        <v>37361</v>
      </c>
      <c r="B234" s="42">
        <v>3.85</v>
      </c>
      <c r="C234" s="42">
        <v>6.86</v>
      </c>
      <c r="D234" s="42">
        <v>99.3</v>
      </c>
      <c r="E234" s="42">
        <v>6.14</v>
      </c>
      <c r="F234" s="42">
        <v>69.599999999999994</v>
      </c>
      <c r="G234" s="62">
        <v>5.48</v>
      </c>
      <c r="H234" s="42">
        <v>7.4</v>
      </c>
      <c r="I234" s="42">
        <v>4.01</v>
      </c>
    </row>
    <row r="235" spans="1:9">
      <c r="A235" s="58">
        <v>37391</v>
      </c>
      <c r="B235" s="42">
        <v>3.18</v>
      </c>
      <c r="C235" s="42">
        <v>7.31</v>
      </c>
      <c r="D235" s="42">
        <v>99.3</v>
      </c>
      <c r="E235" s="42">
        <v>5.7</v>
      </c>
      <c r="F235" s="42">
        <v>65.5</v>
      </c>
      <c r="G235" s="62">
        <v>4.84</v>
      </c>
      <c r="H235" s="42">
        <v>9.5</v>
      </c>
      <c r="I235" s="42">
        <v>3.84</v>
      </c>
    </row>
    <row r="236" spans="1:9">
      <c r="A236" s="58">
        <v>37422</v>
      </c>
      <c r="B236" s="42">
        <v>2.98</v>
      </c>
      <c r="C236" s="42">
        <v>7.18</v>
      </c>
      <c r="D236" s="42">
        <v>99.2</v>
      </c>
      <c r="E236" s="42">
        <v>5.42</v>
      </c>
      <c r="F236" s="42">
        <v>65.2</v>
      </c>
      <c r="G236" s="62">
        <v>4.45</v>
      </c>
      <c r="H236" s="42">
        <v>7</v>
      </c>
      <c r="I236" s="42">
        <v>3.55</v>
      </c>
    </row>
    <row r="237" spans="1:9">
      <c r="A237" s="58">
        <v>37452</v>
      </c>
      <c r="B237" s="42">
        <v>3.1</v>
      </c>
      <c r="C237" s="42">
        <v>7.22</v>
      </c>
      <c r="D237" s="42">
        <v>99.3</v>
      </c>
      <c r="E237" s="42">
        <v>5.5</v>
      </c>
      <c r="F237" s="42">
        <v>62.8</v>
      </c>
      <c r="G237" s="62">
        <v>4.53</v>
      </c>
      <c r="H237" s="42">
        <v>6.6</v>
      </c>
      <c r="I237" s="42">
        <v>3.51</v>
      </c>
    </row>
    <row r="238" spans="1:9">
      <c r="A238" s="58">
        <v>37483</v>
      </c>
      <c r="B238" s="42">
        <v>2.82</v>
      </c>
      <c r="C238" s="42">
        <v>7.17</v>
      </c>
      <c r="D238" s="42">
        <v>99.3</v>
      </c>
      <c r="E238" s="42">
        <v>5.35</v>
      </c>
      <c r="F238" s="42">
        <v>62.8</v>
      </c>
      <c r="G238" s="62">
        <v>4.3</v>
      </c>
      <c r="H238" s="42">
        <v>6.9</v>
      </c>
      <c r="I238" s="42">
        <v>3.48</v>
      </c>
    </row>
    <row r="239" spans="1:9">
      <c r="A239" s="58">
        <v>37514</v>
      </c>
      <c r="B239" s="42">
        <v>2.86</v>
      </c>
      <c r="C239" s="42">
        <v>7.28</v>
      </c>
      <c r="D239" s="42">
        <v>99.3</v>
      </c>
      <c r="E239" s="42">
        <v>5.46</v>
      </c>
      <c r="F239" s="42">
        <v>67.5</v>
      </c>
      <c r="G239" s="62">
        <v>4.46</v>
      </c>
      <c r="H239" s="42">
        <v>6.7</v>
      </c>
      <c r="I239" s="42">
        <v>3.75</v>
      </c>
    </row>
    <row r="240" spans="1:9">
      <c r="A240" s="58">
        <v>37544</v>
      </c>
      <c r="B240" s="42">
        <v>3.35</v>
      </c>
      <c r="C240" s="42">
        <v>7.52</v>
      </c>
      <c r="D240" s="42">
        <v>99.5</v>
      </c>
      <c r="E240" s="42">
        <v>5.84</v>
      </c>
      <c r="F240" s="42">
        <v>69.2</v>
      </c>
      <c r="G240" s="62">
        <v>5.0199999999999996</v>
      </c>
      <c r="H240" s="42">
        <v>7.7</v>
      </c>
      <c r="I240" s="42">
        <v>4.22</v>
      </c>
    </row>
    <row r="241" spans="1:9">
      <c r="A241" s="58">
        <v>37575</v>
      </c>
      <c r="B241" s="42">
        <v>4.04</v>
      </c>
      <c r="C241" s="42">
        <v>7.89</v>
      </c>
      <c r="D241" s="42">
        <v>99.5</v>
      </c>
      <c r="E241" s="42">
        <v>7.02</v>
      </c>
      <c r="F241" s="42">
        <v>68.5</v>
      </c>
      <c r="G241" s="62">
        <v>5.81</v>
      </c>
      <c r="H241" s="42">
        <v>7.2</v>
      </c>
      <c r="I241" s="42">
        <v>4.5199999999999996</v>
      </c>
    </row>
    <row r="242" spans="1:9">
      <c r="A242" s="58">
        <v>37605</v>
      </c>
      <c r="B242" s="42">
        <v>4.3099999999999996</v>
      </c>
      <c r="C242" s="42">
        <v>7.75</v>
      </c>
      <c r="D242" s="42">
        <v>99.6</v>
      </c>
      <c r="E242" s="42">
        <v>7.44</v>
      </c>
      <c r="F242" s="42">
        <v>73</v>
      </c>
      <c r="G242" s="62">
        <v>6</v>
      </c>
      <c r="H242" s="42">
        <v>8.1</v>
      </c>
      <c r="I242" s="42">
        <v>4.93</v>
      </c>
    </row>
    <row r="243" spans="1:9">
      <c r="A243" s="58">
        <v>37636</v>
      </c>
      <c r="B243" s="42">
        <v>4.7699999999999996</v>
      </c>
      <c r="C243" s="42">
        <v>8.85</v>
      </c>
      <c r="D243" s="42">
        <v>97.9</v>
      </c>
      <c r="E243" s="42">
        <v>7.85</v>
      </c>
      <c r="F243" s="42">
        <v>57.4</v>
      </c>
      <c r="G243" s="62">
        <v>7.36</v>
      </c>
      <c r="H243" s="42">
        <v>3.3</v>
      </c>
      <c r="I243" s="42">
        <v>5.17</v>
      </c>
    </row>
    <row r="244" spans="1:9">
      <c r="A244" s="58">
        <v>37667</v>
      </c>
      <c r="B244" s="42">
        <v>4.8899999999999997</v>
      </c>
      <c r="C244" s="42">
        <v>8.7799999999999994</v>
      </c>
      <c r="D244" s="42">
        <v>98.4</v>
      </c>
      <c r="E244" s="42">
        <v>7.99</v>
      </c>
      <c r="F244" s="42">
        <v>61.9</v>
      </c>
      <c r="G244" s="62">
        <v>7.15</v>
      </c>
      <c r="H244" s="42">
        <v>7.1</v>
      </c>
      <c r="I244" s="42">
        <v>5.84</v>
      </c>
    </row>
    <row r="245" spans="1:9">
      <c r="A245" s="58">
        <v>37695</v>
      </c>
      <c r="B245" s="42">
        <v>6.68</v>
      </c>
      <c r="C245" s="42">
        <v>9.49</v>
      </c>
      <c r="D245" s="42">
        <v>98.1</v>
      </c>
      <c r="E245" s="42">
        <v>8.8800000000000008</v>
      </c>
      <c r="F245" s="42">
        <v>72.3</v>
      </c>
      <c r="G245" s="62">
        <v>7.75</v>
      </c>
      <c r="H245" s="42">
        <v>4.9000000000000004</v>
      </c>
      <c r="I245" s="42">
        <v>6.93</v>
      </c>
    </row>
    <row r="246" spans="1:9">
      <c r="A246" s="58">
        <v>37726</v>
      </c>
      <c r="B246" s="42">
        <v>4.72</v>
      </c>
      <c r="C246" s="42">
        <v>9.25</v>
      </c>
      <c r="D246" s="42">
        <v>97.8</v>
      </c>
      <c r="E246" s="42">
        <v>8.8800000000000008</v>
      </c>
      <c r="F246" s="42">
        <v>72.5</v>
      </c>
      <c r="G246" s="62">
        <v>7.84</v>
      </c>
      <c r="H246" s="42">
        <v>5.8</v>
      </c>
      <c r="I246" s="42">
        <v>5.31</v>
      </c>
    </row>
    <row r="247" spans="1:9">
      <c r="A247" s="58">
        <v>37756</v>
      </c>
      <c r="B247" s="42">
        <v>5.05</v>
      </c>
      <c r="C247" s="42">
        <v>8.99</v>
      </c>
      <c r="D247" s="42">
        <v>98.6</v>
      </c>
      <c r="E247" s="42">
        <v>7.57</v>
      </c>
      <c r="F247" s="42">
        <v>74.8</v>
      </c>
      <c r="G247" s="62">
        <v>6.66</v>
      </c>
      <c r="H247" s="42">
        <v>5.0999999999999996</v>
      </c>
    </row>
    <row r="248" spans="1:9">
      <c r="A248" s="58">
        <v>37787</v>
      </c>
      <c r="B248" s="42">
        <v>6.63</v>
      </c>
      <c r="C248" s="42">
        <v>9.4700000000000006</v>
      </c>
      <c r="D248" s="42">
        <v>98.4</v>
      </c>
      <c r="E248" s="42">
        <v>7.99</v>
      </c>
      <c r="F248" s="42">
        <v>74.5</v>
      </c>
      <c r="G248" s="62">
        <v>7.03</v>
      </c>
      <c r="H248" s="42">
        <v>4.5999999999999996</v>
      </c>
      <c r="I248" s="42">
        <v>5.87</v>
      </c>
    </row>
    <row r="249" spans="1:9">
      <c r="A249" s="58">
        <v>37817</v>
      </c>
      <c r="B249" s="42">
        <v>4.8499999999999996</v>
      </c>
      <c r="C249" s="42">
        <v>9.7899999999999991</v>
      </c>
      <c r="D249" s="42">
        <v>98.4</v>
      </c>
      <c r="E249" s="42">
        <v>7.85</v>
      </c>
      <c r="F249" s="42">
        <v>67.900000000000006</v>
      </c>
      <c r="G249" s="62">
        <v>6.93</v>
      </c>
      <c r="H249" s="42">
        <v>4</v>
      </c>
      <c r="I249" s="42">
        <v>5.48</v>
      </c>
    </row>
    <row r="250" spans="1:9">
      <c r="A250" s="58">
        <v>37848</v>
      </c>
      <c r="B250" s="42">
        <v>5.19</v>
      </c>
      <c r="C250" s="42">
        <v>9.57</v>
      </c>
      <c r="D250" s="42">
        <v>98.4</v>
      </c>
      <c r="E250" s="42">
        <v>7.87</v>
      </c>
      <c r="F250" s="42">
        <v>77.900000000000006</v>
      </c>
      <c r="G250" s="62">
        <v>6.94</v>
      </c>
      <c r="H250" s="42">
        <v>4.8</v>
      </c>
      <c r="I250" s="42">
        <v>5.25</v>
      </c>
    </row>
    <row r="251" spans="1:9">
      <c r="A251" s="58">
        <v>37879</v>
      </c>
      <c r="B251" s="42">
        <v>5.32</v>
      </c>
      <c r="C251" s="42">
        <v>9.59</v>
      </c>
      <c r="D251" s="42">
        <v>98.4</v>
      </c>
      <c r="E251" s="42">
        <v>8.0500000000000007</v>
      </c>
      <c r="F251" s="42">
        <v>72</v>
      </c>
      <c r="G251" s="62">
        <v>7.18</v>
      </c>
      <c r="H251" s="42">
        <v>4.3</v>
      </c>
      <c r="I251" s="42">
        <v>5.25</v>
      </c>
    </row>
    <row r="252" spans="1:9">
      <c r="A252" s="58">
        <v>37909</v>
      </c>
      <c r="B252" s="42">
        <v>4.83</v>
      </c>
      <c r="C252" s="42">
        <v>9.2899999999999991</v>
      </c>
      <c r="D252" s="42">
        <v>98.4</v>
      </c>
      <c r="E252" s="42">
        <v>7.53</v>
      </c>
      <c r="F252" s="42">
        <v>67.400000000000006</v>
      </c>
      <c r="G252" s="62">
        <v>6.94</v>
      </c>
      <c r="H252" s="42">
        <v>4.0999999999999996</v>
      </c>
      <c r="I252" s="42">
        <v>5.0599999999999996</v>
      </c>
    </row>
    <row r="253" spans="1:9">
      <c r="A253" s="58">
        <v>37940</v>
      </c>
      <c r="B253" s="42">
        <v>4.72</v>
      </c>
      <c r="C253" s="42">
        <v>8.64</v>
      </c>
      <c r="D253" s="42">
        <v>98.5</v>
      </c>
      <c r="E253" s="42">
        <v>7.96</v>
      </c>
      <c r="F253" s="42">
        <v>78.099999999999994</v>
      </c>
      <c r="G253" s="62">
        <v>6.89</v>
      </c>
      <c r="H253" s="42">
        <v>5.3</v>
      </c>
      <c r="I253" s="42">
        <v>4.96</v>
      </c>
    </row>
    <row r="254" spans="1:9">
      <c r="A254" s="58">
        <v>37970</v>
      </c>
      <c r="B254" s="42">
        <v>4.76</v>
      </c>
      <c r="C254" s="42">
        <v>9</v>
      </c>
      <c r="D254" s="42">
        <v>98.5</v>
      </c>
      <c r="E254" s="42">
        <v>8.7899999999999991</v>
      </c>
      <c r="F254" s="42">
        <v>78.7</v>
      </c>
      <c r="G254" s="62">
        <v>7.48</v>
      </c>
      <c r="H254" s="42">
        <v>6.2</v>
      </c>
      <c r="I254" s="42">
        <v>5.62</v>
      </c>
    </row>
    <row r="255" spans="1:9">
      <c r="A255" s="58">
        <v>38001</v>
      </c>
      <c r="B255" s="42">
        <v>5.8</v>
      </c>
      <c r="C255" s="42">
        <v>9.8800000000000008</v>
      </c>
      <c r="D255" s="42">
        <v>99.5</v>
      </c>
      <c r="E255" s="42">
        <v>9.3699999999999992</v>
      </c>
      <c r="F255" s="42">
        <v>72.3</v>
      </c>
      <c r="G255" s="62">
        <v>8.66</v>
      </c>
      <c r="H255" s="42">
        <v>5.2</v>
      </c>
      <c r="I255" s="42">
        <v>5.91</v>
      </c>
    </row>
    <row r="256" spans="1:9">
      <c r="A256" s="58">
        <v>38032</v>
      </c>
      <c r="B256" s="42">
        <v>5.59</v>
      </c>
      <c r="C256" s="42">
        <v>9.86</v>
      </c>
      <c r="D256" s="42">
        <v>99.6</v>
      </c>
      <c r="E256" s="42">
        <v>8.8800000000000008</v>
      </c>
      <c r="F256" s="42">
        <v>71.7</v>
      </c>
      <c r="G256" s="62">
        <v>7.92</v>
      </c>
      <c r="H256" s="42">
        <v>8.3000000000000007</v>
      </c>
      <c r="I256" s="42">
        <v>5.71</v>
      </c>
    </row>
    <row r="257" spans="1:9">
      <c r="A257" s="58">
        <v>38061</v>
      </c>
      <c r="B257" s="42">
        <v>5.04</v>
      </c>
      <c r="C257" s="42">
        <v>8.7100000000000009</v>
      </c>
      <c r="D257" s="42">
        <v>99.8</v>
      </c>
      <c r="E257" s="42">
        <v>8.2100000000000009</v>
      </c>
      <c r="F257" s="42">
        <v>71.3</v>
      </c>
      <c r="G257" s="62">
        <v>7.7</v>
      </c>
      <c r="H257" s="42">
        <v>5.8</v>
      </c>
      <c r="I257" s="42">
        <v>5.36</v>
      </c>
    </row>
    <row r="258" spans="1:9">
      <c r="A258" s="58">
        <v>38092</v>
      </c>
      <c r="B258" s="42">
        <v>5.23</v>
      </c>
      <c r="C258" s="42">
        <v>8.2799999999999994</v>
      </c>
      <c r="D258" s="42">
        <v>99.7</v>
      </c>
      <c r="E258" s="42">
        <v>7.29</v>
      </c>
      <c r="F258" s="42">
        <v>72.400000000000006</v>
      </c>
      <c r="G258" s="62">
        <v>6.68</v>
      </c>
      <c r="H258" s="42">
        <v>5.2</v>
      </c>
      <c r="I258" s="42">
        <v>5.78</v>
      </c>
    </row>
    <row r="259" spans="1:9">
      <c r="A259" s="58">
        <v>38122</v>
      </c>
      <c r="B259" s="42">
        <v>5.83</v>
      </c>
      <c r="C259" s="42">
        <v>9.2899999999999991</v>
      </c>
      <c r="D259" s="42">
        <v>99.8</v>
      </c>
      <c r="E259" s="42">
        <v>7.84</v>
      </c>
      <c r="F259" s="42">
        <v>67.2</v>
      </c>
      <c r="G259" s="62">
        <v>7.11</v>
      </c>
      <c r="H259" s="42">
        <v>5.3</v>
      </c>
      <c r="I259" s="42">
        <v>6.19</v>
      </c>
    </row>
    <row r="260" spans="1:9">
      <c r="A260" s="58">
        <v>38153</v>
      </c>
      <c r="B260" s="42">
        <v>6.5</v>
      </c>
      <c r="C260" s="42">
        <v>10.039999999999999</v>
      </c>
      <c r="D260" s="42">
        <v>99.6</v>
      </c>
      <c r="E260" s="42">
        <v>8.2799999999999994</v>
      </c>
      <c r="F260" s="42">
        <v>73.099999999999994</v>
      </c>
      <c r="G260" s="62">
        <v>7.53</v>
      </c>
      <c r="H260" s="42">
        <v>3.8</v>
      </c>
      <c r="I260" s="42">
        <v>6.47</v>
      </c>
    </row>
    <row r="261" spans="1:9">
      <c r="A261" s="58">
        <v>38183</v>
      </c>
      <c r="B261" s="42">
        <v>6.3</v>
      </c>
      <c r="C261" s="42">
        <v>10.06</v>
      </c>
      <c r="D261" s="42">
        <v>99.5</v>
      </c>
      <c r="E261" s="42">
        <v>8.25</v>
      </c>
      <c r="F261" s="42">
        <v>69.5</v>
      </c>
      <c r="G261" s="62">
        <v>7.68</v>
      </c>
      <c r="H261" s="42">
        <v>4.5999999999999996</v>
      </c>
      <c r="I261" s="42">
        <v>6.36</v>
      </c>
    </row>
    <row r="262" spans="1:9">
      <c r="A262" s="58">
        <v>38214</v>
      </c>
      <c r="B262" s="42">
        <v>6.14</v>
      </c>
      <c r="C262" s="42">
        <v>10.07</v>
      </c>
      <c r="D262" s="42">
        <v>99.5</v>
      </c>
      <c r="E262" s="42">
        <v>8.24</v>
      </c>
      <c r="F262" s="42">
        <v>68.2</v>
      </c>
      <c r="G262" s="62">
        <v>7.65</v>
      </c>
      <c r="H262" s="42">
        <v>4.4000000000000004</v>
      </c>
      <c r="I262" s="42">
        <v>6.05</v>
      </c>
    </row>
    <row r="263" spans="1:9">
      <c r="A263" s="58">
        <v>38245</v>
      </c>
      <c r="B263" s="42">
        <v>5.51</v>
      </c>
      <c r="C263" s="42">
        <v>9.92</v>
      </c>
      <c r="D263" s="42">
        <v>99.6</v>
      </c>
      <c r="E263" s="42">
        <v>7.9</v>
      </c>
      <c r="F263" s="42">
        <v>67.8</v>
      </c>
      <c r="G263" s="62">
        <v>7.55</v>
      </c>
      <c r="H263" s="42">
        <v>4.3</v>
      </c>
      <c r="I263" s="42">
        <v>5.28</v>
      </c>
    </row>
    <row r="264" spans="1:9">
      <c r="A264" s="58">
        <v>38275</v>
      </c>
      <c r="B264" s="42">
        <v>5.46</v>
      </c>
      <c r="C264" s="42">
        <v>9.73</v>
      </c>
      <c r="D264" s="42">
        <v>99.6</v>
      </c>
      <c r="E264" s="42">
        <v>8.08</v>
      </c>
      <c r="F264" s="42">
        <v>68.7</v>
      </c>
      <c r="G264" s="62">
        <v>7.39</v>
      </c>
      <c r="H264" s="42">
        <v>5</v>
      </c>
      <c r="I264" s="42">
        <v>5.73</v>
      </c>
    </row>
    <row r="265" spans="1:9">
      <c r="A265" s="58">
        <v>38306</v>
      </c>
      <c r="B265" s="42">
        <v>7.53</v>
      </c>
      <c r="C265" s="42">
        <v>10.86</v>
      </c>
      <c r="D265" s="42">
        <v>99.6</v>
      </c>
      <c r="E265" s="42">
        <v>9.64</v>
      </c>
      <c r="F265" s="42">
        <v>72.2</v>
      </c>
      <c r="G265" s="62">
        <v>8.68</v>
      </c>
      <c r="H265" s="42">
        <v>5.3</v>
      </c>
      <c r="I265" s="42">
        <v>7.01</v>
      </c>
    </row>
    <row r="266" spans="1:9">
      <c r="A266" s="58">
        <v>38336</v>
      </c>
      <c r="B266" s="42">
        <v>6.89</v>
      </c>
      <c r="C266" s="42">
        <v>10.74</v>
      </c>
      <c r="D266" s="42">
        <v>99.6</v>
      </c>
      <c r="E266" s="42">
        <v>9.9600000000000009</v>
      </c>
      <c r="F266" s="42">
        <v>75.5</v>
      </c>
      <c r="G266" s="62">
        <v>9.52</v>
      </c>
      <c r="H266" s="42">
        <v>5.9</v>
      </c>
      <c r="I266" s="42">
        <v>6.82</v>
      </c>
    </row>
    <row r="267" spans="1:9">
      <c r="A267" s="58">
        <v>38367</v>
      </c>
      <c r="B267" s="42">
        <v>6.34</v>
      </c>
      <c r="C267" s="42">
        <v>10.98</v>
      </c>
      <c r="D267" s="42">
        <v>99.6</v>
      </c>
      <c r="E267" s="42">
        <v>10.18</v>
      </c>
      <c r="F267" s="42">
        <v>71.8</v>
      </c>
      <c r="G267" s="62">
        <v>9.5299999999999994</v>
      </c>
      <c r="H267" s="42">
        <v>5.6</v>
      </c>
      <c r="I267" s="42">
        <v>6.29</v>
      </c>
    </row>
    <row r="268" spans="1:9">
      <c r="A268" s="58">
        <v>38398</v>
      </c>
      <c r="B268" s="42">
        <v>6.16</v>
      </c>
      <c r="C268" s="42">
        <v>10.74</v>
      </c>
      <c r="D268" s="42">
        <v>99.7</v>
      </c>
      <c r="E268" s="42">
        <v>9.83</v>
      </c>
      <c r="F268" s="42">
        <v>71.400000000000006</v>
      </c>
      <c r="G268" s="62">
        <v>8.8800000000000008</v>
      </c>
      <c r="H268" s="42">
        <v>6.6</v>
      </c>
      <c r="I268" s="42">
        <v>6.33</v>
      </c>
    </row>
    <row r="269" spans="1:9">
      <c r="A269" s="58">
        <v>38426</v>
      </c>
      <c r="B269" s="42">
        <v>6.3</v>
      </c>
      <c r="C269" s="42">
        <v>9.98</v>
      </c>
      <c r="D269" s="42">
        <v>99.7</v>
      </c>
      <c r="E269" s="42">
        <v>9.52</v>
      </c>
      <c r="F269" s="42">
        <v>71.900000000000006</v>
      </c>
      <c r="G269" s="62">
        <v>8.94</v>
      </c>
      <c r="H269" s="42">
        <v>4.8</v>
      </c>
      <c r="I269" s="42">
        <v>6.83</v>
      </c>
    </row>
    <row r="270" spans="1:9">
      <c r="A270" s="58">
        <v>38457</v>
      </c>
      <c r="B270" s="42">
        <v>6.79</v>
      </c>
      <c r="C270" s="42">
        <v>10.38</v>
      </c>
      <c r="D270" s="42">
        <v>99.7</v>
      </c>
      <c r="E270" s="42">
        <v>9.31</v>
      </c>
      <c r="F270" s="42">
        <v>74.8</v>
      </c>
      <c r="G270" s="62">
        <v>8.4</v>
      </c>
      <c r="H270" s="42">
        <v>5.3</v>
      </c>
      <c r="I270" s="42">
        <v>7.14</v>
      </c>
    </row>
    <row r="271" spans="1:9">
      <c r="A271" s="58">
        <v>38487</v>
      </c>
      <c r="B271" s="42">
        <v>7.04</v>
      </c>
      <c r="C271" s="42">
        <v>11.13</v>
      </c>
      <c r="D271" s="42">
        <v>99.7</v>
      </c>
      <c r="E271" s="42">
        <v>9.42</v>
      </c>
      <c r="F271" s="42">
        <v>68.3</v>
      </c>
      <c r="G271" s="62">
        <v>8.7100000000000009</v>
      </c>
      <c r="H271" s="42">
        <v>5.2</v>
      </c>
      <c r="I271" s="42">
        <v>6.53</v>
      </c>
    </row>
    <row r="272" spans="1:9">
      <c r="A272" s="58">
        <v>38518</v>
      </c>
      <c r="B272" s="42">
        <v>6.37</v>
      </c>
      <c r="C272" s="42">
        <v>10.86</v>
      </c>
      <c r="D272" s="42">
        <v>99.6</v>
      </c>
      <c r="E272" s="42">
        <v>9</v>
      </c>
      <c r="F272" s="42">
        <v>68.8</v>
      </c>
      <c r="G272" s="62">
        <v>8.4600000000000009</v>
      </c>
      <c r="H272" s="42">
        <v>5.0999999999999996</v>
      </c>
      <c r="I272" s="42">
        <v>6.49</v>
      </c>
    </row>
    <row r="273" spans="1:9">
      <c r="A273" s="58">
        <v>38548</v>
      </c>
      <c r="B273" s="42">
        <v>6.97</v>
      </c>
      <c r="C273" s="42">
        <v>11.42</v>
      </c>
      <c r="D273" s="42">
        <v>99.6</v>
      </c>
      <c r="E273" s="42">
        <v>9.48</v>
      </c>
      <c r="F273" s="42">
        <v>60.4</v>
      </c>
      <c r="G273" s="62">
        <v>8.51</v>
      </c>
      <c r="H273" s="42">
        <v>4.5</v>
      </c>
      <c r="I273" s="42">
        <v>7.06</v>
      </c>
    </row>
    <row r="274" spans="1:9">
      <c r="A274" s="58">
        <v>38579</v>
      </c>
      <c r="B274" s="42">
        <v>7.14</v>
      </c>
      <c r="C274" s="42">
        <v>11.44</v>
      </c>
      <c r="D274" s="42">
        <v>99.7</v>
      </c>
      <c r="E274" s="42">
        <v>9.51</v>
      </c>
      <c r="F274" s="42">
        <v>63.7</v>
      </c>
      <c r="G274" s="62">
        <v>8.66</v>
      </c>
      <c r="H274" s="42">
        <v>4.8</v>
      </c>
      <c r="I274" s="42">
        <v>7.86</v>
      </c>
    </row>
    <row r="275" spans="1:9">
      <c r="A275" s="58">
        <v>38610</v>
      </c>
      <c r="B275" s="42">
        <v>9.34</v>
      </c>
      <c r="C275" s="42">
        <v>12.78</v>
      </c>
      <c r="D275" s="42">
        <v>99.6</v>
      </c>
      <c r="E275" s="42">
        <v>10.86</v>
      </c>
      <c r="F275" s="42">
        <v>59.9</v>
      </c>
      <c r="G275" s="62">
        <v>9.5299999999999994</v>
      </c>
      <c r="H275" s="42">
        <v>5.2</v>
      </c>
      <c r="I275" s="42">
        <v>9.61</v>
      </c>
    </row>
    <row r="276" spans="1:9">
      <c r="A276" s="58">
        <v>38640</v>
      </c>
      <c r="B276" s="42">
        <v>11</v>
      </c>
      <c r="C276" s="42">
        <v>14.79</v>
      </c>
      <c r="D276" s="42">
        <v>99.7</v>
      </c>
      <c r="E276" s="42">
        <v>13.1</v>
      </c>
      <c r="F276" s="42">
        <v>66.7</v>
      </c>
      <c r="G276" s="62">
        <v>11.6</v>
      </c>
      <c r="H276" s="42">
        <v>5.8</v>
      </c>
      <c r="I276" s="42">
        <v>11.1</v>
      </c>
    </row>
    <row r="277" spans="1:9">
      <c r="A277" s="58">
        <v>38671</v>
      </c>
      <c r="B277" s="42">
        <v>12.18</v>
      </c>
      <c r="C277" s="42">
        <v>15.5</v>
      </c>
      <c r="D277" s="42">
        <v>99.7</v>
      </c>
      <c r="E277" s="42">
        <v>14.36</v>
      </c>
      <c r="F277" s="42">
        <v>70.3</v>
      </c>
      <c r="G277" s="62">
        <v>13.39</v>
      </c>
      <c r="H277" s="42">
        <v>5.9</v>
      </c>
      <c r="I277" s="42">
        <v>9.4600000000000009</v>
      </c>
    </row>
    <row r="278" spans="1:9">
      <c r="A278" s="58">
        <v>38701</v>
      </c>
      <c r="B278" s="42">
        <v>9.2899999999999991</v>
      </c>
      <c r="C278" s="42">
        <v>14.02</v>
      </c>
      <c r="D278" s="42">
        <v>99.7</v>
      </c>
      <c r="E278" s="42">
        <v>13.45</v>
      </c>
      <c r="F278" s="42">
        <v>71</v>
      </c>
      <c r="G278" s="62">
        <v>12.78</v>
      </c>
      <c r="H278" s="42">
        <v>6.7</v>
      </c>
      <c r="I278" s="42">
        <v>11.55</v>
      </c>
    </row>
    <row r="279" spans="1:9">
      <c r="A279" s="58">
        <v>38732</v>
      </c>
      <c r="B279" s="42">
        <v>10.050000000000001</v>
      </c>
      <c r="C279" s="42">
        <v>14.18</v>
      </c>
      <c r="D279" s="42">
        <v>99.7</v>
      </c>
      <c r="E279" s="42">
        <v>13.69</v>
      </c>
      <c r="F279" s="42">
        <v>69.400000000000006</v>
      </c>
      <c r="G279" s="62">
        <v>12.76</v>
      </c>
      <c r="H279" s="42">
        <v>6.2</v>
      </c>
      <c r="I279" s="42">
        <v>8.7799999999999994</v>
      </c>
    </row>
    <row r="280" spans="1:9">
      <c r="A280" s="58">
        <v>38763</v>
      </c>
      <c r="B280" s="42">
        <v>8.01</v>
      </c>
      <c r="C280" s="42">
        <v>13.24</v>
      </c>
      <c r="D280" s="42">
        <v>99.7</v>
      </c>
      <c r="E280" s="42">
        <v>12.33</v>
      </c>
      <c r="F280" s="42">
        <v>69.400000000000006</v>
      </c>
      <c r="G280" s="62">
        <v>11.49</v>
      </c>
      <c r="H280" s="42">
        <v>7.2</v>
      </c>
      <c r="I280" s="42">
        <v>7.42</v>
      </c>
    </row>
    <row r="281" spans="1:9">
      <c r="A281" s="58">
        <v>38791</v>
      </c>
      <c r="B281" s="42">
        <v>6.83</v>
      </c>
      <c r="C281" s="42">
        <v>11.75</v>
      </c>
      <c r="D281" s="42">
        <v>99.7</v>
      </c>
      <c r="E281" s="42">
        <v>11.12</v>
      </c>
      <c r="F281" s="42">
        <v>74</v>
      </c>
      <c r="G281" s="62">
        <v>10.55</v>
      </c>
      <c r="H281" s="42">
        <v>5.7</v>
      </c>
      <c r="I281" s="42">
        <v>6.63</v>
      </c>
    </row>
    <row r="282" spans="1:9">
      <c r="A282" s="58">
        <v>38822</v>
      </c>
      <c r="B282" s="42">
        <v>6.45</v>
      </c>
      <c r="C282" s="42">
        <v>10.91</v>
      </c>
      <c r="D282" s="42">
        <v>99.7</v>
      </c>
      <c r="E282" s="42">
        <v>9.81</v>
      </c>
      <c r="F282" s="42">
        <v>67</v>
      </c>
      <c r="G282" s="62">
        <v>8.85</v>
      </c>
      <c r="H282" s="42">
        <v>5.9</v>
      </c>
      <c r="I282" s="42">
        <v>6.53</v>
      </c>
    </row>
    <row r="283" spans="1:9">
      <c r="A283" s="58">
        <v>38852</v>
      </c>
      <c r="B283" s="42">
        <v>6.45</v>
      </c>
      <c r="C283" s="42">
        <v>11.88</v>
      </c>
      <c r="D283" s="42">
        <v>99.6</v>
      </c>
      <c r="E283" s="42">
        <v>10.02</v>
      </c>
      <c r="F283" s="42">
        <v>66.900000000000006</v>
      </c>
      <c r="G283" s="62">
        <v>8.84</v>
      </c>
      <c r="H283" s="42">
        <v>6</v>
      </c>
      <c r="I283" s="42">
        <v>6.23</v>
      </c>
    </row>
    <row r="284" spans="1:9">
      <c r="A284" s="58">
        <v>38883</v>
      </c>
      <c r="B284" s="42">
        <v>5.54</v>
      </c>
      <c r="C284" s="42">
        <v>10.86</v>
      </c>
      <c r="D284" s="42">
        <v>99.6</v>
      </c>
      <c r="E284" s="42">
        <v>9.0399999999999991</v>
      </c>
      <c r="F284" s="42">
        <v>62.8</v>
      </c>
      <c r="G284" s="62">
        <v>8.06</v>
      </c>
      <c r="H284" s="42">
        <v>5.4</v>
      </c>
      <c r="I284" s="42">
        <v>6.2</v>
      </c>
    </row>
    <row r="285" spans="1:9">
      <c r="A285" s="58">
        <v>38913</v>
      </c>
      <c r="B285" s="42">
        <v>5.32</v>
      </c>
      <c r="C285" s="42">
        <v>10.66</v>
      </c>
      <c r="D285" s="42">
        <v>99.6</v>
      </c>
      <c r="E285" s="42">
        <v>8.94</v>
      </c>
      <c r="F285" s="42">
        <v>58.9</v>
      </c>
      <c r="G285" s="62">
        <v>7.66</v>
      </c>
      <c r="H285" s="42">
        <v>4.5999999999999996</v>
      </c>
      <c r="I285" s="42">
        <v>6.44</v>
      </c>
    </row>
    <row r="286" spans="1:9">
      <c r="A286" s="58">
        <v>38944</v>
      </c>
      <c r="B286" s="42">
        <v>6.53</v>
      </c>
      <c r="C286" s="42">
        <v>11.1</v>
      </c>
      <c r="D286" s="42">
        <v>99.6</v>
      </c>
      <c r="E286" s="42">
        <v>9.16</v>
      </c>
      <c r="F286" s="42">
        <v>53.3</v>
      </c>
      <c r="G286" s="62">
        <v>8.1199999999999992</v>
      </c>
      <c r="H286" s="42">
        <v>4.7</v>
      </c>
      <c r="I286" s="42">
        <v>7.16</v>
      </c>
    </row>
    <row r="287" spans="1:9">
      <c r="A287" s="58">
        <v>38975</v>
      </c>
      <c r="B287" s="42">
        <v>6.44</v>
      </c>
      <c r="C287" s="42">
        <v>11.61</v>
      </c>
      <c r="D287" s="42">
        <v>99.6</v>
      </c>
      <c r="E287" s="42">
        <v>9.42</v>
      </c>
      <c r="F287" s="42">
        <v>57</v>
      </c>
      <c r="G287" s="62">
        <v>8.7100000000000009</v>
      </c>
      <c r="H287" s="42">
        <v>4.9000000000000004</v>
      </c>
      <c r="I287" s="42">
        <v>5.97</v>
      </c>
    </row>
    <row r="288" spans="1:9">
      <c r="A288" s="58">
        <v>39005</v>
      </c>
      <c r="B288" s="42">
        <v>4.03</v>
      </c>
      <c r="C288" s="42">
        <v>9.9700000000000006</v>
      </c>
      <c r="D288" s="42">
        <v>99.6</v>
      </c>
      <c r="E288" s="42">
        <v>8.14</v>
      </c>
      <c r="F288" s="42">
        <v>60.5</v>
      </c>
      <c r="G288" s="62">
        <v>7.56</v>
      </c>
      <c r="H288" s="42">
        <v>5.3</v>
      </c>
      <c r="I288" s="42">
        <v>5.52</v>
      </c>
    </row>
    <row r="289" spans="1:9">
      <c r="A289" s="58">
        <v>39036</v>
      </c>
      <c r="B289" s="42">
        <v>6.83</v>
      </c>
      <c r="C289" s="42">
        <v>10.83</v>
      </c>
      <c r="D289" s="42">
        <v>99.6</v>
      </c>
      <c r="E289" s="42">
        <v>9.61</v>
      </c>
      <c r="F289" s="42">
        <v>62.8</v>
      </c>
      <c r="G289" s="62">
        <v>8.18</v>
      </c>
      <c r="H289" s="42">
        <v>6.1</v>
      </c>
      <c r="I289" s="42">
        <v>7.26</v>
      </c>
    </row>
    <row r="290" spans="1:9">
      <c r="A290" s="58">
        <v>39066</v>
      </c>
      <c r="B290" s="42">
        <v>7.13</v>
      </c>
      <c r="C290" s="42">
        <v>11.17</v>
      </c>
      <c r="D290" s="42">
        <v>99.6</v>
      </c>
      <c r="E290" s="42">
        <v>10.48</v>
      </c>
      <c r="F290" s="42">
        <v>66.2</v>
      </c>
      <c r="G290" s="62">
        <v>9.36</v>
      </c>
      <c r="H290" s="42">
        <v>6.2</v>
      </c>
      <c r="I290" s="42">
        <v>7.3</v>
      </c>
    </row>
    <row r="291" spans="1:9">
      <c r="A291" s="58">
        <v>39097</v>
      </c>
      <c r="B291" s="42">
        <v>6.41</v>
      </c>
      <c r="C291" s="42">
        <v>10.96</v>
      </c>
      <c r="D291" s="42">
        <v>99.6</v>
      </c>
      <c r="E291" s="42">
        <v>9.99</v>
      </c>
      <c r="F291" s="42">
        <v>65.900000000000006</v>
      </c>
      <c r="G291" s="62">
        <v>9.1</v>
      </c>
      <c r="H291" s="42">
        <v>6</v>
      </c>
      <c r="I291" s="42">
        <v>6.7</v>
      </c>
    </row>
    <row r="292" spans="1:9">
      <c r="A292" s="58">
        <v>39128</v>
      </c>
      <c r="B292" s="42">
        <v>7.13</v>
      </c>
      <c r="C292" s="42">
        <v>11.65</v>
      </c>
      <c r="D292" s="42">
        <v>99.6</v>
      </c>
      <c r="E292" s="42">
        <v>10.57</v>
      </c>
      <c r="F292" s="42">
        <v>63</v>
      </c>
      <c r="G292" s="62">
        <v>9.1</v>
      </c>
      <c r="H292" s="42">
        <v>7.2</v>
      </c>
      <c r="I292" s="42">
        <v>7.39</v>
      </c>
    </row>
    <row r="293" spans="1:9">
      <c r="A293" s="58">
        <v>39156</v>
      </c>
      <c r="B293" s="42">
        <v>7.48</v>
      </c>
      <c r="C293" s="42">
        <v>11.14</v>
      </c>
      <c r="D293" s="42">
        <v>99.5</v>
      </c>
      <c r="E293" s="42">
        <v>10.47</v>
      </c>
      <c r="F293" s="42">
        <v>67.5</v>
      </c>
      <c r="G293" s="62">
        <v>9.8800000000000008</v>
      </c>
      <c r="H293" s="42">
        <v>6.5</v>
      </c>
      <c r="I293" s="42">
        <v>6.91</v>
      </c>
    </row>
    <row r="294" spans="1:9">
      <c r="A294" s="58">
        <v>39187</v>
      </c>
      <c r="B294" s="42">
        <v>6.99</v>
      </c>
      <c r="C294" s="42">
        <v>11.48</v>
      </c>
      <c r="D294" s="42">
        <v>99.5</v>
      </c>
      <c r="E294" s="42">
        <v>10.210000000000001</v>
      </c>
      <c r="F294" s="42">
        <v>63.6</v>
      </c>
      <c r="G294" s="62">
        <v>9.1300000000000008</v>
      </c>
      <c r="H294" s="42">
        <v>5.3</v>
      </c>
      <c r="I294" s="42">
        <v>6.67</v>
      </c>
    </row>
    <row r="295" spans="1:9">
      <c r="A295" s="58">
        <v>39217</v>
      </c>
      <c r="B295" s="42">
        <v>7.29</v>
      </c>
      <c r="C295" s="42">
        <v>12.53</v>
      </c>
      <c r="D295" s="42">
        <v>99.5</v>
      </c>
      <c r="E295" s="42">
        <v>10.210000000000001</v>
      </c>
      <c r="F295" s="42">
        <v>61.5</v>
      </c>
      <c r="G295" s="62">
        <v>9.24</v>
      </c>
      <c r="H295" s="42">
        <v>5.6</v>
      </c>
      <c r="I295" s="42">
        <v>7.09</v>
      </c>
    </row>
    <row r="296" spans="1:9">
      <c r="A296" s="58">
        <v>39248</v>
      </c>
      <c r="B296" s="42">
        <v>7.34</v>
      </c>
      <c r="C296" s="42">
        <v>13</v>
      </c>
      <c r="D296" s="42">
        <v>99.4</v>
      </c>
      <c r="E296" s="42">
        <v>10.84</v>
      </c>
      <c r="F296" s="42">
        <v>58.6</v>
      </c>
      <c r="G296" s="62">
        <v>9.7200000000000006</v>
      </c>
      <c r="H296" s="42">
        <v>4.9000000000000004</v>
      </c>
      <c r="I296" s="42">
        <v>7.13</v>
      </c>
    </row>
    <row r="297" spans="1:9">
      <c r="A297" s="58">
        <v>39278</v>
      </c>
      <c r="B297" s="42">
        <v>6.91</v>
      </c>
      <c r="C297" s="42">
        <v>12.9</v>
      </c>
      <c r="D297" s="42">
        <v>99.4</v>
      </c>
      <c r="E297" s="42">
        <v>10.84</v>
      </c>
      <c r="F297" s="42">
        <v>56.1</v>
      </c>
      <c r="G297" s="62">
        <v>9.7100000000000009</v>
      </c>
      <c r="H297" s="42">
        <v>4.5</v>
      </c>
      <c r="I297" s="42">
        <v>6.72</v>
      </c>
    </row>
    <row r="298" spans="1:9">
      <c r="A298" s="58">
        <v>39309</v>
      </c>
      <c r="B298" s="42">
        <v>5.97</v>
      </c>
      <c r="C298" s="42">
        <v>11.85</v>
      </c>
      <c r="D298" s="42">
        <v>99.4</v>
      </c>
      <c r="E298" s="42">
        <v>9.69</v>
      </c>
      <c r="F298" s="42">
        <v>53.2</v>
      </c>
      <c r="G298" s="62">
        <v>8.6999999999999993</v>
      </c>
      <c r="H298" s="42">
        <v>4.3</v>
      </c>
      <c r="I298" s="42">
        <v>6.28</v>
      </c>
    </row>
    <row r="299" spans="1:9">
      <c r="A299" s="58">
        <v>39340</v>
      </c>
      <c r="B299" s="42">
        <v>5.32</v>
      </c>
      <c r="C299" s="42">
        <v>11.2</v>
      </c>
      <c r="D299" s="42">
        <v>99.4</v>
      </c>
      <c r="E299" s="42">
        <v>9.16</v>
      </c>
      <c r="F299" s="42">
        <v>50.6</v>
      </c>
      <c r="G299" s="62">
        <v>7.89</v>
      </c>
      <c r="H299" s="42">
        <v>4.3</v>
      </c>
      <c r="I299" s="42">
        <v>5.74</v>
      </c>
    </row>
    <row r="300" spans="1:9">
      <c r="A300" s="58">
        <v>39370</v>
      </c>
      <c r="B300" s="42">
        <v>6.1</v>
      </c>
      <c r="C300" s="42">
        <v>11.64</v>
      </c>
      <c r="D300" s="42">
        <v>99.3</v>
      </c>
      <c r="E300" s="42">
        <v>9.5399999999999991</v>
      </c>
      <c r="F300" s="42">
        <v>52.6</v>
      </c>
      <c r="G300" s="62">
        <v>8.14</v>
      </c>
      <c r="H300" s="42">
        <v>5.0999999999999996</v>
      </c>
      <c r="I300" s="42">
        <v>6.56</v>
      </c>
    </row>
    <row r="301" spans="1:9">
      <c r="A301" s="58">
        <v>39401</v>
      </c>
      <c r="B301" s="42">
        <v>6.66</v>
      </c>
      <c r="C301" s="42">
        <v>11.48</v>
      </c>
      <c r="D301" s="42">
        <v>99.4</v>
      </c>
      <c r="E301" s="42">
        <v>10.15</v>
      </c>
      <c r="F301" s="42">
        <v>59</v>
      </c>
      <c r="G301" s="62">
        <v>8.74</v>
      </c>
      <c r="H301" s="42">
        <v>4.8</v>
      </c>
      <c r="I301" s="42">
        <v>6.7</v>
      </c>
    </row>
    <row r="302" spans="1:9">
      <c r="A302" s="58">
        <v>39431</v>
      </c>
      <c r="B302" s="42">
        <v>7.35</v>
      </c>
      <c r="C302" s="42">
        <v>11.18</v>
      </c>
      <c r="D302" s="42">
        <v>99.5</v>
      </c>
      <c r="E302" s="42">
        <v>10.27</v>
      </c>
      <c r="F302" s="42">
        <v>66.400000000000006</v>
      </c>
      <c r="G302" s="62">
        <v>9.32</v>
      </c>
      <c r="H302" s="42">
        <v>5.3</v>
      </c>
      <c r="I302" s="42">
        <v>7.35</v>
      </c>
    </row>
    <row r="303" spans="1:9">
      <c r="A303" s="58">
        <v>39462</v>
      </c>
      <c r="B303" s="42">
        <v>6.94</v>
      </c>
      <c r="C303" s="42">
        <v>11.87</v>
      </c>
      <c r="D303" s="42">
        <v>99.5</v>
      </c>
      <c r="E303" s="42">
        <v>11.39</v>
      </c>
      <c r="F303" s="42">
        <v>59.3</v>
      </c>
      <c r="G303" s="62">
        <v>10.199999999999999</v>
      </c>
      <c r="H303" s="42">
        <v>5.7</v>
      </c>
      <c r="I303" s="42">
        <v>7.66</v>
      </c>
    </row>
    <row r="304" spans="1:9">
      <c r="A304" s="58">
        <v>39493</v>
      </c>
      <c r="B304" s="42">
        <v>7.74</v>
      </c>
      <c r="C304" s="42">
        <v>12.27</v>
      </c>
      <c r="D304" s="42">
        <v>99.5</v>
      </c>
      <c r="E304" s="42">
        <v>11.28</v>
      </c>
      <c r="F304" s="42">
        <v>61.2</v>
      </c>
      <c r="G304" s="62">
        <v>10.15</v>
      </c>
      <c r="H304" s="42">
        <v>6.6</v>
      </c>
      <c r="I304" s="42">
        <v>8.4</v>
      </c>
    </row>
    <row r="305" spans="1:9">
      <c r="A305" s="58">
        <v>39522</v>
      </c>
      <c r="B305" s="42">
        <v>8.81</v>
      </c>
      <c r="C305" s="42">
        <v>12.31</v>
      </c>
      <c r="D305" s="42">
        <v>99.4</v>
      </c>
      <c r="E305" s="42">
        <v>11.55</v>
      </c>
      <c r="F305" s="42">
        <v>58.5</v>
      </c>
      <c r="G305" s="62">
        <v>10.51</v>
      </c>
      <c r="H305" s="42">
        <v>5.9</v>
      </c>
      <c r="I305" s="42">
        <v>9.23</v>
      </c>
    </row>
    <row r="306" spans="1:9">
      <c r="A306" s="58">
        <v>39553</v>
      </c>
      <c r="B306" s="42">
        <v>9.23</v>
      </c>
      <c r="C306" s="42">
        <v>13.98</v>
      </c>
      <c r="D306" s="42">
        <v>99.3</v>
      </c>
      <c r="E306" s="42">
        <v>12.7</v>
      </c>
      <c r="F306" s="42">
        <v>56.3</v>
      </c>
      <c r="G306" s="62">
        <v>11.47</v>
      </c>
      <c r="H306" s="42">
        <v>5.6</v>
      </c>
      <c r="I306" s="42">
        <v>9.91</v>
      </c>
    </row>
    <row r="307" spans="1:9">
      <c r="A307" s="58">
        <v>39583</v>
      </c>
      <c r="B307" s="42">
        <v>10.039999999999999</v>
      </c>
      <c r="C307" s="42">
        <v>15.41</v>
      </c>
      <c r="D307" s="42">
        <v>99.3</v>
      </c>
      <c r="E307" s="42">
        <v>13.45</v>
      </c>
      <c r="F307" s="42">
        <v>57.5</v>
      </c>
      <c r="G307" s="62">
        <v>12.4</v>
      </c>
      <c r="H307" s="42">
        <v>5.6</v>
      </c>
      <c r="I307" s="42">
        <v>10.47</v>
      </c>
    </row>
    <row r="308" spans="1:9">
      <c r="A308" s="58">
        <v>39614</v>
      </c>
      <c r="B308" s="42">
        <v>10.54</v>
      </c>
      <c r="C308" s="42">
        <v>16.170000000000002</v>
      </c>
      <c r="D308" s="42">
        <v>99.2</v>
      </c>
      <c r="E308" s="42">
        <v>14.01</v>
      </c>
      <c r="F308" s="42">
        <v>56.9</v>
      </c>
      <c r="G308" s="62">
        <v>12.91</v>
      </c>
      <c r="H308" s="42">
        <v>4.5</v>
      </c>
      <c r="I308" s="42">
        <v>11.5</v>
      </c>
    </row>
    <row r="309" spans="1:9">
      <c r="A309" s="58">
        <v>39644</v>
      </c>
      <c r="B309" s="42">
        <v>12.18</v>
      </c>
      <c r="C309" s="42">
        <v>17.690000000000001</v>
      </c>
      <c r="D309" s="42">
        <v>99.1</v>
      </c>
      <c r="E309" s="42">
        <v>15.86</v>
      </c>
      <c r="F309" s="42">
        <v>54.7</v>
      </c>
      <c r="G309" s="62">
        <v>14.34</v>
      </c>
      <c r="H309" s="42">
        <v>4.4000000000000004</v>
      </c>
      <c r="I309" s="42">
        <v>10.92</v>
      </c>
    </row>
    <row r="310" spans="1:9">
      <c r="A310" s="58">
        <v>39675</v>
      </c>
      <c r="B310" s="42">
        <v>9.1199999999999992</v>
      </c>
      <c r="C310" s="42">
        <v>15.79</v>
      </c>
      <c r="D310" s="42">
        <v>99.1</v>
      </c>
      <c r="E310" s="42">
        <v>13.33</v>
      </c>
      <c r="F310" s="42">
        <v>50.7</v>
      </c>
      <c r="G310" s="62">
        <v>12.99</v>
      </c>
      <c r="H310" s="42">
        <v>4.3</v>
      </c>
      <c r="I310" s="42">
        <v>8.25</v>
      </c>
    </row>
    <row r="311" spans="1:9">
      <c r="A311" s="58">
        <v>39706</v>
      </c>
      <c r="B311" s="42">
        <v>7.48</v>
      </c>
      <c r="C311" s="42">
        <v>13.58</v>
      </c>
      <c r="D311" s="42">
        <v>99.1</v>
      </c>
      <c r="E311" s="42">
        <v>11.31</v>
      </c>
      <c r="F311" s="42">
        <v>48.2</v>
      </c>
      <c r="G311" s="62">
        <v>10.53</v>
      </c>
      <c r="H311" s="42">
        <v>4.4000000000000004</v>
      </c>
      <c r="I311" s="42">
        <v>6.55</v>
      </c>
    </row>
    <row r="312" spans="1:9">
      <c r="A312" s="58">
        <v>39736</v>
      </c>
      <c r="B312" s="42">
        <v>5.01</v>
      </c>
      <c r="C312" s="42">
        <v>12.47</v>
      </c>
      <c r="D312" s="42">
        <v>99.1</v>
      </c>
      <c r="E312" s="42">
        <v>10.56</v>
      </c>
      <c r="F312" s="42">
        <v>50.9</v>
      </c>
      <c r="G312" s="62">
        <v>9.27</v>
      </c>
      <c r="H312" s="42">
        <v>4.7</v>
      </c>
      <c r="I312" s="42">
        <v>5.73</v>
      </c>
    </row>
    <row r="313" spans="1:9">
      <c r="A313" s="58">
        <v>39767</v>
      </c>
      <c r="B313" s="42">
        <v>4.38</v>
      </c>
      <c r="C313" s="42">
        <v>10.07</v>
      </c>
      <c r="D313" s="42">
        <v>99.2</v>
      </c>
      <c r="E313" s="42">
        <v>8.86</v>
      </c>
      <c r="F313" s="42">
        <v>56</v>
      </c>
      <c r="G313" s="62">
        <v>7.86</v>
      </c>
      <c r="H313" s="42">
        <v>4.7</v>
      </c>
      <c r="I313" s="42">
        <v>5.41</v>
      </c>
    </row>
    <row r="314" spans="1:9">
      <c r="A314" s="58">
        <v>39797</v>
      </c>
      <c r="B314" s="42">
        <v>5.86</v>
      </c>
      <c r="C314" s="42">
        <v>9.9499999999999993</v>
      </c>
      <c r="D314" s="42">
        <v>99.3</v>
      </c>
      <c r="E314" s="42">
        <v>9.14</v>
      </c>
      <c r="F314" s="42">
        <v>62.3</v>
      </c>
      <c r="G314" s="62">
        <v>8.49</v>
      </c>
      <c r="H314" s="42">
        <v>5.5</v>
      </c>
      <c r="I314" s="42">
        <v>6.06</v>
      </c>
    </row>
    <row r="315" spans="1:9">
      <c r="A315" s="58">
        <v>39828</v>
      </c>
      <c r="B315" s="42">
        <v>5.76</v>
      </c>
      <c r="C315" s="42">
        <v>10.55</v>
      </c>
      <c r="D315" s="42">
        <v>99.1</v>
      </c>
      <c r="E315" s="42">
        <v>9.44</v>
      </c>
      <c r="F315" s="42">
        <v>58.4</v>
      </c>
      <c r="G315" s="62">
        <v>8.27</v>
      </c>
      <c r="H315" s="42">
        <v>5.5</v>
      </c>
      <c r="I315" s="42">
        <v>5.47</v>
      </c>
    </row>
    <row r="316" spans="1:9">
      <c r="A316" s="58">
        <v>39859</v>
      </c>
      <c r="B316" s="42">
        <v>4.55</v>
      </c>
      <c r="C316" s="42">
        <v>9.73</v>
      </c>
      <c r="D316" s="42">
        <v>99.1</v>
      </c>
      <c r="E316" s="42">
        <v>8.27</v>
      </c>
      <c r="F316" s="42">
        <v>60.8</v>
      </c>
      <c r="G316" s="62">
        <v>7.31</v>
      </c>
      <c r="H316" s="42">
        <v>7.2</v>
      </c>
      <c r="I316" s="42">
        <v>4.67</v>
      </c>
    </row>
    <row r="317" spans="1:9">
      <c r="A317" s="58">
        <v>39887</v>
      </c>
      <c r="B317" s="42">
        <v>3.62</v>
      </c>
      <c r="C317" s="42">
        <v>8.3800000000000008</v>
      </c>
      <c r="D317" s="42">
        <v>99</v>
      </c>
      <c r="E317" s="42">
        <v>7.52</v>
      </c>
      <c r="F317" s="42">
        <v>59.5</v>
      </c>
      <c r="G317" s="62">
        <v>6.4</v>
      </c>
      <c r="H317" s="42">
        <v>5.2</v>
      </c>
      <c r="I317" s="42">
        <v>4.05</v>
      </c>
    </row>
    <row r="318" spans="1:9">
      <c r="A318" s="58">
        <v>39918</v>
      </c>
      <c r="B318" s="42">
        <v>3.44</v>
      </c>
      <c r="C318" s="42">
        <v>8.6199999999999992</v>
      </c>
      <c r="D318" s="42">
        <v>98.9</v>
      </c>
      <c r="E318" s="42">
        <v>7.19</v>
      </c>
      <c r="F318" s="42">
        <v>57.2</v>
      </c>
      <c r="G318" s="62">
        <v>6.6</v>
      </c>
      <c r="H318" s="42">
        <v>4</v>
      </c>
      <c r="I318" s="42">
        <v>3.91</v>
      </c>
    </row>
    <row r="319" spans="1:9">
      <c r="A319" s="58">
        <v>39948</v>
      </c>
      <c r="B319" s="42">
        <v>3.33</v>
      </c>
      <c r="C319" s="42">
        <v>8.75</v>
      </c>
      <c r="D319" s="42">
        <v>98.7</v>
      </c>
      <c r="E319" s="42">
        <v>6.09</v>
      </c>
      <c r="F319" s="42">
        <v>54.6</v>
      </c>
      <c r="G319" s="62">
        <v>4.8099999999999996</v>
      </c>
      <c r="H319" s="42">
        <v>5.6</v>
      </c>
      <c r="I319" s="42">
        <v>3.99</v>
      </c>
    </row>
    <row r="320" spans="1:9">
      <c r="A320" s="58">
        <v>39979</v>
      </c>
      <c r="B320" s="42">
        <v>3.39</v>
      </c>
      <c r="C320" s="42">
        <v>9.01</v>
      </c>
      <c r="D320" s="42">
        <v>98.7</v>
      </c>
      <c r="E320" s="42">
        <v>6.84</v>
      </c>
      <c r="F320" s="42">
        <v>54.9</v>
      </c>
      <c r="G320" s="62">
        <v>6</v>
      </c>
      <c r="H320" s="42">
        <v>3.3</v>
      </c>
      <c r="I320" s="42">
        <v>3.76</v>
      </c>
    </row>
    <row r="321" spans="1:9">
      <c r="A321" s="58">
        <v>40009</v>
      </c>
      <c r="B321" s="42">
        <v>3.63</v>
      </c>
      <c r="C321" s="42">
        <v>9.44</v>
      </c>
      <c r="D321" s="42">
        <v>98.6</v>
      </c>
      <c r="E321" s="42">
        <v>7.2</v>
      </c>
      <c r="F321" s="42">
        <v>52.3</v>
      </c>
      <c r="G321" s="62">
        <v>5.81</v>
      </c>
      <c r="H321" s="42">
        <v>3.8</v>
      </c>
      <c r="I321" s="42">
        <v>3.98</v>
      </c>
    </row>
    <row r="322" spans="1:9">
      <c r="A322" s="58">
        <v>40040</v>
      </c>
      <c r="B322" s="42">
        <v>3.78</v>
      </c>
      <c r="C322" s="42">
        <v>9.82</v>
      </c>
      <c r="D322" s="42">
        <v>98.6</v>
      </c>
      <c r="E322" s="42">
        <v>7.41</v>
      </c>
      <c r="F322" s="42">
        <v>46.5</v>
      </c>
      <c r="G322" s="62">
        <v>6.08</v>
      </c>
      <c r="H322" s="42">
        <v>3.5</v>
      </c>
      <c r="I322" s="42">
        <v>3.93</v>
      </c>
    </row>
    <row r="323" spans="1:9">
      <c r="A323" s="58">
        <v>40071</v>
      </c>
      <c r="B323" s="42">
        <v>3.19</v>
      </c>
      <c r="C323" s="42">
        <v>9.1199999999999992</v>
      </c>
      <c r="D323" s="42">
        <v>98.6</v>
      </c>
      <c r="E323" s="42">
        <v>6.71</v>
      </c>
      <c r="F323" s="42">
        <v>46.9</v>
      </c>
      <c r="G323" s="62">
        <v>5.58</v>
      </c>
      <c r="H323" s="42">
        <v>4.0999999999999996</v>
      </c>
      <c r="I323" s="42">
        <v>3.77</v>
      </c>
    </row>
    <row r="324" spans="1:9">
      <c r="A324" s="58">
        <v>40101</v>
      </c>
      <c r="B324" s="42">
        <v>4</v>
      </c>
      <c r="C324" s="42">
        <v>9.52</v>
      </c>
      <c r="D324" s="42">
        <v>98.7</v>
      </c>
      <c r="E324" s="42">
        <v>6.99</v>
      </c>
      <c r="F324" s="42">
        <v>48.2</v>
      </c>
      <c r="G324" s="62">
        <v>5.84</v>
      </c>
      <c r="H324" s="42">
        <v>4.5999999999999996</v>
      </c>
      <c r="I324" s="42">
        <v>4.78</v>
      </c>
    </row>
    <row r="325" spans="1:9">
      <c r="A325" s="58">
        <v>40132</v>
      </c>
      <c r="B325" s="42">
        <v>5.1100000000000003</v>
      </c>
      <c r="C325" s="42">
        <v>9.5299999999999994</v>
      </c>
      <c r="D325" s="42">
        <v>98.8</v>
      </c>
      <c r="E325" s="42">
        <v>8.49</v>
      </c>
      <c r="F325" s="42">
        <v>50.9</v>
      </c>
      <c r="G325" s="62">
        <v>6.82</v>
      </c>
      <c r="H325" s="42">
        <v>4.7</v>
      </c>
      <c r="I325" s="42">
        <v>5.01</v>
      </c>
    </row>
    <row r="326" spans="1:9">
      <c r="A326" s="58">
        <v>40162</v>
      </c>
      <c r="B326" s="42">
        <v>5.04</v>
      </c>
      <c r="C326" s="42">
        <v>9.65</v>
      </c>
      <c r="D326" s="42">
        <v>98.8</v>
      </c>
      <c r="E326" s="42">
        <v>8.68</v>
      </c>
      <c r="F326" s="42">
        <v>60</v>
      </c>
      <c r="G326" s="62">
        <v>8.16</v>
      </c>
      <c r="H326" s="42">
        <v>5.0999999999999996</v>
      </c>
      <c r="I326" s="42">
        <v>5.88</v>
      </c>
    </row>
    <row r="327" spans="1:9">
      <c r="A327" s="58">
        <v>40193</v>
      </c>
      <c r="B327" s="42">
        <v>6.25</v>
      </c>
      <c r="C327" s="42">
        <v>10.38</v>
      </c>
      <c r="D327" s="42">
        <v>98.7</v>
      </c>
      <c r="E327" s="42">
        <v>9.23</v>
      </c>
      <c r="F327" s="42">
        <v>56.2</v>
      </c>
      <c r="G327" s="62">
        <v>7.96</v>
      </c>
      <c r="H327" s="42">
        <v>6.2</v>
      </c>
      <c r="I327" s="42">
        <v>6.49</v>
      </c>
    </row>
    <row r="328" spans="1:9">
      <c r="A328" s="58">
        <v>40224</v>
      </c>
      <c r="B328" s="42">
        <v>6.09</v>
      </c>
      <c r="C328" s="42">
        <v>10.67</v>
      </c>
      <c r="D328" s="42">
        <v>98.6</v>
      </c>
      <c r="E328" s="42">
        <v>9.4700000000000006</v>
      </c>
      <c r="F328" s="42">
        <v>58.9</v>
      </c>
      <c r="G328" s="62">
        <v>8.49</v>
      </c>
      <c r="H328" s="42">
        <v>5.6</v>
      </c>
      <c r="I328" s="42">
        <v>6.08</v>
      </c>
    </row>
    <row r="329" spans="1:9">
      <c r="A329" s="58">
        <v>40252</v>
      </c>
      <c r="B329" s="42">
        <v>5.26</v>
      </c>
      <c r="C329" s="42">
        <v>9.02</v>
      </c>
      <c r="D329" s="42">
        <v>98.5</v>
      </c>
      <c r="E329" s="42">
        <v>6.94</v>
      </c>
      <c r="F329" s="42">
        <v>53.5</v>
      </c>
      <c r="G329" s="62">
        <v>6.7</v>
      </c>
      <c r="H329" s="42">
        <v>4.7</v>
      </c>
      <c r="I329" s="42">
        <v>5.37</v>
      </c>
    </row>
    <row r="330" spans="1:9">
      <c r="A330" s="58">
        <v>40283</v>
      </c>
      <c r="B330" s="42">
        <v>4.47</v>
      </c>
      <c r="C330" s="42">
        <v>9.68</v>
      </c>
      <c r="D330" s="42">
        <v>98.5</v>
      </c>
      <c r="E330" s="42">
        <v>8.4</v>
      </c>
      <c r="F330" s="42">
        <v>55</v>
      </c>
      <c r="G330" s="62">
        <v>7.48</v>
      </c>
      <c r="H330" s="42">
        <v>4.0999999999999996</v>
      </c>
      <c r="I330" s="42">
        <v>4.7699999999999996</v>
      </c>
    </row>
    <row r="331" spans="1:9">
      <c r="A331" s="58">
        <v>40313</v>
      </c>
      <c r="B331" s="42">
        <v>4.37</v>
      </c>
      <c r="C331" s="42">
        <v>10.26</v>
      </c>
      <c r="D331" s="42">
        <v>98.5</v>
      </c>
      <c r="E331" s="42">
        <v>7.62</v>
      </c>
      <c r="F331" s="42">
        <v>55.3</v>
      </c>
      <c r="G331" s="62">
        <v>6.41</v>
      </c>
      <c r="H331" s="42">
        <v>5.3</v>
      </c>
    </row>
    <row r="332" spans="1:9">
      <c r="A332" s="58">
        <v>40344</v>
      </c>
      <c r="B332" s="42">
        <v>4.4400000000000004</v>
      </c>
      <c r="C332" s="42">
        <v>10.220000000000001</v>
      </c>
      <c r="D332" s="42">
        <v>98.3</v>
      </c>
      <c r="E332" s="42">
        <v>8.1199999999999992</v>
      </c>
      <c r="F332" s="42">
        <v>53.9</v>
      </c>
      <c r="G332" s="62">
        <v>6.83</v>
      </c>
      <c r="H332" s="42">
        <v>3.3</v>
      </c>
      <c r="I332" s="42">
        <v>4.9000000000000004</v>
      </c>
    </row>
    <row r="333" spans="1:9">
      <c r="A333" s="58">
        <v>40374</v>
      </c>
      <c r="B333" s="42">
        <v>4.91</v>
      </c>
      <c r="C333" s="42">
        <v>10.46</v>
      </c>
      <c r="D333" s="42">
        <v>98.3</v>
      </c>
      <c r="E333" s="42">
        <v>8.2899999999999991</v>
      </c>
      <c r="F333" s="42">
        <v>53.6</v>
      </c>
      <c r="G333" s="62">
        <v>6.78</v>
      </c>
      <c r="H333" s="42">
        <v>3.8</v>
      </c>
      <c r="I333" s="42">
        <v>5</v>
      </c>
    </row>
    <row r="334" spans="1:9">
      <c r="A334" s="58">
        <v>40405</v>
      </c>
      <c r="B334" s="42">
        <v>4.58</v>
      </c>
      <c r="C334" s="42">
        <v>10.73</v>
      </c>
      <c r="D334" s="42">
        <v>98.2</v>
      </c>
      <c r="E334" s="42">
        <v>8.4</v>
      </c>
      <c r="F334" s="42">
        <v>52.5</v>
      </c>
      <c r="G334" s="62">
        <v>7.03</v>
      </c>
      <c r="H334" s="42">
        <v>3.6</v>
      </c>
      <c r="I334" s="42">
        <v>4.66</v>
      </c>
    </row>
    <row r="335" spans="1:9">
      <c r="A335" s="58">
        <v>40436</v>
      </c>
      <c r="B335" s="42">
        <v>4.0599999999999996</v>
      </c>
      <c r="C335" s="42">
        <v>10.29</v>
      </c>
      <c r="D335" s="42">
        <v>98.2</v>
      </c>
      <c r="E335" s="42">
        <v>7.81</v>
      </c>
      <c r="F335" s="42">
        <v>45.5</v>
      </c>
      <c r="G335" s="62">
        <v>6.34</v>
      </c>
      <c r="H335" s="42">
        <v>4</v>
      </c>
      <c r="I335" s="42">
        <v>4.33</v>
      </c>
    </row>
    <row r="336" spans="1:9">
      <c r="A336" s="58">
        <v>40466</v>
      </c>
      <c r="B336" s="42">
        <v>4.22</v>
      </c>
      <c r="C336" s="42">
        <v>10.199999999999999</v>
      </c>
      <c r="D336" s="42">
        <v>98.5</v>
      </c>
      <c r="E336" s="42">
        <v>8.08</v>
      </c>
      <c r="F336" s="42">
        <v>47.5</v>
      </c>
      <c r="G336" s="62">
        <v>6.37</v>
      </c>
      <c r="H336" s="42">
        <v>4.2</v>
      </c>
      <c r="I336" s="42">
        <v>4.32</v>
      </c>
    </row>
    <row r="337" spans="1:9">
      <c r="A337" s="58">
        <v>40497</v>
      </c>
      <c r="B337" s="42">
        <v>3.85</v>
      </c>
      <c r="C337" s="42">
        <v>8.61</v>
      </c>
      <c r="D337" s="42">
        <v>98.7</v>
      </c>
      <c r="E337" s="42">
        <v>7.46</v>
      </c>
      <c r="F337" s="42">
        <v>53</v>
      </c>
      <c r="G337" s="62">
        <v>6.18</v>
      </c>
      <c r="H337" s="42">
        <v>5</v>
      </c>
      <c r="I337" s="42">
        <v>4.3600000000000003</v>
      </c>
    </row>
    <row r="338" spans="1:9">
      <c r="A338" s="58">
        <v>40527</v>
      </c>
      <c r="B338" s="42">
        <v>4.74</v>
      </c>
      <c r="C338" s="42">
        <v>9.4700000000000006</v>
      </c>
      <c r="D338" s="42">
        <v>98.7</v>
      </c>
      <c r="E338" s="42">
        <v>8.58</v>
      </c>
      <c r="F338" s="42">
        <v>58.7</v>
      </c>
      <c r="G338" s="62">
        <v>7.17</v>
      </c>
      <c r="H338" s="42">
        <v>5.0999999999999996</v>
      </c>
      <c r="I338" s="42">
        <v>4.92</v>
      </c>
    </row>
    <row r="339" spans="1:9">
      <c r="A339" s="58">
        <v>40558</v>
      </c>
      <c r="B339" s="42">
        <v>4.51</v>
      </c>
      <c r="C339" s="42">
        <v>9.59</v>
      </c>
      <c r="D339" s="42">
        <v>98.7</v>
      </c>
      <c r="E339" s="42">
        <v>8.2899999999999991</v>
      </c>
      <c r="F339" s="42">
        <v>56.9</v>
      </c>
      <c r="G339" s="62">
        <v>7.38</v>
      </c>
      <c r="H339" s="42">
        <v>4.7</v>
      </c>
      <c r="I339" s="42">
        <v>4.87</v>
      </c>
    </row>
    <row r="340" spans="1:9">
      <c r="A340" s="58">
        <v>40589</v>
      </c>
      <c r="B340" s="42">
        <v>4.54</v>
      </c>
      <c r="C340" s="42">
        <v>9.89</v>
      </c>
      <c r="D340" s="42">
        <v>98.8</v>
      </c>
      <c r="E340" s="42">
        <v>8.51</v>
      </c>
      <c r="F340" s="42">
        <v>58.1</v>
      </c>
      <c r="G340" s="62">
        <v>7.19</v>
      </c>
      <c r="H340" s="42">
        <v>7</v>
      </c>
      <c r="I340" s="42">
        <v>4.7699999999999996</v>
      </c>
    </row>
    <row r="341" spans="1:9">
      <c r="A341" s="58">
        <v>40617</v>
      </c>
      <c r="B341" s="42">
        <v>4.32</v>
      </c>
      <c r="C341" s="42">
        <v>9.64</v>
      </c>
      <c r="D341" s="42">
        <v>98.3</v>
      </c>
      <c r="E341" s="42">
        <v>8.18</v>
      </c>
      <c r="F341" s="42">
        <v>56.7</v>
      </c>
      <c r="G341" s="62">
        <v>7.39</v>
      </c>
      <c r="H341" s="42">
        <v>4.5</v>
      </c>
      <c r="I341" s="42">
        <v>4.54</v>
      </c>
    </row>
    <row r="342" spans="1:9">
      <c r="A342" s="58">
        <v>40648</v>
      </c>
      <c r="B342" s="42">
        <v>4.5199999999999996</v>
      </c>
      <c r="C342" s="42">
        <v>9.9499999999999993</v>
      </c>
      <c r="D342" s="42">
        <v>98.4</v>
      </c>
      <c r="E342" s="42">
        <v>8.32</v>
      </c>
      <c r="F342" s="42">
        <v>55.5</v>
      </c>
      <c r="G342" s="62">
        <v>7</v>
      </c>
      <c r="H342" s="42">
        <v>4.5999999999999996</v>
      </c>
      <c r="I342" s="42">
        <v>4.88</v>
      </c>
    </row>
    <row r="343" spans="1:9">
      <c r="A343" s="58">
        <v>40678</v>
      </c>
      <c r="B343" s="42">
        <v>4.67</v>
      </c>
      <c r="C343" s="42">
        <v>10.47</v>
      </c>
      <c r="D343" s="42">
        <v>98.1</v>
      </c>
      <c r="E343" s="42">
        <v>8.1999999999999993</v>
      </c>
      <c r="F343" s="42">
        <v>55.6</v>
      </c>
      <c r="G343" s="62">
        <v>6.95</v>
      </c>
      <c r="H343" s="42">
        <v>4.5999999999999996</v>
      </c>
      <c r="I343" s="42">
        <v>4.96</v>
      </c>
    </row>
    <row r="344" spans="1:9">
      <c r="A344" s="58">
        <v>40709</v>
      </c>
      <c r="B344" s="42">
        <v>4.78</v>
      </c>
      <c r="C344" s="42">
        <v>11.1</v>
      </c>
      <c r="D344" s="42">
        <v>97.9</v>
      </c>
      <c r="E344" s="42">
        <v>8.58</v>
      </c>
      <c r="F344" s="42">
        <v>53.9</v>
      </c>
      <c r="G344" s="62">
        <v>7.29</v>
      </c>
      <c r="H344" s="42">
        <v>3.9</v>
      </c>
      <c r="I344" s="42">
        <v>5.07</v>
      </c>
    </row>
    <row r="345" spans="1:9">
      <c r="A345" s="58">
        <v>40739</v>
      </c>
      <c r="B345" s="42">
        <v>4.8899999999999997</v>
      </c>
      <c r="C345" s="42">
        <v>11.06</v>
      </c>
      <c r="D345" s="42">
        <v>97.9</v>
      </c>
      <c r="E345" s="42">
        <v>8.67</v>
      </c>
      <c r="F345" s="42">
        <v>52.3</v>
      </c>
      <c r="G345" s="62">
        <v>7.22</v>
      </c>
      <c r="H345" s="42">
        <v>3.8</v>
      </c>
      <c r="I345" s="42">
        <v>5.0599999999999996</v>
      </c>
    </row>
    <row r="346" spans="1:9">
      <c r="A346" s="58">
        <v>40770</v>
      </c>
      <c r="B346" s="42">
        <v>4.84</v>
      </c>
      <c r="C346" s="42">
        <v>11.25</v>
      </c>
      <c r="D346" s="42">
        <v>97.8</v>
      </c>
      <c r="E346" s="42">
        <v>9.11</v>
      </c>
      <c r="F346" s="42">
        <v>48.8</v>
      </c>
      <c r="G346" s="62">
        <v>7.36</v>
      </c>
      <c r="H346" s="42">
        <v>3.7</v>
      </c>
      <c r="I346" s="42">
        <v>4.9000000000000004</v>
      </c>
    </row>
    <row r="347" spans="1:9">
      <c r="A347" s="58">
        <v>40801</v>
      </c>
      <c r="B347" s="42">
        <v>4.66</v>
      </c>
      <c r="C347" s="42">
        <v>10.67</v>
      </c>
      <c r="D347" s="42">
        <v>97.7</v>
      </c>
      <c r="E347" s="42">
        <v>8.34</v>
      </c>
      <c r="F347" s="42">
        <v>46.9</v>
      </c>
      <c r="G347" s="62">
        <v>6.82</v>
      </c>
      <c r="H347" s="42">
        <v>3.8</v>
      </c>
      <c r="I347" s="42">
        <v>4.75</v>
      </c>
    </row>
    <row r="348" spans="1:9">
      <c r="A348" s="58">
        <v>40831</v>
      </c>
      <c r="B348" s="42">
        <v>4.41</v>
      </c>
      <c r="C348" s="42">
        <v>10.33</v>
      </c>
      <c r="D348" s="42">
        <v>98</v>
      </c>
      <c r="E348" s="42">
        <v>8.0500000000000007</v>
      </c>
      <c r="F348" s="42">
        <v>48</v>
      </c>
      <c r="G348" s="62">
        <v>6.59</v>
      </c>
      <c r="H348" s="42">
        <v>4.4000000000000004</v>
      </c>
      <c r="I348" s="42">
        <v>4.46</v>
      </c>
    </row>
    <row r="349" spans="1:9">
      <c r="A349" s="58">
        <v>40862</v>
      </c>
      <c r="B349" s="42">
        <v>4.13</v>
      </c>
      <c r="C349" s="42">
        <v>9.1999999999999993</v>
      </c>
      <c r="D349" s="42">
        <v>98.2</v>
      </c>
      <c r="E349" s="42">
        <v>7.64</v>
      </c>
      <c r="F349" s="42">
        <v>55.8</v>
      </c>
      <c r="G349" s="62">
        <v>6.53</v>
      </c>
      <c r="H349" s="42">
        <v>4.5999999999999996</v>
      </c>
      <c r="I349" s="42">
        <v>4.34</v>
      </c>
    </row>
    <row r="350" spans="1:9">
      <c r="A350" s="58">
        <v>40892</v>
      </c>
      <c r="B350" s="42">
        <v>3.94</v>
      </c>
      <c r="C350" s="42">
        <v>9.14</v>
      </c>
      <c r="D350" s="42">
        <v>98.3</v>
      </c>
      <c r="E350" s="42">
        <v>7.97</v>
      </c>
      <c r="F350" s="42">
        <v>56.8</v>
      </c>
      <c r="G350" s="62">
        <v>6.81</v>
      </c>
      <c r="H350" s="42">
        <v>5</v>
      </c>
      <c r="I350" s="42">
        <v>4.21</v>
      </c>
    </row>
    <row r="351" spans="1:9">
      <c r="A351" s="58">
        <v>40923</v>
      </c>
      <c r="B351" s="42">
        <v>3.66</v>
      </c>
      <c r="C351" s="42">
        <v>9.27</v>
      </c>
      <c r="D351" s="42">
        <v>98</v>
      </c>
      <c r="E351" s="42">
        <v>7.71</v>
      </c>
      <c r="F351" s="42">
        <v>53.8</v>
      </c>
      <c r="G351" s="62">
        <v>6.71</v>
      </c>
      <c r="H351" s="42">
        <v>5.0999999999999996</v>
      </c>
      <c r="I351" s="42">
        <v>3.81</v>
      </c>
    </row>
    <row r="352" spans="1:9">
      <c r="A352" s="58">
        <v>40954</v>
      </c>
      <c r="B352" s="42">
        <v>3.13</v>
      </c>
      <c r="C352" s="42">
        <v>8.36</v>
      </c>
      <c r="D352" s="42">
        <v>97.9</v>
      </c>
      <c r="E352" s="42">
        <v>6.58</v>
      </c>
      <c r="F352" s="42">
        <v>56</v>
      </c>
      <c r="G352" s="62">
        <v>5.69</v>
      </c>
      <c r="H352" s="42">
        <v>6.5</v>
      </c>
      <c r="I352" s="42">
        <v>3.58</v>
      </c>
    </row>
    <row r="353" spans="1:9">
      <c r="A353" s="58">
        <v>40983</v>
      </c>
      <c r="B353" s="42">
        <v>2.91</v>
      </c>
      <c r="C353" s="42">
        <v>8.69</v>
      </c>
      <c r="D353" s="42">
        <v>97.7</v>
      </c>
      <c r="E353" s="42">
        <v>7.31</v>
      </c>
      <c r="F353" s="42">
        <v>53.2</v>
      </c>
      <c r="G353" s="62">
        <v>6.57</v>
      </c>
      <c r="H353" s="42">
        <v>3.8</v>
      </c>
      <c r="I353" s="42">
        <v>3.19</v>
      </c>
    </row>
    <row r="354" spans="1:9">
      <c r="A354" s="58">
        <v>41014</v>
      </c>
      <c r="B354" s="42">
        <v>2.63</v>
      </c>
      <c r="C354" s="42">
        <v>8.48</v>
      </c>
      <c r="D354" s="42">
        <v>97.4</v>
      </c>
      <c r="E354" s="42">
        <v>6.34</v>
      </c>
      <c r="F354" s="42">
        <v>53.4</v>
      </c>
      <c r="G354" s="62">
        <v>5.17</v>
      </c>
      <c r="H354" s="42">
        <v>4.5999999999999996</v>
      </c>
      <c r="I354" s="42">
        <v>3.05</v>
      </c>
    </row>
    <row r="355" spans="1:9">
      <c r="A355" s="58">
        <v>41044</v>
      </c>
      <c r="B355" s="42">
        <v>2.69</v>
      </c>
      <c r="C355" s="42">
        <v>9.0399999999999991</v>
      </c>
      <c r="D355" s="42">
        <v>97.3</v>
      </c>
      <c r="E355" s="42">
        <v>5.98</v>
      </c>
      <c r="F355" s="42">
        <v>51.8</v>
      </c>
      <c r="G355" s="62">
        <v>4.8600000000000003</v>
      </c>
      <c r="H355" s="42">
        <v>4.2</v>
      </c>
      <c r="I355" s="42">
        <v>3.17</v>
      </c>
    </row>
    <row r="356" spans="1:9">
      <c r="A356" s="58">
        <v>41075</v>
      </c>
      <c r="B356" s="42">
        <v>3.41</v>
      </c>
      <c r="C356" s="42">
        <v>9.6999999999999993</v>
      </c>
      <c r="D356" s="42">
        <v>97</v>
      </c>
      <c r="E356" s="42">
        <v>6.76</v>
      </c>
      <c r="F356" s="42">
        <v>47.7</v>
      </c>
      <c r="G356" s="62">
        <v>5.27</v>
      </c>
      <c r="H356" s="42">
        <v>3.6</v>
      </c>
      <c r="I356" s="42">
        <v>3.4</v>
      </c>
    </row>
    <row r="357" spans="1:9">
      <c r="A357" s="58">
        <v>41105</v>
      </c>
      <c r="B357" s="42">
        <v>3.41</v>
      </c>
      <c r="C357" s="42">
        <v>9.9700000000000006</v>
      </c>
      <c r="D357" s="42">
        <v>96.9</v>
      </c>
      <c r="E357" s="42">
        <v>7.09</v>
      </c>
      <c r="F357" s="42">
        <v>44.7</v>
      </c>
      <c r="G357" s="62">
        <v>5.58</v>
      </c>
      <c r="H357" s="42">
        <v>3.4</v>
      </c>
      <c r="I357" s="42">
        <v>3.63</v>
      </c>
    </row>
    <row r="358" spans="1:9">
      <c r="A358" s="58">
        <v>41136</v>
      </c>
      <c r="B358" s="42">
        <v>4.05</v>
      </c>
      <c r="C358" s="42">
        <v>10.119999999999999</v>
      </c>
      <c r="D358" s="42">
        <v>96.8</v>
      </c>
      <c r="E358" s="42">
        <v>7.14</v>
      </c>
      <c r="F358" s="42">
        <v>42.4</v>
      </c>
      <c r="G358" s="62">
        <v>5.75</v>
      </c>
      <c r="H358" s="42">
        <v>3.4</v>
      </c>
      <c r="I358" s="42">
        <v>3.63</v>
      </c>
    </row>
    <row r="359" spans="1:9">
      <c r="A359" s="58">
        <v>41167</v>
      </c>
      <c r="B359" s="42">
        <v>3.48</v>
      </c>
      <c r="C359" s="42">
        <v>10.07</v>
      </c>
      <c r="D359" s="42">
        <v>96.7</v>
      </c>
      <c r="E359" s="42">
        <v>6.77</v>
      </c>
      <c r="F359" s="42">
        <v>42.8</v>
      </c>
      <c r="G359" s="62">
        <v>5.3</v>
      </c>
      <c r="H359" s="42">
        <v>3.5</v>
      </c>
      <c r="I359" s="42">
        <v>3.7</v>
      </c>
    </row>
    <row r="360" spans="1:9">
      <c r="A360" s="58">
        <v>41197</v>
      </c>
      <c r="B360" s="42">
        <v>3.52</v>
      </c>
      <c r="C360" s="42">
        <v>9.7899999999999991</v>
      </c>
      <c r="D360" s="42">
        <v>96.8</v>
      </c>
      <c r="E360" s="42">
        <v>6.82</v>
      </c>
      <c r="F360" s="42">
        <v>44.5</v>
      </c>
      <c r="G360" s="62">
        <v>5.45</v>
      </c>
      <c r="H360" s="42">
        <v>4</v>
      </c>
      <c r="I360" s="42">
        <v>4.16</v>
      </c>
    </row>
    <row r="361" spans="1:9">
      <c r="A361" s="58">
        <v>41228</v>
      </c>
      <c r="B361" s="42">
        <v>4</v>
      </c>
      <c r="C361" s="42">
        <v>9.09</v>
      </c>
      <c r="D361" s="42">
        <v>97.4</v>
      </c>
      <c r="E361" s="42">
        <v>7.45</v>
      </c>
      <c r="F361" s="42">
        <v>49.1</v>
      </c>
      <c r="G361" s="62">
        <v>5.94</v>
      </c>
      <c r="H361" s="42">
        <v>4.5999999999999996</v>
      </c>
      <c r="I361" s="42">
        <v>4.41</v>
      </c>
    </row>
    <row r="362" spans="1:9">
      <c r="A362" s="58">
        <v>41258</v>
      </c>
      <c r="B362" s="42">
        <v>4.49</v>
      </c>
      <c r="C362" s="42">
        <v>9.33</v>
      </c>
      <c r="D362" s="42">
        <v>97.5</v>
      </c>
      <c r="E362" s="42">
        <v>8.0500000000000007</v>
      </c>
      <c r="F362" s="42">
        <v>52.8</v>
      </c>
      <c r="G362" s="62">
        <v>6.68</v>
      </c>
      <c r="H362" s="42">
        <v>4.5999999999999996</v>
      </c>
      <c r="I362" s="42">
        <v>4.3499999999999996</v>
      </c>
    </row>
    <row r="363" spans="1:9">
      <c r="A363" s="58">
        <v>41289</v>
      </c>
      <c r="B363" s="42">
        <v>4.18</v>
      </c>
      <c r="C363" s="42">
        <v>9.5</v>
      </c>
      <c r="D363" s="42">
        <v>97</v>
      </c>
      <c r="E363" s="42">
        <v>7.52</v>
      </c>
      <c r="F363" s="42">
        <v>52.9</v>
      </c>
      <c r="G363" s="62">
        <v>6.73</v>
      </c>
      <c r="H363" s="42">
        <v>4.4000000000000004</v>
      </c>
      <c r="I363" s="42">
        <v>4.2300000000000004</v>
      </c>
    </row>
    <row r="364" spans="1:9">
      <c r="A364" s="58">
        <v>41320</v>
      </c>
      <c r="B364" s="42">
        <v>3.58</v>
      </c>
      <c r="C364" s="42">
        <v>8.91</v>
      </c>
      <c r="D364" s="42">
        <v>97</v>
      </c>
      <c r="E364" s="42">
        <v>7.09</v>
      </c>
      <c r="F364" s="42">
        <v>56.1</v>
      </c>
      <c r="G364" s="62">
        <v>6.09</v>
      </c>
      <c r="H364" s="42">
        <v>6.4</v>
      </c>
      <c r="I364" s="42">
        <v>4.2300000000000004</v>
      </c>
    </row>
    <row r="365" spans="1:9">
      <c r="A365" s="58">
        <v>41348</v>
      </c>
      <c r="B365" s="42">
        <v>4.18</v>
      </c>
      <c r="C365" s="42">
        <v>9.19</v>
      </c>
      <c r="D365" s="42">
        <v>96.2</v>
      </c>
      <c r="E365" s="42">
        <v>7.52</v>
      </c>
      <c r="F365" s="42">
        <v>52</v>
      </c>
      <c r="G365" s="62">
        <v>6.39</v>
      </c>
      <c r="H365" s="42">
        <v>4.5</v>
      </c>
      <c r="I365" s="42">
        <v>4.47</v>
      </c>
    </row>
    <row r="366" spans="1:9">
      <c r="A366" s="58">
        <v>41379</v>
      </c>
      <c r="B366" s="42">
        <v>4.58</v>
      </c>
      <c r="C366" s="42">
        <v>9.83</v>
      </c>
      <c r="D366" s="42">
        <v>96.1</v>
      </c>
      <c r="E366" s="42">
        <v>7.63</v>
      </c>
      <c r="F366" s="42">
        <v>52.7</v>
      </c>
      <c r="G366" s="62">
        <v>6.44</v>
      </c>
      <c r="H366" s="42">
        <v>4.3</v>
      </c>
      <c r="I366" s="42">
        <v>4.82</v>
      </c>
    </row>
    <row r="367" spans="1:9">
      <c r="A367" s="58">
        <v>41409</v>
      </c>
      <c r="B367" s="42">
        <v>4.57</v>
      </c>
      <c r="C367" s="42">
        <v>10.94</v>
      </c>
      <c r="D367" s="42">
        <v>95.7</v>
      </c>
      <c r="E367" s="42">
        <v>7.97</v>
      </c>
      <c r="F367" s="42">
        <v>51</v>
      </c>
      <c r="G367" s="62">
        <v>6.74</v>
      </c>
      <c r="H367" s="42">
        <v>3.7</v>
      </c>
    </row>
    <row r="368" spans="1:9">
      <c r="A368" s="58">
        <v>41440</v>
      </c>
      <c r="B368" s="42">
        <v>4.6500000000000004</v>
      </c>
      <c r="C368" s="42">
        <v>11.38</v>
      </c>
      <c r="D368" s="42">
        <v>95.6</v>
      </c>
      <c r="E368" s="42">
        <v>8.58</v>
      </c>
      <c r="F368" s="42">
        <v>47.6</v>
      </c>
      <c r="G368" s="62">
        <v>7.07</v>
      </c>
      <c r="H368" s="42">
        <v>3.4</v>
      </c>
      <c r="I368" s="42">
        <v>4.55</v>
      </c>
    </row>
    <row r="369" spans="1:9">
      <c r="A369" s="58">
        <v>41470</v>
      </c>
      <c r="B369" s="42">
        <v>4.2</v>
      </c>
      <c r="C369" s="42">
        <v>11.06</v>
      </c>
      <c r="D369" s="42">
        <v>95.4</v>
      </c>
      <c r="E369" s="42">
        <v>8.15</v>
      </c>
      <c r="F369" s="42">
        <v>42.5</v>
      </c>
      <c r="G369" s="62">
        <v>6.88</v>
      </c>
      <c r="H369" s="42">
        <v>3</v>
      </c>
      <c r="I369" s="42">
        <v>4.45</v>
      </c>
    </row>
    <row r="370" spans="1:9">
      <c r="A370" s="58">
        <v>41501</v>
      </c>
      <c r="B370" s="42">
        <v>3.94</v>
      </c>
      <c r="C370" s="42">
        <v>10.92</v>
      </c>
      <c r="D370" s="42">
        <v>95.3</v>
      </c>
      <c r="E370" s="42">
        <v>8.17</v>
      </c>
      <c r="F370" s="42">
        <v>44</v>
      </c>
      <c r="G370" s="62">
        <v>6.68</v>
      </c>
      <c r="H370" s="42">
        <v>3.2</v>
      </c>
      <c r="I370" s="42">
        <v>4.29</v>
      </c>
    </row>
    <row r="371" spans="1:9">
      <c r="A371" s="58">
        <v>41532</v>
      </c>
      <c r="B371" s="42">
        <v>3.73</v>
      </c>
      <c r="C371" s="42">
        <v>10.52</v>
      </c>
      <c r="D371" s="42">
        <v>95.3</v>
      </c>
      <c r="E371" s="42">
        <v>7.6</v>
      </c>
      <c r="F371" s="42">
        <v>43.7</v>
      </c>
      <c r="G371" s="62">
        <v>6.27</v>
      </c>
      <c r="H371" s="42">
        <v>3.5</v>
      </c>
      <c r="I371" s="42">
        <v>4.4400000000000004</v>
      </c>
    </row>
    <row r="372" spans="1:9">
      <c r="A372" s="58">
        <v>41562</v>
      </c>
      <c r="B372" s="42">
        <v>3.88</v>
      </c>
      <c r="C372" s="42">
        <v>10.42</v>
      </c>
      <c r="D372" s="42">
        <v>95.2</v>
      </c>
      <c r="E372" s="42">
        <v>7.6</v>
      </c>
      <c r="F372" s="42">
        <v>48.1</v>
      </c>
      <c r="G372" s="62">
        <v>6.16</v>
      </c>
      <c r="H372" s="42">
        <v>4.0999999999999996</v>
      </c>
      <c r="I372" s="42">
        <v>4.45</v>
      </c>
    </row>
    <row r="373" spans="1:9">
      <c r="A373" s="58">
        <v>41593</v>
      </c>
      <c r="B373" s="42">
        <v>4.25</v>
      </c>
      <c r="C373" s="42">
        <v>9.92</v>
      </c>
      <c r="D373" s="42">
        <v>96</v>
      </c>
      <c r="E373" s="42">
        <v>8.07</v>
      </c>
      <c r="F373" s="42">
        <v>49.8</v>
      </c>
      <c r="G373" s="62">
        <v>6.54</v>
      </c>
      <c r="H373" s="42">
        <v>3.9</v>
      </c>
      <c r="I373" s="42">
        <v>4.47</v>
      </c>
    </row>
    <row r="374" spans="1:9">
      <c r="A374" s="58">
        <v>41623</v>
      </c>
      <c r="B374" s="42">
        <v>4.41</v>
      </c>
      <c r="C374" s="42">
        <v>10.08</v>
      </c>
      <c r="D374" s="42">
        <v>95.5</v>
      </c>
      <c r="E374" s="42">
        <v>8.48</v>
      </c>
      <c r="F374" s="42">
        <v>51.2</v>
      </c>
      <c r="G374" s="62">
        <v>7.22</v>
      </c>
      <c r="H374" s="42">
        <v>3.9</v>
      </c>
      <c r="I374" s="42">
        <v>5.16</v>
      </c>
    </row>
    <row r="375" spans="1:9">
      <c r="A375" s="58">
        <v>41654</v>
      </c>
      <c r="B375" s="42">
        <v>4.88</v>
      </c>
      <c r="C375" s="42">
        <v>10.69</v>
      </c>
      <c r="D375" s="42">
        <v>95</v>
      </c>
      <c r="E375" s="42">
        <v>8.81</v>
      </c>
      <c r="F375" s="42">
        <v>52</v>
      </c>
      <c r="G375" s="62">
        <v>7.5</v>
      </c>
      <c r="H375" s="42">
        <v>4.5</v>
      </c>
      <c r="I375" s="42">
        <v>5.24</v>
      </c>
    </row>
    <row r="376" spans="1:9">
      <c r="A376" s="58">
        <v>41685</v>
      </c>
      <c r="B376" s="42">
        <v>4.8899999999999997</v>
      </c>
      <c r="C376" s="42">
        <v>11.12</v>
      </c>
      <c r="D376" s="42">
        <v>94.7</v>
      </c>
      <c r="E376" s="42">
        <v>9.1</v>
      </c>
      <c r="F376" s="42">
        <v>51.7</v>
      </c>
      <c r="G376" s="62">
        <v>7.65</v>
      </c>
      <c r="H376" s="42">
        <v>5.8</v>
      </c>
      <c r="I376" s="42">
        <v>6.86</v>
      </c>
    </row>
    <row r="377" spans="1:9">
      <c r="A377" s="58">
        <v>41713</v>
      </c>
      <c r="B377" s="42">
        <v>5.84</v>
      </c>
      <c r="C377" s="42">
        <v>11.76</v>
      </c>
      <c r="D377" s="42">
        <v>94.8</v>
      </c>
      <c r="E377" s="42">
        <v>10.09</v>
      </c>
      <c r="F377" s="42">
        <v>51.6</v>
      </c>
      <c r="G377" s="62">
        <v>8.86</v>
      </c>
      <c r="H377" s="42">
        <v>4.0999999999999996</v>
      </c>
      <c r="I377" s="42">
        <v>5.81</v>
      </c>
    </row>
    <row r="378" spans="1:9">
      <c r="A378" s="58">
        <v>41744</v>
      </c>
      <c r="B378" s="42">
        <v>4.91</v>
      </c>
      <c r="C378" s="42">
        <v>11.46</v>
      </c>
      <c r="D378" s="42">
        <v>94.7</v>
      </c>
      <c r="E378" s="42">
        <v>9.1199999999999992</v>
      </c>
      <c r="F378" s="42">
        <v>49.8</v>
      </c>
      <c r="G378" s="62">
        <v>8.24</v>
      </c>
      <c r="H378" s="42">
        <v>2.9</v>
      </c>
      <c r="I378" s="42">
        <v>5.4</v>
      </c>
    </row>
    <row r="379" spans="1:9">
      <c r="A379" s="58">
        <v>41774</v>
      </c>
      <c r="B379" s="42">
        <v>5.24</v>
      </c>
      <c r="C379" s="42">
        <v>12.14</v>
      </c>
      <c r="D379" s="42">
        <v>94.7</v>
      </c>
      <c r="E379" s="42">
        <v>8.98</v>
      </c>
      <c r="F379" s="42">
        <v>48.5</v>
      </c>
      <c r="G379" s="62">
        <v>7.71</v>
      </c>
      <c r="H379" s="42">
        <v>3.6</v>
      </c>
      <c r="I379" s="42">
        <v>5.47</v>
      </c>
    </row>
    <row r="380" spans="1:9">
      <c r="A380" s="58">
        <v>41805</v>
      </c>
      <c r="B380" s="42">
        <v>4.87</v>
      </c>
      <c r="C380" s="42">
        <v>12.03</v>
      </c>
      <c r="D380" s="42">
        <v>94.6</v>
      </c>
      <c r="E380" s="42">
        <v>8.82</v>
      </c>
      <c r="F380" s="42">
        <v>46.3</v>
      </c>
      <c r="G380" s="62">
        <v>7.65</v>
      </c>
      <c r="H380" s="42">
        <v>3.5</v>
      </c>
      <c r="I380" s="42">
        <v>5.44</v>
      </c>
    </row>
    <row r="381" spans="1:9">
      <c r="A381" s="58">
        <v>41835</v>
      </c>
      <c r="B381" s="42">
        <v>5.32</v>
      </c>
      <c r="C381" s="42">
        <v>12.5</v>
      </c>
      <c r="D381" s="42">
        <v>94.3</v>
      </c>
      <c r="E381" s="42">
        <v>9.25</v>
      </c>
      <c r="F381" s="42">
        <v>43.1</v>
      </c>
      <c r="G381" s="62">
        <v>7.84</v>
      </c>
      <c r="H381" s="42">
        <v>2.9</v>
      </c>
      <c r="I381" s="42">
        <v>5.07</v>
      </c>
    </row>
    <row r="382" spans="1:9">
      <c r="A382" s="58">
        <v>41866</v>
      </c>
      <c r="B382" s="42">
        <v>4.46</v>
      </c>
      <c r="C382" s="42">
        <v>12.05</v>
      </c>
      <c r="D382" s="42">
        <v>94.5</v>
      </c>
      <c r="E382" s="42">
        <v>8.73</v>
      </c>
      <c r="F382" s="42">
        <v>42.6</v>
      </c>
      <c r="G382" s="62">
        <v>7.38</v>
      </c>
      <c r="H382" s="42">
        <v>3.1</v>
      </c>
      <c r="I382" s="42">
        <v>4.8099999999999996</v>
      </c>
    </row>
    <row r="383" spans="1:9">
      <c r="A383" s="58">
        <v>41897</v>
      </c>
      <c r="B383" s="42">
        <v>4.59</v>
      </c>
      <c r="C383" s="42">
        <v>12.32</v>
      </c>
      <c r="D383" s="42">
        <v>94.2</v>
      </c>
      <c r="E383" s="42">
        <v>8.7200000000000006</v>
      </c>
      <c r="F383" s="42">
        <v>41.3</v>
      </c>
      <c r="G383" s="62">
        <v>7.35</v>
      </c>
      <c r="H383" s="42">
        <v>3.1</v>
      </c>
      <c r="I383" s="42">
        <v>4.8099999999999996</v>
      </c>
    </row>
    <row r="384" spans="1:9">
      <c r="A384" s="58">
        <v>41927</v>
      </c>
      <c r="B384" s="42">
        <v>4.66</v>
      </c>
      <c r="C384" s="42">
        <v>12.32</v>
      </c>
      <c r="D384" s="42">
        <v>94.3</v>
      </c>
      <c r="E384" s="42">
        <v>8.8800000000000008</v>
      </c>
      <c r="F384" s="42">
        <v>45.2</v>
      </c>
      <c r="G384" s="62">
        <v>7.22</v>
      </c>
      <c r="H384" s="42">
        <v>3.9</v>
      </c>
      <c r="I384" s="42">
        <v>4.62</v>
      </c>
    </row>
    <row r="385" spans="1:9">
      <c r="A385" s="58">
        <v>41958</v>
      </c>
      <c r="B385" s="42">
        <v>4.04</v>
      </c>
      <c r="C385" s="42">
        <v>11.04</v>
      </c>
      <c r="D385" s="42">
        <v>95.1</v>
      </c>
      <c r="E385" s="42">
        <v>8.5</v>
      </c>
      <c r="F385" s="42">
        <v>51</v>
      </c>
      <c r="G385" s="62">
        <v>6.89</v>
      </c>
      <c r="H385" s="42">
        <v>3.9</v>
      </c>
      <c r="I385" s="42">
        <v>4.8600000000000003</v>
      </c>
    </row>
    <row r="386" spans="1:9">
      <c r="A386" s="58">
        <v>41988</v>
      </c>
      <c r="B386" s="42">
        <v>4.78</v>
      </c>
      <c r="C386" s="42">
        <v>11.27</v>
      </c>
      <c r="D386" s="42">
        <v>95.3</v>
      </c>
      <c r="E386" s="42">
        <v>9.26</v>
      </c>
      <c r="F386" s="42">
        <v>52</v>
      </c>
      <c r="G386" s="62">
        <v>7.67</v>
      </c>
      <c r="H386" s="42">
        <v>4</v>
      </c>
      <c r="I386" s="42">
        <v>4.7</v>
      </c>
    </row>
    <row r="387" spans="1:9">
      <c r="A387" s="58">
        <v>42019</v>
      </c>
      <c r="B387" s="42">
        <v>3.58</v>
      </c>
      <c r="C387" s="42">
        <v>11.68</v>
      </c>
      <c r="D387" s="42">
        <v>94.8</v>
      </c>
      <c r="E387" s="42">
        <v>8.9600000000000009</v>
      </c>
      <c r="F387" s="42">
        <v>50.9</v>
      </c>
      <c r="G387" s="62">
        <v>7.67</v>
      </c>
      <c r="H387" s="42">
        <v>3.7</v>
      </c>
    </row>
    <row r="388" spans="1:9">
      <c r="A388" s="58">
        <v>42050</v>
      </c>
      <c r="B388" s="42">
        <v>3.3</v>
      </c>
      <c r="C388" s="42">
        <v>11.53</v>
      </c>
      <c r="D388" s="42">
        <v>94.5</v>
      </c>
      <c r="E388" s="42">
        <v>8.58</v>
      </c>
      <c r="F388" s="42">
        <v>54.9</v>
      </c>
      <c r="G388" s="62">
        <v>6.77</v>
      </c>
      <c r="H388" s="42">
        <v>5.4</v>
      </c>
      <c r="I388" s="42">
        <v>3.73</v>
      </c>
    </row>
    <row r="389" spans="1:9">
      <c r="A389" s="58">
        <v>42078</v>
      </c>
      <c r="B389" s="42">
        <v>3.27</v>
      </c>
      <c r="C389" s="42">
        <v>11.29</v>
      </c>
      <c r="D389" s="42">
        <v>93.9</v>
      </c>
      <c r="E389" s="42">
        <v>8.6999999999999993</v>
      </c>
      <c r="F389" s="42">
        <v>50.6</v>
      </c>
      <c r="G389" s="62">
        <v>6.89</v>
      </c>
      <c r="H389" s="42">
        <v>4.3</v>
      </c>
      <c r="I389" s="42">
        <v>3.5</v>
      </c>
    </row>
    <row r="390" spans="1:9">
      <c r="A390" s="58">
        <v>42109</v>
      </c>
      <c r="B390" s="42">
        <v>3.13</v>
      </c>
      <c r="C390" s="42">
        <v>10.93</v>
      </c>
      <c r="D390" s="42">
        <v>94.8</v>
      </c>
      <c r="E390" s="42">
        <v>7.89</v>
      </c>
      <c r="F390" s="42">
        <v>51.8</v>
      </c>
      <c r="G390" s="62">
        <v>6.45</v>
      </c>
      <c r="H390" s="42">
        <v>3.4</v>
      </c>
    </row>
    <row r="391" spans="1:9">
      <c r="A391" s="58">
        <v>42139</v>
      </c>
      <c r="B391" s="42">
        <v>2.96</v>
      </c>
      <c r="C391" s="42">
        <v>11.35</v>
      </c>
      <c r="D391" s="42">
        <v>94.7</v>
      </c>
      <c r="E391" s="42">
        <v>7.03</v>
      </c>
      <c r="F391" s="42">
        <v>51.5</v>
      </c>
      <c r="G391" s="62">
        <v>5.51</v>
      </c>
      <c r="H391" s="42">
        <v>4.5</v>
      </c>
      <c r="I391" s="42">
        <v>3.45</v>
      </c>
    </row>
    <row r="392" spans="1:9">
      <c r="A392" s="58">
        <v>42170</v>
      </c>
      <c r="B392" s="42">
        <v>3.42</v>
      </c>
      <c r="C392" s="42">
        <v>11.73</v>
      </c>
      <c r="D392" s="42">
        <v>94.6</v>
      </c>
      <c r="E392" s="42">
        <v>7.72</v>
      </c>
      <c r="F392" s="42">
        <v>47.2</v>
      </c>
      <c r="G392" s="62">
        <v>6.29</v>
      </c>
      <c r="H392" s="42">
        <v>3.1</v>
      </c>
      <c r="I392" s="42">
        <v>3.52</v>
      </c>
    </row>
    <row r="393" spans="1:9">
      <c r="A393" s="58">
        <v>42200</v>
      </c>
      <c r="B393" s="42">
        <v>3.56</v>
      </c>
      <c r="C393" s="42">
        <v>11.69</v>
      </c>
      <c r="D393" s="42">
        <v>94.8</v>
      </c>
      <c r="E393" s="42">
        <v>7.74</v>
      </c>
      <c r="F393" s="42">
        <v>44.9</v>
      </c>
      <c r="G393" s="62">
        <v>6.08</v>
      </c>
      <c r="H393" s="42">
        <v>3.1</v>
      </c>
      <c r="I393" s="42">
        <v>3.54</v>
      </c>
    </row>
    <row r="394" spans="1:9">
      <c r="A394" s="58">
        <v>42231</v>
      </c>
      <c r="B394" s="42">
        <v>3.55</v>
      </c>
      <c r="C394" s="42">
        <v>11.86</v>
      </c>
      <c r="D394" s="42">
        <v>94.9</v>
      </c>
      <c r="E394" s="42">
        <v>7.93</v>
      </c>
      <c r="F394" s="42">
        <v>43.4</v>
      </c>
      <c r="G394" s="62">
        <v>6.12</v>
      </c>
      <c r="H394" s="42">
        <v>3.1</v>
      </c>
      <c r="I394" s="42">
        <v>3.53</v>
      </c>
    </row>
    <row r="395" spans="1:9">
      <c r="A395" s="58">
        <v>42262</v>
      </c>
      <c r="B395" s="42">
        <v>3.42</v>
      </c>
      <c r="C395" s="42">
        <v>11.92</v>
      </c>
      <c r="D395" s="42">
        <v>94.6</v>
      </c>
      <c r="E395" s="42">
        <v>7.9</v>
      </c>
      <c r="F395" s="42">
        <v>43.8</v>
      </c>
      <c r="G395" s="62">
        <v>6.15</v>
      </c>
      <c r="H395" s="42">
        <v>3.2</v>
      </c>
      <c r="I395" s="42">
        <v>3.29</v>
      </c>
    </row>
    <row r="396" spans="1:9">
      <c r="A396" s="58">
        <v>42292</v>
      </c>
      <c r="B396" s="42">
        <v>3.32</v>
      </c>
      <c r="C396" s="42">
        <v>11.54</v>
      </c>
      <c r="D396" s="42">
        <v>94.7</v>
      </c>
      <c r="E396" s="42">
        <v>7.75</v>
      </c>
      <c r="F396" s="42">
        <v>46.5</v>
      </c>
      <c r="G396" s="62">
        <v>5.94</v>
      </c>
      <c r="H396" s="42">
        <v>4</v>
      </c>
      <c r="I396" s="42">
        <v>3.19</v>
      </c>
    </row>
    <row r="397" spans="1:9">
      <c r="A397" s="58">
        <v>42323</v>
      </c>
      <c r="B397" s="42">
        <v>3.08</v>
      </c>
      <c r="C397" s="42">
        <v>10.31</v>
      </c>
      <c r="D397" s="42">
        <v>96.1</v>
      </c>
      <c r="E397" s="42">
        <v>7.25</v>
      </c>
      <c r="F397" s="42">
        <v>51.7</v>
      </c>
      <c r="G397" s="62">
        <v>5.83</v>
      </c>
      <c r="H397" s="42">
        <v>4.0999999999999996</v>
      </c>
      <c r="I397" s="42">
        <v>2.95</v>
      </c>
    </row>
    <row r="398" spans="1:9">
      <c r="A398" s="58">
        <v>42353</v>
      </c>
      <c r="B398" s="42">
        <v>3.02</v>
      </c>
      <c r="C398" s="42">
        <v>11.38</v>
      </c>
      <c r="D398" s="42">
        <v>95.6</v>
      </c>
      <c r="E398" s="42">
        <v>8.2899999999999991</v>
      </c>
      <c r="F398" s="42">
        <v>54.7</v>
      </c>
      <c r="G398" s="62">
        <v>6.99</v>
      </c>
      <c r="H398" s="42">
        <v>4.5999999999999996</v>
      </c>
      <c r="I398" s="42">
        <v>2.96</v>
      </c>
    </row>
    <row r="399" spans="1:9">
      <c r="A399" s="58">
        <v>42384</v>
      </c>
      <c r="B399" s="42">
        <v>2.72</v>
      </c>
      <c r="C399" s="42">
        <v>11.39</v>
      </c>
      <c r="D399" s="42">
        <v>95.3</v>
      </c>
      <c r="E399" s="42">
        <v>8.0299999999999994</v>
      </c>
      <c r="F399" s="42">
        <v>54.4</v>
      </c>
      <c r="G399" s="62">
        <v>6.56</v>
      </c>
      <c r="H399" s="42">
        <v>5</v>
      </c>
      <c r="I399" s="42">
        <v>3.02</v>
      </c>
    </row>
    <row r="400" spans="1:9">
      <c r="A400" s="58">
        <v>42415</v>
      </c>
      <c r="B400" s="42">
        <v>2.65</v>
      </c>
      <c r="C400" s="42">
        <v>11.46</v>
      </c>
      <c r="D400" s="42">
        <v>94.9</v>
      </c>
      <c r="E400" s="42">
        <v>8.48</v>
      </c>
      <c r="F400" s="42">
        <v>53.2</v>
      </c>
      <c r="G400" s="62">
        <v>6.9</v>
      </c>
      <c r="H400" s="42">
        <v>4.8</v>
      </c>
      <c r="I400" s="42">
        <v>2.8</v>
      </c>
    </row>
    <row r="401" spans="1:9">
      <c r="A401" s="58">
        <v>42444</v>
      </c>
      <c r="B401" s="42">
        <v>2.2999999999999998</v>
      </c>
      <c r="C401" s="42">
        <v>10.54</v>
      </c>
      <c r="D401" s="42">
        <v>95</v>
      </c>
      <c r="E401" s="42">
        <v>8.16</v>
      </c>
      <c r="F401" s="42">
        <v>52.3</v>
      </c>
      <c r="G401" s="62">
        <v>6.67</v>
      </c>
      <c r="H401" s="42">
        <v>3.6</v>
      </c>
      <c r="I401" s="42">
        <v>2.52</v>
      </c>
    </row>
    <row r="402" spans="1:9">
      <c r="A402" s="58">
        <v>42475</v>
      </c>
      <c r="B402" s="42">
        <v>2.25</v>
      </c>
      <c r="C402" s="42">
        <v>10.44</v>
      </c>
      <c r="D402" s="42">
        <v>94.7</v>
      </c>
      <c r="E402" s="42">
        <v>7.18</v>
      </c>
      <c r="F402" s="42">
        <v>54</v>
      </c>
      <c r="G402" s="62">
        <v>5.7</v>
      </c>
      <c r="H402" s="42">
        <v>4</v>
      </c>
      <c r="I402" s="42">
        <v>2.4300000000000002</v>
      </c>
    </row>
    <row r="403" spans="1:9">
      <c r="A403" s="58">
        <v>42505</v>
      </c>
      <c r="B403" s="42">
        <v>2.4900000000000002</v>
      </c>
      <c r="C403" s="42">
        <v>11.45</v>
      </c>
      <c r="D403" s="42">
        <v>95.2</v>
      </c>
      <c r="E403" s="42">
        <v>7.33</v>
      </c>
      <c r="F403" s="42">
        <v>53.1</v>
      </c>
      <c r="G403" s="62">
        <v>5.84</v>
      </c>
      <c r="H403" s="42">
        <v>3.7</v>
      </c>
    </row>
    <row r="404" spans="1:9">
      <c r="A404" s="58">
        <v>42536</v>
      </c>
      <c r="B404" s="42">
        <v>2.52</v>
      </c>
      <c r="C404" s="42">
        <v>11.31</v>
      </c>
      <c r="D404" s="42">
        <v>94.7</v>
      </c>
      <c r="E404" s="42">
        <v>7.43</v>
      </c>
      <c r="F404" s="42">
        <v>48.2</v>
      </c>
      <c r="G404" s="62">
        <v>5.8</v>
      </c>
      <c r="H404" s="42">
        <v>3.8</v>
      </c>
      <c r="I404" s="42">
        <v>2.95</v>
      </c>
    </row>
    <row r="405" spans="1:9">
      <c r="A405" s="58">
        <v>42566</v>
      </c>
      <c r="B405" s="42">
        <v>3.34</v>
      </c>
      <c r="C405" s="42">
        <v>11.9</v>
      </c>
      <c r="D405" s="42">
        <v>94.9</v>
      </c>
      <c r="E405" s="42">
        <v>8.07</v>
      </c>
      <c r="F405" s="42">
        <v>47.2</v>
      </c>
      <c r="G405" s="62">
        <v>6.3</v>
      </c>
      <c r="H405" s="42">
        <v>3.3</v>
      </c>
      <c r="I405" s="42">
        <v>3.42</v>
      </c>
    </row>
    <row r="406" spans="1:9">
      <c r="A406" s="58">
        <v>42597</v>
      </c>
      <c r="B406" s="42">
        <v>3.29</v>
      </c>
      <c r="C406" s="42">
        <v>12.82</v>
      </c>
      <c r="D406" s="42">
        <v>94.4</v>
      </c>
      <c r="E406" s="42">
        <v>8.74</v>
      </c>
      <c r="F406" s="42">
        <v>43.2</v>
      </c>
      <c r="G406" s="62">
        <v>6.91</v>
      </c>
      <c r="H406" s="42">
        <v>3.2</v>
      </c>
      <c r="I406" s="42">
        <v>3.39</v>
      </c>
    </row>
    <row r="407" spans="1:9">
      <c r="A407" s="58">
        <v>42628</v>
      </c>
      <c r="B407" s="42">
        <v>3.56</v>
      </c>
      <c r="C407" s="42">
        <v>13.26</v>
      </c>
      <c r="D407" s="42">
        <v>94.8</v>
      </c>
      <c r="E407" s="42">
        <v>9.16</v>
      </c>
      <c r="F407" s="42">
        <v>46.8</v>
      </c>
      <c r="G407" s="62">
        <v>7.35</v>
      </c>
      <c r="H407" s="42">
        <v>3.1</v>
      </c>
      <c r="I407" s="42">
        <v>3.51</v>
      </c>
    </row>
    <row r="408" spans="1:9">
      <c r="A408" s="58">
        <v>42658</v>
      </c>
      <c r="B408" s="42">
        <v>3.51</v>
      </c>
      <c r="C408" s="42">
        <v>13.31</v>
      </c>
      <c r="D408" s="42">
        <v>95</v>
      </c>
      <c r="E408" s="42">
        <v>9.08</v>
      </c>
      <c r="F408" s="42">
        <v>49.5</v>
      </c>
      <c r="G408" s="62">
        <v>7.27</v>
      </c>
      <c r="H408" s="42">
        <v>4.3</v>
      </c>
      <c r="I408" s="42">
        <v>3.33</v>
      </c>
    </row>
    <row r="409" spans="1:9">
      <c r="A409" s="58">
        <v>42689</v>
      </c>
      <c r="B409" s="42">
        <v>3.3</v>
      </c>
      <c r="C409" s="42">
        <v>12.33</v>
      </c>
      <c r="D409" s="42">
        <v>95.7</v>
      </c>
      <c r="E409" s="42">
        <v>9.2799999999999994</v>
      </c>
      <c r="F409" s="42">
        <v>52</v>
      </c>
      <c r="G409" s="62">
        <v>7.48</v>
      </c>
      <c r="H409" s="42">
        <v>4.5</v>
      </c>
      <c r="I409" s="42">
        <v>3.22</v>
      </c>
    </row>
    <row r="410" spans="1:9">
      <c r="A410" s="58">
        <v>42719</v>
      </c>
      <c r="B410" s="42">
        <v>3.64</v>
      </c>
      <c r="C410" s="42">
        <v>13.08</v>
      </c>
      <c r="D410" s="42">
        <v>95.5</v>
      </c>
      <c r="E410" s="42">
        <v>9.9600000000000009</v>
      </c>
      <c r="F410" s="42">
        <v>54</v>
      </c>
      <c r="G410" s="62">
        <v>8.44</v>
      </c>
      <c r="H410" s="42">
        <v>4.0999999999999996</v>
      </c>
      <c r="I410" s="42">
        <v>4.05</v>
      </c>
    </row>
    <row r="411" spans="1:9">
      <c r="A411" s="58">
        <v>42750</v>
      </c>
      <c r="B411" s="42">
        <v>3.87</v>
      </c>
      <c r="C411" s="42">
        <v>13.1</v>
      </c>
      <c r="D411" s="42">
        <v>95.7</v>
      </c>
      <c r="E411" s="42">
        <v>9.6</v>
      </c>
      <c r="F411" s="42">
        <v>56.4</v>
      </c>
      <c r="G411" s="62">
        <v>8.3800000000000008</v>
      </c>
      <c r="H411" s="42">
        <v>4.8</v>
      </c>
      <c r="I411" s="42">
        <v>4.2699999999999996</v>
      </c>
    </row>
    <row r="412" spans="1:9">
      <c r="A412" s="58">
        <v>42781</v>
      </c>
      <c r="B412" s="42">
        <v>3.59</v>
      </c>
      <c r="C412" s="42">
        <v>12.65</v>
      </c>
      <c r="D412" s="42">
        <v>95.1</v>
      </c>
      <c r="E412" s="42">
        <v>9.34</v>
      </c>
      <c r="F412" s="42">
        <v>56.8</v>
      </c>
      <c r="G412" s="62">
        <v>7.96</v>
      </c>
      <c r="H412" s="42">
        <v>5.0999999999999996</v>
      </c>
      <c r="I412" s="42">
        <v>3.88</v>
      </c>
    </row>
    <row r="413" spans="1:9">
      <c r="A413" s="58">
        <v>42809</v>
      </c>
      <c r="B413" s="42">
        <v>3.15</v>
      </c>
      <c r="C413" s="42">
        <v>12.41</v>
      </c>
      <c r="D413" s="42">
        <v>94.6</v>
      </c>
      <c r="E413" s="42">
        <v>9.4700000000000006</v>
      </c>
      <c r="F413" s="42">
        <v>53.7</v>
      </c>
      <c r="G413" s="62">
        <v>7.71</v>
      </c>
      <c r="H413" s="42">
        <v>4.5999999999999996</v>
      </c>
      <c r="I413" s="42">
        <v>3.44</v>
      </c>
    </row>
    <row r="414" spans="1:9">
      <c r="A414" s="58">
        <v>42840</v>
      </c>
      <c r="B414" s="42">
        <v>3.31</v>
      </c>
      <c r="C414" s="42">
        <v>12.51</v>
      </c>
      <c r="D414" s="42">
        <v>94.7</v>
      </c>
      <c r="E414" s="42">
        <v>8.81</v>
      </c>
      <c r="F414" s="42">
        <v>53.7</v>
      </c>
      <c r="G414" s="62">
        <v>7.19</v>
      </c>
      <c r="H414" s="42">
        <v>3.9</v>
      </c>
    </row>
    <row r="415" spans="1:9">
      <c r="A415" s="58">
        <v>42870</v>
      </c>
      <c r="B415" s="42">
        <v>3.38</v>
      </c>
      <c r="C415" s="42">
        <v>12.96</v>
      </c>
      <c r="D415" s="42">
        <v>95.2</v>
      </c>
      <c r="E415" s="42">
        <v>8.68</v>
      </c>
      <c r="F415" s="42">
        <v>54.9</v>
      </c>
      <c r="G415" s="62">
        <v>7.05</v>
      </c>
      <c r="H415" s="42">
        <v>3.8</v>
      </c>
    </row>
    <row r="416" spans="1:9">
      <c r="A416" s="58">
        <v>42901</v>
      </c>
      <c r="B416" s="42">
        <v>3.55</v>
      </c>
      <c r="C416" s="42">
        <v>13.14</v>
      </c>
      <c r="D416" s="42">
        <v>94.7</v>
      </c>
      <c r="E416" s="42">
        <v>8.74</v>
      </c>
      <c r="F416" s="42">
        <v>51.4</v>
      </c>
      <c r="G416" s="62">
        <v>7.01</v>
      </c>
      <c r="H416" s="42">
        <v>3.6</v>
      </c>
      <c r="I416" s="42">
        <v>3.72</v>
      </c>
    </row>
    <row r="417" spans="1:9">
      <c r="A417" s="58">
        <v>42931</v>
      </c>
      <c r="B417" s="42">
        <v>3.47</v>
      </c>
      <c r="C417" s="42">
        <v>12.55</v>
      </c>
      <c r="D417" s="42">
        <v>95.1</v>
      </c>
      <c r="E417" s="42">
        <v>8.4</v>
      </c>
      <c r="F417" s="42">
        <v>48.4</v>
      </c>
      <c r="G417" s="62">
        <v>6.59</v>
      </c>
      <c r="H417" s="42">
        <v>3.5</v>
      </c>
      <c r="I417" s="42">
        <v>3.7</v>
      </c>
    </row>
    <row r="418" spans="1:9">
      <c r="A418" s="58">
        <v>42962</v>
      </c>
      <c r="B418" s="42">
        <v>3.22</v>
      </c>
      <c r="C418" s="42">
        <v>12.53</v>
      </c>
      <c r="D418" s="42">
        <v>94.5</v>
      </c>
      <c r="E418" s="42">
        <v>8.31</v>
      </c>
      <c r="F418" s="42">
        <v>46.8</v>
      </c>
      <c r="G418" s="62">
        <v>6.43</v>
      </c>
      <c r="H418" s="42">
        <v>3.9</v>
      </c>
      <c r="I418" s="42">
        <v>3.74</v>
      </c>
    </row>
    <row r="419" spans="1:9">
      <c r="A419" s="58">
        <v>42993</v>
      </c>
      <c r="B419" s="42">
        <v>3.09</v>
      </c>
      <c r="C419" s="42">
        <v>12.28</v>
      </c>
      <c r="D419" s="42">
        <v>95.1</v>
      </c>
      <c r="E419" s="42">
        <v>7.95</v>
      </c>
      <c r="F419" s="42">
        <v>47.4</v>
      </c>
      <c r="G419" s="62">
        <v>6.24</v>
      </c>
      <c r="H419" s="42">
        <v>3.9</v>
      </c>
      <c r="I419" s="42">
        <v>3.69</v>
      </c>
    </row>
    <row r="420" spans="1:9">
      <c r="A420" s="58">
        <v>43023</v>
      </c>
      <c r="B420" s="42">
        <v>2.95</v>
      </c>
      <c r="C420" s="42">
        <v>12.1</v>
      </c>
      <c r="D420" s="42">
        <v>95</v>
      </c>
      <c r="E420" s="42">
        <v>7.78</v>
      </c>
      <c r="F420" s="42">
        <v>48.3</v>
      </c>
      <c r="G420" s="62">
        <v>6.09</v>
      </c>
      <c r="H420" s="42">
        <v>4.5</v>
      </c>
      <c r="I420" s="42">
        <v>3.71</v>
      </c>
    </row>
    <row r="421" spans="1:9">
      <c r="A421" s="58">
        <v>43054</v>
      </c>
      <c r="B421" s="42">
        <v>3.24</v>
      </c>
      <c r="C421" s="42">
        <v>11.41</v>
      </c>
      <c r="D421" s="42">
        <v>95.3</v>
      </c>
      <c r="E421" s="42">
        <v>8</v>
      </c>
      <c r="F421" s="42">
        <v>51</v>
      </c>
      <c r="G421" s="62">
        <v>6.38</v>
      </c>
      <c r="H421" s="42">
        <v>4</v>
      </c>
      <c r="I421" s="42">
        <v>3.68</v>
      </c>
    </row>
    <row r="422" spans="1:9">
      <c r="A422" s="58">
        <v>43084</v>
      </c>
      <c r="B422" s="42">
        <v>3.66</v>
      </c>
      <c r="C422" s="42">
        <v>11.76</v>
      </c>
      <c r="D422" s="42">
        <v>95.4</v>
      </c>
      <c r="E422" s="42">
        <v>8.64</v>
      </c>
      <c r="F422" s="42">
        <v>54.6</v>
      </c>
      <c r="G422" s="62">
        <v>7.14</v>
      </c>
      <c r="H422" s="42">
        <v>4.5999999999999996</v>
      </c>
      <c r="I422" s="42">
        <v>3.86</v>
      </c>
    </row>
    <row r="423" spans="1:9">
      <c r="A423" s="58">
        <v>43115</v>
      </c>
      <c r="B423" s="42">
        <v>2.91</v>
      </c>
      <c r="C423" s="42">
        <v>12.13</v>
      </c>
      <c r="D423" s="42">
        <v>95.2</v>
      </c>
      <c r="E423" s="42">
        <v>8.91</v>
      </c>
      <c r="F423" s="42">
        <v>53.8</v>
      </c>
      <c r="G423" s="62">
        <v>7.63</v>
      </c>
      <c r="H423" s="42">
        <v>4.2</v>
      </c>
      <c r="I423" s="42">
        <v>3.79</v>
      </c>
    </row>
    <row r="424" spans="1:9">
      <c r="A424" s="58">
        <v>43146</v>
      </c>
      <c r="B424" s="42">
        <v>3.12</v>
      </c>
      <c r="C424" s="42">
        <v>12.11</v>
      </c>
      <c r="D424" s="42">
        <v>95.4</v>
      </c>
      <c r="E424" s="42">
        <v>9.1300000000000008</v>
      </c>
      <c r="F424" s="42">
        <v>54.9</v>
      </c>
      <c r="G424" s="62">
        <v>7.56</v>
      </c>
      <c r="H424" s="42">
        <v>5.2</v>
      </c>
      <c r="I424" s="42">
        <v>3.72</v>
      </c>
    </row>
    <row r="425" spans="1:9">
      <c r="A425" s="58">
        <v>43174</v>
      </c>
      <c r="B425" s="42">
        <v>2.76</v>
      </c>
      <c r="C425" s="42">
        <v>12.28</v>
      </c>
      <c r="D425" s="42">
        <v>94.8</v>
      </c>
      <c r="E425" s="42">
        <v>8.8800000000000008</v>
      </c>
      <c r="F425" s="42">
        <v>54.6</v>
      </c>
      <c r="G425" s="62">
        <v>7.53</v>
      </c>
      <c r="H425" s="42">
        <v>4.4000000000000004</v>
      </c>
    </row>
    <row r="426" spans="1:9">
      <c r="A426" s="58">
        <v>43205</v>
      </c>
      <c r="B426" s="42">
        <v>2.42</v>
      </c>
      <c r="C426" s="42">
        <v>11.62</v>
      </c>
      <c r="D426" s="42">
        <v>94.7</v>
      </c>
      <c r="E426" s="42">
        <v>7.97</v>
      </c>
      <c r="F426" s="42">
        <v>51.9</v>
      </c>
      <c r="G426" s="62">
        <v>6.44</v>
      </c>
      <c r="H426" s="42">
        <v>4.3</v>
      </c>
      <c r="I426" s="42">
        <v>3.06</v>
      </c>
    </row>
    <row r="427" spans="1:9">
      <c r="A427" s="58">
        <v>43235</v>
      </c>
      <c r="B427" s="42">
        <v>2.34</v>
      </c>
      <c r="C427" s="42">
        <v>12.44</v>
      </c>
      <c r="D427" s="42">
        <v>94.6</v>
      </c>
      <c r="E427" s="42">
        <v>7.74</v>
      </c>
      <c r="F427" s="42">
        <v>53.6</v>
      </c>
      <c r="G427" s="62">
        <v>6.17</v>
      </c>
      <c r="H427" s="42">
        <v>4</v>
      </c>
      <c r="I427" s="42">
        <v>2.88</v>
      </c>
    </row>
    <row r="428" spans="1:9">
      <c r="A428" s="58">
        <v>43266</v>
      </c>
      <c r="B428" s="42">
        <v>2.67</v>
      </c>
      <c r="C428" s="42">
        <v>12.16</v>
      </c>
      <c r="D428" s="42">
        <v>94.6</v>
      </c>
      <c r="E428" s="42">
        <v>7.74</v>
      </c>
      <c r="F428" s="42">
        <v>50.4</v>
      </c>
      <c r="G428" s="62">
        <v>6.17</v>
      </c>
      <c r="H428" s="42">
        <v>3.9</v>
      </c>
      <c r="I428" s="42">
        <v>3.36</v>
      </c>
    </row>
    <row r="429" spans="1:9">
      <c r="A429" s="58">
        <v>43296</v>
      </c>
      <c r="B429" s="42">
        <v>2.02</v>
      </c>
      <c r="C429" s="42">
        <v>12.38</v>
      </c>
      <c r="D429" s="42">
        <v>94.5</v>
      </c>
      <c r="E429" s="42">
        <v>8.32</v>
      </c>
      <c r="F429" s="42">
        <v>48.9</v>
      </c>
      <c r="G429" s="62">
        <v>6.52</v>
      </c>
      <c r="H429" s="42">
        <v>3.3</v>
      </c>
      <c r="I429" s="42">
        <v>6.87</v>
      </c>
    </row>
    <row r="430" spans="1:9">
      <c r="A430" s="58">
        <v>43327</v>
      </c>
      <c r="B430" s="42">
        <v>6.35</v>
      </c>
      <c r="C430" s="42">
        <v>12.89</v>
      </c>
      <c r="D430" s="42">
        <v>93.1</v>
      </c>
      <c r="E430" s="42">
        <v>8.2100000000000009</v>
      </c>
      <c r="F430" s="42">
        <v>42.6</v>
      </c>
      <c r="G430" s="62">
        <v>8.16</v>
      </c>
      <c r="H430" s="42">
        <v>3.1</v>
      </c>
      <c r="I430" s="42">
        <v>5.88</v>
      </c>
    </row>
    <row r="431" spans="1:9">
      <c r="A431" s="58">
        <v>43358</v>
      </c>
      <c r="B431" s="42">
        <v>3.24</v>
      </c>
      <c r="C431" s="42">
        <v>12.32</v>
      </c>
      <c r="D431" s="42">
        <v>94.4</v>
      </c>
      <c r="E431" s="42">
        <v>8.3699999999999992</v>
      </c>
      <c r="F431" s="42">
        <v>47.9</v>
      </c>
      <c r="G431" s="62">
        <v>7.13</v>
      </c>
      <c r="H431" s="42">
        <v>3.5</v>
      </c>
      <c r="I431" s="42">
        <v>3.58</v>
      </c>
    </row>
    <row r="432" spans="1:9">
      <c r="A432" s="58">
        <v>43388</v>
      </c>
      <c r="B432" s="42">
        <v>2.73</v>
      </c>
      <c r="C432" s="42">
        <v>12.18</v>
      </c>
      <c r="D432" s="42">
        <v>94.5</v>
      </c>
      <c r="E432" s="42">
        <v>7.61</v>
      </c>
      <c r="F432" s="42">
        <v>46.5</v>
      </c>
      <c r="G432" s="62">
        <v>6.19</v>
      </c>
      <c r="H432" s="42">
        <v>4.5999999999999996</v>
      </c>
      <c r="I432" s="42">
        <v>3.78</v>
      </c>
    </row>
    <row r="433" spans="1:9">
      <c r="A433" s="58">
        <v>43419</v>
      </c>
      <c r="B433" s="42">
        <v>3.31</v>
      </c>
      <c r="C433" s="42">
        <v>11.95</v>
      </c>
      <c r="D433" s="42">
        <v>94.9</v>
      </c>
      <c r="E433" s="42">
        <v>8.67</v>
      </c>
      <c r="F433" s="42">
        <v>51.3</v>
      </c>
      <c r="G433" s="62">
        <v>7.09</v>
      </c>
      <c r="H433" s="42">
        <v>4.2</v>
      </c>
    </row>
    <row r="434" spans="1:9">
      <c r="A434" s="58">
        <v>43449</v>
      </c>
      <c r="B434" s="42">
        <v>5.07</v>
      </c>
      <c r="C434" s="42">
        <v>13.1</v>
      </c>
      <c r="D434" s="42">
        <v>95.3</v>
      </c>
      <c r="E434" s="42">
        <v>10.039999999999999</v>
      </c>
      <c r="F434" s="42">
        <v>54.3</v>
      </c>
      <c r="G434" s="62">
        <v>8.7200000000000006</v>
      </c>
      <c r="H434" s="42">
        <v>4.4000000000000004</v>
      </c>
      <c r="I434" s="42">
        <v>6.34</v>
      </c>
    </row>
    <row r="435" spans="1:9">
      <c r="A435" s="58">
        <v>43480</v>
      </c>
      <c r="B435" s="42">
        <v>3.4</v>
      </c>
      <c r="C435" s="42">
        <v>13.5</v>
      </c>
      <c r="D435" s="42">
        <v>95</v>
      </c>
      <c r="E435" s="42">
        <v>10.4</v>
      </c>
      <c r="F435" s="42">
        <v>53</v>
      </c>
      <c r="G435" s="62">
        <v>9.1199999999999992</v>
      </c>
      <c r="H435" s="42">
        <v>4.0999999999999996</v>
      </c>
    </row>
    <row r="436" spans="1:9">
      <c r="A436" s="58">
        <v>43511</v>
      </c>
      <c r="B436" s="42">
        <v>3.71</v>
      </c>
      <c r="C436" s="42">
        <v>13.08</v>
      </c>
      <c r="D436" s="42">
        <v>95.5</v>
      </c>
      <c r="E436" s="42">
        <v>9.89</v>
      </c>
      <c r="F436" s="42">
        <v>55.2</v>
      </c>
      <c r="G436" s="62">
        <v>8.61</v>
      </c>
      <c r="H436" s="42">
        <v>5.9</v>
      </c>
    </row>
    <row r="437" spans="1:9">
      <c r="A437" s="58">
        <v>43539</v>
      </c>
      <c r="B437" s="42">
        <v>3.57</v>
      </c>
      <c r="C437" s="42">
        <v>13.28</v>
      </c>
      <c r="D437" s="42">
        <v>94.6</v>
      </c>
      <c r="E437" s="42">
        <v>10.49</v>
      </c>
      <c r="F437" s="42">
        <v>55.2</v>
      </c>
      <c r="G437" s="62">
        <v>9.01</v>
      </c>
      <c r="H437" s="42">
        <v>4.7</v>
      </c>
      <c r="I437" s="42">
        <v>4.53</v>
      </c>
    </row>
    <row r="438" spans="1:9">
      <c r="A438" s="58">
        <v>43570</v>
      </c>
      <c r="B438" s="42">
        <v>2.56</v>
      </c>
      <c r="C438" s="42">
        <v>12.95</v>
      </c>
      <c r="D438" s="42">
        <v>94.2</v>
      </c>
      <c r="E438" s="42">
        <v>9.51</v>
      </c>
      <c r="F438" s="42">
        <v>55.5</v>
      </c>
      <c r="G438" s="62">
        <v>7.86</v>
      </c>
      <c r="H438" s="42">
        <v>4.5</v>
      </c>
      <c r="I438" s="42">
        <v>3.28</v>
      </c>
    </row>
    <row r="439" spans="1:9">
      <c r="A439" s="58">
        <v>43600</v>
      </c>
      <c r="B439" s="42">
        <v>2.12</v>
      </c>
      <c r="C439" s="42">
        <v>12.69</v>
      </c>
      <c r="D439" s="42">
        <v>94.9</v>
      </c>
      <c r="E439" s="42">
        <v>8.42</v>
      </c>
      <c r="F439" s="42">
        <v>55.4</v>
      </c>
      <c r="G439" s="62">
        <v>6.81</v>
      </c>
      <c r="H439" s="42">
        <v>4.3</v>
      </c>
      <c r="I439" s="42">
        <v>2.88</v>
      </c>
    </row>
    <row r="440" spans="1:9">
      <c r="A440" s="58">
        <v>43631</v>
      </c>
      <c r="B440" s="42">
        <v>2.33</v>
      </c>
      <c r="C440" s="42">
        <v>12.62</v>
      </c>
      <c r="D440" s="42">
        <v>94.5</v>
      </c>
      <c r="E440" s="42">
        <v>8.32</v>
      </c>
      <c r="F440" s="42">
        <v>53</v>
      </c>
      <c r="G440" s="62">
        <v>6.6</v>
      </c>
      <c r="H440" s="42">
        <v>3.8</v>
      </c>
      <c r="I440" s="42">
        <v>3.04</v>
      </c>
    </row>
    <row r="441" spans="1:9">
      <c r="A441" s="58">
        <v>43661</v>
      </c>
      <c r="B441" s="42">
        <v>2.34</v>
      </c>
      <c r="C441" s="42">
        <v>13.45</v>
      </c>
      <c r="D441" s="42">
        <v>94.8</v>
      </c>
      <c r="E441" s="42">
        <v>8.8800000000000008</v>
      </c>
      <c r="F441" s="42">
        <v>46.9</v>
      </c>
      <c r="G441" s="62">
        <v>6.96</v>
      </c>
      <c r="H441" s="42">
        <v>3.3</v>
      </c>
      <c r="I441" s="42">
        <v>3.38</v>
      </c>
    </row>
    <row r="442" spans="1:9">
      <c r="A442" s="58">
        <v>43692</v>
      </c>
      <c r="B442" s="42">
        <v>2.5299999999999998</v>
      </c>
      <c r="C442" s="42">
        <v>12.87</v>
      </c>
      <c r="D442" s="42">
        <v>94.5</v>
      </c>
      <c r="E442" s="42">
        <v>8.89</v>
      </c>
      <c r="F442" s="42">
        <v>46.1</v>
      </c>
      <c r="G442" s="62">
        <v>6.97</v>
      </c>
      <c r="H442" s="42">
        <v>3.3</v>
      </c>
      <c r="I442" s="42">
        <v>3.24</v>
      </c>
    </row>
    <row r="443" spans="1:9">
      <c r="A443" s="58">
        <v>43723</v>
      </c>
      <c r="B443" s="42">
        <v>2.57</v>
      </c>
      <c r="C443" s="42">
        <v>12.66</v>
      </c>
      <c r="D443" s="42">
        <v>94.7</v>
      </c>
      <c r="E443" s="42">
        <v>8.69</v>
      </c>
      <c r="F443" s="42">
        <v>47.6</v>
      </c>
      <c r="G443" s="62">
        <v>6.78</v>
      </c>
      <c r="H443" s="42">
        <v>3.8</v>
      </c>
      <c r="I443" s="42">
        <v>3.49</v>
      </c>
    </row>
    <row r="444" spans="1:9">
      <c r="A444" s="58">
        <v>43753</v>
      </c>
      <c r="B444" s="42">
        <v>2.95</v>
      </c>
      <c r="C444" s="42">
        <v>12.99</v>
      </c>
      <c r="D444" s="42">
        <v>94.9</v>
      </c>
      <c r="E444" s="42">
        <v>8.73</v>
      </c>
      <c r="F444" s="42">
        <v>50</v>
      </c>
      <c r="G444" s="62">
        <v>6.97</v>
      </c>
      <c r="H444" s="42">
        <v>4.3</v>
      </c>
      <c r="I444" s="42">
        <v>3.24</v>
      </c>
    </row>
    <row r="445" spans="1:9">
      <c r="A445" s="58">
        <v>43784</v>
      </c>
      <c r="B445" s="42">
        <v>2.94</v>
      </c>
      <c r="C445" s="42">
        <v>11.87</v>
      </c>
      <c r="D445" s="42">
        <v>95.8</v>
      </c>
      <c r="E445" s="42">
        <v>8.7899999999999991</v>
      </c>
      <c r="F445" s="42">
        <v>52.6</v>
      </c>
      <c r="G445" s="62">
        <v>7.16</v>
      </c>
      <c r="H445" s="42">
        <v>4.5</v>
      </c>
      <c r="I445" s="42">
        <v>3.55</v>
      </c>
    </row>
    <row r="446" spans="1:9">
      <c r="A446" s="58">
        <v>43814</v>
      </c>
      <c r="B446" s="42">
        <v>3.87</v>
      </c>
      <c r="C446" s="42">
        <v>12.74</v>
      </c>
      <c r="D446" s="42">
        <v>95.5</v>
      </c>
      <c r="E446" s="42">
        <v>10.01</v>
      </c>
      <c r="F446" s="42">
        <v>58</v>
      </c>
      <c r="G446" s="62">
        <v>8.58</v>
      </c>
      <c r="H446" s="42">
        <v>4.5</v>
      </c>
      <c r="I446" s="42">
        <v>4</v>
      </c>
    </row>
    <row r="447" spans="1:9">
      <c r="A447" s="58">
        <v>43845</v>
      </c>
      <c r="B447" s="42">
        <v>3.32</v>
      </c>
      <c r="C447" s="42">
        <v>15.02</v>
      </c>
      <c r="D447" s="42">
        <v>95.3</v>
      </c>
      <c r="E447" s="42">
        <v>10.47</v>
      </c>
      <c r="F447" s="42">
        <v>57</v>
      </c>
      <c r="G447" s="62">
        <v>9.02</v>
      </c>
      <c r="H447" s="42">
        <v>4</v>
      </c>
      <c r="I447" s="42">
        <v>3.56</v>
      </c>
    </row>
    <row r="448" spans="1:9">
      <c r="A448" s="58">
        <v>43876</v>
      </c>
      <c r="B448" s="42">
        <v>2.5499999999999998</v>
      </c>
      <c r="C448" s="42">
        <v>14.57</v>
      </c>
      <c r="D448" s="42">
        <v>95.2</v>
      </c>
      <c r="E448" s="42">
        <v>10.09</v>
      </c>
      <c r="F448" s="42">
        <v>53.6</v>
      </c>
      <c r="G448" s="62">
        <v>8.35</v>
      </c>
      <c r="H448" s="42">
        <v>5.5</v>
      </c>
      <c r="I448" s="42">
        <v>2.92</v>
      </c>
    </row>
    <row r="449" spans="1:9">
      <c r="A449" s="58">
        <v>43905</v>
      </c>
      <c r="B449" s="42">
        <v>2.4300000000000002</v>
      </c>
      <c r="C449" s="42">
        <v>13.7</v>
      </c>
      <c r="D449" s="42">
        <v>95.6</v>
      </c>
      <c r="E449" s="42">
        <v>9.64</v>
      </c>
      <c r="F449" s="42">
        <v>52.3</v>
      </c>
      <c r="G449" s="62">
        <v>7.77</v>
      </c>
      <c r="H449" s="42">
        <v>4.9000000000000004</v>
      </c>
      <c r="I449" s="42">
        <v>2.58</v>
      </c>
    </row>
    <row r="450" spans="1:9">
      <c r="A450" s="58">
        <v>43936</v>
      </c>
      <c r="B450" s="42">
        <v>2.36</v>
      </c>
      <c r="E450" s="42">
        <v>9.58</v>
      </c>
      <c r="F450" s="42">
        <v>47.9</v>
      </c>
      <c r="G450" s="62">
        <v>7.26</v>
      </c>
      <c r="H450" s="42">
        <v>4.3</v>
      </c>
      <c r="I450" s="42">
        <v>2.4</v>
      </c>
    </row>
    <row r="451" spans="1:9">
      <c r="A451" s="58">
        <v>43966</v>
      </c>
      <c r="B451" s="42">
        <v>2.4700000000000002</v>
      </c>
      <c r="C451" s="42">
        <v>14.56</v>
      </c>
      <c r="D451" s="42">
        <v>95.4</v>
      </c>
      <c r="E451" s="42">
        <v>9.6199999999999992</v>
      </c>
      <c r="F451" s="42">
        <v>44</v>
      </c>
      <c r="G451" s="62">
        <v>6.69</v>
      </c>
      <c r="H451" s="42">
        <v>4.2</v>
      </c>
    </row>
    <row r="452" spans="1:9">
      <c r="A452" s="58">
        <v>43997</v>
      </c>
      <c r="B452" s="42">
        <v>2.65</v>
      </c>
      <c r="C452" s="42">
        <v>14.58</v>
      </c>
      <c r="D452" s="42">
        <v>95.3</v>
      </c>
      <c r="E452" s="42">
        <v>9.09</v>
      </c>
      <c r="F452" s="42">
        <v>47.8</v>
      </c>
      <c r="G452" s="62">
        <v>6.86</v>
      </c>
      <c r="H452" s="42">
        <v>3.8</v>
      </c>
    </row>
    <row r="453" spans="1:9">
      <c r="A453" s="58">
        <v>44027</v>
      </c>
      <c r="B453" s="42">
        <v>2.69</v>
      </c>
      <c r="C453" s="42">
        <v>14.34</v>
      </c>
      <c r="D453" s="42">
        <v>95.4</v>
      </c>
      <c r="E453" s="42">
        <v>9.1300000000000008</v>
      </c>
      <c r="F453" s="42">
        <v>48.1</v>
      </c>
      <c r="G453" s="62">
        <v>6.77</v>
      </c>
      <c r="H453" s="42">
        <v>3.8</v>
      </c>
      <c r="I453" s="42">
        <v>2.5</v>
      </c>
    </row>
    <row r="454" spans="1:9">
      <c r="A454" s="58">
        <v>44058</v>
      </c>
      <c r="B454" s="42">
        <v>2.27</v>
      </c>
      <c r="C454" s="42">
        <v>14.34</v>
      </c>
      <c r="D454" s="42">
        <v>95.3</v>
      </c>
      <c r="E454" s="42">
        <v>9.17</v>
      </c>
      <c r="F454" s="42">
        <v>45.2</v>
      </c>
      <c r="G454" s="62">
        <v>6.76</v>
      </c>
      <c r="H454" s="42">
        <v>3.6</v>
      </c>
    </row>
    <row r="455" spans="1:9">
      <c r="A455" s="58">
        <v>44089</v>
      </c>
      <c r="B455" s="42">
        <v>3.41</v>
      </c>
      <c r="C455" s="42">
        <v>14.75</v>
      </c>
      <c r="D455" s="42">
        <v>95.1</v>
      </c>
      <c r="E455" s="42">
        <v>9.2899999999999991</v>
      </c>
      <c r="F455" s="42">
        <v>42.5</v>
      </c>
      <c r="G455" s="62">
        <v>6.99</v>
      </c>
      <c r="H455" s="42">
        <v>4.2</v>
      </c>
      <c r="I455" s="42">
        <v>3.92</v>
      </c>
    </row>
    <row r="456" spans="1:9">
      <c r="A456" s="58">
        <v>44119</v>
      </c>
      <c r="B456" s="42">
        <v>3.08</v>
      </c>
      <c r="C456" s="42">
        <v>14.74</v>
      </c>
      <c r="D456" s="42">
        <v>95.6</v>
      </c>
      <c r="E456" s="42">
        <v>9.32</v>
      </c>
      <c r="F456" s="42">
        <v>47.4</v>
      </c>
      <c r="G456" s="62">
        <v>7.19</v>
      </c>
      <c r="H456" s="42">
        <v>4.4000000000000004</v>
      </c>
      <c r="I456" s="42">
        <v>3.73</v>
      </c>
    </row>
    <row r="457" spans="1:9">
      <c r="A457" s="58">
        <v>44150</v>
      </c>
      <c r="B457" s="42">
        <v>3.79</v>
      </c>
      <c r="C457" s="42">
        <v>14.38</v>
      </c>
      <c r="D457" s="42">
        <v>96.3</v>
      </c>
      <c r="E457" s="42">
        <v>10.18</v>
      </c>
      <c r="F457" s="42">
        <v>53.8</v>
      </c>
      <c r="G457" s="62">
        <v>7.96</v>
      </c>
      <c r="H457" s="42">
        <v>4.9000000000000004</v>
      </c>
      <c r="I457" s="42">
        <v>4.1399999999999997</v>
      </c>
    </row>
    <row r="458" spans="1:9">
      <c r="A458" s="58">
        <v>44180</v>
      </c>
      <c r="B458" s="42">
        <v>4.03</v>
      </c>
      <c r="C458" s="42">
        <v>15.32</v>
      </c>
      <c r="D458" s="42">
        <v>95.7</v>
      </c>
      <c r="E458" s="42">
        <v>10.96</v>
      </c>
      <c r="F458" s="42">
        <v>56.8</v>
      </c>
      <c r="G458" s="62">
        <v>8.98</v>
      </c>
      <c r="H458" s="42">
        <v>5.2</v>
      </c>
      <c r="I458" s="42">
        <v>4.1399999999999997</v>
      </c>
    </row>
    <row r="459" spans="1:9">
      <c r="A459" s="58">
        <v>44211</v>
      </c>
      <c r="C459" s="42">
        <v>15.79</v>
      </c>
      <c r="D459" s="42">
        <v>95.8</v>
      </c>
      <c r="E459" s="42">
        <v>12.37</v>
      </c>
      <c r="F459" s="42">
        <v>55.6</v>
      </c>
      <c r="G459" s="62">
        <v>10.33</v>
      </c>
      <c r="H459" s="42">
        <v>4.7</v>
      </c>
      <c r="I459" s="42">
        <v>3.99</v>
      </c>
    </row>
    <row r="460" spans="1:9">
      <c r="A460" s="58">
        <v>44242</v>
      </c>
      <c r="C460" s="42">
        <v>15.6</v>
      </c>
      <c r="D460" s="42">
        <v>95.5</v>
      </c>
      <c r="E460" s="42">
        <v>11.79</v>
      </c>
      <c r="F460" s="42">
        <v>57.5</v>
      </c>
      <c r="G460" s="62">
        <v>9.6300000000000008</v>
      </c>
      <c r="H460" s="42">
        <v>6.1</v>
      </c>
      <c r="I460" s="42">
        <v>5.75</v>
      </c>
    </row>
    <row r="461" spans="1:9">
      <c r="A461" s="58">
        <v>44270</v>
      </c>
      <c r="C461" s="42">
        <v>15.48</v>
      </c>
      <c r="D461" s="42">
        <v>95.7</v>
      </c>
      <c r="E461" s="42">
        <v>12.03</v>
      </c>
      <c r="F461" s="42">
        <v>57.1</v>
      </c>
      <c r="G461" s="62">
        <v>9.8699999999999992</v>
      </c>
      <c r="H461" s="42">
        <v>5.2</v>
      </c>
      <c r="I461" s="42">
        <v>3.94</v>
      </c>
    </row>
    <row r="462" spans="1:9">
      <c r="A462" s="58">
        <v>44301</v>
      </c>
      <c r="B462" s="42">
        <v>3.65</v>
      </c>
      <c r="G462" s="62">
        <v>8.8000000000000007</v>
      </c>
      <c r="H462" s="42">
        <v>4.8</v>
      </c>
      <c r="I462" s="42">
        <v>3.78</v>
      </c>
    </row>
    <row r="463" spans="1:9">
      <c r="G463" s="62"/>
    </row>
    <row r="464" spans="1:9">
      <c r="G464" s="62"/>
    </row>
    <row r="466" spans="1:2" ht="14.5">
      <c r="A466" s="113" t="s">
        <v>1188</v>
      </c>
      <c r="B466" s="113"/>
    </row>
    <row r="467" spans="1:2" ht="14.5">
      <c r="A467" s="113" t="s">
        <v>1189</v>
      </c>
      <c r="B467" s="113"/>
    </row>
    <row r="468" spans="1:2" ht="14.5">
      <c r="A468" s="113" t="s">
        <v>1190</v>
      </c>
      <c r="B468" s="113"/>
    </row>
    <row r="469" spans="1:2" ht="14.5">
      <c r="A469" s="113" t="s">
        <v>299</v>
      </c>
      <c r="B469" s="113"/>
    </row>
    <row r="470" spans="1:2" ht="87">
      <c r="A470" s="113" t="s">
        <v>325</v>
      </c>
      <c r="B470" s="109" t="s">
        <v>1191</v>
      </c>
    </row>
    <row r="471" spans="1:2" ht="14.5">
      <c r="A471" s="113">
        <v>2021</v>
      </c>
      <c r="B471" s="113">
        <v>5.57</v>
      </c>
    </row>
    <row r="472" spans="1:2" ht="14.5">
      <c r="A472" s="113">
        <v>2020</v>
      </c>
      <c r="B472" s="113">
        <v>3.36</v>
      </c>
    </row>
    <row r="473" spans="1:2" ht="14.5">
      <c r="A473" s="113">
        <v>2019</v>
      </c>
      <c r="B473" s="113">
        <v>3.87</v>
      </c>
    </row>
    <row r="474" spans="1:2" ht="14.5">
      <c r="A474" s="113">
        <v>2018</v>
      </c>
      <c r="B474" s="113">
        <v>4.63</v>
      </c>
    </row>
    <row r="475" spans="1:2" ht="14.5">
      <c r="A475" s="113">
        <v>2017</v>
      </c>
      <c r="B475" s="113">
        <v>3.76</v>
      </c>
    </row>
    <row r="476" spans="1:2" ht="14.5">
      <c r="A476" s="113">
        <v>2016</v>
      </c>
      <c r="B476" s="113">
        <v>3.16</v>
      </c>
    </row>
    <row r="477" spans="1:2" ht="14.5">
      <c r="A477" s="113">
        <v>2015</v>
      </c>
      <c r="B477" s="113">
        <v>3.4</v>
      </c>
    </row>
    <row r="478" spans="1:2" ht="14.5">
      <c r="A478" s="113">
        <v>2014</v>
      </c>
      <c r="B478" s="113">
        <v>5.22</v>
      </c>
    </row>
    <row r="479" spans="1:2" ht="14.5">
      <c r="A479" s="113">
        <v>2013</v>
      </c>
      <c r="B479" s="113">
        <v>4.53</v>
      </c>
    </row>
    <row r="480" spans="1:2" ht="14.5">
      <c r="A480" s="113">
        <v>2012</v>
      </c>
      <c r="B480" s="113">
        <v>3.68</v>
      </c>
    </row>
    <row r="481" spans="1:2" ht="14.5">
      <c r="A481" s="113">
        <v>2011</v>
      </c>
      <c r="B481" s="113">
        <v>4.71</v>
      </c>
    </row>
    <row r="482" spans="1:2" ht="14.5">
      <c r="A482" s="113">
        <v>2010</v>
      </c>
      <c r="B482" s="113">
        <v>4.99</v>
      </c>
    </row>
    <row r="483" spans="1:2" ht="14.5">
      <c r="A483" s="113">
        <v>2009</v>
      </c>
      <c r="B483" s="113">
        <v>4.4400000000000004</v>
      </c>
    </row>
    <row r="484" spans="1:2" ht="14.5">
      <c r="A484" s="113">
        <v>2008</v>
      </c>
      <c r="B484" s="113">
        <v>8.23</v>
      </c>
    </row>
    <row r="485" spans="1:2" ht="14.5">
      <c r="A485" s="113">
        <v>2007</v>
      </c>
      <c r="B485" s="113">
        <v>6.72</v>
      </c>
    </row>
    <row r="486" spans="1:2" ht="14.5">
      <c r="A486" s="113">
        <v>2006</v>
      </c>
      <c r="B486" s="113">
        <v>6.71</v>
      </c>
    </row>
    <row r="487" spans="1:2" ht="14.5">
      <c r="A487" s="113">
        <v>2005</v>
      </c>
      <c r="B487" s="113">
        <v>8.08</v>
      </c>
    </row>
    <row r="488" spans="1:2" ht="14.5">
      <c r="A488" s="113">
        <v>2004</v>
      </c>
      <c r="B488" s="113">
        <v>6.05</v>
      </c>
    </row>
    <row r="489" spans="1:2" ht="14.5">
      <c r="A489" s="113">
        <v>2003</v>
      </c>
      <c r="B489" s="113">
        <v>5.5</v>
      </c>
    </row>
    <row r="490" spans="1:2" ht="14.5">
      <c r="A490" s="113">
        <v>2002</v>
      </c>
      <c r="B490" s="113">
        <v>3.82</v>
      </c>
    </row>
    <row r="491" spans="1:2" ht="14.5">
      <c r="A491" s="113">
        <v>2001</v>
      </c>
      <c r="B491" s="113">
        <v>9.3800000000000008</v>
      </c>
    </row>
    <row r="492" spans="1:2" ht="14.5">
      <c r="A492" s="113">
        <v>2000</v>
      </c>
      <c r="B492" s="113">
        <v>5.88</v>
      </c>
    </row>
    <row r="493" spans="1:2" ht="14.5">
      <c r="A493" s="113">
        <v>1999</v>
      </c>
      <c r="B493" s="113">
        <v>2.76</v>
      </c>
    </row>
    <row r="494" spans="1:2" ht="14.5">
      <c r="A494" s="113">
        <v>1998</v>
      </c>
      <c r="B494" s="113">
        <v>2.79</v>
      </c>
    </row>
    <row r="495" spans="1:2" ht="14.5">
      <c r="A495" s="113">
        <v>1997</v>
      </c>
      <c r="B495" s="113">
        <v>3.08</v>
      </c>
    </row>
  </sheetData>
  <hyperlinks>
    <hyperlink ref="B67" r:id="rId1" xr:uid="{2BEADBCB-AAB9-407F-B3B1-E2DD4DEB0014}"/>
    <hyperlink ref="B68" r:id="rId2" display="http://www.eia.gov/" xr:uid="{F4C6D724-6867-40D6-97D1-2947073D3FFA}"/>
    <hyperlink ref="B69" r:id="rId3" display="mailto:infoctr@eia.gov" xr:uid="{4C5829EC-A873-40E0-A6F9-713F4E39BE5D}"/>
  </hyperlinks>
  <pageMargins left="0.75" right="0.75" top="1" bottom="1" header="0.5" footer="0.5"/>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CDA36-51F1-42AB-861B-231B76A1DCBB}">
  <sheetPr>
    <tabColor theme="0" tint="-0.14999847407452621"/>
  </sheetPr>
  <dimension ref="A1:R52"/>
  <sheetViews>
    <sheetView topLeftCell="A41" workbookViewId="0">
      <selection activeCell="E52" sqref="E52:R52"/>
    </sheetView>
  </sheetViews>
  <sheetFormatPr defaultRowHeight="14.5"/>
  <cols>
    <col min="1" max="1" width="10.7265625" style="138" bestFit="1" customWidth="1"/>
    <col min="2" max="6" width="8.7265625" style="138"/>
    <col min="7" max="7" width="9.453125" style="138" bestFit="1" customWidth="1"/>
    <col min="8" max="16384" width="8.7265625" style="138"/>
  </cols>
  <sheetData>
    <row r="1" spans="1:12">
      <c r="B1" s="138" t="s">
        <v>949</v>
      </c>
      <c r="C1" s="138" t="s">
        <v>948</v>
      </c>
      <c r="D1" s="138" t="s">
        <v>947</v>
      </c>
      <c r="E1" s="138" t="s">
        <v>946</v>
      </c>
      <c r="F1" s="138" t="s">
        <v>945</v>
      </c>
      <c r="H1" s="138" t="s">
        <v>944</v>
      </c>
      <c r="J1" s="138" t="s">
        <v>576</v>
      </c>
    </row>
    <row r="2" spans="1:12">
      <c r="A2" s="138">
        <f>'STATE Form 1.1'!A6</f>
        <v>1990</v>
      </c>
      <c r="B2" s="148">
        <f>'Utility NG Form 1.1'!D6/'CEC Ind NG'!H2</f>
        <v>0.58468180824972582</v>
      </c>
      <c r="C2" s="148">
        <f>'STATE Form 1.1'!D60/'CEC Ind NG'!H2</f>
        <v>0.40433391518354372</v>
      </c>
      <c r="D2" s="148">
        <f>'Utility NG Form 1.1'!D60/'CEC Ind NG'!H2</f>
        <v>1.076353236177369E-2</v>
      </c>
      <c r="E2" s="148">
        <v>0</v>
      </c>
      <c r="F2" s="148">
        <f>'Utility NG Form 1.1'!D114/H2</f>
        <v>2.2074420495670754E-4</v>
      </c>
      <c r="G2" s="147"/>
      <c r="H2" s="146">
        <f>'STATE Form 1.1'!D6</f>
        <v>3100.9556972707301</v>
      </c>
      <c r="J2" s="151"/>
      <c r="L2" s="138" t="s">
        <v>941</v>
      </c>
    </row>
    <row r="3" spans="1:12">
      <c r="A3" s="138">
        <f>'STATE Form 1.1'!A7</f>
        <v>1991</v>
      </c>
      <c r="B3" s="148">
        <f>'Utility NG Form 1.1'!D7/'CEC Ind NG'!H3</f>
        <v>0.58358300423479625</v>
      </c>
      <c r="C3" s="148">
        <f>'STATE Form 1.1'!D61/'CEC Ind NG'!H3</f>
        <v>0.40453048613407777</v>
      </c>
      <c r="D3" s="148">
        <f>'Utility NG Form 1.1'!D61/'CEC Ind NG'!H3</f>
        <v>1.1559805504747422E-2</v>
      </c>
      <c r="E3" s="148">
        <v>0</v>
      </c>
      <c r="F3" s="148">
        <f>'Utility NG Form 1.1'!D115/H3</f>
        <v>3.2670412637847348E-4</v>
      </c>
      <c r="G3" s="147"/>
      <c r="H3" s="146">
        <f>'STATE Form 1.1'!D7</f>
        <v>2845.6849024397802</v>
      </c>
      <c r="J3" s="151"/>
    </row>
    <row r="4" spans="1:12">
      <c r="A4" s="138">
        <f>'STATE Form 1.1'!A8</f>
        <v>1992</v>
      </c>
      <c r="B4" s="148">
        <f>'Utility NG Form 1.1'!D8/'CEC Ind NG'!H4</f>
        <v>0.58632732016202682</v>
      </c>
      <c r="C4" s="148">
        <f>'STATE Form 1.1'!D62/'CEC Ind NG'!H4</f>
        <v>0.39655878611644529</v>
      </c>
      <c r="D4" s="148">
        <f>'Utility NG Form 1.1'!D62/'CEC Ind NG'!H4</f>
        <v>1.4156124169683738E-2</v>
      </c>
      <c r="E4" s="148">
        <v>0</v>
      </c>
      <c r="F4" s="148">
        <f>'Utility NG Form 1.1'!D116/H4</f>
        <v>2.9577695518441154E-3</v>
      </c>
      <c r="G4" s="147"/>
      <c r="H4" s="146">
        <f>'STATE Form 1.1'!D8</f>
        <v>2642.1094892695901</v>
      </c>
      <c r="J4" s="151"/>
      <c r="L4" s="138" t="s">
        <v>963</v>
      </c>
    </row>
    <row r="5" spans="1:12">
      <c r="A5" s="138">
        <f>'STATE Form 1.1'!A9</f>
        <v>1993</v>
      </c>
      <c r="B5" s="148">
        <f>'Utility NG Form 1.1'!D9/'CEC Ind NG'!H5</f>
        <v>0.58759604348610583</v>
      </c>
      <c r="C5" s="148">
        <f>'STATE Form 1.1'!D63/'CEC Ind NG'!H5</f>
        <v>0.39639734896747159</v>
      </c>
      <c r="D5" s="148">
        <f>'Utility NG Form 1.1'!D63/'CEC Ind NG'!H5</f>
        <v>1.2303005137614068E-2</v>
      </c>
      <c r="E5" s="148">
        <v>0</v>
      </c>
      <c r="F5" s="148">
        <f>'Utility NG Form 1.1'!D117/H5</f>
        <v>3.7036024088084258E-3</v>
      </c>
      <c r="G5" s="147"/>
      <c r="H5" s="146">
        <f>'STATE Form 1.1'!D9</f>
        <v>2672.6678264540501</v>
      </c>
      <c r="J5" s="151"/>
    </row>
    <row r="6" spans="1:12">
      <c r="A6" s="138">
        <f>'STATE Form 1.1'!A10</f>
        <v>1994</v>
      </c>
      <c r="B6" s="148">
        <f>'Utility NG Form 1.1'!D10/'CEC Ind NG'!H6</f>
        <v>0.58421583218957651</v>
      </c>
      <c r="C6" s="148">
        <f>'STATE Form 1.1'!D64/'CEC Ind NG'!H6</f>
        <v>0.39967110604226069</v>
      </c>
      <c r="D6" s="148">
        <f>'Utility NG Form 1.1'!D64/'CEC Ind NG'!H6</f>
        <v>1.3041478957792452E-2</v>
      </c>
      <c r="E6" s="148">
        <v>0</v>
      </c>
      <c r="F6" s="148">
        <f>'Utility NG Form 1.1'!D118/H6</f>
        <v>3.071582810370363E-3</v>
      </c>
      <c r="G6" s="147"/>
      <c r="H6" s="146">
        <f>'STATE Form 1.1'!D10</f>
        <v>2774.3009145739102</v>
      </c>
      <c r="J6" s="151"/>
    </row>
    <row r="7" spans="1:12">
      <c r="A7" s="138">
        <f>'STATE Form 1.1'!A11</f>
        <v>1995</v>
      </c>
      <c r="B7" s="148">
        <f>'Utility NG Form 1.1'!D11/'CEC Ind NG'!H7</f>
        <v>0.61218078606813553</v>
      </c>
      <c r="C7" s="148">
        <f>'STATE Form 1.1'!D65/'CEC Ind NG'!H7</f>
        <v>0.37119851884135358</v>
      </c>
      <c r="D7" s="148">
        <f>'Utility NG Form 1.1'!D65/'CEC Ind NG'!H7</f>
        <v>1.2894251502965708E-2</v>
      </c>
      <c r="E7" s="148">
        <v>0</v>
      </c>
      <c r="F7" s="148">
        <f>'Utility NG Form 1.1'!D119/H7</f>
        <v>3.7264435875452792E-3</v>
      </c>
      <c r="G7" s="147"/>
      <c r="H7" s="146">
        <f>'STATE Form 1.1'!D11</f>
        <v>2869.15359076802</v>
      </c>
      <c r="J7" s="151"/>
    </row>
    <row r="8" spans="1:12">
      <c r="A8" s="138">
        <f>'STATE Form 1.1'!A12</f>
        <v>1996</v>
      </c>
      <c r="B8" s="148">
        <f>'Utility NG Form 1.1'!D12/'CEC Ind NG'!H8</f>
        <v>0.53821130962601449</v>
      </c>
      <c r="C8" s="148">
        <f>'STATE Form 1.1'!D66/'CEC Ind NG'!H8</f>
        <v>0.4469956805788472</v>
      </c>
      <c r="D8" s="148">
        <f>'Utility NG Form 1.1'!D66/'CEC Ind NG'!H8</f>
        <v>1.0289435992004263E-2</v>
      </c>
      <c r="E8" s="148">
        <v>0</v>
      </c>
      <c r="F8" s="148">
        <f>'Utility NG Form 1.1'!D120/H8</f>
        <v>4.5035738031340769E-3</v>
      </c>
      <c r="G8" s="147"/>
      <c r="H8" s="146">
        <f>'STATE Form 1.1'!D12</f>
        <v>3446.4751058811298</v>
      </c>
      <c r="J8" s="151"/>
    </row>
    <row r="9" spans="1:12">
      <c r="A9" s="138">
        <f>'STATE Form 1.1'!A13</f>
        <v>1997</v>
      </c>
      <c r="B9" s="148">
        <f>'Utility NG Form 1.1'!D13/'CEC Ind NG'!H9</f>
        <v>0.5522897411950588</v>
      </c>
      <c r="C9" s="148">
        <f>'STATE Form 1.1'!D67/'CEC Ind NG'!H9</f>
        <v>0.43208396491227424</v>
      </c>
      <c r="D9" s="148">
        <f>'Utility NG Form 1.1'!D67/'CEC Ind NG'!H9</f>
        <v>1.0617828682001455E-2</v>
      </c>
      <c r="E9" s="148">
        <v>0</v>
      </c>
      <c r="F9" s="148">
        <f>'Utility NG Form 1.1'!D121/H9</f>
        <v>5.0084652106654973E-3</v>
      </c>
      <c r="G9" s="147"/>
      <c r="H9" s="146">
        <f>'STATE Form 1.1'!D13</f>
        <v>3481.3197789354699</v>
      </c>
      <c r="J9" s="151"/>
    </row>
    <row r="10" spans="1:12">
      <c r="A10" s="138">
        <f>'STATE Form 1.1'!A14</f>
        <v>1998</v>
      </c>
      <c r="B10" s="148">
        <f>'Utility NG Form 1.1'!D14/'CEC Ind NG'!H10</f>
        <v>0.50427252318996352</v>
      </c>
      <c r="C10" s="148">
        <f>'STATE Form 1.1'!D68/'CEC Ind NG'!H10</f>
        <v>0.48098950140298474</v>
      </c>
      <c r="D10" s="148">
        <f>'Utility NG Form 1.1'!D68/'CEC Ind NG'!H10</f>
        <v>1.0803678863037498E-2</v>
      </c>
      <c r="E10" s="148">
        <v>0</v>
      </c>
      <c r="F10" s="148">
        <f>'Utility NG Form 1.1'!D122/H10</f>
        <v>3.9342965440142671E-3</v>
      </c>
      <c r="G10" s="147"/>
      <c r="H10" s="146">
        <f>'STATE Form 1.1'!D14</f>
        <v>3564.4821998321499</v>
      </c>
      <c r="J10" s="151"/>
    </row>
    <row r="11" spans="1:12">
      <c r="A11" s="138">
        <f>'STATE Form 1.1'!A15</f>
        <v>1999</v>
      </c>
      <c r="B11" s="148">
        <f>'Utility NG Form 1.1'!D15/'CEC Ind NG'!H11</f>
        <v>0.48470870554181095</v>
      </c>
      <c r="C11" s="148">
        <f>'STATE Form 1.1'!D69/'CEC Ind NG'!H11</f>
        <v>0.49860644744648713</v>
      </c>
      <c r="D11" s="148">
        <f>'Utility NG Form 1.1'!D69/'CEC Ind NG'!H11</f>
        <v>1.1654576451967467E-2</v>
      </c>
      <c r="E11" s="148">
        <v>0</v>
      </c>
      <c r="F11" s="148">
        <f>'Utility NG Form 1.1'!D123/H11</f>
        <v>5.0302705597344236E-3</v>
      </c>
      <c r="G11" s="147"/>
      <c r="H11" s="146">
        <f>'STATE Form 1.1'!D15</f>
        <v>3421.60859850622</v>
      </c>
      <c r="J11" s="151"/>
    </row>
    <row r="12" spans="1:12">
      <c r="A12" s="138">
        <f>'STATE Form 1.1'!A16</f>
        <v>2000</v>
      </c>
      <c r="B12" s="148">
        <f>'Utility NG Form 1.1'!D16/'CEC Ind NG'!H12</f>
        <v>0.50708622913076751</v>
      </c>
      <c r="C12" s="148">
        <f>'STATE Form 1.1'!D70/'CEC Ind NG'!H12</f>
        <v>0.47686847004563937</v>
      </c>
      <c r="D12" s="148">
        <f>'Utility NG Form 1.1'!D70/'CEC Ind NG'!H12</f>
        <v>1.1410145280516704E-2</v>
      </c>
      <c r="E12" s="148">
        <v>0</v>
      </c>
      <c r="F12" s="148">
        <f>'Utility NG Form 1.1'!D124/H12</f>
        <v>4.6351555430764503E-3</v>
      </c>
      <c r="G12" s="147"/>
      <c r="H12" s="146">
        <f>'STATE Form 1.1'!D16</f>
        <v>3507.7498152755802</v>
      </c>
      <c r="J12" s="151"/>
    </row>
    <row r="13" spans="1:12">
      <c r="A13" s="138">
        <f>'STATE Form 1.1'!A17</f>
        <v>2001</v>
      </c>
      <c r="B13" s="148">
        <f>'Utility NG Form 1.1'!D17/'CEC Ind NG'!H13</f>
        <v>0.53464499371685059</v>
      </c>
      <c r="C13" s="148">
        <f>'STATE Form 1.1'!D71/'CEC Ind NG'!H13</f>
        <v>0.44941230310829294</v>
      </c>
      <c r="D13" s="148">
        <f>'Utility NG Form 1.1'!D71/'CEC Ind NG'!H13</f>
        <v>1.1496190884544741E-2</v>
      </c>
      <c r="E13" s="148">
        <v>0</v>
      </c>
      <c r="F13" s="148">
        <f>'Utility NG Form 1.1'!D125/H13</f>
        <v>4.4465122903117665E-3</v>
      </c>
      <c r="G13" s="147"/>
      <c r="H13" s="146">
        <f>'STATE Form 1.1'!D17</f>
        <v>3348.9128170060499</v>
      </c>
      <c r="J13" s="151"/>
    </row>
    <row r="14" spans="1:12">
      <c r="A14" s="138">
        <f>'STATE Form 1.1'!A18</f>
        <v>2002</v>
      </c>
      <c r="B14" s="148">
        <f>'Utility NG Form 1.1'!D18/'CEC Ind NG'!H14</f>
        <v>0.4527576867059786</v>
      </c>
      <c r="C14" s="148">
        <f>'STATE Form 1.1'!D72/'CEC Ind NG'!H14</f>
        <v>0.52856174529129818</v>
      </c>
      <c r="D14" s="148">
        <f>'Utility NG Form 1.1'!D72/'CEC Ind NG'!H14</f>
        <v>1.3146023419564095E-2</v>
      </c>
      <c r="E14" s="148">
        <v>0</v>
      </c>
      <c r="F14" s="148">
        <f>'Utility NG Form 1.1'!D126/H14</f>
        <v>5.5345445831591674E-3</v>
      </c>
      <c r="G14" s="147"/>
      <c r="H14" s="146">
        <f>'STATE Form 1.1'!D18</f>
        <v>3064.9622105523399</v>
      </c>
      <c r="J14" s="151"/>
    </row>
    <row r="15" spans="1:12">
      <c r="A15" s="138">
        <f>'STATE Form 1.1'!A19</f>
        <v>2003</v>
      </c>
      <c r="B15" s="148">
        <f>'Utility NG Form 1.1'!D19/'CEC Ind NG'!H15</f>
        <v>0.48463552311101543</v>
      </c>
      <c r="C15" s="148">
        <f>'STATE Form 1.1'!D73/'CEC Ind NG'!H15</f>
        <v>0.49850847528727238</v>
      </c>
      <c r="D15" s="148">
        <f>'Utility NG Form 1.1'!D73/'CEC Ind NG'!H15</f>
        <v>1.1572118335542444E-2</v>
      </c>
      <c r="E15" s="148">
        <v>0</v>
      </c>
      <c r="F15" s="148">
        <f>'Utility NG Form 1.1'!D127/H15</f>
        <v>5.2838832661697196E-3</v>
      </c>
      <c r="G15" s="147"/>
      <c r="H15" s="146">
        <f>'STATE Form 1.1'!D19</f>
        <v>2985.8740636858802</v>
      </c>
      <c r="J15" s="151"/>
    </row>
    <row r="16" spans="1:12">
      <c r="A16" s="138">
        <f>'STATE Form 1.1'!A20</f>
        <v>2004</v>
      </c>
      <c r="B16" s="148">
        <f>'Utility NG Form 1.1'!D20/'CEC Ind NG'!H16</f>
        <v>0.56591891589622711</v>
      </c>
      <c r="C16" s="148">
        <f>'STATE Form 1.1'!D74/'CEC Ind NG'!H16</f>
        <v>0.42259026970382513</v>
      </c>
      <c r="D16" s="148">
        <f>'Utility NG Form 1.1'!D74/'CEC Ind NG'!H16</f>
        <v>9.1847975815234784E-3</v>
      </c>
      <c r="E16" s="148">
        <v>0</v>
      </c>
      <c r="F16" s="148">
        <f>'Utility NG Form 1.1'!D128/H16</f>
        <v>2.3060168184242998E-3</v>
      </c>
      <c r="G16" s="147"/>
      <c r="H16" s="146">
        <f>'STATE Form 1.1'!D20</f>
        <v>3548.8691732924799</v>
      </c>
      <c r="J16" s="151"/>
    </row>
    <row r="17" spans="1:14">
      <c r="A17" s="138">
        <f>'STATE Form 1.1'!A21</f>
        <v>2005</v>
      </c>
      <c r="B17" s="148">
        <f>'Utility NG Form 1.1'!D21/'CEC Ind NG'!H17</f>
        <v>0.52897881859040818</v>
      </c>
      <c r="C17" s="148">
        <f>'STATE Form 1.1'!D75/'CEC Ind NG'!H17</f>
        <v>0.4613949186062074</v>
      </c>
      <c r="D17" s="148">
        <f>'Utility NG Form 1.1'!D75/'CEC Ind NG'!H17</f>
        <v>9.0769253285132908E-3</v>
      </c>
      <c r="E17" s="148">
        <v>0</v>
      </c>
      <c r="F17" s="148">
        <f>'Utility NG Form 1.1'!D129/H17</f>
        <v>5.4933747487101578E-4</v>
      </c>
      <c r="G17" s="147"/>
      <c r="H17" s="146">
        <f>'STATE Form 1.1'!D21</f>
        <v>3246.0155761605101</v>
      </c>
      <c r="J17" s="151"/>
    </row>
    <row r="18" spans="1:14">
      <c r="A18" s="138">
        <f>'STATE Form 1.1'!A22</f>
        <v>2006</v>
      </c>
      <c r="B18" s="148">
        <f>'Utility NG Form 1.1'!D22/'CEC Ind NG'!H18</f>
        <v>0.54224032486186857</v>
      </c>
      <c r="C18" s="148">
        <f>'STATE Form 1.1'!D76/'CEC Ind NG'!H18</f>
        <v>0.44643737820468848</v>
      </c>
      <c r="D18" s="148">
        <f>'Utility NG Form 1.1'!D76/'CEC Ind NG'!H18</f>
        <v>9.2571881837902915E-3</v>
      </c>
      <c r="E18" s="148">
        <v>0</v>
      </c>
      <c r="F18" s="148">
        <f>'Utility NG Form 1.1'!D130/H18</f>
        <v>2.065108749652668E-3</v>
      </c>
      <c r="G18" s="147"/>
      <c r="H18" s="146">
        <f>'STATE Form 1.1'!D22</f>
        <v>3273.8716550095101</v>
      </c>
      <c r="J18" s="151"/>
    </row>
    <row r="19" spans="1:14">
      <c r="A19" s="138">
        <f>'STATE Form 1.1'!A23</f>
        <v>2007</v>
      </c>
      <c r="B19" s="148">
        <f>'Utility NG Form 1.1'!D23/'CEC Ind NG'!H19</f>
        <v>0.49228404169659878</v>
      </c>
      <c r="C19" s="148">
        <f>'STATE Form 1.1'!D77/'CEC Ind NG'!H19</f>
        <v>0.49827541975001705</v>
      </c>
      <c r="D19" s="148">
        <f>'Utility NG Form 1.1'!D77/'CEC Ind NG'!H19</f>
        <v>8.90118927875699E-3</v>
      </c>
      <c r="E19" s="148">
        <v>0</v>
      </c>
      <c r="F19" s="148">
        <f>'Utility NG Form 1.1'!D131/H19</f>
        <v>5.3934927462712774E-4</v>
      </c>
      <c r="G19" s="147"/>
      <c r="H19" s="146">
        <f>'STATE Form 1.1'!D23</f>
        <v>3060.3545376808402</v>
      </c>
      <c r="J19" s="151"/>
    </row>
    <row r="20" spans="1:14">
      <c r="A20" s="138">
        <f>'STATE Form 1.1'!A24</f>
        <v>2008</v>
      </c>
      <c r="B20" s="148">
        <f>'Utility NG Form 1.1'!D24/'CEC Ind NG'!H20</f>
        <v>0.49498375907707404</v>
      </c>
      <c r="C20" s="148">
        <f>'STATE Form 1.1'!D78/'CEC Ind NG'!H20</f>
        <v>0.49463249002427118</v>
      </c>
      <c r="D20" s="148">
        <f>'Utility NG Form 1.1'!D78/'CEC Ind NG'!H20</f>
        <v>9.1713704245509706E-3</v>
      </c>
      <c r="E20" s="148">
        <v>0</v>
      </c>
      <c r="F20" s="148">
        <f>'Utility NG Form 1.1'!D132/H20</f>
        <v>1.2123804741037566E-3</v>
      </c>
      <c r="G20" s="147"/>
      <c r="H20" s="146">
        <f>'STATE Form 1.1'!D24</f>
        <v>3163.1992447214202</v>
      </c>
      <c r="J20" s="151"/>
    </row>
    <row r="21" spans="1:14">
      <c r="A21" s="138">
        <f>'STATE Form 1.1'!A25</f>
        <v>2009</v>
      </c>
      <c r="B21" s="148">
        <f>'Utility NG Form 1.1'!D25/'CEC Ind NG'!H21</f>
        <v>0.50602156214108918</v>
      </c>
      <c r="C21" s="148">
        <f>'STATE Form 1.1'!D79/'CEC Ind NG'!H21</f>
        <v>0.48400318650217661</v>
      </c>
      <c r="D21" s="148">
        <f>'Utility NG Form 1.1'!D79/'CEC Ind NG'!H21</f>
        <v>9.1969293926174745E-3</v>
      </c>
      <c r="E21" s="148">
        <v>0</v>
      </c>
      <c r="F21" s="148">
        <f>'Utility NG Form 1.1'!D133/H21</f>
        <v>7.7832196411678175E-4</v>
      </c>
      <c r="G21" s="147"/>
      <c r="H21" s="146">
        <f>'STATE Form 1.1'!D25</f>
        <v>2993.7276698135001</v>
      </c>
      <c r="J21" s="151"/>
    </row>
    <row r="22" spans="1:14">
      <c r="A22" s="138">
        <f>'STATE Form 1.1'!A26</f>
        <v>2010</v>
      </c>
      <c r="B22" s="148">
        <f>'Utility NG Form 1.1'!D26/'CEC Ind NG'!H22</f>
        <v>0.48976044415107062</v>
      </c>
      <c r="C22" s="148">
        <f>'STATE Form 1.1'!D80/'CEC Ind NG'!H22</f>
        <v>0.50165996648369715</v>
      </c>
      <c r="D22" s="148">
        <f>'Utility NG Form 1.1'!D80/'CEC Ind NG'!H22</f>
        <v>7.8065410345569746E-3</v>
      </c>
      <c r="E22" s="148">
        <v>0</v>
      </c>
      <c r="F22" s="148">
        <f>'Utility NG Form 1.1'!D134/H22</f>
        <v>7.7304833067522562E-4</v>
      </c>
      <c r="G22" s="147"/>
      <c r="H22" s="146">
        <f>'STATE Form 1.1'!D26</f>
        <v>3160.59928344439</v>
      </c>
      <c r="J22" s="151"/>
    </row>
    <row r="23" spans="1:14">
      <c r="A23" s="138">
        <f>'STATE Form 1.1'!A27</f>
        <v>2011</v>
      </c>
      <c r="B23" s="148">
        <f>'Utility NG Form 1.1'!D27/'CEC Ind NG'!H23</f>
        <v>0.49927834531211102</v>
      </c>
      <c r="C23" s="148">
        <f>'STATE Form 1.1'!D81/'CEC Ind NG'!H23</f>
        <v>0.49287834484070275</v>
      </c>
      <c r="D23" s="148">
        <f>'Utility NG Form 1.1'!D81/'CEC Ind NG'!H23</f>
        <v>6.5826485362990772E-3</v>
      </c>
      <c r="E23" s="148">
        <v>0</v>
      </c>
      <c r="F23" s="148">
        <f>'Utility NG Form 1.1'!D135/H23</f>
        <v>1.2606613108872174E-3</v>
      </c>
      <c r="G23" s="147"/>
      <c r="H23" s="146">
        <f>'STATE Form 1.1'!D27</f>
        <v>3215.9684484540398</v>
      </c>
      <c r="J23" s="151"/>
    </row>
    <row r="24" spans="1:14">
      <c r="A24" s="138">
        <f>'STATE Form 1.1'!A28</f>
        <v>2012</v>
      </c>
      <c r="B24" s="148">
        <f>'Utility NG Form 1.1'!D28/'CEC Ind NG'!H24</f>
        <v>0.51580728382050689</v>
      </c>
      <c r="C24" s="148">
        <f>'STATE Form 1.1'!D82/'CEC Ind NG'!H24</f>
        <v>0.47633644579923168</v>
      </c>
      <c r="D24" s="148">
        <f>'Utility NG Form 1.1'!D82/'CEC Ind NG'!H24</f>
        <v>6.6325613637912171E-3</v>
      </c>
      <c r="E24" s="148">
        <v>0</v>
      </c>
      <c r="F24" s="148">
        <f>'Utility NG Form 1.1'!D136/H24</f>
        <v>1.2237090164701244E-3</v>
      </c>
      <c r="G24" s="147"/>
      <c r="H24" s="146">
        <f>'STATE Form 1.1'!D28</f>
        <v>3340.4836811544401</v>
      </c>
      <c r="J24" s="151"/>
    </row>
    <row r="25" spans="1:14">
      <c r="A25" s="138">
        <f>'STATE Form 1.1'!A29</f>
        <v>2013</v>
      </c>
      <c r="B25" s="148">
        <f>'Utility NG Form 1.1'!D29/'CEC Ind NG'!H25</f>
        <v>0.50548415244991707</v>
      </c>
      <c r="C25" s="148">
        <f>'STATE Form 1.1'!D83/'CEC Ind NG'!H25</f>
        <v>0.48654423039215461</v>
      </c>
      <c r="D25" s="148">
        <f>'Utility NG Form 1.1'!D83/'CEC Ind NG'!H25</f>
        <v>6.4055364464056103E-3</v>
      </c>
      <c r="E25" s="148">
        <v>0</v>
      </c>
      <c r="F25" s="148">
        <f>'Utility NG Form 1.1'!D137/H25</f>
        <v>1.5660807115227215E-3</v>
      </c>
      <c r="G25" s="147"/>
      <c r="H25" s="146">
        <f>'STATE Form 1.1'!D29</f>
        <v>3393.34171023209</v>
      </c>
      <c r="J25" s="151"/>
    </row>
    <row r="26" spans="1:14">
      <c r="A26" s="138">
        <f>'STATE Form 1.1'!A30</f>
        <v>2014</v>
      </c>
      <c r="B26" s="148">
        <f>'Utility NG Form 1.1'!D30/'CEC Ind NG'!H26</f>
        <v>0.51155598324090812</v>
      </c>
      <c r="C26" s="148">
        <f>'STATE Form 1.1'!D84/'CEC Ind NG'!H26</f>
        <v>0.48103940416501673</v>
      </c>
      <c r="D26" s="148">
        <f>'Utility NG Form 1.1'!D84/'CEC Ind NG'!H26</f>
        <v>5.8991421569493429E-3</v>
      </c>
      <c r="E26" s="148">
        <v>0</v>
      </c>
      <c r="F26" s="148">
        <f>'Utility NG Form 1.1'!D138/H26</f>
        <v>1.5054704371256868E-3</v>
      </c>
      <c r="G26" s="147"/>
      <c r="H26" s="146">
        <f>'STATE Form 1.1'!D30</f>
        <v>3468.4407419978202</v>
      </c>
      <c r="J26" s="151"/>
    </row>
    <row r="27" spans="1:14">
      <c r="A27" s="138">
        <f>'STATE Form 1.1'!A31</f>
        <v>2015</v>
      </c>
      <c r="B27" s="148">
        <f>'Utility NG Form 1.1'!D31/'CEC Ind NG'!H27</f>
        <v>0.51685972058334839</v>
      </c>
      <c r="C27" s="148">
        <f>'STATE Form 1.1'!D85/'CEC Ind NG'!H27</f>
        <v>0.47542923371047413</v>
      </c>
      <c r="D27" s="148">
        <f>'Utility NG Form 1.1'!D85/'CEC Ind NG'!H27</f>
        <v>6.1134350911690059E-3</v>
      </c>
      <c r="E27" s="148">
        <v>0</v>
      </c>
      <c r="F27" s="148">
        <f>'Utility NG Form 1.1'!D139/H27</f>
        <v>1.5976106150084473E-3</v>
      </c>
      <c r="G27" s="147"/>
      <c r="H27" s="146">
        <f>'STATE Form 1.1'!D31</f>
        <v>3407.6833546647499</v>
      </c>
      <c r="J27" s="151"/>
    </row>
    <row r="28" spans="1:14">
      <c r="A28" s="138">
        <f>'STATE Form 1.1'!A32</f>
        <v>2016</v>
      </c>
      <c r="B28" s="148">
        <f>'Utility NG Form 1.1'!D32/'CEC Ind NG'!H28</f>
        <v>0.50584859330437737</v>
      </c>
      <c r="C28" s="148">
        <f>'STATE Form 1.1'!D86/'CEC Ind NG'!H28</f>
        <v>0.48639287090278222</v>
      </c>
      <c r="D28" s="148">
        <f>'Utility NG Form 1.1'!D86/'CEC Ind NG'!H28</f>
        <v>5.9860387454424924E-3</v>
      </c>
      <c r="E28" s="148">
        <v>0</v>
      </c>
      <c r="F28" s="148">
        <f>'Utility NG Form 1.1'!D140/H28</f>
        <v>1.7724970473978734E-3</v>
      </c>
      <c r="G28" s="147"/>
      <c r="H28" s="146">
        <f>'STATE Form 1.1'!D32</f>
        <v>3566.2067867925202</v>
      </c>
      <c r="J28" s="151"/>
    </row>
    <row r="29" spans="1:14">
      <c r="A29" s="138">
        <f>'STATE Form 1.1'!A33</f>
        <v>2017</v>
      </c>
      <c r="B29" s="148">
        <f>'Utility NG Form 1.1'!D33/'CEC Ind NG'!H29</f>
        <v>0.4833832356581696</v>
      </c>
      <c r="C29" s="148">
        <f>'STATE Form 1.1'!D87/'CEC Ind NG'!H29</f>
        <v>0.50897617315913601</v>
      </c>
      <c r="D29" s="148">
        <f>'Utility NG Form 1.1'!D87/'CEC Ind NG'!H29</f>
        <v>5.7619057765718323E-3</v>
      </c>
      <c r="E29" s="148">
        <v>0</v>
      </c>
      <c r="F29" s="148">
        <f>'Utility NG Form 1.1'!D141/H29</f>
        <v>1.8786854061224522E-3</v>
      </c>
      <c r="G29" s="147"/>
      <c r="H29" s="146">
        <f>'STATE Form 1.1'!D33</f>
        <v>3488.6415674710402</v>
      </c>
      <c r="J29" s="151"/>
    </row>
    <row r="30" spans="1:14">
      <c r="A30" s="138">
        <f>'STATE Form 1.1'!A34</f>
        <v>2018</v>
      </c>
      <c r="B30" s="148">
        <f>'Utility NG Form 1.1'!D34/'CEC Ind NG'!H30</f>
        <v>0.49914180345725528</v>
      </c>
      <c r="C30" s="148">
        <f>'STATE Form 1.1'!D88/'CEC Ind NG'!H30</f>
        <v>0.49330475959414799</v>
      </c>
      <c r="D30" s="148">
        <f>'Utility NG Form 1.1'!D88/'CEC Ind NG'!H30</f>
        <v>5.7191629633037439E-3</v>
      </c>
      <c r="E30" s="148">
        <v>0</v>
      </c>
      <c r="F30" s="148">
        <f>'Utility NG Form 1.1'!D142/H30</f>
        <v>1.8342739852928991E-3</v>
      </c>
      <c r="G30" s="147"/>
      <c r="H30" s="146">
        <f>'STATE Form 1.1'!D34</f>
        <v>3557.891623400365</v>
      </c>
      <c r="J30" s="151"/>
    </row>
    <row r="31" spans="1:14">
      <c r="A31" s="138">
        <f>'STATE Form 1.1'!A35</f>
        <v>2019</v>
      </c>
      <c r="B31" s="148">
        <f>'Utility NG Form 1.1'!D35/'CEC Ind NG'!H31</f>
        <v>0.51323547265559433</v>
      </c>
      <c r="C31" s="148">
        <f>'STATE Form 1.1'!D89/'CEC Ind NG'!H31</f>
        <v>0.47902808067513952</v>
      </c>
      <c r="D31" s="148">
        <f>'Utility NG Form 1.1'!D89/'CEC Ind NG'!H31</f>
        <v>5.9057162553541051E-3</v>
      </c>
      <c r="E31" s="148">
        <v>0</v>
      </c>
      <c r="F31" s="148">
        <f>'Utility NG Form 1.1'!D143/H31</f>
        <v>1.830730413911956E-3</v>
      </c>
      <c r="G31" s="147"/>
      <c r="H31" s="146">
        <f>'STATE Form 1.1'!D35</f>
        <v>3600.5788426970435</v>
      </c>
      <c r="J31" s="151"/>
    </row>
    <row r="32" spans="1:14">
      <c r="A32" s="138">
        <f>'STATE Form 1.1'!A36</f>
        <v>2020</v>
      </c>
      <c r="B32" s="148">
        <f>'Utility NG Form 1.1'!D36/'CEC Ind NG'!H32</f>
        <v>0.29618396333097802</v>
      </c>
      <c r="C32" s="148">
        <f>'STATE Form 1.1'!D90/'CEC Ind NG'!H32</f>
        <v>0.30897488281356233</v>
      </c>
      <c r="D32" s="148">
        <f>'Utility NG Form 1.1'!D90/'CEC Ind NG'!H32</f>
        <v>4.1184387726099321E-3</v>
      </c>
      <c r="E32" s="148">
        <f>1-(B32+C32+D32+F32)</f>
        <v>0.38951918514814654</v>
      </c>
      <c r="F32" s="148">
        <f>'Utility NG Form 1.1'!D144/H32</f>
        <v>1.2035299347032177E-3</v>
      </c>
      <c r="G32" s="147"/>
      <c r="H32" s="146">
        <f>+'Utility NG Form 1.1'!E168+'STATE Form 1.1'!D36</f>
        <v>5358.2522937485182</v>
      </c>
      <c r="J32" s="151">
        <f>B32*'IPER 2021 nat gas prices'!D36+C32*'IPER 2021 nat gas prices'!G36+D32*'IPER 2021 nat gas prices'!J36+E32*'IPER 2021 nat gas prices'!J36</f>
        <v>0.64667568573911405</v>
      </c>
      <c r="K32" s="154">
        <f>J32/About!$B$132</f>
        <v>6.4667568573911405E-6</v>
      </c>
      <c r="L32" s="154">
        <f>K32*About!$C$185</f>
        <v>5.736725323865578E-6</v>
      </c>
      <c r="N32" s="154"/>
    </row>
    <row r="33" spans="1:14">
      <c r="A33" s="138">
        <f>'STATE Form 1.1'!A37</f>
        <v>2021</v>
      </c>
      <c r="B33" s="148">
        <f>'Utility NG Form 1.1'!D37/'CEC Ind NG'!H33</f>
        <v>0.29911975891800135</v>
      </c>
      <c r="C33" s="148">
        <f>'STATE Form 1.1'!D91/'CEC Ind NG'!H33</f>
        <v>0.31216163958215937</v>
      </c>
      <c r="D33" s="148">
        <f>'Utility NG Form 1.1'!D91/'CEC Ind NG'!H33</f>
        <v>4.1931243633648663E-3</v>
      </c>
      <c r="E33" s="148">
        <f>'Utility NG Form 1.1'!E168/H33</f>
        <v>0.3833096896621247</v>
      </c>
      <c r="F33" s="148">
        <f>'Utility NG Form 1.1'!D145/H33</f>
        <v>1.2157874743497564E-3</v>
      </c>
      <c r="G33" s="152"/>
      <c r="H33" s="146">
        <f>'STATE Form 1.1'!D37+'Utility NG Form 1.1'!E168</f>
        <v>5445.0542826581277</v>
      </c>
      <c r="J33" s="151">
        <f>B33*'IPER 2021 nat gas prices'!D37+C33*'IPER 2021 nat gas prices'!G37+D33*'IPER 2021 nat gas prices'!J37+E33*'IPER 2021 nat gas prices'!J37</f>
        <v>0.56943448053469448</v>
      </c>
      <c r="K33" s="154">
        <f>J33/About!$B$132</f>
        <v>5.6943448053469452E-6</v>
      </c>
      <c r="L33" s="154">
        <f>K33*About!$C$185</f>
        <v>5.0515107909646852E-6</v>
      </c>
      <c r="N33" s="154"/>
    </row>
    <row r="34" spans="1:14">
      <c r="A34" s="138">
        <f>'STATE Form 1.1'!A38</f>
        <v>2022</v>
      </c>
      <c r="B34" s="148">
        <f>'Utility NG Form 1.1'!D38/'CEC Ind NG'!H34</f>
        <v>0.28946861077558483</v>
      </c>
      <c r="C34" s="148">
        <f>'STATE Form 1.1'!D92/'CEC Ind NG'!H34</f>
        <v>0.30223147275178497</v>
      </c>
      <c r="D34" s="148">
        <f>'Utility NG Form 1.1'!D92/'CEC Ind NG'!H34</f>
        <v>4.0557598303173287E-3</v>
      </c>
      <c r="E34" s="148">
        <f>'Utility NG Form 1.1'!E169/H34</f>
        <v>0.40306732618000224</v>
      </c>
      <c r="F34" s="148">
        <f>'Utility NG Form 1.1'!D146/H34</f>
        <v>1.1768304623105972E-3</v>
      </c>
      <c r="G34" s="147"/>
      <c r="H34" s="146">
        <f>'STATE Form 1.1'!D38+'Utility NG Form 1.1'!E169</f>
        <v>5652.4483564852053</v>
      </c>
      <c r="J34" s="151">
        <f>B34*'IPER 2021 nat gas prices'!D38+C34*'IPER 2021 nat gas prices'!G38+D34*'IPER 2021 nat gas prices'!J38+E34*'IPER 2021 nat gas prices'!J38</f>
        <v>0.5799846652513565</v>
      </c>
      <c r="K34" s="154">
        <f>J34/About!$B$132</f>
        <v>5.7998466525135647E-6</v>
      </c>
      <c r="L34" s="154">
        <f>K34*About!$C$185</f>
        <v>5.1451025451781737E-6</v>
      </c>
    </row>
    <row r="35" spans="1:14">
      <c r="A35" s="138">
        <f>'STATE Form 1.1'!A39</f>
        <v>2023</v>
      </c>
      <c r="B35" s="148">
        <f>'Utility NG Form 1.1'!D39/'CEC Ind NG'!H35</f>
        <v>0.28834934948468505</v>
      </c>
      <c r="C35" s="148">
        <f>'STATE Form 1.1'!D93/'CEC Ind NG'!H35</f>
        <v>0.30093146791208319</v>
      </c>
      <c r="D35" s="148">
        <f>'Utility NG Form 1.1'!D93/'CEC Ind NG'!H35</f>
        <v>4.0449131095632723E-3</v>
      </c>
      <c r="E35" s="148">
        <f>'Utility NG Form 1.1'!E170/H35</f>
        <v>0.40550223268266872</v>
      </c>
      <c r="F35" s="148">
        <f>'Utility NG Form 1.1'!D147/H35</f>
        <v>1.1720368109998847E-3</v>
      </c>
      <c r="G35" s="147"/>
      <c r="H35" s="146">
        <f>'STATE Form 1.1'!D39+'Utility NG Form 1.1'!E170</f>
        <v>5681.05549668405</v>
      </c>
      <c r="J35" s="151">
        <f>B35*'IPER 2021 nat gas prices'!D39+C35*'IPER 2021 nat gas prices'!G39+D35*'IPER 2021 nat gas prices'!J39+E35*'IPER 2021 nat gas prices'!J39</f>
        <v>0.59518349805599857</v>
      </c>
      <c r="K35" s="154">
        <f>J35/About!$B$132</f>
        <v>5.9518349805599859E-6</v>
      </c>
      <c r="L35" s="154">
        <f>K35*About!$C$185</f>
        <v>5.2799329261038685E-6</v>
      </c>
    </row>
    <row r="36" spans="1:14">
      <c r="A36" s="138">
        <f>'STATE Form 1.1'!A40</f>
        <v>2024</v>
      </c>
      <c r="B36" s="148">
        <f>'Utility NG Form 1.1'!D40/'CEC Ind NG'!H36</f>
        <v>0.28958863631701631</v>
      </c>
      <c r="C36" s="148">
        <f>'STATE Form 1.1'!D94/'CEC Ind NG'!H36</f>
        <v>0.30244984773576528</v>
      </c>
      <c r="D36" s="148">
        <f>'Utility NG Form 1.1'!D94/'CEC Ind NG'!H36</f>
        <v>4.0788087808088539E-3</v>
      </c>
      <c r="E36" s="148">
        <f>'Utility NG Form 1.1'!E171/H36</f>
        <v>0.40270515312599281</v>
      </c>
      <c r="F36" s="148">
        <f>'Utility NG Form 1.1'!D148/H36</f>
        <v>1.1775540404166517E-3</v>
      </c>
      <c r="G36" s="147"/>
      <c r="H36" s="146">
        <f>'STATE Form 1.1'!D40+'Utility NG Form 1.1'!E171</f>
        <v>5684.2360378576959</v>
      </c>
      <c r="J36" s="151">
        <f>B36*'IPER 2021 nat gas prices'!D40+C36*'IPER 2021 nat gas prices'!G40+D36*'IPER 2021 nat gas prices'!J40+E36*'IPER 2021 nat gas prices'!J40</f>
        <v>0.60861093894955076</v>
      </c>
      <c r="K36" s="154">
        <f>J36/About!$B$132</f>
        <v>6.0861093894955076E-6</v>
      </c>
      <c r="L36" s="154">
        <f>K36*About!$C$185</f>
        <v>5.3990491104717846E-6</v>
      </c>
    </row>
    <row r="37" spans="1:14">
      <c r="A37" s="138">
        <f>'STATE Form 1.1'!A41</f>
        <v>2025</v>
      </c>
      <c r="B37" s="148">
        <f>'Utility NG Form 1.1'!D41/'CEC Ind NG'!H37</f>
        <v>0.29101113139357759</v>
      </c>
      <c r="C37" s="148">
        <f>'STATE Form 1.1'!D95/'CEC Ind NG'!H37</f>
        <v>0.30423228392260304</v>
      </c>
      <c r="D37" s="148">
        <f>'Utility NG Form 1.1'!D95/'CEC Ind NG'!H37</f>
        <v>4.1072515787375736E-3</v>
      </c>
      <c r="E37" s="148">
        <f>'Utility NG Form 1.1'!E172/H37</f>
        <v>0.39946539589029967</v>
      </c>
      <c r="F37" s="148">
        <f>'Utility NG Form 1.1'!D149/H37</f>
        <v>1.1839372147820569E-3</v>
      </c>
      <c r="G37" s="147"/>
      <c r="H37" s="146">
        <f>'STATE Form 1.1'!D41+'Utility NG Form 1.1'!E172</f>
        <v>5675.0607119030556</v>
      </c>
      <c r="J37" s="151">
        <f>B37*'IPER 2021 nat gas prices'!D41+C37*'IPER 2021 nat gas prices'!G41+D37*'IPER 2021 nat gas prices'!J41+E37*'IPER 2021 nat gas prices'!J41</f>
        <v>0.62472130936974546</v>
      </c>
      <c r="K37" s="154">
        <f>J37/About!$B$132</f>
        <v>6.2472130936974546E-6</v>
      </c>
      <c r="L37" s="154">
        <f>K37*About!$C$185</f>
        <v>5.5419658336523599E-6</v>
      </c>
    </row>
    <row r="38" spans="1:14">
      <c r="A38" s="138">
        <f>'STATE Form 1.1'!A42</f>
        <v>2026</v>
      </c>
      <c r="B38" s="148">
        <f>'Utility NG Form 1.1'!D42/'CEC Ind NG'!H38</f>
        <v>0.29209459569892243</v>
      </c>
      <c r="C38" s="148">
        <f>'STATE Form 1.1'!D96/'CEC Ind NG'!H38</f>
        <v>0.30566498676023474</v>
      </c>
      <c r="D38" s="148">
        <f>'Utility NG Form 1.1'!D96/'CEC Ind NG'!H38</f>
        <v>4.1248262773674977E-3</v>
      </c>
      <c r="E38" s="148">
        <f>'Utility NG Form 1.1'!E173/H38</f>
        <v>0.39692665655828518</v>
      </c>
      <c r="F38" s="148">
        <f>'Utility NG Form 1.1'!D150/H38</f>
        <v>1.1889347051902567E-3</v>
      </c>
      <c r="G38" s="147"/>
      <c r="H38" s="146">
        <f>'STATE Form 1.1'!D42+'Utility NG Form 1.1'!E173</f>
        <v>5666.6418458233948</v>
      </c>
      <c r="J38" s="151">
        <f>B38*'IPER 2021 nat gas prices'!D42+C38*'IPER 2021 nat gas prices'!G42+D38*'IPER 2021 nat gas prices'!J42+E38*'IPER 2021 nat gas prices'!J42</f>
        <v>0.64110854742787615</v>
      </c>
      <c r="K38" s="154">
        <f>J38/About!$B$132</f>
        <v>6.4110854742787619E-6</v>
      </c>
      <c r="L38" s="154">
        <f>K38*About!$C$185</f>
        <v>5.6873386776133096E-6</v>
      </c>
    </row>
    <row r="39" spans="1:14">
      <c r="A39" s="138">
        <f>'STATE Form 1.1'!A43</f>
        <v>2027</v>
      </c>
      <c r="B39" s="148">
        <f>'Utility NG Form 1.1'!D43/'CEC Ind NG'!H39</f>
        <v>0.29286174040775126</v>
      </c>
      <c r="C39" s="148">
        <f>'STATE Form 1.1'!D97/'CEC Ind NG'!H39</f>
        <v>0.30697393279238866</v>
      </c>
      <c r="D39" s="148">
        <f>'Utility NG Form 1.1'!D97/'CEC Ind NG'!H39</f>
        <v>4.1364409824122868E-3</v>
      </c>
      <c r="E39" s="148">
        <f>'Utility NG Form 1.1'!E174/H39</f>
        <v>0.39483484170810484</v>
      </c>
      <c r="F39" s="148">
        <f>'Utility NG Form 1.1'!D151/H39</f>
        <v>1.1930441093429528E-3</v>
      </c>
      <c r="G39" s="147"/>
      <c r="H39" s="146">
        <f>'STATE Form 1.1'!D43+'Utility NG Form 1.1'!E174</f>
        <v>5655.057623472916</v>
      </c>
      <c r="J39" s="151">
        <f>B39*'IPER 2021 nat gas prices'!D43+C39*'IPER 2021 nat gas prices'!G43+D39*'IPER 2021 nat gas prices'!J43+E39*'IPER 2021 nat gas prices'!J43</f>
        <v>0.65653740311189546</v>
      </c>
      <c r="K39" s="154">
        <f>J39/About!$B$132</f>
        <v>6.565374031118955E-6</v>
      </c>
      <c r="L39" s="154">
        <f>K39*About!$C$185</f>
        <v>5.8242096147347786E-6</v>
      </c>
    </row>
    <row r="40" spans="1:14">
      <c r="A40" s="138">
        <f>'STATE Form 1.1'!A44</f>
        <v>2028</v>
      </c>
      <c r="B40" s="148">
        <f>'Utility NG Form 1.1'!D44/'CEC Ind NG'!H40</f>
        <v>0.29407928651622617</v>
      </c>
      <c r="C40" s="148">
        <f>'STATE Form 1.1'!D98/'CEC Ind NG'!H40</f>
        <v>0.30836627523570853</v>
      </c>
      <c r="D40" s="148">
        <f>'Utility NG Form 1.1'!D98/'CEC Ind NG'!H40</f>
        <v>4.151467688943449E-3</v>
      </c>
      <c r="E40" s="148">
        <f>'Utility NG Form 1.1'!E175/H40</f>
        <v>0.39220474606997019</v>
      </c>
      <c r="F40" s="148">
        <f>'Utility NG Form 1.1'!D152/H40</f>
        <v>1.1982244891516822E-3</v>
      </c>
      <c r="G40" s="147"/>
      <c r="H40" s="146">
        <f>'STATE Form 1.1'!D44+'Utility NG Form 1.1'!E175</f>
        <v>5631.8497560635806</v>
      </c>
      <c r="J40" s="151">
        <f>B40*'IPER 2021 nat gas prices'!D44+C40*'IPER 2021 nat gas prices'!G44+D40*'IPER 2021 nat gas prices'!J44+E40*'IPER 2021 nat gas prices'!J44</f>
        <v>0.67787166871324545</v>
      </c>
      <c r="K40" s="154">
        <f>J40/About!$B$132</f>
        <v>6.7787166871324549E-6</v>
      </c>
      <c r="L40" s="154">
        <f>K40*About!$C$185</f>
        <v>6.0134680396923443E-6</v>
      </c>
    </row>
    <row r="41" spans="1:14">
      <c r="A41" s="138">
        <f>'STATE Form 1.1'!A45</f>
        <v>2029</v>
      </c>
      <c r="B41" s="148">
        <f>'Utility NG Form 1.1'!D45/'CEC Ind NG'!H41</f>
        <v>0.29475936370813932</v>
      </c>
      <c r="C41" s="148">
        <f>'STATE Form 1.1'!D99/'CEC Ind NG'!H41</f>
        <v>0.30964353120324867</v>
      </c>
      <c r="D41" s="148">
        <f>'Utility NG Form 1.1'!D99/'CEC Ind NG'!H41</f>
        <v>4.1680355172480235E-3</v>
      </c>
      <c r="E41" s="148">
        <f>'Utility NG Form 1.1'!E176/H41</f>
        <v>0.39022695867151053</v>
      </c>
      <c r="F41" s="148">
        <f>'Utility NG Form 1.1'!D153/H41</f>
        <v>1.2021108998533983E-3</v>
      </c>
      <c r="G41" s="147"/>
      <c r="H41" s="146">
        <f>'STATE Form 1.1'!D45+'Utility NG Form 1.1'!E176</f>
        <v>5618.9658982949741</v>
      </c>
      <c r="J41" s="151">
        <f>B41*'IPER 2021 nat gas prices'!D45+C41*'IPER 2021 nat gas prices'!G45+D41*'IPER 2021 nat gas prices'!J45+E41*'IPER 2021 nat gas prices'!J45</f>
        <v>0.69430657298643939</v>
      </c>
      <c r="K41" s="154">
        <f>J41/About!$B$132</f>
        <v>6.9430657298643939E-6</v>
      </c>
      <c r="L41" s="154">
        <f>K41*About!$C$185</f>
        <v>6.1592637354615126E-6</v>
      </c>
    </row>
    <row r="42" spans="1:14">
      <c r="A42" s="138">
        <f>'STATE Form 1.1'!A46</f>
        <v>2030</v>
      </c>
      <c r="B42" s="148">
        <f>'Utility NG Form 1.1'!D46/'CEC Ind NG'!H42</f>
        <v>0.29557337624551738</v>
      </c>
      <c r="C42" s="148">
        <f>'STATE Form 1.1'!D100/'CEC Ind NG'!H42</f>
        <v>0.31096694244963508</v>
      </c>
      <c r="D42" s="148">
        <f>'Utility NG Form 1.1'!D100/'CEC Ind NG'!H42</f>
        <v>4.1879208651174268E-3</v>
      </c>
      <c r="E42" s="148">
        <f>'Utility NG Form 1.1'!E177/H42</f>
        <v>0.38806539722263783</v>
      </c>
      <c r="F42" s="148">
        <f>'Utility NG Form 1.1'!D154/H42</f>
        <v>1.2063632170921591E-3</v>
      </c>
      <c r="G42" s="147"/>
      <c r="H42" s="146">
        <f>'STATE Form 1.1'!D46+'Utility NG Form 1.1'!E177</f>
        <v>5601.0717636629415</v>
      </c>
      <c r="J42" s="151">
        <f>B42*'IPER 2021 nat gas prices'!D46+C42*'IPER 2021 nat gas prices'!G46+D42*'IPER 2021 nat gas prices'!J46+E42*'IPER 2021 nat gas prices'!J46</f>
        <v>0.7135669951535164</v>
      </c>
      <c r="K42" s="154">
        <f>J42/About!$B$132</f>
        <v>7.135669951535164E-6</v>
      </c>
      <c r="L42" s="154">
        <f>K42*About!$C$185</f>
        <v>6.3301248858508718E-6</v>
      </c>
    </row>
    <row r="43" spans="1:14">
      <c r="A43" s="138">
        <f>'STATE Form 1.1'!A47</f>
        <v>2031</v>
      </c>
      <c r="B43" s="148">
        <f>'Utility NG Form 1.1'!D47/'CEC Ind NG'!H43</f>
        <v>0.29616916852285763</v>
      </c>
      <c r="C43" s="148">
        <f>'STATE Form 1.1'!D101/'CEC Ind NG'!H43</f>
        <v>0.31203007698553603</v>
      </c>
      <c r="D43" s="148">
        <f>'Utility NG Form 1.1'!D101/'CEC Ind NG'!H43</f>
        <v>4.1844871411582368E-3</v>
      </c>
      <c r="E43" s="148">
        <f>'Utility NG Form 1.1'!E178/H43</f>
        <v>0.3864066538267264</v>
      </c>
      <c r="F43" s="148">
        <f>'Utility NG Form 1.1'!D155/H43</f>
        <v>1.2096135237218268E-3</v>
      </c>
      <c r="G43" s="147"/>
      <c r="H43" s="146">
        <f>'STATE Form 1.1'!D47+'Utility NG Form 1.1'!E178</f>
        <v>5596.646204454546</v>
      </c>
      <c r="J43" s="151">
        <f>B43*'IPER 2021 nat gas prices'!D47+C43*'IPER 2021 nat gas prices'!G47+D43*'IPER 2021 nat gas prices'!J47+E43*'IPER 2021 nat gas prices'!J47</f>
        <v>0.72566704901477841</v>
      </c>
      <c r="K43" s="154">
        <f>J43/About!$B$132</f>
        <v>7.2566704901477842E-6</v>
      </c>
      <c r="L43" s="154">
        <f>K43*About!$C$185</f>
        <v>6.4374656857863173E-6</v>
      </c>
    </row>
    <row r="44" spans="1:14">
      <c r="A44" s="138">
        <f>'STATE Form 1.1'!A48</f>
        <v>2032</v>
      </c>
      <c r="B44" s="148">
        <f>'Utility NG Form 1.1'!D48/'CEC Ind NG'!H44</f>
        <v>0.2966796881095371</v>
      </c>
      <c r="C44" s="148">
        <f>'STATE Form 1.1'!D102/'CEC Ind NG'!H44</f>
        <v>0.31297622010776521</v>
      </c>
      <c r="D44" s="148">
        <f>'Utility NG Form 1.1'!D102/'CEC Ind NG'!H44</f>
        <v>4.2026317983206805E-3</v>
      </c>
      <c r="E44" s="148">
        <f>'Utility NG Form 1.1'!E179/H44</f>
        <v>0.38492893908647519</v>
      </c>
      <c r="F44" s="148">
        <f>'Utility NG Form 1.1'!D156/H44</f>
        <v>1.2125208979018058E-3</v>
      </c>
      <c r="G44" s="147"/>
      <c r="H44" s="146">
        <f>'STATE Form 1.1'!D48+'Utility NG Form 1.1'!E179</f>
        <v>5590.4723219459029</v>
      </c>
      <c r="J44" s="151">
        <f>B44*'IPER 2021 nat gas prices'!D48+C44*'IPER 2021 nat gas prices'!G48+D44*'IPER 2021 nat gas prices'!J48+E44*'IPER 2021 nat gas prices'!J48</f>
        <v>0.7419483138400117</v>
      </c>
      <c r="K44" s="154">
        <f>J44/About!$B$132</f>
        <v>7.4194831384001167E-6</v>
      </c>
      <c r="L44" s="154">
        <f>K44*About!$C$185</f>
        <v>6.581898430494702E-6</v>
      </c>
    </row>
    <row r="45" spans="1:14">
      <c r="A45" s="138">
        <f>'STATE Form 1.1'!A49</f>
        <v>2033</v>
      </c>
      <c r="B45" s="148">
        <f>'Utility NG Form 1.1'!D49/'CEC Ind NG'!H45</f>
        <v>0.29731791855621659</v>
      </c>
      <c r="C45" s="148">
        <f>'STATE Form 1.1'!D103/'CEC Ind NG'!H45</f>
        <v>0.31404200381035774</v>
      </c>
      <c r="D45" s="148">
        <f>'Utility NG Form 1.1'!D103/'CEC Ind NG'!H45</f>
        <v>4.2229715485616976E-3</v>
      </c>
      <c r="E45" s="148">
        <f>'Utility NG Form 1.1'!E180/H45</f>
        <v>0.38320118422868799</v>
      </c>
      <c r="F45" s="148">
        <f>'Utility NG Form 1.1'!D157/H45</f>
        <v>1.215921856175906E-3</v>
      </c>
      <c r="G45" s="147"/>
      <c r="H45" s="146">
        <f>'STATE Form 1.1'!D49+'Utility NG Form 1.1'!E180</f>
        <v>5582.9868501417732</v>
      </c>
      <c r="J45" s="151">
        <f>B45*'IPER 2021 nat gas prices'!D49+C45*'IPER 2021 nat gas prices'!G49+D45*'IPER 2021 nat gas prices'!J49+E45*'IPER 2021 nat gas prices'!J49</f>
        <v>0.758280668462744</v>
      </c>
      <c r="K45" s="154">
        <f>J45/About!$B$132</f>
        <v>7.5828066846274402E-6</v>
      </c>
      <c r="L45" s="154">
        <f>K45*About!$C$185</f>
        <v>6.7267843979568844E-6</v>
      </c>
    </row>
    <row r="46" spans="1:14">
      <c r="A46" s="138">
        <f>'STATE Form 1.1'!A50</f>
        <v>2034</v>
      </c>
      <c r="B46" s="148">
        <f>'Utility NG Form 1.1'!D50/'CEC Ind NG'!H46</f>
        <v>0.29819552824004053</v>
      </c>
      <c r="C46" s="148">
        <f>'STATE Form 1.1'!D104/'CEC Ind NG'!H46</f>
        <v>0.31537333999932282</v>
      </c>
      <c r="D46" s="148">
        <f>'Utility NG Form 1.1'!D104/'CEC Ind NG'!H46</f>
        <v>4.2473549056152816E-3</v>
      </c>
      <c r="E46" s="148">
        <f>'Utility NG Form 1.1'!E181/H46</f>
        <v>0.3809634486971929</v>
      </c>
      <c r="F46" s="148">
        <f>'Utility NG Form 1.1'!D158/H46</f>
        <v>1.2203281578284074E-3</v>
      </c>
      <c r="G46" s="147"/>
      <c r="H46" s="146">
        <f>'STATE Form 1.1'!D50+'Utility NG Form 1.1'!E181</f>
        <v>5571.3278525802552</v>
      </c>
      <c r="J46" s="151">
        <f>B46*'IPER 2021 nat gas prices'!D50+C46*'IPER 2021 nat gas prices'!G50+D46*'IPER 2021 nat gas prices'!J50+E46*'IPER 2021 nat gas prices'!J50</f>
        <v>0.77470238187554741</v>
      </c>
      <c r="K46" s="154">
        <f>J46/About!$B$132</f>
        <v>7.7470238187554741E-6</v>
      </c>
      <c r="L46" s="154">
        <f>K46*About!$C$185</f>
        <v>6.8724630762712226E-6</v>
      </c>
    </row>
    <row r="47" spans="1:14">
      <c r="A47" s="138">
        <f>'STATE Form 1.1'!A51</f>
        <v>2035</v>
      </c>
      <c r="B47" s="148">
        <f>'Utility NG Form 1.1'!D51/'CEC Ind NG'!H47</f>
        <v>0.29925935469631315</v>
      </c>
      <c r="C47" s="148">
        <f>'STATE Form 1.1'!D105/'CEC Ind NG'!H47</f>
        <v>0.31691217851911541</v>
      </c>
      <c r="D47" s="148">
        <f>'Utility NG Form 1.1'!D105/'CEC Ind NG'!H47</f>
        <v>4.2748825970325066E-3</v>
      </c>
      <c r="E47" s="148">
        <f>'Utility NG Form 1.1'!E182/H47</f>
        <v>0.37832806585948886</v>
      </c>
      <c r="F47" s="148">
        <f>'Utility NG Form 1.1'!D159/H47</f>
        <v>1.2255183280501074E-3</v>
      </c>
      <c r="G47" s="147"/>
      <c r="H47" s="146">
        <f>'STATE Form 1.1'!D51+'Utility NG Form 1.1'!E182</f>
        <v>5556.9008847037967</v>
      </c>
      <c r="J47" s="151">
        <f>B47*'IPER 2021 nat gas prices'!D51+C47*'IPER 2021 nat gas prices'!G51+D47*'IPER 2021 nat gas prices'!J51+E47*'IPER 2021 nat gas prices'!J51</f>
        <v>0.79120319846352127</v>
      </c>
      <c r="K47" s="154">
        <f>J47/About!$B$132</f>
        <v>7.9120319846352127E-6</v>
      </c>
      <c r="L47" s="154">
        <f>K47*About!$C$185</f>
        <v>7.0188434868420931E-6</v>
      </c>
    </row>
    <row r="48" spans="1:14">
      <c r="B48" s="148"/>
      <c r="C48" s="148"/>
      <c r="D48" s="148"/>
      <c r="E48" s="148"/>
      <c r="F48" s="148"/>
      <c r="G48" s="147"/>
      <c r="H48" s="146"/>
      <c r="J48" s="151"/>
      <c r="K48" s="154"/>
      <c r="L48" s="154"/>
    </row>
    <row r="50" spans="1:18">
      <c r="C50" s="138">
        <v>2020</v>
      </c>
      <c r="D50" s="138">
        <v>2021</v>
      </c>
      <c r="E50" s="138">
        <v>2022</v>
      </c>
      <c r="R50" s="138">
        <v>2035</v>
      </c>
    </row>
    <row r="51" spans="1:18">
      <c r="A51" s="138" t="s">
        <v>131</v>
      </c>
      <c r="B51" s="180"/>
      <c r="C51" s="138">
        <v>5.9803779887504252E-6</v>
      </c>
      <c r="D51" s="138">
        <v>5.0515107909646852E-6</v>
      </c>
      <c r="E51" s="138">
        <v>5.1451025451781737E-6</v>
      </c>
      <c r="F51" s="138">
        <v>5.2799329261038685E-6</v>
      </c>
      <c r="G51" s="138">
        <v>5.3990491104717846E-6</v>
      </c>
      <c r="H51" s="138">
        <v>5.5419658336523599E-6</v>
      </c>
      <c r="I51" s="138">
        <v>5.6873386776133096E-6</v>
      </c>
      <c r="J51" s="138">
        <v>5.8242096147347786E-6</v>
      </c>
      <c r="K51" s="138">
        <v>6.0134680396923443E-6</v>
      </c>
      <c r="L51" s="138">
        <v>6.1592637354615126E-6</v>
      </c>
      <c r="M51" s="138">
        <v>6.3301248858508718E-6</v>
      </c>
      <c r="N51" s="138">
        <v>6.4374656857863173E-6</v>
      </c>
      <c r="O51" s="138">
        <v>6.581898430494702E-6</v>
      </c>
      <c r="P51" s="138">
        <v>6.7267843979568844E-6</v>
      </c>
      <c r="Q51" s="138">
        <v>6.8724630762712226E-6</v>
      </c>
      <c r="R51" s="138">
        <v>7.0188434868420931E-6</v>
      </c>
    </row>
    <row r="52" spans="1:18">
      <c r="A52" s="138" t="s">
        <v>1275</v>
      </c>
      <c r="E52" s="138">
        <f>(E51-D51)/$D$51</f>
        <v>1.8527477835124116E-2</v>
      </c>
      <c r="F52" s="180">
        <f t="shared" ref="F52:R52" si="0">(F51-E51)/$D$51</f>
        <v>2.6691100248040115E-2</v>
      </c>
      <c r="G52" s="180">
        <f t="shared" si="0"/>
        <v>2.3580308802066022E-2</v>
      </c>
      <c r="H52" s="180">
        <f t="shared" si="0"/>
        <v>2.8291877241201049E-2</v>
      </c>
      <c r="I52" s="180">
        <f t="shared" si="0"/>
        <v>2.8778092332489694E-2</v>
      </c>
      <c r="J52" s="180">
        <f t="shared" si="0"/>
        <v>2.7095049933631998E-2</v>
      </c>
      <c r="K52" s="180">
        <f t="shared" si="0"/>
        <v>3.7465707347607791E-2</v>
      </c>
      <c r="L52" s="180">
        <f t="shared" si="0"/>
        <v>2.8861800321191778E-2</v>
      </c>
      <c r="M52" s="180">
        <f t="shared" si="0"/>
        <v>3.3823772225720611E-2</v>
      </c>
      <c r="N52" s="180">
        <f t="shared" si="0"/>
        <v>2.1249246884207221E-2</v>
      </c>
      <c r="O52" s="180">
        <f t="shared" si="0"/>
        <v>2.8591989740321316E-2</v>
      </c>
      <c r="P52" s="180">
        <f t="shared" si="0"/>
        <v>2.8681709978988987E-2</v>
      </c>
      <c r="Q52" s="180">
        <f t="shared" si="0"/>
        <v>2.883863547810378E-2</v>
      </c>
      <c r="R52" s="180">
        <f t="shared" si="0"/>
        <v>2.8977550801770377E-2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78427-63F5-40EE-9246-ACE1D87A44E7}">
  <sheetPr>
    <tabColor theme="0" tint="-0.14999847407452621"/>
  </sheetPr>
  <dimension ref="A1:Q51"/>
  <sheetViews>
    <sheetView topLeftCell="H41" workbookViewId="0">
      <selection activeCell="D51" sqref="D51:Q51"/>
    </sheetView>
  </sheetViews>
  <sheetFormatPr defaultRowHeight="14.5"/>
  <cols>
    <col min="1" max="1" width="10.7265625" style="138" bestFit="1" customWidth="1"/>
    <col min="2" max="7" width="8.7265625" style="138"/>
    <col min="8" max="8" width="16.7265625" style="138" bestFit="1" customWidth="1"/>
    <col min="9" max="9" width="16" style="138" bestFit="1" customWidth="1"/>
    <col min="10" max="16384" width="8.7265625" style="138"/>
  </cols>
  <sheetData>
    <row r="1" spans="1:11">
      <c r="B1" s="138" t="s">
        <v>949</v>
      </c>
      <c r="C1" s="138" t="s">
        <v>948</v>
      </c>
      <c r="D1" s="138" t="s">
        <v>947</v>
      </c>
      <c r="E1" s="138" t="s">
        <v>946</v>
      </c>
      <c r="F1" s="138" t="s">
        <v>945</v>
      </c>
      <c r="G1" s="138" t="s">
        <v>965</v>
      </c>
      <c r="H1" s="138" t="s">
        <v>964</v>
      </c>
      <c r="I1" s="138" t="s">
        <v>967</v>
      </c>
      <c r="J1" s="138" t="s">
        <v>966</v>
      </c>
      <c r="K1" s="138" t="s">
        <v>970</v>
      </c>
    </row>
    <row r="2" spans="1:11">
      <c r="A2" s="138">
        <f>'STATE Form 1.1'!A6</f>
        <v>1990</v>
      </c>
      <c r="B2" s="148">
        <f>'Utility NG Form 1.1'!C6/'CEC Comm NG'!G2</f>
        <v>0.44713256089673248</v>
      </c>
      <c r="C2" s="148">
        <f>'STATE Form 1.1'!C60/'CEC Comm NG'!G2</f>
        <v>0.47167138424456245</v>
      </c>
      <c r="D2" s="148">
        <f>'Utility NG Form 1.1'!C60/'CEC Comm NG'!G2</f>
        <v>6.9663522509612233E-2</v>
      </c>
      <c r="E2" s="148"/>
      <c r="F2" s="148">
        <f>'Utility NG Form 1.1'!C114/G2</f>
        <v>1.1532532349092838E-2</v>
      </c>
      <c r="G2" s="146">
        <f>'STATE Form 1.1'!C6</f>
        <v>1660.6914613603849</v>
      </c>
      <c r="I2" s="138">
        <f>B2*'IPER 2021 nat gas prices'!C6+C2*'IPER 2021 nat gas prices'!F6+(D2+F2)*'IPER 2021 nat gas prices'!I6</f>
        <v>1.025637776484793</v>
      </c>
      <c r="J2" s="154">
        <f>I2/About!$B$132</f>
        <v>1.025637776484793E-5</v>
      </c>
      <c r="K2" s="154">
        <f>J2*About!$C$185</f>
        <v>9.0985363068794502E-6</v>
      </c>
    </row>
    <row r="3" spans="1:11">
      <c r="A3" s="138">
        <f>'STATE Form 1.1'!A7</f>
        <v>1991</v>
      </c>
      <c r="B3" s="148">
        <f>'Utility NG Form 1.1'!C7/'CEC Comm NG'!G3</f>
        <v>0.4597726788015763</v>
      </c>
      <c r="C3" s="148">
        <f>'STATE Form 1.1'!C61/'CEC Comm NG'!G3</f>
        <v>0.46084410410487503</v>
      </c>
      <c r="D3" s="148">
        <f>'Utility NG Form 1.1'!C61/'CEC Comm NG'!G3</f>
        <v>6.5172677805955384E-2</v>
      </c>
      <c r="E3" s="148"/>
      <c r="F3" s="148">
        <f>'Utility NG Form 1.1'!C115/G3</f>
        <v>1.4210539287593285E-2</v>
      </c>
      <c r="G3" s="146">
        <f>'STATE Form 1.1'!C7</f>
        <v>1666.1263531828911</v>
      </c>
      <c r="I3" s="138">
        <f>B3*'IPER 2021 nat gas prices'!C7+C3*'IPER 2021 nat gas prices'!F7+(D3+F3)*'IPER 2021 nat gas prices'!I7</f>
        <v>1.0620329862949749</v>
      </c>
      <c r="J3" s="154">
        <f>I3/About!$B$132</f>
        <v>1.0620329862949748E-5</v>
      </c>
      <c r="K3" s="154">
        <f>J3*About!$C$185</f>
        <v>9.4214018891022247E-6</v>
      </c>
    </row>
    <row r="4" spans="1:11">
      <c r="A4" s="138">
        <f>'STATE Form 1.1'!A8</f>
        <v>1992</v>
      </c>
      <c r="B4" s="148">
        <f>'Utility NG Form 1.1'!C8/'CEC Comm NG'!G4</f>
        <v>0.443057261145059</v>
      </c>
      <c r="C4" s="148">
        <f>'STATE Form 1.1'!C62/'CEC Comm NG'!G4</f>
        <v>0.47140537799107879</v>
      </c>
      <c r="D4" s="148">
        <f>'Utility NG Form 1.1'!C62/'CEC Comm NG'!G4</f>
        <v>7.6678792172373403E-2</v>
      </c>
      <c r="E4" s="148"/>
      <c r="F4" s="148">
        <f>'Utility NG Form 1.1'!C116/G4</f>
        <v>8.8585686914888686E-3</v>
      </c>
      <c r="G4" s="146">
        <f>'STATE Form 1.1'!C8</f>
        <v>1567.8696754865539</v>
      </c>
      <c r="I4" s="138">
        <f>B4*'IPER 2021 nat gas prices'!C8+C4*'IPER 2021 nat gas prices'!F8+(D4+F4)*'IPER 2021 nat gas prices'!I8</f>
        <v>1.0282625909095566</v>
      </c>
      <c r="J4" s="154">
        <f>I4/About!$B$132</f>
        <v>1.0282625909095567E-5</v>
      </c>
      <c r="K4" s="154">
        <f>J4*About!$C$185</f>
        <v>9.1218213007535885E-6</v>
      </c>
    </row>
    <row r="5" spans="1:11">
      <c r="A5" s="138">
        <f>'STATE Form 1.1'!A9</f>
        <v>1993</v>
      </c>
      <c r="B5" s="148">
        <f>'Utility NG Form 1.1'!C9/'CEC Comm NG'!G5</f>
        <v>0.44614963848539235</v>
      </c>
      <c r="C5" s="148">
        <f>'STATE Form 1.1'!C63/'CEC Comm NG'!G5</f>
        <v>0.47533855086771115</v>
      </c>
      <c r="D5" s="148">
        <f>'Utility NG Form 1.1'!C63/'CEC Comm NG'!G5</f>
        <v>6.8014201674125502E-2</v>
      </c>
      <c r="E5" s="148"/>
      <c r="F5" s="148">
        <f>'Utility NG Form 1.1'!C117/G5</f>
        <v>1.0497608972771005E-2</v>
      </c>
      <c r="G5" s="146">
        <f>'STATE Form 1.1'!C9</f>
        <v>1606.2738709107209</v>
      </c>
      <c r="I5" s="138">
        <f>B5*'IPER 2021 nat gas prices'!C9+C5*'IPER 2021 nat gas prices'!F9+(D5+F5)*'IPER 2021 nat gas prices'!I9</f>
        <v>1.0331088342731156</v>
      </c>
      <c r="J5" s="154">
        <f>I5/About!$B$132</f>
        <v>1.0331088342731156E-5</v>
      </c>
      <c r="K5" s="154">
        <f>J5*About!$C$185</f>
        <v>9.164812815113014E-6</v>
      </c>
    </row>
    <row r="6" spans="1:11">
      <c r="A6" s="138">
        <f>'STATE Form 1.1'!A10</f>
        <v>1994</v>
      </c>
      <c r="B6" s="148">
        <f>'Utility NG Form 1.1'!C10/'CEC Comm NG'!G6</f>
        <v>0.46443019564241411</v>
      </c>
      <c r="C6" s="148">
        <f>'STATE Form 1.1'!C64/'CEC Comm NG'!G6</f>
        <v>0.44818445792121075</v>
      </c>
      <c r="D6" s="148">
        <f>'Utility NG Form 1.1'!C64/'CEC Comm NG'!G6</f>
        <v>7.6435466329100657E-2</v>
      </c>
      <c r="E6" s="148"/>
      <c r="F6" s="148">
        <f>'Utility NG Form 1.1'!C118/G6</f>
        <v>1.0949880107274488E-2</v>
      </c>
      <c r="G6" s="146">
        <f>'STATE Form 1.1'!C10</f>
        <v>1695.243127609039</v>
      </c>
      <c r="I6" s="138">
        <f>B6*'IPER 2021 nat gas prices'!C10+C6*'IPER 2021 nat gas prices'!F10+(D6+F6)*'IPER 2021 nat gas prices'!I10</f>
        <v>1.0129377738185588</v>
      </c>
      <c r="J6" s="154">
        <f>I6/About!$B$132</f>
        <v>1.0129377738185587E-5</v>
      </c>
      <c r="K6" s="154">
        <f>J6*About!$C$185</f>
        <v>8.9858733004989405E-6</v>
      </c>
    </row>
    <row r="7" spans="1:11">
      <c r="A7" s="138">
        <f>'STATE Form 1.1'!A11</f>
        <v>1995</v>
      </c>
      <c r="B7" s="148">
        <f>'Utility NG Form 1.1'!C11/'CEC Comm NG'!G7</f>
        <v>0.46088733517762503</v>
      </c>
      <c r="C7" s="148">
        <f>'STATE Form 1.1'!C65/'CEC Comm NG'!G7</f>
        <v>0.44853856960368094</v>
      </c>
      <c r="D7" s="148">
        <f>'Utility NG Form 1.1'!C65/'CEC Comm NG'!G7</f>
        <v>8.1636488805603799E-2</v>
      </c>
      <c r="E7" s="148"/>
      <c r="F7" s="148">
        <f>'Utility NG Form 1.1'!C119/G7</f>
        <v>8.9376064130903456E-3</v>
      </c>
      <c r="G7" s="146">
        <f>'STATE Form 1.1'!C11</f>
        <v>1600.0778440024419</v>
      </c>
      <c r="I7" s="138">
        <f>B7*'IPER 2021 nat gas prices'!C11+C7*'IPER 2021 nat gas prices'!F11+(D7+F7)*'IPER 2021 nat gas prices'!I11</f>
        <v>1.0227646708688307</v>
      </c>
      <c r="J7" s="154">
        <f>I7/About!$B$132</f>
        <v>1.0227646708688307E-5</v>
      </c>
      <c r="K7" s="154">
        <f>J7*About!$C$185</f>
        <v>9.0730486967702298E-6</v>
      </c>
    </row>
    <row r="8" spans="1:11">
      <c r="A8" s="138">
        <f>'STATE Form 1.1'!A12</f>
        <v>1996</v>
      </c>
      <c r="B8" s="148">
        <f>'Utility NG Form 1.1'!C12/'CEC Comm NG'!G8</f>
        <v>0.44799851860484419</v>
      </c>
      <c r="C8" s="148">
        <f>'STATE Form 1.1'!C66/'CEC Comm NG'!G8</f>
        <v>0.46304588575058542</v>
      </c>
      <c r="D8" s="148">
        <f>'Utility NG Form 1.1'!C66/'CEC Comm NG'!G8</f>
        <v>7.6992294621524307E-2</v>
      </c>
      <c r="E8" s="148"/>
      <c r="F8" s="148">
        <f>'Utility NG Form 1.1'!C120/G8</f>
        <v>1.1963301023046069E-2</v>
      </c>
      <c r="G8" s="146">
        <f>'STATE Form 1.1'!C12</f>
        <v>1645.118263102006</v>
      </c>
      <c r="I8" s="138">
        <f>B8*'IPER 2021 nat gas prices'!C12+C8*'IPER 2021 nat gas prices'!F12+(D8+F8)*'IPER 2021 nat gas prices'!I12</f>
        <v>0.91469729065864303</v>
      </c>
      <c r="J8" s="154">
        <f>I8/About!$B$132</f>
        <v>9.1469729065864302E-6</v>
      </c>
      <c r="K8" s="154">
        <f>J8*About!$C$185</f>
        <v>8.1143720518813438E-6</v>
      </c>
    </row>
    <row r="9" spans="1:11">
      <c r="A9" s="138">
        <f>'STATE Form 1.1'!A13</f>
        <v>1997</v>
      </c>
      <c r="B9" s="148">
        <f>'Utility NG Form 1.1'!C13/'CEC Comm NG'!G9</f>
        <v>0.45051494264693465</v>
      </c>
      <c r="C9" s="148">
        <f>'STATE Form 1.1'!C67/'CEC Comm NG'!G9</f>
        <v>0.45833649006623506</v>
      </c>
      <c r="D9" s="148">
        <f>'Utility NG Form 1.1'!C67/'CEC Comm NG'!G9</f>
        <v>7.8604232538701788E-2</v>
      </c>
      <c r="E9" s="148"/>
      <c r="F9" s="148">
        <f>'Utility NG Form 1.1'!C121/G9</f>
        <v>1.2544334748128581E-2</v>
      </c>
      <c r="G9" s="146">
        <f>'STATE Form 1.1'!C13</f>
        <v>1645.3826699003869</v>
      </c>
      <c r="I9" s="138">
        <f>B9*'IPER 2021 nat gas prices'!C13+C9*'IPER 2021 nat gas prices'!F13+(D9+F9)*'IPER 2021 nat gas prices'!I13</f>
        <v>0.95402526200217086</v>
      </c>
      <c r="J9" s="154">
        <f>I9/About!$B$132</f>
        <v>9.5402526200217082E-6</v>
      </c>
      <c r="K9" s="154">
        <f>J9*About!$C$185</f>
        <v>8.4632544578818301E-6</v>
      </c>
    </row>
    <row r="10" spans="1:11">
      <c r="A10" s="138">
        <f>'STATE Form 1.1'!A14</f>
        <v>1998</v>
      </c>
      <c r="B10" s="148">
        <f>'Utility NG Form 1.1'!C14/'CEC Comm NG'!G10</f>
        <v>0.4561066869978459</v>
      </c>
      <c r="C10" s="148">
        <f>'STATE Form 1.1'!C68/'CEC Comm NG'!G10</f>
        <v>0.45993759374973109</v>
      </c>
      <c r="D10" s="148">
        <f>'Utility NG Form 1.1'!C68/'CEC Comm NG'!G10</f>
        <v>7.1352112122426786E-2</v>
      </c>
      <c r="E10" s="148"/>
      <c r="F10" s="148">
        <f>'Utility NG Form 1.1'!C122/G10</f>
        <v>1.2603607129996289E-2</v>
      </c>
      <c r="G10" s="146">
        <f>'STATE Form 1.1'!C14</f>
        <v>1850.0733765736529</v>
      </c>
      <c r="I10" s="138">
        <f>B10*'IPER 2021 nat gas prices'!C14+C10*'IPER 2021 nat gas prices'!F14+(D10+F10)*'IPER 2021 nat gas prices'!I14</f>
        <v>0.92500298828994221</v>
      </c>
      <c r="J10" s="154">
        <f>I10/About!$B$132</f>
        <v>9.2500298828994212E-6</v>
      </c>
      <c r="K10" s="154">
        <f>J10*About!$C$185</f>
        <v>8.2057949364668419E-6</v>
      </c>
    </row>
    <row r="11" spans="1:11">
      <c r="A11" s="138">
        <f>'STATE Form 1.1'!A15</f>
        <v>1999</v>
      </c>
      <c r="B11" s="148">
        <f>'Utility NG Form 1.1'!C15/'CEC Comm NG'!G11</f>
        <v>0.45648551175141672</v>
      </c>
      <c r="C11" s="148">
        <f>'STATE Form 1.1'!C69/'CEC Comm NG'!G11</f>
        <v>0.46233007612052762</v>
      </c>
      <c r="D11" s="148">
        <f>'Utility NG Form 1.1'!C69/'CEC Comm NG'!G11</f>
        <v>6.9795364250494749E-2</v>
      </c>
      <c r="E11" s="148"/>
      <c r="F11" s="148">
        <f>'Utility NG Form 1.1'!C123/G11</f>
        <v>1.1389047877560921E-2</v>
      </c>
      <c r="G11" s="146">
        <f>'STATE Form 1.1'!C15</f>
        <v>1929.628642908692</v>
      </c>
      <c r="I11" s="138">
        <f>B11*'IPER 2021 nat gas prices'!C15+C11*'IPER 2021 nat gas prices'!F15+(D11+F11)*'IPER 2021 nat gas prices'!I15</f>
        <v>0.88639905675749198</v>
      </c>
      <c r="J11" s="154">
        <f>I11/About!$B$132</f>
        <v>8.8639905675749206E-6</v>
      </c>
      <c r="K11" s="154">
        <f>J11*About!$C$185</f>
        <v>7.8633355607600503E-6</v>
      </c>
    </row>
    <row r="12" spans="1:11">
      <c r="A12" s="138">
        <f>'STATE Form 1.1'!A16</f>
        <v>2000</v>
      </c>
      <c r="B12" s="148">
        <f>'Utility NG Form 1.1'!C16/'CEC Comm NG'!G12</f>
        <v>0.46865263887607672</v>
      </c>
      <c r="C12" s="148">
        <f>'STATE Form 1.1'!C70/'CEC Comm NG'!G12</f>
        <v>0.45008838653329319</v>
      </c>
      <c r="D12" s="148">
        <f>'Utility NG Form 1.1'!C70/'CEC Comm NG'!G12</f>
        <v>7.250143792780965E-2</v>
      </c>
      <c r="E12" s="148"/>
      <c r="F12" s="148">
        <f>'Utility NG Form 1.1'!C124/G12</f>
        <v>8.7575366628204806E-3</v>
      </c>
      <c r="G12" s="146">
        <f>'STATE Form 1.1'!C16</f>
        <v>1894.5469072871078</v>
      </c>
      <c r="I12" s="138">
        <f>B12*'IPER 2021 nat gas prices'!C16+C12*'IPER 2021 nat gas prices'!F16+(D12+F12)*'IPER 2021 nat gas prices'!I16</f>
        <v>1.0631928549536125</v>
      </c>
      <c r="J12" s="154">
        <f>I12/About!$B$132</f>
        <v>1.0631928549536125E-5</v>
      </c>
      <c r="K12" s="154">
        <f>J12*About!$C$185</f>
        <v>9.4316912011222984E-6</v>
      </c>
    </row>
    <row r="13" spans="1:11">
      <c r="A13" s="138">
        <f>'STATE Form 1.1'!A17</f>
        <v>2001</v>
      </c>
      <c r="B13" s="148">
        <f>'Utility NG Form 1.1'!C17/'CEC Comm NG'!G13</f>
        <v>0.42142511663145599</v>
      </c>
      <c r="C13" s="148">
        <f>'STATE Form 1.1'!C71/'CEC Comm NG'!G13</f>
        <v>0.48616654565982892</v>
      </c>
      <c r="D13" s="148">
        <f>'Utility NG Form 1.1'!C71/'CEC Comm NG'!G13</f>
        <v>8.1455169477446604E-2</v>
      </c>
      <c r="E13" s="148"/>
      <c r="F13" s="148">
        <f>'Utility NG Form 1.1'!C125/G13</f>
        <v>1.0953168231268453E-2</v>
      </c>
      <c r="G13" s="146">
        <f>'STATE Form 1.1'!C17</f>
        <v>1803.9763092100102</v>
      </c>
      <c r="I13" s="138">
        <f>B13*'IPER 2021 nat gas prices'!C17+C13*'IPER 2021 nat gas prices'!F17+(D13+F13)*'IPER 2021 nat gas prices'!I17</f>
        <v>1.2670203967345715</v>
      </c>
      <c r="J13" s="154">
        <f>I13/About!$B$132</f>
        <v>1.2670203967345715E-5</v>
      </c>
      <c r="K13" s="154">
        <f>J13*About!$C$185</f>
        <v>1.1239865911293517E-5</v>
      </c>
    </row>
    <row r="14" spans="1:11">
      <c r="A14" s="138">
        <f>'STATE Form 1.1'!A18</f>
        <v>2002</v>
      </c>
      <c r="B14" s="148">
        <f>'Utility NG Form 1.1'!C18/'CEC Comm NG'!G14</f>
        <v>0.44272617069157172</v>
      </c>
      <c r="C14" s="148">
        <f>'STATE Form 1.1'!C72/'CEC Comm NG'!G14</f>
        <v>0.46763545020048619</v>
      </c>
      <c r="D14" s="148">
        <f>'Utility NG Form 1.1'!C72/'CEC Comm NG'!G14</f>
        <v>7.906091154709953E-2</v>
      </c>
      <c r="E14" s="148"/>
      <c r="F14" s="148">
        <f>'Utility NG Form 1.1'!C126/G14</f>
        <v>1.0577467560842513E-2</v>
      </c>
      <c r="G14" s="146">
        <f>'STATE Form 1.1'!C18</f>
        <v>1915.5619134213741</v>
      </c>
      <c r="I14" s="138">
        <f>B14*'IPER 2021 nat gas prices'!C18+C14*'IPER 2021 nat gas prices'!F18+(D14+F14)*'IPER 2021 nat gas prices'!I18</f>
        <v>0.80247236064700977</v>
      </c>
      <c r="J14" s="154">
        <f>I14/About!$B$132</f>
        <v>8.0247236064700972E-6</v>
      </c>
      <c r="K14" s="154">
        <f>J14*About!$C$185</f>
        <v>7.1188133627821133E-6</v>
      </c>
    </row>
    <row r="15" spans="1:11">
      <c r="A15" s="138">
        <f>'STATE Form 1.1'!A19</f>
        <v>2003</v>
      </c>
      <c r="B15" s="148">
        <f>'Utility NG Form 1.1'!C19/'CEC Comm NG'!G15</f>
        <v>0.4463000330368278</v>
      </c>
      <c r="C15" s="148">
        <f>'STATE Form 1.1'!C73/'CEC Comm NG'!G15</f>
        <v>0.46150959806803865</v>
      </c>
      <c r="D15" s="148">
        <f>'Utility NG Form 1.1'!C73/'CEC Comm NG'!G15</f>
        <v>8.05113431754967E-2</v>
      </c>
      <c r="E15" s="148"/>
      <c r="F15" s="148">
        <f>'Utility NG Form 1.1'!C127/G15</f>
        <v>1.167902571963679E-2</v>
      </c>
      <c r="G15" s="146">
        <f>'STATE Form 1.1'!C19</f>
        <v>1968.2883274543301</v>
      </c>
      <c r="I15" s="138">
        <f>B15*'IPER 2021 nat gas prices'!C19+C15*'IPER 2021 nat gas prices'!F19+(D15+F15)*'IPER 2021 nat gas prices'!I19</f>
        <v>1.065938362408458</v>
      </c>
      <c r="J15" s="154">
        <f>I15/About!$B$132</f>
        <v>1.065938362408458E-5</v>
      </c>
      <c r="K15" s="154">
        <f>J15*About!$C$185</f>
        <v>9.456046875056556E-6</v>
      </c>
    </row>
    <row r="16" spans="1:11">
      <c r="A16" s="138">
        <f>'STATE Form 1.1'!A20</f>
        <v>2004</v>
      </c>
      <c r="B16" s="148">
        <f>'Utility NG Form 1.1'!C20/'CEC Comm NG'!G16</f>
        <v>0.45242976146051783</v>
      </c>
      <c r="C16" s="148">
        <f>'STATE Form 1.1'!C74/'CEC Comm NG'!G16</f>
        <v>0.4592396250063705</v>
      </c>
      <c r="D16" s="148">
        <f>'Utility NG Form 1.1'!C74/'CEC Comm NG'!G16</f>
        <v>7.6073310459866969E-2</v>
      </c>
      <c r="E16" s="148"/>
      <c r="F16" s="148">
        <f>'Utility NG Form 1.1'!C128/G16</f>
        <v>1.2257303073244599E-2</v>
      </c>
      <c r="G16" s="146">
        <f>'STATE Form 1.1'!C20</f>
        <v>2102.4201527863902</v>
      </c>
      <c r="I16" s="138">
        <f>B16*'IPER 2021 nat gas prices'!C20+C16*'IPER 2021 nat gas prices'!F20+(D16+F16)*'IPER 2021 nat gas prices'!I20</f>
        <v>1.0953711949120046</v>
      </c>
      <c r="J16" s="154">
        <f>I16/About!$B$132</f>
        <v>1.0953711949120046E-5</v>
      </c>
      <c r="K16" s="154">
        <f>J16*About!$C$185</f>
        <v>9.7171485049766691E-6</v>
      </c>
    </row>
    <row r="17" spans="1:12">
      <c r="A17" s="138">
        <f>'STATE Form 1.1'!A21</f>
        <v>2005</v>
      </c>
      <c r="B17" s="148">
        <f>'Utility NG Form 1.1'!C21/'CEC Comm NG'!G17</f>
        <v>0.43826554335804596</v>
      </c>
      <c r="C17" s="148">
        <f>'STATE Form 1.1'!C75/'CEC Comm NG'!G17</f>
        <v>0.47125348694590363</v>
      </c>
      <c r="D17" s="148">
        <f>'Utility NG Form 1.1'!C75/'CEC Comm NG'!G17</f>
        <v>7.8142847561507217E-2</v>
      </c>
      <c r="E17" s="148"/>
      <c r="F17" s="148">
        <f>'Utility NG Form 1.1'!C129/G17</f>
        <v>1.2338122134543161E-2</v>
      </c>
      <c r="G17" s="146">
        <f>'STATE Form 1.1'!C21</f>
        <v>2031.9136677867111</v>
      </c>
      <c r="I17" s="138">
        <f>B17*'IPER 2021 nat gas prices'!C21+C17*'IPER 2021 nat gas prices'!F21+(D17+F17)*'IPER 2021 nat gas prices'!I21</f>
        <v>1.3284920251709242</v>
      </c>
      <c r="J17" s="154">
        <f>I17/About!$B$132</f>
        <v>1.3284920251709242E-5</v>
      </c>
      <c r="K17" s="154">
        <f>J17*About!$C$185</f>
        <v>1.1785186935922772E-5</v>
      </c>
    </row>
    <row r="18" spans="1:12">
      <c r="A18" s="138">
        <f>'STATE Form 1.1'!A22</f>
        <v>2006</v>
      </c>
      <c r="B18" s="148">
        <f>'Utility NG Form 1.1'!C22/'CEC Comm NG'!G18</f>
        <v>0.44711854540980267</v>
      </c>
      <c r="C18" s="148">
        <f>'STATE Form 1.1'!C76/'CEC Comm NG'!G18</f>
        <v>0.4619004101188231</v>
      </c>
      <c r="D18" s="148">
        <f>'Utility NG Form 1.1'!C76/'CEC Comm NG'!G18</f>
        <v>7.4869523099963031E-2</v>
      </c>
      <c r="E18" s="148"/>
      <c r="F18" s="148">
        <f>'Utility NG Form 1.1'!C130/G18</f>
        <v>1.611152137141119E-2</v>
      </c>
      <c r="G18" s="146">
        <f>'STATE Form 1.1'!C22</f>
        <v>2052.471534977306</v>
      </c>
      <c r="I18" s="138">
        <f>B18*'IPER 2021 nat gas prices'!C22+C18*'IPER 2021 nat gas prices'!F22+(D18+F18)*'IPER 2021 nat gas prices'!I22</f>
        <v>1.2758639187884944</v>
      </c>
      <c r="J18" s="154">
        <f>I18/About!$B$132</f>
        <v>1.2758639187884944E-5</v>
      </c>
      <c r="K18" s="154">
        <f>J18*About!$C$185</f>
        <v>1.1318317688649146E-5</v>
      </c>
    </row>
    <row r="19" spans="1:12">
      <c r="A19" s="138">
        <f>'STATE Form 1.1'!A23</f>
        <v>2007</v>
      </c>
      <c r="B19" s="148">
        <f>'Utility NG Form 1.1'!C23/'CEC Comm NG'!G19</f>
        <v>0.43697994376433513</v>
      </c>
      <c r="C19" s="148">
        <f>'STATE Form 1.1'!C77/'CEC Comm NG'!G19</f>
        <v>0.46971882536403525</v>
      </c>
      <c r="D19" s="148">
        <f>'Utility NG Form 1.1'!C77/'CEC Comm NG'!G19</f>
        <v>7.683141367086388E-2</v>
      </c>
      <c r="E19" s="148"/>
      <c r="F19" s="148">
        <f>'Utility NG Form 1.1'!C131/G19</f>
        <v>1.6469817200765732E-2</v>
      </c>
      <c r="G19" s="146">
        <f>'STATE Form 1.1'!C23</f>
        <v>2022.0000983648861</v>
      </c>
      <c r="I19" s="138">
        <f>B19*'IPER 2021 nat gas prices'!C23+C19*'IPER 2021 nat gas prices'!F23+(D19+F19)*'IPER 2021 nat gas prices'!I23</f>
        <v>1.2326957179364328</v>
      </c>
      <c r="J19" s="154">
        <f>I19/About!$B$132</f>
        <v>1.2326957179364329E-5</v>
      </c>
      <c r="K19" s="154">
        <f>J19*About!$C$185</f>
        <v>1.0935368218806787E-5</v>
      </c>
    </row>
    <row r="20" spans="1:12">
      <c r="A20" s="138">
        <f>'STATE Form 1.1'!A24</f>
        <v>2008</v>
      </c>
      <c r="B20" s="148">
        <f>'Utility NG Form 1.1'!C24/'CEC Comm NG'!G20</f>
        <v>0.45865804715477448</v>
      </c>
      <c r="C20" s="148">
        <f>'STATE Form 1.1'!C78/'CEC Comm NG'!G20</f>
        <v>0.44934398562411004</v>
      </c>
      <c r="D20" s="148">
        <f>'Utility NG Form 1.1'!C78/'CEC Comm NG'!G20</f>
        <v>7.6986335722238897E-2</v>
      </c>
      <c r="E20" s="148"/>
      <c r="F20" s="148">
        <f>'Utility NG Form 1.1'!C132/G20</f>
        <v>1.5011631498876535E-2</v>
      </c>
      <c r="G20" s="146">
        <f>'STATE Form 1.1'!C24</f>
        <v>2016.223886275463</v>
      </c>
      <c r="I20" s="138">
        <f>B20*'IPER 2021 nat gas prices'!C24+C20*'IPER 2021 nat gas prices'!F24+(D20+F20)*'IPER 2021 nat gas prices'!I24</f>
        <v>1.3816297168666929</v>
      </c>
      <c r="J20" s="154">
        <f>I20/About!$B$132</f>
        <v>1.3816297168666928E-5</v>
      </c>
      <c r="K20" s="154">
        <f>J20*About!$C$185</f>
        <v>1.2256576765980271E-5</v>
      </c>
    </row>
    <row r="21" spans="1:12">
      <c r="A21" s="138">
        <f>'STATE Form 1.1'!A25</f>
        <v>2009</v>
      </c>
      <c r="B21" s="148">
        <f>'Utility NG Form 1.1'!C25/'CEC Comm NG'!G21</f>
        <v>0.45405883475905423</v>
      </c>
      <c r="C21" s="148">
        <f>'STATE Form 1.1'!C79/'CEC Comm NG'!G21</f>
        <v>0.45345753269891431</v>
      </c>
      <c r="D21" s="148">
        <f>'Utility NG Form 1.1'!C79/'CEC Comm NG'!G21</f>
        <v>7.584010832148351E-2</v>
      </c>
      <c r="E21" s="148"/>
      <c r="F21" s="148">
        <f>'Utility NG Form 1.1'!C133/G21</f>
        <v>1.6643524220548021E-2</v>
      </c>
      <c r="G21" s="146">
        <f>'STATE Form 1.1'!C25</f>
        <v>1976.8491675206419</v>
      </c>
      <c r="I21" s="138">
        <f>B21*'IPER 2021 nat gas prices'!C25+C21*'IPER 2021 nat gas prices'!F25+(D21+F21)*'IPER 2021 nat gas prices'!I25</f>
        <v>0.90664531678440918</v>
      </c>
      <c r="J21" s="154">
        <f>I21/About!$B$132</f>
        <v>9.0664531678440916E-6</v>
      </c>
      <c r="K21" s="154">
        <f>J21*About!$C$185</f>
        <v>8.0429421783758539E-6</v>
      </c>
    </row>
    <row r="22" spans="1:12">
      <c r="A22" s="138">
        <f>'STATE Form 1.1'!A26</f>
        <v>2010</v>
      </c>
      <c r="B22" s="148">
        <f>'Utility NG Form 1.1'!C26/'CEC Comm NG'!G22</f>
        <v>0.44427352313549384</v>
      </c>
      <c r="C22" s="148">
        <f>'STATE Form 1.1'!C80/'CEC Comm NG'!G22</f>
        <v>0.45908183058840618</v>
      </c>
      <c r="D22" s="148">
        <f>'Utility NG Form 1.1'!C80/'CEC Comm NG'!G22</f>
        <v>8.115840632208482E-2</v>
      </c>
      <c r="E22" s="148"/>
      <c r="F22" s="148">
        <f>'Utility NG Form 1.1'!C134/G22</f>
        <v>1.5486239954015161E-2</v>
      </c>
      <c r="G22" s="146">
        <f>'STATE Form 1.1'!C26</f>
        <v>2014.082636754775</v>
      </c>
      <c r="I22" s="138">
        <f>B22*'IPER 2021 nat gas prices'!C26+C22*'IPER 2021 nat gas prices'!F26+(D22+F22)*'IPER 2021 nat gas prices'!I26</f>
        <v>0.94974283303738405</v>
      </c>
      <c r="J22" s="154">
        <f>I22/About!$B$132</f>
        <v>9.4974283303738405E-6</v>
      </c>
      <c r="K22" s="154">
        <f>J22*About!$C$185</f>
        <v>8.4252645980004127E-6</v>
      </c>
    </row>
    <row r="23" spans="1:12">
      <c r="A23" s="138">
        <f>'STATE Form 1.1'!A27</f>
        <v>2011</v>
      </c>
      <c r="B23" s="148">
        <f>'Utility NG Form 1.1'!C27/'CEC Comm NG'!G23</f>
        <v>0.45095630251128288</v>
      </c>
      <c r="C23" s="148">
        <f>'STATE Form 1.1'!C81/'CEC Comm NG'!G23</f>
        <v>0.45717347056929941</v>
      </c>
      <c r="D23" s="148">
        <f>'Utility NG Form 1.1'!C81/'CEC Comm NG'!G23</f>
        <v>7.6339639201434023E-2</v>
      </c>
      <c r="E23" s="148"/>
      <c r="F23" s="148">
        <f>'Utility NG Form 1.1'!C135/G23</f>
        <v>1.5530587717983707E-2</v>
      </c>
      <c r="G23" s="146">
        <f>'STATE Form 1.1'!C27</f>
        <v>2047.907753237891</v>
      </c>
      <c r="I23" s="138">
        <f>B23*'IPER 2021 nat gas prices'!C27+C23*'IPER 2021 nat gas prices'!F27+(D23+F23)*'IPER 2021 nat gas prices'!I27</f>
        <v>0.93326139841361899</v>
      </c>
      <c r="J23" s="154">
        <f>I23/About!$B$132</f>
        <v>9.3326139841361903E-6</v>
      </c>
      <c r="K23" s="154">
        <f>J23*About!$C$185</f>
        <v>8.2790561267916602E-6</v>
      </c>
    </row>
    <row r="24" spans="1:12">
      <c r="A24" s="138">
        <f>'STATE Form 1.1'!A28</f>
        <v>2012</v>
      </c>
      <c r="B24" s="148">
        <f>'Utility NG Form 1.1'!C28/'CEC Comm NG'!G24</f>
        <v>0.44339603310435494</v>
      </c>
      <c r="C24" s="148">
        <f>'STATE Form 1.1'!C82/'CEC Comm NG'!G24</f>
        <v>0.4657451824004914</v>
      </c>
      <c r="D24" s="148">
        <f>'Utility NG Form 1.1'!C82/'CEC Comm NG'!G24</f>
        <v>7.6312557045134372E-2</v>
      </c>
      <c r="E24" s="148"/>
      <c r="F24" s="148">
        <f>'Utility NG Form 1.1'!C136/G24</f>
        <v>1.4546227450019347E-2</v>
      </c>
      <c r="G24" s="146">
        <f>'STATE Form 1.1'!C28</f>
        <v>2041.902211556612</v>
      </c>
      <c r="I24" s="138">
        <f>B24*'IPER 2021 nat gas prices'!C28+C24*'IPER 2021 nat gas prices'!F28+(D24+F24)*'IPER 2021 nat gas prices'!I28</f>
        <v>0.79579751493523232</v>
      </c>
      <c r="J24" s="154">
        <f>I24/About!$B$132</f>
        <v>7.9579751493523228E-6</v>
      </c>
      <c r="K24" s="154">
        <f>J24*About!$C$185</f>
        <v>7.0596001322987623E-6</v>
      </c>
    </row>
    <row r="25" spans="1:12">
      <c r="A25" s="138">
        <f>'STATE Form 1.1'!A29</f>
        <v>2013</v>
      </c>
      <c r="B25" s="148">
        <f>'Utility NG Form 1.1'!C29/'CEC Comm NG'!G25</f>
        <v>0.44595100463156501</v>
      </c>
      <c r="C25" s="148">
        <f>'STATE Form 1.1'!C83/'CEC Comm NG'!G25</f>
        <v>0.46016346760461713</v>
      </c>
      <c r="D25" s="148">
        <f>'Utility NG Form 1.1'!C83/'CEC Comm NG'!G25</f>
        <v>7.8862145345853729E-2</v>
      </c>
      <c r="E25" s="148"/>
      <c r="F25" s="148">
        <f>'Utility NG Form 1.1'!C137/G25</f>
        <v>1.5023382417964217E-2</v>
      </c>
      <c r="G25" s="146">
        <f>'STATE Form 1.1'!C29</f>
        <v>2057.7914573374228</v>
      </c>
      <c r="I25" s="138">
        <f>B25*'IPER 2021 nat gas prices'!C29+C25*'IPER 2021 nat gas prices'!F29+(D25+F25)*'IPER 2021 nat gas prices'!I29</f>
        <v>0.85518868834309436</v>
      </c>
      <c r="J25" s="154">
        <f>I25/About!$B$132</f>
        <v>8.5518868834309443E-6</v>
      </c>
      <c r="K25" s="154">
        <f>J25*About!$C$185</f>
        <v>7.5864652302397201E-6</v>
      </c>
    </row>
    <row r="26" spans="1:12">
      <c r="A26" s="138">
        <f>'STATE Form 1.1'!A30</f>
        <v>2014</v>
      </c>
      <c r="B26" s="148">
        <f>'Utility NG Form 1.1'!C30/'CEC Comm NG'!G26</f>
        <v>0.44355419344445662</v>
      </c>
      <c r="C26" s="148">
        <f>'STATE Form 1.1'!C84/'CEC Comm NG'!G26</f>
        <v>0.45999318807201295</v>
      </c>
      <c r="D26" s="148">
        <f>'Utility NG Form 1.1'!C84/'CEC Comm NG'!G26</f>
        <v>8.1185669423348095E-2</v>
      </c>
      <c r="E26" s="148"/>
      <c r="F26" s="148">
        <f>'Utility NG Form 1.1'!C138/G26</f>
        <v>1.526694906018234E-2</v>
      </c>
      <c r="G26" s="146">
        <f>'STATE Form 1.1'!C30</f>
        <v>1886.008061368098</v>
      </c>
      <c r="I26" s="138">
        <f>B26*'IPER 2021 nat gas prices'!C30+C26*'IPER 2021 nat gas prices'!F30+(D26+F26)*'IPER 2021 nat gas prices'!I30</f>
        <v>0.97773083725776</v>
      </c>
      <c r="J26" s="154">
        <f>I26/About!$B$132</f>
        <v>9.7773083725776001E-6</v>
      </c>
      <c r="K26" s="154">
        <f>J26*About!$C$185</f>
        <v>8.6735490102896698E-6</v>
      </c>
    </row>
    <row r="27" spans="1:12">
      <c r="A27" s="138">
        <f>'STATE Form 1.1'!A31</f>
        <v>2015</v>
      </c>
      <c r="B27" s="148">
        <f>'Utility NG Form 1.1'!C31/'CEC Comm NG'!G27</f>
        <v>0.44181101182635862</v>
      </c>
      <c r="C27" s="148">
        <f>'STATE Form 1.1'!C85/'CEC Comm NG'!G27</f>
        <v>0.46135812023788475</v>
      </c>
      <c r="D27" s="148">
        <f>'Utility NG Form 1.1'!C85/'CEC Comm NG'!G27</f>
        <v>8.0616289214005474E-2</v>
      </c>
      <c r="E27" s="148"/>
      <c r="F27" s="148">
        <f>'Utility NG Form 1.1'!C139/G27</f>
        <v>1.6214578721751097E-2</v>
      </c>
      <c r="G27" s="146">
        <f>'STATE Form 1.1'!C31</f>
        <v>1900.283943773805</v>
      </c>
      <c r="I27" s="138">
        <f>B27*'IPER 2021 nat gas prices'!C31+C27*'IPER 2021 nat gas prices'!F31+(D27+F27)*'IPER 2021 nat gas prices'!I31</f>
        <v>0.8663852279552553</v>
      </c>
      <c r="J27" s="154">
        <f>I27/About!$B$132</f>
        <v>8.6638522795525522E-6</v>
      </c>
      <c r="K27" s="154">
        <f>J27*About!$C$185</f>
        <v>7.685790864014453E-6</v>
      </c>
    </row>
    <row r="28" spans="1:12">
      <c r="A28" s="138">
        <f>'STATE Form 1.1'!A32</f>
        <v>2016</v>
      </c>
      <c r="B28" s="148">
        <f>'Utility NG Form 1.1'!C32/'CEC Comm NG'!G28</f>
        <v>0.43947004652970401</v>
      </c>
      <c r="C28" s="148">
        <f>'STATE Form 1.1'!C86/'CEC Comm NG'!G28</f>
        <v>0.46472664679799514</v>
      </c>
      <c r="D28" s="148">
        <f>'Utility NG Form 1.1'!C86/'CEC Comm NG'!G28</f>
        <v>8.0036497959541264E-2</v>
      </c>
      <c r="E28" s="148"/>
      <c r="F28" s="148">
        <f>'Utility NG Form 1.1'!C140/G28</f>
        <v>1.5766808712759588E-2</v>
      </c>
      <c r="G28" s="146">
        <f>'STATE Form 1.1'!C32</f>
        <v>1980.8027717572149</v>
      </c>
      <c r="I28" s="138">
        <f>B28*'IPER 2021 nat gas prices'!C32+C28*'IPER 2021 nat gas prices'!F32+(D28+F28)*'IPER 2021 nat gas prices'!I32</f>
        <v>0.83568524564334623</v>
      </c>
      <c r="J28" s="154">
        <f>I28/About!$B$132</f>
        <v>8.3568524564334631E-6</v>
      </c>
      <c r="K28" s="154">
        <f>J28*About!$C$185</f>
        <v>7.4134482201594252E-6</v>
      </c>
    </row>
    <row r="29" spans="1:12">
      <c r="A29" s="138">
        <f>'STATE Form 1.1'!A33</f>
        <v>2017</v>
      </c>
      <c r="B29" s="148">
        <f>'Utility NG Form 1.1'!C33/'CEC Comm NG'!G29</f>
        <v>0.44686208228631202</v>
      </c>
      <c r="C29" s="148">
        <f>'STATE Form 1.1'!C87/'CEC Comm NG'!G29</f>
        <v>0.45639512774560476</v>
      </c>
      <c r="D29" s="148">
        <f>'Utility NG Form 1.1'!C87/'CEC Comm NG'!G29</f>
        <v>8.0648171816994685E-2</v>
      </c>
      <c r="E29" s="148"/>
      <c r="F29" s="148">
        <f>'Utility NG Form 1.1'!C141/G29</f>
        <v>1.6094618151088549E-2</v>
      </c>
      <c r="G29" s="146">
        <f>'STATE Form 1.1'!C33</f>
        <v>2024.1423992899529</v>
      </c>
      <c r="I29" s="138">
        <f>B29*'IPER 2021 nat gas prices'!C33+C29*'IPER 2021 nat gas prices'!F33+(D29+F29)*'IPER 2021 nat gas prices'!I33</f>
        <v>0.88278999447936979</v>
      </c>
      <c r="J29" s="154">
        <f>I29/About!$B$132</f>
        <v>8.8278999447936983E-6</v>
      </c>
      <c r="K29" s="154">
        <f>J29*About!$C$185</f>
        <v>7.8313192047675581E-6</v>
      </c>
    </row>
    <row r="30" spans="1:12">
      <c r="A30" s="138">
        <f>'STATE Form 1.1'!A34</f>
        <v>2018</v>
      </c>
      <c r="B30" s="148">
        <f>'Utility NG Form 1.1'!C34/'CEC Comm NG'!G30</f>
        <v>0.44562784470935018</v>
      </c>
      <c r="C30" s="148">
        <f>'STATE Form 1.1'!C88/'CEC Comm NG'!G30</f>
        <v>0.45772066282932361</v>
      </c>
      <c r="D30" s="148">
        <f>'Utility NG Form 1.1'!C88/'CEC Comm NG'!G30</f>
        <v>8.135197927938527E-2</v>
      </c>
      <c r="E30" s="148"/>
      <c r="F30" s="148">
        <f>'Utility NG Form 1.1'!C142/G30</f>
        <v>1.5299513181940984E-2</v>
      </c>
      <c r="G30" s="146">
        <f>'STATE Form 1.1'!C34</f>
        <v>2049.0153463572815</v>
      </c>
      <c r="I30" s="138">
        <f>B30*'IPER 2021 nat gas prices'!C34+C30*'IPER 2021 nat gas prices'!F34+(D30+F30)*'IPER 2021 nat gas prices'!I34</f>
        <v>0.86097261917230083</v>
      </c>
      <c r="J30" s="154">
        <f>I30/About!$B$132</f>
        <v>8.6097261917230084E-6</v>
      </c>
      <c r="K30" s="154">
        <f>J30*About!$C$185</f>
        <v>7.6377750648154116E-6</v>
      </c>
    </row>
    <row r="31" spans="1:12">
      <c r="A31" s="138">
        <f>'STATE Form 1.1'!A35</f>
        <v>2019</v>
      </c>
      <c r="B31" s="148">
        <f>'Utility NG Form 1.1'!C35/'CEC Comm NG'!G31</f>
        <v>0.44245280495385764</v>
      </c>
      <c r="C31" s="148">
        <f>'STATE Form 1.1'!C89/'CEC Comm NG'!G31</f>
        <v>0.45859136087328739</v>
      </c>
      <c r="D31" s="148">
        <f>'Utility NG Form 1.1'!C89/'CEC Comm NG'!G31</f>
        <v>8.2763322352132643E-2</v>
      </c>
      <c r="E31" s="148"/>
      <c r="F31" s="148">
        <f>'Utility NG Form 1.1'!C143/G31</f>
        <v>1.6192511820722469E-2</v>
      </c>
      <c r="G31" s="146">
        <f>'STATE Form 1.1'!C35</f>
        <v>2125.7259737769164</v>
      </c>
      <c r="I31" s="138">
        <f>B31*'IPER 2021 nat gas prices'!C35+C31*'IPER 2021 nat gas prices'!F35+(D31+F31)*'IPER 2021 nat gas prices'!I35</f>
        <v>0.9407256367392135</v>
      </c>
      <c r="J31" s="154">
        <f>I31/About!$B$132</f>
        <v>9.4072563673921351E-6</v>
      </c>
      <c r="K31" s="154">
        <f>J31*About!$C$185</f>
        <v>8.3452721388825811E-6</v>
      </c>
    </row>
    <row r="32" spans="1:12">
      <c r="A32" s="138">
        <f>'STATE Form 1.1'!A36</f>
        <v>2020</v>
      </c>
      <c r="B32" s="148">
        <f>'Utility NG Form 1.1'!C36/'CEC Comm NG'!G32</f>
        <v>0.4457897872421519</v>
      </c>
      <c r="C32" s="148">
        <f>'STATE Form 1.1'!C90/'CEC Comm NG'!G32</f>
        <v>0.45546167368177093</v>
      </c>
      <c r="D32" s="148">
        <f>'Utility NG Form 1.1'!C90/'CEC Comm NG'!G32</f>
        <v>8.1431212562172922E-2</v>
      </c>
      <c r="E32" s="148"/>
      <c r="F32" s="148">
        <f>'Utility NG Form 1.1'!C144/G32</f>
        <v>1.731732651390424E-2</v>
      </c>
      <c r="G32" s="146">
        <f>'STATE Form 1.1'!C36</f>
        <v>1815.4180731022536</v>
      </c>
      <c r="I32" s="138">
        <f>B32*'IPER 2021 nat gas prices'!C36+C32*'IPER 2021 nat gas prices'!F36+(D32+F32)*'IPER 2021 nat gas prices'!I36</f>
        <v>0.94756722418410677</v>
      </c>
      <c r="J32" s="154">
        <f>I32/About!$B$132</f>
        <v>9.4756722418410675E-6</v>
      </c>
      <c r="K32" s="154">
        <f>J32*About!$C$185</f>
        <v>8.4059645521216863E-6</v>
      </c>
      <c r="L32" s="154"/>
    </row>
    <row r="33" spans="1:11">
      <c r="A33" s="138">
        <f>'STATE Form 1.1'!A37</f>
        <v>2021</v>
      </c>
      <c r="B33" s="148">
        <f>'Utility NG Form 1.1'!C37/'CEC Comm NG'!G33</f>
        <v>0.45117294281825004</v>
      </c>
      <c r="C33" s="148">
        <f>'STATE Form 1.1'!C91/'CEC Comm NG'!G33</f>
        <v>0.45049524018076431</v>
      </c>
      <c r="D33" s="148">
        <f>'Utility NG Form 1.1'!C91/'CEC Comm NG'!G33</f>
        <v>8.1014490487081439E-2</v>
      </c>
      <c r="E33" s="148"/>
      <c r="F33" s="148">
        <f>'Utility NG Form 1.1'!C145/G33</f>
        <v>1.7317326513904219E-2</v>
      </c>
      <c r="G33" s="146">
        <f>'STATE Form 1.1'!C37</f>
        <v>1839.6159937865336</v>
      </c>
      <c r="I33" s="138">
        <f>B33*'IPER 2021 nat gas prices'!C37+C33*'IPER 2021 nat gas prices'!F37+(D33+F33)*'IPER 2021 nat gas prices'!I37</f>
        <v>1.0012944188086461</v>
      </c>
      <c r="J33" s="154">
        <f>I33/About!$B$132</f>
        <v>1.0012944188086462E-5</v>
      </c>
      <c r="K33" s="154">
        <f>J33*About!$C$185</f>
        <v>8.8825839222014094E-6</v>
      </c>
    </row>
    <row r="34" spans="1:11">
      <c r="A34" s="138">
        <f>'STATE Form 1.1'!A38</f>
        <v>2022</v>
      </c>
      <c r="B34" s="148">
        <f>'Utility NG Form 1.1'!C38/'CEC Comm NG'!G34</f>
        <v>0.4502879098909241</v>
      </c>
      <c r="C34" s="148">
        <f>'STATE Form 1.1'!C92/'CEC Comm NG'!G34</f>
        <v>0.45137153301333538</v>
      </c>
      <c r="D34" s="148">
        <f>'Utility NG Form 1.1'!C92/'CEC Comm NG'!G34</f>
        <v>8.1023230581836359E-2</v>
      </c>
      <c r="E34" s="148"/>
      <c r="F34" s="148">
        <f>'Utility NG Form 1.1'!C146/G34</f>
        <v>1.7317326513904212E-2</v>
      </c>
      <c r="G34" s="146">
        <f>'STATE Form 1.1'!C38</f>
        <v>1911.6355817264989</v>
      </c>
      <c r="I34" s="138">
        <f>B34*'IPER 2021 nat gas prices'!C38+C34*'IPER 2021 nat gas prices'!F38+(D34+F34)*'IPER 2021 nat gas prices'!I38</f>
        <v>1.0286202478363131</v>
      </c>
      <c r="J34" s="154">
        <f>I34/About!$B$132</f>
        <v>1.0286202478363131E-5</v>
      </c>
      <c r="K34" s="154">
        <f>J34*About!$C$185</f>
        <v>9.1249941114749858E-6</v>
      </c>
    </row>
    <row r="35" spans="1:11">
      <c r="A35" s="138">
        <f>'STATE Form 1.1'!A39</f>
        <v>2023</v>
      </c>
      <c r="B35" s="148">
        <f>'Utility NG Form 1.1'!C39/'CEC Comm NG'!G35</f>
        <v>0.44920947684624468</v>
      </c>
      <c r="C35" s="148">
        <f>'STATE Form 1.1'!C93/'CEC Comm NG'!G35</f>
        <v>0.45241170860229335</v>
      </c>
      <c r="D35" s="148">
        <f>'Utility NG Form 1.1'!C93/'CEC Comm NG'!G35</f>
        <v>8.1061488037557694E-2</v>
      </c>
      <c r="E35" s="148"/>
      <c r="F35" s="148">
        <f>'Utility NG Form 1.1'!C147/G35</f>
        <v>1.7317326513904205E-2</v>
      </c>
      <c r="G35" s="146">
        <f>'STATE Form 1.1'!C39</f>
        <v>1951.4430743840935</v>
      </c>
      <c r="I35" s="138">
        <f>B35*'IPER 2021 nat gas prices'!C39+C35*'IPER 2021 nat gas prices'!F39+(D35+F35)*'IPER 2021 nat gas prices'!I39</f>
        <v>1.0606908938222108</v>
      </c>
      <c r="J35" s="154">
        <f>I35/About!$B$132</f>
        <v>1.0606908938222109E-5</v>
      </c>
      <c r="K35" s="154">
        <f>J35*About!$C$185</f>
        <v>9.4094960512220298E-6</v>
      </c>
    </row>
    <row r="36" spans="1:11">
      <c r="A36" s="138">
        <f>'STATE Form 1.1'!A40</f>
        <v>2024</v>
      </c>
      <c r="B36" s="148">
        <f>'Utility NG Form 1.1'!C40/'CEC Comm NG'!G36</f>
        <v>0.44816523683397025</v>
      </c>
      <c r="C36" s="148">
        <f>'STATE Form 1.1'!C94/'CEC Comm NG'!G36</f>
        <v>0.45342880606012009</v>
      </c>
      <c r="D36" s="148">
        <f>'Utility NG Form 1.1'!C94/'CEC Comm NG'!G36</f>
        <v>8.1088630592005481E-2</v>
      </c>
      <c r="E36" s="148"/>
      <c r="F36" s="148">
        <f>'Utility NG Form 1.1'!C148/G36</f>
        <v>1.7317326513904236E-2</v>
      </c>
      <c r="G36" s="146">
        <f>'STATE Form 1.1'!C40</f>
        <v>1975.5177645261199</v>
      </c>
      <c r="I36" s="138">
        <f>B36*'IPER 2021 nat gas prices'!C40+C36*'IPER 2021 nat gas prices'!F40+(D36+F36)*'IPER 2021 nat gas prices'!I40</f>
        <v>1.0931355927940767</v>
      </c>
      <c r="J36" s="154">
        <f>I36/About!$B$132</f>
        <v>1.0931355927940767E-5</v>
      </c>
      <c r="K36" s="154">
        <f>J36*About!$C$185</f>
        <v>9.6973162527877741E-6</v>
      </c>
    </row>
    <row r="37" spans="1:11">
      <c r="A37" s="138">
        <f>'STATE Form 1.1'!A41</f>
        <v>2025</v>
      </c>
      <c r="B37" s="148">
        <f>'Utility NG Form 1.1'!C41/'CEC Comm NG'!G37</f>
        <v>0.44719115133462467</v>
      </c>
      <c r="C37" s="148">
        <f>'STATE Form 1.1'!C95/'CEC Comm NG'!G37</f>
        <v>0.45436345680090601</v>
      </c>
      <c r="D37" s="148">
        <f>'Utility NG Form 1.1'!C95/'CEC Comm NG'!G37</f>
        <v>8.1128065350565035E-2</v>
      </c>
      <c r="E37" s="148"/>
      <c r="F37" s="148">
        <f>'Utility NG Form 1.1'!C149/G37</f>
        <v>1.7317326513904229E-2</v>
      </c>
      <c r="G37" s="146">
        <f>'STATE Form 1.1'!C41</f>
        <v>1990.6100013236571</v>
      </c>
      <c r="I37" s="138">
        <f>B37*'IPER 2021 nat gas prices'!C41+C37*'IPER 2021 nat gas prices'!F41+(D37+F37)*'IPER 2021 nat gas prices'!I41</f>
        <v>1.1287819708861992</v>
      </c>
      <c r="J37" s="154">
        <f>I37/About!$B$132</f>
        <v>1.1287819708861993E-5</v>
      </c>
      <c r="K37" s="154">
        <f>J37*About!$C$185</f>
        <v>1.0013538873205986E-5</v>
      </c>
    </row>
    <row r="38" spans="1:11">
      <c r="A38" s="138">
        <f>'STATE Form 1.1'!A42</f>
        <v>2026</v>
      </c>
      <c r="B38" s="148">
        <f>'Utility NG Form 1.1'!C42/'CEC Comm NG'!G38</f>
        <v>0.4462119396035949</v>
      </c>
      <c r="C38" s="148">
        <f>'STATE Form 1.1'!C96/'CEC Comm NG'!G38</f>
        <v>0.45527459935310532</v>
      </c>
      <c r="D38" s="148">
        <f>'Utility NG Form 1.1'!C96/'CEC Comm NG'!G38</f>
        <v>8.1196134529395572E-2</v>
      </c>
      <c r="E38" s="148"/>
      <c r="F38" s="148">
        <f>'Utility NG Form 1.1'!C150/G38</f>
        <v>1.7317326513904205E-2</v>
      </c>
      <c r="G38" s="146">
        <f>'STATE Form 1.1'!C42</f>
        <v>2000.5629127905258</v>
      </c>
      <c r="I38" s="138">
        <f>B38*'IPER 2021 nat gas prices'!C42+C38*'IPER 2021 nat gas prices'!F42+(D38+F38)*'IPER 2021 nat gas prices'!I42</f>
        <v>1.16548482931915</v>
      </c>
      <c r="J38" s="154">
        <f>I38/About!$B$132</f>
        <v>1.16548482931915E-5</v>
      </c>
      <c r="K38" s="154">
        <f>J38*About!$C$185</f>
        <v>1.0339133637434535E-5</v>
      </c>
    </row>
    <row r="39" spans="1:11">
      <c r="A39" s="138">
        <f>'STATE Form 1.1'!A43</f>
        <v>2027</v>
      </c>
      <c r="B39" s="148">
        <f>'Utility NG Form 1.1'!C43/'CEC Comm NG'!G39</f>
        <v>0.44510222121670839</v>
      </c>
      <c r="C39" s="148">
        <f>'STATE Form 1.1'!C97/'CEC Comm NG'!G39</f>
        <v>0.45630222652921498</v>
      </c>
      <c r="D39" s="148">
        <f>'Utility NG Form 1.1'!C97/'CEC Comm NG'!G39</f>
        <v>8.1278225740172447E-2</v>
      </c>
      <c r="E39" s="148"/>
      <c r="F39" s="148">
        <f>'Utility NG Form 1.1'!C151/G39</f>
        <v>1.7317326513904243E-2</v>
      </c>
      <c r="G39" s="146">
        <f>'STATE Form 1.1'!C43</f>
        <v>2009.8179054835803</v>
      </c>
      <c r="I39" s="138">
        <f>B39*'IPER 2021 nat gas prices'!C43+C39*'IPER 2021 nat gas prices'!F43+(D39+F39)*'IPER 2021 nat gas prices'!I43</f>
        <v>1.2024845731589109</v>
      </c>
      <c r="J39" s="154">
        <f>I39/About!$B$132</f>
        <v>1.2024845731589109E-5</v>
      </c>
      <c r="K39" s="154">
        <f>J39*About!$C$185</f>
        <v>1.0667362102092979E-5</v>
      </c>
    </row>
    <row r="40" spans="1:11">
      <c r="A40" s="138">
        <f>'STATE Form 1.1'!A44</f>
        <v>2028</v>
      </c>
      <c r="B40" s="148">
        <f>'Utility NG Form 1.1'!C44/'CEC Comm NG'!G40</f>
        <v>0.44385046938624478</v>
      </c>
      <c r="C40" s="148">
        <f>'STATE Form 1.1'!C98/'CEC Comm NG'!G40</f>
        <v>0.45750982397609574</v>
      </c>
      <c r="D40" s="148">
        <f>'Utility NG Form 1.1'!C98/'CEC Comm NG'!G40</f>
        <v>8.1322380123755172E-2</v>
      </c>
      <c r="E40" s="148"/>
      <c r="F40" s="148">
        <f>'Utility NG Form 1.1'!C152/G40</f>
        <v>1.7317326513904236E-2</v>
      </c>
      <c r="G40" s="146">
        <f>'STATE Form 1.1'!C44</f>
        <v>2018.2996709072088</v>
      </c>
      <c r="I40" s="138">
        <f>B40*'IPER 2021 nat gas prices'!C44+C40*'IPER 2021 nat gas prices'!F44+(D40+F40)*'IPER 2021 nat gas prices'!I44</f>
        <v>1.2444793557080227</v>
      </c>
      <c r="J40" s="154">
        <f>I40/About!$B$132</f>
        <v>1.2444793557080228E-5</v>
      </c>
      <c r="K40" s="154">
        <f>J40*About!$C$185</f>
        <v>1.1039902059652027E-5</v>
      </c>
    </row>
    <row r="41" spans="1:11">
      <c r="A41" s="138">
        <f>'STATE Form 1.1'!A45</f>
        <v>2029</v>
      </c>
      <c r="B41" s="148">
        <f>'Utility NG Form 1.1'!C45/'CEC Comm NG'!G41</f>
        <v>0.44227797265816243</v>
      </c>
      <c r="C41" s="148">
        <f>'STATE Form 1.1'!C99/'CEC Comm NG'!G41</f>
        <v>0.45910988929047758</v>
      </c>
      <c r="D41" s="148">
        <f>'Utility NG Form 1.1'!C99/'CEC Comm NG'!G41</f>
        <v>8.1294811537455824E-2</v>
      </c>
      <c r="E41" s="148"/>
      <c r="F41" s="148">
        <f>'Utility NG Form 1.1'!C153/G41</f>
        <v>1.7317326513904215E-2</v>
      </c>
      <c r="G41" s="146">
        <f>'STATE Form 1.1'!C45</f>
        <v>2033.687751413896</v>
      </c>
      <c r="I41" s="138">
        <f>B41*'IPER 2021 nat gas prices'!C45+C41*'IPER 2021 nat gas prices'!F45+(D41+F41)*'IPER 2021 nat gas prices'!I45</f>
        <v>1.2828431277873804</v>
      </c>
      <c r="J41" s="154">
        <f>I41/About!$B$132</f>
        <v>1.2828431277873804E-5</v>
      </c>
      <c r="K41" s="154">
        <f>J41*About!$C$185</f>
        <v>1.1380230956593801E-5</v>
      </c>
    </row>
    <row r="42" spans="1:11">
      <c r="A42" s="138">
        <f>'STATE Form 1.1'!A46</f>
        <v>2030</v>
      </c>
      <c r="B42" s="148">
        <f>'Utility NG Form 1.1'!C46/'CEC Comm NG'!G42</f>
        <v>0.44057111280214883</v>
      </c>
      <c r="C42" s="148">
        <f>'STATE Form 1.1'!C100/'CEC Comm NG'!G42</f>
        <v>0.46089930811222246</v>
      </c>
      <c r="D42" s="148">
        <f>'Utility NG Form 1.1'!C100/'CEC Comm NG'!G42</f>
        <v>8.12122525717245E-2</v>
      </c>
      <c r="E42" s="148"/>
      <c r="F42" s="148">
        <f>'Utility NG Form 1.1'!C154/G42</f>
        <v>1.7317326513904205E-2</v>
      </c>
      <c r="G42" s="146">
        <f>'STATE Form 1.1'!C46</f>
        <v>2045.1574629733993</v>
      </c>
      <c r="I42" s="138">
        <f>B42*'IPER 2021 nat gas prices'!C46+C42*'IPER 2021 nat gas prices'!F46+(D42+F42)*'IPER 2021 nat gas prices'!I46</f>
        <v>1.3216657640059879</v>
      </c>
      <c r="J42" s="154">
        <f>I42/About!$B$132</f>
        <v>1.321665764005988E-5</v>
      </c>
      <c r="K42" s="154">
        <f>J42*About!$C$185</f>
        <v>1.1724630483661154E-5</v>
      </c>
    </row>
    <row r="43" spans="1:11">
      <c r="A43" s="138">
        <f>'STATE Form 1.1'!A47</f>
        <v>2031</v>
      </c>
      <c r="B43" s="148">
        <f>'Utility NG Form 1.1'!C47/'CEC Comm NG'!G43</f>
        <v>0.43905436159460626</v>
      </c>
      <c r="C43" s="148">
        <f>'STATE Form 1.1'!C101/'CEC Comm NG'!G43</f>
        <v>0.46254646231172042</v>
      </c>
      <c r="D43" s="148">
        <f>'Utility NG Form 1.1'!C101/'CEC Comm NG'!G43</f>
        <v>8.1081849579769202E-2</v>
      </c>
      <c r="E43" s="148"/>
      <c r="F43" s="148">
        <f>'Utility NG Form 1.1'!C155/G43</f>
        <v>1.7317326513904229E-2</v>
      </c>
      <c r="G43" s="146">
        <f>'STATE Form 1.1'!C47</f>
        <v>2059.291093324789</v>
      </c>
      <c r="I43" s="138">
        <f>B43*'IPER 2021 nat gas prices'!C47+C43*'IPER 2021 nat gas prices'!F47+(D43+F43)*'IPER 2021 nat gas prices'!I47</f>
        <v>1.3501428894526022</v>
      </c>
      <c r="J43" s="154">
        <f>I43/About!$B$132</f>
        <v>1.3501428894526023E-5</v>
      </c>
      <c r="K43" s="154">
        <f>J43*About!$C$185</f>
        <v>1.1977253939750696E-5</v>
      </c>
    </row>
    <row r="44" spans="1:11">
      <c r="A44" s="138">
        <f>'STATE Form 1.1'!A48</f>
        <v>2032</v>
      </c>
      <c r="B44" s="148">
        <f>'Utility NG Form 1.1'!C48/'CEC Comm NG'!G44</f>
        <v>0.43787127724919406</v>
      </c>
      <c r="C44" s="148">
        <f>'STATE Form 1.1'!C102/'CEC Comm NG'!G44</f>
        <v>0.4639131233049445</v>
      </c>
      <c r="D44" s="148">
        <f>'Utility NG Form 1.1'!C102/'CEC Comm NG'!G44</f>
        <v>8.0898272931957241E-2</v>
      </c>
      <c r="E44" s="148"/>
      <c r="F44" s="148">
        <f>'Utility NG Form 1.1'!C156/G44</f>
        <v>1.7317326513904215E-2</v>
      </c>
      <c r="G44" s="146">
        <f>'STATE Form 1.1'!C48</f>
        <v>2070.0229868029082</v>
      </c>
      <c r="I44" s="138">
        <f>B44*'IPER 2021 nat gas prices'!C48+C44*'IPER 2021 nat gas prices'!F48+(D44+F44)*'IPER 2021 nat gas prices'!I48</f>
        <v>1.3857953379795107</v>
      </c>
      <c r="J44" s="154">
        <f>I44/About!$B$132</f>
        <v>1.3857953379795108E-5</v>
      </c>
      <c r="K44" s="154">
        <f>J44*About!$C$185</f>
        <v>1.2293530411609021E-5</v>
      </c>
    </row>
    <row r="45" spans="1:11">
      <c r="A45" s="138">
        <f>'STATE Form 1.1'!A49</f>
        <v>2033</v>
      </c>
      <c r="B45" s="148">
        <f>'Utility NG Form 1.1'!C49/'CEC Comm NG'!G45</f>
        <v>0.43723473076036523</v>
      </c>
      <c r="C45" s="148">
        <f>'STATE Form 1.1'!C103/'CEC Comm NG'!G45</f>
        <v>0.46476725270930597</v>
      </c>
      <c r="D45" s="148">
        <f>'Utility NG Form 1.1'!C103/'CEC Comm NG'!G45</f>
        <v>8.0680690016424528E-2</v>
      </c>
      <c r="E45" s="148"/>
      <c r="F45" s="148">
        <f>'Utility NG Form 1.1'!C157/G45</f>
        <v>1.7317326513904201E-2</v>
      </c>
      <c r="G45" s="146">
        <f>'STATE Form 1.1'!C49</f>
        <v>2084.5769339079748</v>
      </c>
      <c r="I45" s="138">
        <f>B45*'IPER 2021 nat gas prices'!C49+C45*'IPER 2021 nat gas prices'!F49+(D45+F45)*'IPER 2021 nat gas prices'!I49</f>
        <v>1.421651020988971</v>
      </c>
      <c r="J45" s="154">
        <f>I45/About!$B$132</f>
        <v>1.421651020988971E-5</v>
      </c>
      <c r="K45" s="154">
        <f>J45*About!$C$185</f>
        <v>1.2611609797089194E-5</v>
      </c>
    </row>
    <row r="46" spans="1:11">
      <c r="A46" s="138">
        <f>'STATE Form 1.1'!A50</f>
        <v>2034</v>
      </c>
      <c r="B46" s="148">
        <f>'Utility NG Form 1.1'!C50/'CEC Comm NG'!G46</f>
        <v>0.43708415363192182</v>
      </c>
      <c r="C46" s="148">
        <f>'STATE Form 1.1'!C104/'CEC Comm NG'!G46</f>
        <v>0.46514235637932128</v>
      </c>
      <c r="D46" s="148">
        <f>'Utility NG Form 1.1'!C104/'CEC Comm NG'!G46</f>
        <v>8.0456163474852682E-2</v>
      </c>
      <c r="E46" s="148"/>
      <c r="F46" s="148">
        <f>'Utility NG Form 1.1'!C158/G46</f>
        <v>1.7317326513904201E-2</v>
      </c>
      <c r="G46" s="146">
        <f>'STATE Form 1.1'!C50</f>
        <v>2089.6005072187022</v>
      </c>
      <c r="I46" s="138">
        <f>B46*'IPER 2021 nat gas prices'!C50+C46*'IPER 2021 nat gas prices'!F50+(D46+F46)*'IPER 2021 nat gas prices'!I50</f>
        <v>1.4577215635868581</v>
      </c>
      <c r="J46" s="154">
        <f>I46/About!$B$132</f>
        <v>1.4577215635868581E-5</v>
      </c>
      <c r="K46" s="154">
        <f>J46*About!$C$185</f>
        <v>1.2931595223679597E-5</v>
      </c>
    </row>
    <row r="47" spans="1:11">
      <c r="A47" s="138">
        <f>'STATE Form 1.1'!A51</f>
        <v>2035</v>
      </c>
      <c r="B47" s="148">
        <f>'Utility NG Form 1.1'!C51/'CEC Comm NG'!G47</f>
        <v>0.43723883227961641</v>
      </c>
      <c r="C47" s="148">
        <f>'STATE Form 1.1'!C105/'CEC Comm NG'!G47</f>
        <v>0.46519788299615328</v>
      </c>
      <c r="D47" s="148">
        <f>'Utility NG Form 1.1'!C105/'CEC Comm NG'!G47</f>
        <v>8.0245958210325971E-2</v>
      </c>
      <c r="E47" s="148"/>
      <c r="F47" s="148">
        <f>'Utility NG Form 1.1'!C159/G47</f>
        <v>1.7317326513904215E-2</v>
      </c>
      <c r="G47" s="146">
        <f>'STATE Form 1.1'!C51</f>
        <v>2097.7281801091372</v>
      </c>
      <c r="I47" s="138">
        <f>B47*'IPER 2021 nat gas prices'!C51+C47*'IPER 2021 nat gas prices'!F51+(D47+F47)*'IPER 2021 nat gas prices'!I51</f>
        <v>1.4939483465900618</v>
      </c>
      <c r="J47" s="154">
        <f>I47/About!$B$132</f>
        <v>1.4939483465900618E-5</v>
      </c>
      <c r="K47" s="154">
        <f>J47*About!$C$185</f>
        <v>1.3252966674686188E-5</v>
      </c>
    </row>
    <row r="48" spans="1:11">
      <c r="B48" s="148"/>
      <c r="C48" s="148"/>
      <c r="D48" s="148"/>
      <c r="E48" s="148"/>
      <c r="F48" s="148"/>
      <c r="G48" s="146"/>
    </row>
    <row r="49" spans="1:17">
      <c r="B49" s="138">
        <v>2020</v>
      </c>
    </row>
    <row r="50" spans="1:17">
      <c r="B50" s="138">
        <v>8.4059645521216863E-6</v>
      </c>
      <c r="C50" s="138">
        <v>8.8825839222014094E-6</v>
      </c>
      <c r="D50" s="138">
        <v>9.1249941114749858E-6</v>
      </c>
      <c r="E50" s="138">
        <v>9.4094960512220298E-6</v>
      </c>
      <c r="F50" s="138">
        <v>9.6973162527877741E-6</v>
      </c>
      <c r="G50" s="138">
        <v>1.0013538873205986E-5</v>
      </c>
      <c r="H50" s="138">
        <v>1.0339133637434535E-5</v>
      </c>
      <c r="I50" s="138">
        <v>1.0667362102092979E-5</v>
      </c>
      <c r="J50" s="138">
        <v>1.1039902059652027E-5</v>
      </c>
      <c r="K50" s="138">
        <v>1.1380230956593801E-5</v>
      </c>
      <c r="L50" s="138">
        <v>1.1724630483661154E-5</v>
      </c>
      <c r="M50" s="138">
        <v>1.1977253939750696E-5</v>
      </c>
      <c r="N50" s="138">
        <v>1.2293530411609021E-5</v>
      </c>
      <c r="O50" s="138">
        <v>1.2611609797089194E-5</v>
      </c>
      <c r="P50" s="138">
        <v>1.2931595223679597E-5</v>
      </c>
      <c r="Q50" s="138">
        <v>1.3252966674686188E-5</v>
      </c>
    </row>
    <row r="51" spans="1:17">
      <c r="A51" s="180" t="s">
        <v>1275</v>
      </c>
      <c r="D51" s="138">
        <f>(D50-C50)/$C$50</f>
        <v>2.7290503686397915E-2</v>
      </c>
      <c r="E51" s="180">
        <f t="shared" ref="E51:Q51" si="0">(E50-D50)/$C$50</f>
        <v>3.2029186804072962E-2</v>
      </c>
      <c r="F51" s="180">
        <f t="shared" si="0"/>
        <v>3.2402756234743514E-2</v>
      </c>
      <c r="G51" s="180">
        <f t="shared" si="0"/>
        <v>3.5600296398870551E-2</v>
      </c>
      <c r="H51" s="180">
        <f t="shared" si="0"/>
        <v>3.6655410979540212E-2</v>
      </c>
      <c r="I51" s="180">
        <f t="shared" si="0"/>
        <v>3.6951912589090148E-2</v>
      </c>
      <c r="J51" s="180">
        <f t="shared" si="0"/>
        <v>4.1940493984853867E-2</v>
      </c>
      <c r="K51" s="180">
        <f t="shared" si="0"/>
        <v>3.8314177487380155E-2</v>
      </c>
      <c r="L51" s="180">
        <f t="shared" si="0"/>
        <v>3.8772448432099788E-2</v>
      </c>
      <c r="M51" s="180">
        <f t="shared" si="0"/>
        <v>2.8440311772132749E-2</v>
      </c>
      <c r="N51" s="180">
        <f t="shared" si="0"/>
        <v>3.5606358986129377E-2</v>
      </c>
      <c r="O51" s="180">
        <f t="shared" si="0"/>
        <v>3.5809330738227611E-2</v>
      </c>
      <c r="P51" s="180">
        <f t="shared" si="0"/>
        <v>3.6023912567898317E-2</v>
      </c>
      <c r="Q51" s="180">
        <f t="shared" si="0"/>
        <v>3.6179950994140973E-2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5D6C6-1876-4D19-823C-58BA6AF03F8C}">
  <sheetPr>
    <tabColor theme="0" tint="-0.14999847407452621"/>
  </sheetPr>
  <dimension ref="A1:S51"/>
  <sheetViews>
    <sheetView topLeftCell="A21" workbookViewId="0">
      <selection activeCell="Q51" sqref="D51:Q51"/>
    </sheetView>
  </sheetViews>
  <sheetFormatPr defaultRowHeight="14.5"/>
  <cols>
    <col min="1" max="1" width="10.7265625" style="138" bestFit="1" customWidth="1"/>
    <col min="2" max="6" width="8.7265625" style="138"/>
    <col min="7" max="7" width="9.453125" style="138" bestFit="1" customWidth="1"/>
    <col min="8" max="16384" width="8.7265625" style="138"/>
  </cols>
  <sheetData>
    <row r="1" spans="1:12">
      <c r="B1" s="138" t="s">
        <v>949</v>
      </c>
      <c r="C1" s="138" t="s">
        <v>948</v>
      </c>
      <c r="D1" s="138" t="s">
        <v>947</v>
      </c>
      <c r="E1" s="138" t="s">
        <v>946</v>
      </c>
      <c r="F1" s="138" t="s">
        <v>945</v>
      </c>
      <c r="H1" s="138" t="s">
        <v>944</v>
      </c>
      <c r="I1" s="138" t="s">
        <v>968</v>
      </c>
      <c r="J1" s="138" t="s">
        <v>1186</v>
      </c>
      <c r="K1" s="138" t="s">
        <v>1187</v>
      </c>
      <c r="L1" s="138" t="s">
        <v>970</v>
      </c>
    </row>
    <row r="2" spans="1:12">
      <c r="A2" s="138">
        <f>'STATE Form 1.1'!A6</f>
        <v>1990</v>
      </c>
      <c r="B2" s="148">
        <f>'Utility NG Form 1.1'!B6/'CEC Residential NG'!H2</f>
        <v>0.4050400019130368</v>
      </c>
      <c r="C2" s="148">
        <f>'STATE Form 1.1'!B60/'CEC Residential NG'!H2</f>
        <v>0.51615795749949867</v>
      </c>
      <c r="D2" s="148">
        <f>'Utility NG Form 1.1'!B60/'CEC Residential NG'!H2</f>
        <v>6.4904500235698881E-2</v>
      </c>
      <c r="E2" s="148"/>
      <c r="F2" s="148">
        <f>'Utility NG Form 1.1'!B114/H2</f>
        <v>1.3897540351765806E-2</v>
      </c>
      <c r="G2" s="147"/>
      <c r="H2" s="146">
        <f>'STATE Form 1.1'!B6</f>
        <v>5206.3401269999995</v>
      </c>
      <c r="J2" s="138">
        <f>B2*'IPER 2021 nat gas prices'!B6+C2*'IPER 2021 nat gas prices'!E6+(D2+F2)*'IPER 2021 nat gas prices'!H6</f>
        <v>1.0892220621009883</v>
      </c>
      <c r="K2" s="154">
        <f>J2/About!$B$132</f>
        <v>1.0892220621009883E-5</v>
      </c>
      <c r="L2" s="154">
        <f>K2*About!$C$185</f>
        <v>9.6625989267341355E-6</v>
      </c>
    </row>
    <row r="3" spans="1:12">
      <c r="A3" s="138">
        <f>'STATE Form 1.1'!A7</f>
        <v>1991</v>
      </c>
      <c r="B3" s="148">
        <f>'Utility NG Form 1.1'!B7/'CEC Residential NG'!H3</f>
        <v>0.41163694955568342</v>
      </c>
      <c r="C3" s="148">
        <f>'STATE Form 1.1'!B61/'CEC Residential NG'!H3</f>
        <v>0.51318403500765164</v>
      </c>
      <c r="D3" s="148">
        <f>'Utility NG Form 1.1'!B61/'CEC Residential NG'!H3</f>
        <v>6.3617113037265541E-2</v>
      </c>
      <c r="E3" s="148"/>
      <c r="F3" s="148">
        <f>'Utility NG Form 1.1'!B115/H3</f>
        <v>1.1561902399399353E-2</v>
      </c>
      <c r="G3" s="147"/>
      <c r="H3" s="146">
        <f>'STATE Form 1.1'!B7</f>
        <v>5270.3129550000003</v>
      </c>
      <c r="J3" s="138">
        <f>B3*'IPER 2021 nat gas prices'!B7+C3*'IPER 2021 nat gas prices'!E7+(D3+F3)*'IPER 2021 nat gas prices'!H7</f>
        <v>1.1547634370039921</v>
      </c>
      <c r="K3" s="154">
        <f>J3/About!$B$132</f>
        <v>1.1547634370039922E-5</v>
      </c>
      <c r="L3" s="154">
        <f>K3*About!$C$185</f>
        <v>1.0244023083322443E-5</v>
      </c>
    </row>
    <row r="4" spans="1:12">
      <c r="A4" s="138">
        <f>'STATE Form 1.1'!A8</f>
        <v>1992</v>
      </c>
      <c r="B4" s="148">
        <f>'Utility NG Form 1.1'!B8/'CEC Residential NG'!H4</f>
        <v>0.39363570475664034</v>
      </c>
      <c r="C4" s="148">
        <f>'STATE Form 1.1'!B62/'CEC Residential NG'!H4</f>
        <v>0.52999143527123005</v>
      </c>
      <c r="D4" s="148">
        <f>'Utility NG Form 1.1'!B62/'CEC Residential NG'!H4</f>
        <v>6.2958780186481683E-2</v>
      </c>
      <c r="E4" s="148"/>
      <c r="F4" s="148">
        <f>'Utility NG Form 1.1'!B116/H4</f>
        <v>1.3414079785648002E-2</v>
      </c>
      <c r="G4" s="147"/>
      <c r="H4" s="146">
        <f>'STATE Form 1.1'!B8</f>
        <v>4982.0363429999998</v>
      </c>
      <c r="J4" s="138">
        <f>B4*'IPER 2021 nat gas prices'!B8+C4*'IPER 2021 nat gas prices'!E8+(D4+F4)*'IPER 2021 nat gas prices'!H8</f>
        <v>1.064511506492871</v>
      </c>
      <c r="K4" s="154">
        <f>J4/About!$B$132</f>
        <v>1.0645115064928709E-5</v>
      </c>
      <c r="L4" s="154">
        <f>K4*About!$C$185</f>
        <v>9.443389092113781E-6</v>
      </c>
    </row>
    <row r="5" spans="1:12">
      <c r="A5" s="138">
        <f>'STATE Form 1.1'!A9</f>
        <v>1993</v>
      </c>
      <c r="B5" s="148">
        <f>'Utility NG Form 1.1'!B9/'CEC Residential NG'!H5</f>
        <v>0.41322810267772675</v>
      </c>
      <c r="C5" s="148">
        <f>'STATE Form 1.1'!B63/'CEC Residential NG'!H5</f>
        <v>0.50910950133927924</v>
      </c>
      <c r="D5" s="148">
        <f>'Utility NG Form 1.1'!B63/'CEC Residential NG'!H5</f>
        <v>6.3625143408788318E-2</v>
      </c>
      <c r="E5" s="148"/>
      <c r="F5" s="148">
        <f>'Utility NG Form 1.1'!B117/H5</f>
        <v>1.4037252574205648E-2</v>
      </c>
      <c r="G5" s="147"/>
      <c r="H5" s="146">
        <f>'STATE Form 1.1'!B9</f>
        <v>5140.3145749896303</v>
      </c>
      <c r="J5" s="138">
        <f>B5*'IPER 2021 nat gas prices'!B9+C5*'IPER 2021 nat gas prices'!E9+(D5+F5)*'IPER 2021 nat gas prices'!H9</f>
        <v>1.0975561640723188</v>
      </c>
      <c r="K5" s="154">
        <f>J5/About!$B$132</f>
        <v>1.0975561640723188E-5</v>
      </c>
      <c r="L5" s="154">
        <f>K5*About!$C$185</f>
        <v>9.7365315870845316E-6</v>
      </c>
    </row>
    <row r="6" spans="1:12">
      <c r="A6" s="138">
        <f>'STATE Form 1.1'!A10</f>
        <v>1994</v>
      </c>
      <c r="B6" s="148">
        <f>'Utility NG Form 1.1'!B10/'CEC Residential NG'!H6</f>
        <v>0.41326652626831012</v>
      </c>
      <c r="C6" s="148">
        <f>'STATE Form 1.1'!B64/'CEC Residential NG'!H6</f>
        <v>0.50708716822574784</v>
      </c>
      <c r="D6" s="148">
        <f>'Utility NG Form 1.1'!B64/'CEC Residential NG'!H6</f>
        <v>6.5399400272458996E-2</v>
      </c>
      <c r="E6" s="148"/>
      <c r="F6" s="148">
        <f>'Utility NG Form 1.1'!B118/H6</f>
        <v>1.4246905233483065E-2</v>
      </c>
      <c r="G6" s="147"/>
      <c r="H6" s="146">
        <f>'STATE Form 1.1'!B10</f>
        <v>5257.1796311225198</v>
      </c>
      <c r="J6" s="138">
        <f>B6*'IPER 2021 nat gas prices'!B10+C6*'IPER 2021 nat gas prices'!E10+(D6+F6)*'IPER 2021 nat gas prices'!H10</f>
        <v>1.1011728084067303</v>
      </c>
      <c r="K6" s="154">
        <f>J6/About!$B$132</f>
        <v>1.1011728084067303E-5</v>
      </c>
      <c r="L6" s="154">
        <f>K6*About!$C$185</f>
        <v>9.7686152042641697E-6</v>
      </c>
    </row>
    <row r="7" spans="1:12">
      <c r="A7" s="138">
        <f>'STATE Form 1.1'!A11</f>
        <v>1995</v>
      </c>
      <c r="B7" s="148">
        <f>'Utility NG Form 1.1'!B11/'CEC Residential NG'!H7</f>
        <v>0.40807948086411061</v>
      </c>
      <c r="C7" s="148">
        <f>'STATE Form 1.1'!B65/'CEC Residential NG'!H7</f>
        <v>0.51230845037735318</v>
      </c>
      <c r="D7" s="148">
        <f>'Utility NG Form 1.1'!B65/'CEC Residential NG'!H7</f>
        <v>6.5871860492822162E-2</v>
      </c>
      <c r="E7" s="148"/>
      <c r="F7" s="148">
        <f>'Utility NG Form 1.1'!B119/H7</f>
        <v>1.3740208265714144E-2</v>
      </c>
      <c r="G7" s="147"/>
      <c r="H7" s="146">
        <f>'STATE Form 1.1'!B11</f>
        <v>4800.1247670005396</v>
      </c>
      <c r="J7" s="138">
        <f>B7*'IPER 2021 nat gas prices'!B11+C7*'IPER 2021 nat gas prices'!E11+(D7+F7)*'IPER 2021 nat gas prices'!H11</f>
        <v>1.0883629516825357</v>
      </c>
      <c r="K7" s="154">
        <f>J7/About!$B$132</f>
        <v>1.0883629516825357E-5</v>
      </c>
      <c r="L7" s="154">
        <f>K7*About!$C$185</f>
        <v>9.6549776714399903E-6</v>
      </c>
    </row>
    <row r="8" spans="1:12">
      <c r="A8" s="138">
        <f>'STATE Form 1.1'!A12</f>
        <v>1996</v>
      </c>
      <c r="B8" s="148">
        <f>'Utility NG Form 1.1'!B12/'CEC Residential NG'!H8</f>
        <v>0.40777626053601701</v>
      </c>
      <c r="C8" s="148">
        <f>'STATE Form 1.1'!B66/'CEC Residential NG'!H8</f>
        <v>0.51278437380634445</v>
      </c>
      <c r="D8" s="148">
        <f>'Utility NG Form 1.1'!B66/'CEC Residential NG'!H8</f>
        <v>6.5509719084494891E-2</v>
      </c>
      <c r="E8" s="148"/>
      <c r="F8" s="148">
        <f>'Utility NG Form 1.1'!B120/H8</f>
        <v>1.3929646573143602E-2</v>
      </c>
      <c r="G8" s="147"/>
      <c r="H8" s="146">
        <f>'STATE Form 1.1'!B12</f>
        <v>4839.6378648956706</v>
      </c>
      <c r="J8" s="138">
        <f>B8*'IPER 2021 nat gas prices'!B12+C8*'IPER 2021 nat gas prices'!E12+(D8+F8)*'IPER 2021 nat gas prices'!H12</f>
        <v>1.0801327730763035</v>
      </c>
      <c r="K8" s="154">
        <f>J8/About!$B$132</f>
        <v>1.0801327730763035E-5</v>
      </c>
      <c r="L8" s="154">
        <f>K8*About!$C$185</f>
        <v>9.581966925757871E-6</v>
      </c>
    </row>
    <row r="9" spans="1:12">
      <c r="A9" s="138">
        <f>'STATE Form 1.1'!A13</f>
        <v>1997</v>
      </c>
      <c r="B9" s="148">
        <f>'Utility NG Form 1.1'!B13/'CEC Residential NG'!H9</f>
        <v>0.41193339530541684</v>
      </c>
      <c r="C9" s="148">
        <f>'STATE Form 1.1'!B67/'CEC Residential NG'!H9</f>
        <v>0.50886048892662994</v>
      </c>
      <c r="D9" s="148">
        <f>'Utility NG Form 1.1'!B67/'CEC Residential NG'!H9</f>
        <v>6.4943053952142185E-2</v>
      </c>
      <c r="E9" s="148"/>
      <c r="F9" s="148">
        <f>'Utility NG Form 1.1'!B121/H9</f>
        <v>1.4263061815811164E-2</v>
      </c>
      <c r="G9" s="147"/>
      <c r="H9" s="146">
        <f>'STATE Form 1.1'!B13</f>
        <v>4797.0890039999995</v>
      </c>
      <c r="J9" s="138">
        <f>B9*'IPER 2021 nat gas prices'!B13+C9*'IPER 2021 nat gas prices'!E13+(D9+F9)*'IPER 2021 nat gas prices'!H13</f>
        <v>1.1192735214112584</v>
      </c>
      <c r="K9" s="154">
        <f>J9/About!$B$132</f>
        <v>1.1192735214112583E-5</v>
      </c>
      <c r="L9" s="154">
        <f>K9*About!$C$185</f>
        <v>9.9291884575393665E-6</v>
      </c>
    </row>
    <row r="10" spans="1:12">
      <c r="A10" s="138">
        <f>'STATE Form 1.1'!A14</f>
        <v>1998</v>
      </c>
      <c r="B10" s="148">
        <f>'Utility NG Form 1.1'!B14/'CEC Residential NG'!H10</f>
        <v>0.41315788438460693</v>
      </c>
      <c r="C10" s="148">
        <f>'STATE Form 1.1'!B68/'CEC Residential NG'!H10</f>
        <v>0.51463522083695123</v>
      </c>
      <c r="D10" s="148">
        <f>'Utility NG Form 1.1'!B68/'CEC Residential NG'!H10</f>
        <v>5.9291819334631589E-2</v>
      </c>
      <c r="E10" s="148"/>
      <c r="F10" s="148">
        <f>'Utility NG Form 1.1'!B122/H10</f>
        <v>1.2915075443810218E-2</v>
      </c>
      <c r="G10" s="147"/>
      <c r="H10" s="146">
        <f>'STATE Form 1.1'!B14</f>
        <v>5463.9439240612901</v>
      </c>
      <c r="J10" s="138">
        <f>B10*'IPER 2021 nat gas prices'!B14+C10*'IPER 2021 nat gas prices'!E14+(D10+F10)*'IPER 2021 nat gas prices'!H14</f>
        <v>1.1168133810687793</v>
      </c>
      <c r="K10" s="154">
        <f>J10/About!$B$132</f>
        <v>1.1168133810687793E-5</v>
      </c>
      <c r="L10" s="154">
        <f>K10*About!$C$185</f>
        <v>9.9073643040816221E-6</v>
      </c>
    </row>
    <row r="11" spans="1:12">
      <c r="A11" s="138">
        <f>'STATE Form 1.1'!A15</f>
        <v>1999</v>
      </c>
      <c r="B11" s="148">
        <f>'Utility NG Form 1.1'!B15/'CEC Residential NG'!H11</f>
        <v>0.42480538647191046</v>
      </c>
      <c r="C11" s="148">
        <f>'STATE Form 1.1'!B69/'CEC Residential NG'!H11</f>
        <v>0.5039321257172652</v>
      </c>
      <c r="D11" s="148">
        <f>'Utility NG Form 1.1'!B69/'CEC Residential NG'!H11</f>
        <v>5.9059188296197669E-2</v>
      </c>
      <c r="E11" s="148"/>
      <c r="F11" s="148">
        <f>'Utility NG Form 1.1'!B123/H11</f>
        <v>1.2203299514626682E-2</v>
      </c>
      <c r="G11" s="147"/>
      <c r="H11" s="146">
        <f>'STATE Form 1.1'!B15</f>
        <v>5695.9255910000002</v>
      </c>
      <c r="J11" s="138">
        <f>B11*'IPER 2021 nat gas prices'!B15+C11*'IPER 2021 nat gas prices'!E15+(D11+F11)*'IPER 2021 nat gas prices'!H15</f>
        <v>1.0497095991378622</v>
      </c>
      <c r="K11" s="154">
        <f>J11/About!$B$132</f>
        <v>1.0497095991378621E-5</v>
      </c>
      <c r="L11" s="154">
        <f>K11*About!$C$185</f>
        <v>9.3120798769421323E-6</v>
      </c>
    </row>
    <row r="12" spans="1:12">
      <c r="A12" s="138">
        <f>'STATE Form 1.1'!A16</f>
        <v>2000</v>
      </c>
      <c r="B12" s="148">
        <f>'Utility NG Form 1.1'!B16/'CEC Residential NG'!H12</f>
        <v>0.41488090158267815</v>
      </c>
      <c r="C12" s="148">
        <f>'STATE Form 1.1'!B70/'CEC Residential NG'!H12</f>
        <v>0.50331562343967418</v>
      </c>
      <c r="D12" s="148">
        <f>'Utility NG Form 1.1'!B70/'CEC Residential NG'!H12</f>
        <v>6.4808888857436839E-2</v>
      </c>
      <c r="E12" s="148"/>
      <c r="F12" s="148">
        <f>'Utility NG Form 1.1'!B124/H12</f>
        <v>1.6994586120210792E-2</v>
      </c>
      <c r="G12" s="147"/>
      <c r="H12" s="146">
        <f>'STATE Form 1.1'!B16</f>
        <v>5249.8971360000005</v>
      </c>
      <c r="J12" s="138">
        <f>B12*'IPER 2021 nat gas prices'!B16+C12*'IPER 2021 nat gas prices'!E16+(D12+F12)*'IPER 2021 nat gas prices'!H16</f>
        <v>1.2952334084830455</v>
      </c>
      <c r="K12" s="154">
        <f>J12/About!$B$132</f>
        <v>1.2952334084830454E-5</v>
      </c>
      <c r="L12" s="154">
        <f>K12*About!$C$185</f>
        <v>1.1490146388090787E-5</v>
      </c>
    </row>
    <row r="13" spans="1:12">
      <c r="A13" s="138">
        <f>'STATE Form 1.1'!A17</f>
        <v>2001</v>
      </c>
      <c r="B13" s="148">
        <f>'Utility NG Form 1.1'!B17/'CEC Residential NG'!H13</f>
        <v>0.38466545437667687</v>
      </c>
      <c r="C13" s="148">
        <f>'STATE Form 1.1'!B71/'CEC Residential NG'!H13</f>
        <v>0.52998264387282079</v>
      </c>
      <c r="D13" s="148">
        <f>'Utility NG Form 1.1'!B71/'CEC Residential NG'!H13</f>
        <v>7.0169059638258868E-2</v>
      </c>
      <c r="E13" s="148"/>
      <c r="F13" s="148">
        <f>'Utility NG Form 1.1'!B125/H13</f>
        <v>1.5182842112243428E-2</v>
      </c>
      <c r="G13" s="147"/>
      <c r="H13" s="146">
        <f>'STATE Form 1.1'!B17</f>
        <v>5108.3979156613705</v>
      </c>
      <c r="J13" s="138">
        <f>B13*'IPER 2021 nat gas prices'!B17+C13*'IPER 2021 nat gas prices'!E17+(D13+F13)*'IPER 2021 nat gas prices'!H17</f>
        <v>1.2437516014989323</v>
      </c>
      <c r="K13" s="154">
        <f>J13/About!$B$132</f>
        <v>1.2437516014989323E-5</v>
      </c>
      <c r="L13" s="154">
        <f>K13*About!$C$185</f>
        <v>1.1033446078558402E-5</v>
      </c>
    </row>
    <row r="14" spans="1:12">
      <c r="A14" s="138">
        <f>'STATE Form 1.1'!A18</f>
        <v>2002</v>
      </c>
      <c r="B14" s="148">
        <f>'Utility NG Form 1.1'!B18/'CEC Residential NG'!H14</f>
        <v>0.40063360159685413</v>
      </c>
      <c r="C14" s="148">
        <f>'STATE Form 1.1'!B72/'CEC Residential NG'!H14</f>
        <v>0.51505850745123261</v>
      </c>
      <c r="D14" s="148">
        <f>'Utility NG Form 1.1'!B72/'CEC Residential NG'!H14</f>
        <v>6.8809292817964648E-2</v>
      </c>
      <c r="E14" s="148"/>
      <c r="F14" s="148">
        <f>'Utility NG Form 1.1'!B126/H14</f>
        <v>1.5498598133948622E-2</v>
      </c>
      <c r="G14" s="147"/>
      <c r="H14" s="146">
        <f>'STATE Form 1.1'!B18</f>
        <v>5189.5016120086102</v>
      </c>
      <c r="J14" s="138">
        <f>B14*'IPER 2021 nat gas prices'!B18+C14*'IPER 2021 nat gas prices'!E18+(D14+F14)*'IPER 2021 nat gas prices'!H18</f>
        <v>1.046928045037627</v>
      </c>
      <c r="K14" s="154">
        <f>J14/About!$B$132</f>
        <v>1.046928045037627E-5</v>
      </c>
      <c r="L14" s="154">
        <f>K14*About!$C$185</f>
        <v>9.2874044295758317E-6</v>
      </c>
    </row>
    <row r="15" spans="1:12">
      <c r="A15" s="138">
        <f>'STATE Form 1.1'!A19</f>
        <v>2003</v>
      </c>
      <c r="B15" s="148">
        <f>'Utility NG Form 1.1'!B19/'CEC Residential NG'!H15</f>
        <v>0.41030563032317835</v>
      </c>
      <c r="C15" s="148">
        <f>'STATE Form 1.1'!B73/'CEC Residential NG'!H15</f>
        <v>0.50458489532582129</v>
      </c>
      <c r="D15" s="148">
        <f>'Utility NG Form 1.1'!B73/'CEC Residential NG'!H15</f>
        <v>6.8195090214026519E-2</v>
      </c>
      <c r="E15" s="148"/>
      <c r="F15" s="148">
        <f>'Utility NG Form 1.1'!B127/H15</f>
        <v>1.6914384136973978E-2</v>
      </c>
      <c r="G15" s="147"/>
      <c r="H15" s="146">
        <f>'STATE Form 1.1'!B19</f>
        <v>4982.1500042552598</v>
      </c>
      <c r="J15" s="138">
        <f>B15*'IPER 2021 nat gas prices'!B19+C15*'IPER 2021 nat gas prices'!E19+(D15+F15)*'IPER 2021 nat gas prices'!H19</f>
        <v>1.3159616118051134</v>
      </c>
      <c r="K15" s="154">
        <f>J15/About!$B$132</f>
        <v>1.3159616118051133E-5</v>
      </c>
      <c r="L15" s="154">
        <f>K15*About!$C$185</f>
        <v>1.1674028373355213E-5</v>
      </c>
    </row>
    <row r="16" spans="1:12">
      <c r="A16" s="138">
        <f>'STATE Form 1.1'!A20</f>
        <v>2004</v>
      </c>
      <c r="B16" s="148">
        <f>'Utility NG Form 1.1'!B20/'CEC Residential NG'!H16</f>
        <v>0.39891721402069374</v>
      </c>
      <c r="C16" s="148">
        <f>'STATE Form 1.1'!B74/'CEC Residential NG'!H16</f>
        <v>0.51316612143888629</v>
      </c>
      <c r="D16" s="148">
        <f>'Utility NG Form 1.1'!B74/'CEC Residential NG'!H16</f>
        <v>6.8862182096407598E-2</v>
      </c>
      <c r="E16" s="148"/>
      <c r="F16" s="148">
        <f>'Utility NG Form 1.1'!B128/H16</f>
        <v>1.9054482444012324E-2</v>
      </c>
      <c r="G16" s="147"/>
      <c r="H16" s="146">
        <f>'STATE Form 1.1'!B20</f>
        <v>5191.9541919170697</v>
      </c>
      <c r="J16" s="138">
        <f>B16*'IPER 2021 nat gas prices'!B20+C16*'IPER 2021 nat gas prices'!E20+(D16+F16)*'IPER 2021 nat gas prices'!H20</f>
        <v>1.382519453158104</v>
      </c>
      <c r="K16" s="154">
        <f>J16/About!$B$132</f>
        <v>1.382519453158104E-5</v>
      </c>
      <c r="L16" s="154">
        <f>K16*About!$C$185</f>
        <v>1.2264469706486713E-5</v>
      </c>
    </row>
    <row r="17" spans="1:19">
      <c r="A17" s="138">
        <f>'STATE Form 1.1'!A21</f>
        <v>2005</v>
      </c>
      <c r="B17" s="148">
        <f>'Utility NG Form 1.1'!B21/'CEC Residential NG'!H17</f>
        <v>0.40506019105020252</v>
      </c>
      <c r="C17" s="148">
        <f>'STATE Form 1.1'!B75/'CEC Residential NG'!H17</f>
        <v>0.50740408558272665</v>
      </c>
      <c r="D17" s="148">
        <f>'Utility NG Form 1.1'!B75/'CEC Residential NG'!H17</f>
        <v>6.8538707109015509E-2</v>
      </c>
      <c r="E17" s="148"/>
      <c r="F17" s="148">
        <f>'Utility NG Form 1.1'!B129/H17</f>
        <v>1.8997016258055222E-2</v>
      </c>
      <c r="G17" s="147"/>
      <c r="H17" s="146">
        <f>'STATE Form 1.1'!B21</f>
        <v>4889.7152446565005</v>
      </c>
      <c r="J17" s="138">
        <f>B17*'IPER 2021 nat gas prices'!B21+C17*'IPER 2021 nat gas prices'!E21+(D17+F17)*'IPER 2021 nat gas prices'!H21</f>
        <v>1.6172664205827909</v>
      </c>
      <c r="K17" s="154">
        <f>J17/About!$B$132</f>
        <v>1.6172664205827908E-5</v>
      </c>
      <c r="L17" s="154">
        <f>K17*About!$C$185</f>
        <v>1.4346933764473786E-5</v>
      </c>
    </row>
    <row r="18" spans="1:19">
      <c r="A18" s="138">
        <f>'STATE Form 1.1'!A22</f>
        <v>2006</v>
      </c>
      <c r="B18" s="148">
        <f>'Utility NG Form 1.1'!B22/'CEC Residential NG'!H18</f>
        <v>0.4038066523185071</v>
      </c>
      <c r="C18" s="148">
        <f>'STATE Form 1.1'!B76/'CEC Residential NG'!H18</f>
        <v>0.50839859627142481</v>
      </c>
      <c r="D18" s="148">
        <f>'Utility NG Form 1.1'!B76/'CEC Residential NG'!H18</f>
        <v>6.9020759785730829E-2</v>
      </c>
      <c r="E18" s="148"/>
      <c r="F18" s="148">
        <f>'Utility NG Form 1.1'!B130/H18</f>
        <v>1.8773991624337273E-2</v>
      </c>
      <c r="G18" s="147"/>
      <c r="H18" s="146">
        <f>'STATE Form 1.1'!B22</f>
        <v>5003.95088480904</v>
      </c>
      <c r="J18" s="138">
        <f>B18*'IPER 2021 nat gas prices'!B22+C18*'IPER 2021 nat gas prices'!E22+(D18+F18)*'IPER 2021 nat gas prices'!H22</f>
        <v>1.5739884635235066</v>
      </c>
      <c r="K18" s="154">
        <f>J18/About!$B$132</f>
        <v>1.5739884635235067E-5</v>
      </c>
      <c r="L18" s="154">
        <f>K18*About!$C$185</f>
        <v>1.3963010636231536E-5</v>
      </c>
    </row>
    <row r="19" spans="1:19">
      <c r="A19" s="138">
        <f>'STATE Form 1.1'!A23</f>
        <v>2007</v>
      </c>
      <c r="B19" s="148">
        <f>'Utility NG Form 1.1'!B23/'CEC Residential NG'!H19</f>
        <v>0.40511595422258934</v>
      </c>
      <c r="C19" s="148">
        <f>'STATE Form 1.1'!B77/'CEC Residential NG'!H19</f>
        <v>0.51040470601375876</v>
      </c>
      <c r="D19" s="148">
        <f>'Utility NG Form 1.1'!B77/'CEC Residential NG'!H19</f>
        <v>6.5960381859561532E-2</v>
      </c>
      <c r="E19" s="148"/>
      <c r="F19" s="148">
        <f>'Utility NG Form 1.1'!B131/H19</f>
        <v>1.8518957904090288E-2</v>
      </c>
      <c r="G19" s="147"/>
      <c r="H19" s="146">
        <f>'STATE Form 1.1'!B23</f>
        <v>5031.8339985760404</v>
      </c>
      <c r="J19" s="138">
        <f>B19*'IPER 2021 nat gas prices'!B23+C19*'IPER 2021 nat gas prices'!E23+(D19+F19)*'IPER 2021 nat gas prices'!H23</f>
        <v>1.5142218575317683</v>
      </c>
      <c r="K19" s="154">
        <f>J19/About!$B$132</f>
        <v>1.5142218575317683E-5</v>
      </c>
      <c r="L19" s="154">
        <f>K19*About!$C$185</f>
        <v>1.343281503791949E-5</v>
      </c>
    </row>
    <row r="20" spans="1:19">
      <c r="A20" s="138">
        <f>'STATE Form 1.1'!A24</f>
        <v>2008</v>
      </c>
      <c r="B20" s="148">
        <f>'Utility NG Form 1.1'!B24/'CEC Residential NG'!H20</f>
        <v>0.41195579815457439</v>
      </c>
      <c r="C20" s="148">
        <f>'STATE Form 1.1'!B78/'CEC Residential NG'!H20</f>
        <v>0.50481374126115308</v>
      </c>
      <c r="D20" s="148">
        <f>'Utility NG Form 1.1'!B78/'CEC Residential NG'!H20</f>
        <v>6.4717266615173533E-2</v>
      </c>
      <c r="E20" s="148"/>
      <c r="F20" s="148">
        <f>'Utility NG Form 1.1'!B132/H20</f>
        <v>1.8513193969098951E-2</v>
      </c>
      <c r="G20" s="147"/>
      <c r="H20" s="146">
        <f>'STATE Form 1.1'!B24</f>
        <v>5017.0964100000001</v>
      </c>
      <c r="J20" s="138">
        <f>B20*'IPER 2021 nat gas prices'!B24+C20*'IPER 2021 nat gas prices'!E24+(D20+F20)*'IPER 2021 nat gas prices'!H24</f>
        <v>1.6405176487850703</v>
      </c>
      <c r="K20" s="154">
        <f>J20/About!$B$132</f>
        <v>1.6405176487850704E-5</v>
      </c>
      <c r="L20" s="154">
        <f>K20*About!$C$185</f>
        <v>1.4553197758281658E-5</v>
      </c>
    </row>
    <row r="21" spans="1:19">
      <c r="A21" s="138">
        <f>'STATE Form 1.1'!A25</f>
        <v>2009</v>
      </c>
      <c r="B21" s="148">
        <f>'Utility NG Form 1.1'!B25/'CEC Residential NG'!H21</f>
        <v>0.41418459951442899</v>
      </c>
      <c r="C21" s="148">
        <f>'STATE Form 1.1'!B79/'CEC Residential NG'!H21</f>
        <v>0.50439851397529734</v>
      </c>
      <c r="D21" s="148">
        <f>'Utility NG Form 1.1'!B79/'CEC Residential NG'!H21</f>
        <v>6.2281152072128476E-2</v>
      </c>
      <c r="E21" s="148"/>
      <c r="F21" s="148">
        <f>'Utility NG Form 1.1'!B133/H21</f>
        <v>1.9135734438145306E-2</v>
      </c>
      <c r="G21" s="147"/>
      <c r="H21" s="146">
        <f>'STATE Form 1.1'!B25</f>
        <v>4957.1017671999998</v>
      </c>
      <c r="J21" s="138">
        <f>B21*'IPER 2021 nat gas prices'!B25+C21*'IPER 2021 nat gas prices'!E25+(D21+F21)*'IPER 2021 nat gas prices'!H25</f>
        <v>1.1859870157169863</v>
      </c>
      <c r="K21" s="154">
        <f>J21/About!$B$132</f>
        <v>1.1859870157169863E-5</v>
      </c>
      <c r="L21" s="154">
        <f>K21*About!$C$185</f>
        <v>1.0521010603735891E-5</v>
      </c>
    </row>
    <row r="22" spans="1:19">
      <c r="A22" s="138">
        <f>'STATE Form 1.1'!A26</f>
        <v>2010</v>
      </c>
      <c r="B22" s="148">
        <f>'Utility NG Form 1.1'!B26/'CEC Residential NG'!H22</f>
        <v>0.40568876213866162</v>
      </c>
      <c r="C22" s="148">
        <f>'STATE Form 1.1'!B80/'CEC Residential NG'!H22</f>
        <v>0.50846236425452651</v>
      </c>
      <c r="D22" s="148">
        <f>'Utility NG Form 1.1'!B80/'CEC Residential NG'!H22</f>
        <v>6.6440517220072173E-2</v>
      </c>
      <c r="E22" s="148"/>
      <c r="F22" s="148">
        <f>'Utility NG Form 1.1'!B134/H22</f>
        <v>1.9408356386739697E-2</v>
      </c>
      <c r="G22" s="147"/>
      <c r="H22" s="146">
        <f>'STATE Form 1.1'!B26</f>
        <v>5085.4784420300002</v>
      </c>
      <c r="J22" s="138">
        <f>B22*'IPER 2021 nat gas prices'!B26+C22*'IPER 2021 nat gas prices'!E26+(D22+F22)*'IPER 2021 nat gas prices'!H26</f>
        <v>1.2374143083464137</v>
      </c>
      <c r="K22" s="154">
        <f>J22/About!$B$132</f>
        <v>1.2374143083464138E-5</v>
      </c>
      <c r="L22" s="154">
        <f>K22*About!$C$185</f>
        <v>1.0977227310921791E-5</v>
      </c>
    </row>
    <row r="23" spans="1:19">
      <c r="A23" s="138">
        <f>'STATE Form 1.1'!A27</f>
        <v>2011</v>
      </c>
      <c r="B23" s="148">
        <f>'Utility NG Form 1.1'!B27/'CEC Residential NG'!H23</f>
        <v>0.41223062034197955</v>
      </c>
      <c r="C23" s="148">
        <f>'STATE Form 1.1'!B81/'CEC Residential NG'!H23</f>
        <v>0.50531952135498426</v>
      </c>
      <c r="D23" s="148">
        <f>'Utility NG Form 1.1'!B81/'CEC Residential NG'!H23</f>
        <v>6.304857634812952E-2</v>
      </c>
      <c r="E23" s="148"/>
      <c r="F23" s="148">
        <f>'Utility NG Form 1.1'!B135/H23</f>
        <v>1.940128195490665E-2</v>
      </c>
      <c r="G23" s="147"/>
      <c r="H23" s="146">
        <f>'STATE Form 1.1'!B27</f>
        <v>5185.0576798900001</v>
      </c>
      <c r="J23" s="138">
        <f>B23*'IPER 2021 nat gas prices'!B27+C23*'IPER 2021 nat gas prices'!E27+(D23+F23)*'IPER 2021 nat gas prices'!H27</f>
        <v>1.2123301828555735</v>
      </c>
      <c r="K23" s="154">
        <f>J23/About!$B$132</f>
        <v>1.2123301828555734E-5</v>
      </c>
      <c r="L23" s="154">
        <f>K23*About!$C$185</f>
        <v>1.0754703500140416E-5</v>
      </c>
    </row>
    <row r="24" spans="1:19">
      <c r="A24" s="138">
        <f>'STATE Form 1.1'!A28</f>
        <v>2012</v>
      </c>
      <c r="B24" s="148">
        <f>'Utility NG Form 1.1'!B28/'CEC Residential NG'!H24</f>
        <v>0.41467150564318883</v>
      </c>
      <c r="C24" s="148">
        <f>'STATE Form 1.1'!B82/'CEC Residential NG'!H24</f>
        <v>0.50192692326133614</v>
      </c>
      <c r="D24" s="148">
        <f>'Utility NG Form 1.1'!B82/'CEC Residential NG'!H24</f>
        <v>6.4097794636183161E-2</v>
      </c>
      <c r="E24" s="148"/>
      <c r="F24" s="148">
        <f>'Utility NG Form 1.1'!B136/H24</f>
        <v>1.9303776459291884E-2</v>
      </c>
      <c r="G24" s="147"/>
      <c r="H24" s="146">
        <f>'STATE Form 1.1'!B28</f>
        <v>4854.2003787499998</v>
      </c>
      <c r="J24" s="138">
        <f>B24*'IPER 2021 nat gas prices'!B28+C24*'IPER 2021 nat gas prices'!E28+(D24+F24)*'IPER 2021 nat gas prices'!H28</f>
        <v>1.0969025638256318</v>
      </c>
      <c r="K24" s="154">
        <f>J24/About!$B$132</f>
        <v>1.0969025638256318E-5</v>
      </c>
      <c r="L24" s="154">
        <f>K24*About!$C$185</f>
        <v>9.7307334332811018E-6</v>
      </c>
    </row>
    <row r="25" spans="1:19">
      <c r="A25" s="138">
        <f>'STATE Form 1.1'!A29</f>
        <v>2013</v>
      </c>
      <c r="B25" s="148">
        <f>'Utility NG Form 1.1'!B29/'CEC Residential NG'!H25</f>
        <v>0.41116868858119016</v>
      </c>
      <c r="C25" s="148">
        <f>'STATE Form 1.1'!B83/'CEC Residential NG'!H25</f>
        <v>0.5053578143137728</v>
      </c>
      <c r="D25" s="148">
        <f>'Utility NG Form 1.1'!B83/'CEC Residential NG'!H25</f>
        <v>6.3723983796812336E-2</v>
      </c>
      <c r="E25" s="148"/>
      <c r="F25" s="148">
        <f>'Utility NG Form 1.1'!B137/H25</f>
        <v>1.9749513308224682E-2</v>
      </c>
      <c r="G25" s="147"/>
      <c r="H25" s="146">
        <f>'STATE Form 1.1'!B29</f>
        <v>4994.4970015500003</v>
      </c>
      <c r="J25" s="138">
        <f>B25*'IPER 2021 nat gas prices'!B29+C25*'IPER 2021 nat gas prices'!E29+(D25+F25)*'IPER 2021 nat gas prices'!H29</f>
        <v>1.1795450458248979</v>
      </c>
      <c r="K25" s="154">
        <f>J25/About!$B$132</f>
        <v>1.1795450458248979E-5</v>
      </c>
      <c r="L25" s="154">
        <f>K25*About!$C$185</f>
        <v>1.0463863238169975E-5</v>
      </c>
    </row>
    <row r="26" spans="1:19">
      <c r="A26" s="138">
        <f>'STATE Form 1.1'!A30</f>
        <v>2014</v>
      </c>
      <c r="B26" s="148">
        <f>'Utility NG Form 1.1'!B30/'CEC Residential NG'!H26</f>
        <v>0.41218141530235231</v>
      </c>
      <c r="C26" s="148">
        <f>'STATE Form 1.1'!B84/'CEC Residential NG'!H26</f>
        <v>0.50450312628058958</v>
      </c>
      <c r="D26" s="148">
        <f>'Utility NG Form 1.1'!B84/'CEC Residential NG'!H26</f>
        <v>6.3041256812015556E-2</v>
      </c>
      <c r="E26" s="148"/>
      <c r="F26" s="148">
        <f>'Utility NG Form 1.1'!B138/H26</f>
        <v>2.0274201605042567E-2</v>
      </c>
      <c r="G26" s="147"/>
      <c r="H26" s="146">
        <f>'STATE Form 1.1'!B30</f>
        <v>4069.5368235600004</v>
      </c>
      <c r="J26" s="138">
        <f>B26*'IPER 2021 nat gas prices'!B30+C26*'IPER 2021 nat gas prices'!E30+(D26+F26)*'IPER 2021 nat gas prices'!H30</f>
        <v>1.3483522249574624</v>
      </c>
      <c r="K26" s="154">
        <f>J26/About!$B$132</f>
        <v>1.3483522249574625E-5</v>
      </c>
      <c r="L26" s="154">
        <f>K26*About!$C$185</f>
        <v>1.1961368774153238E-5</v>
      </c>
    </row>
    <row r="27" spans="1:19">
      <c r="A27" s="138">
        <f>'STATE Form 1.1'!A31</f>
        <v>2015</v>
      </c>
      <c r="B27" s="148">
        <f>'Utility NG Form 1.1'!B31/'CEC Residential NG'!H27</f>
        <v>0.41212870141707203</v>
      </c>
      <c r="C27" s="148">
        <f>'STATE Form 1.1'!B85/'CEC Residential NG'!H27</f>
        <v>0.50439906901343157</v>
      </c>
      <c r="D27" s="148">
        <f>'Utility NG Form 1.1'!B85/'CEC Residential NG'!H27</f>
        <v>6.1914990863781841E-2</v>
      </c>
      <c r="E27" s="148"/>
      <c r="F27" s="148">
        <f>'Utility NG Form 1.1'!B139/H27</f>
        <v>2.1557238705714708E-2</v>
      </c>
      <c r="G27" s="147"/>
      <c r="H27" s="146">
        <f>'STATE Form 1.1'!B31</f>
        <v>4128.4603846969994</v>
      </c>
      <c r="J27" s="138">
        <f>B27*'IPER 2021 nat gas prices'!B31+C27*'IPER 2021 nat gas prices'!E31+(D27+F27)*'IPER 2021 nat gas prices'!H31</f>
        <v>1.3074002573453236</v>
      </c>
      <c r="K27" s="154">
        <f>J27/About!$B$132</f>
        <v>1.3074002573453236E-5</v>
      </c>
      <c r="L27" s="154">
        <f>K27*About!$C$185</f>
        <v>1.1598079733226691E-5</v>
      </c>
    </row>
    <row r="28" spans="1:19">
      <c r="A28" s="138">
        <f>'STATE Form 1.1'!A32</f>
        <v>2016</v>
      </c>
      <c r="B28" s="148">
        <f>'Utility NG Form 1.1'!B32/'CEC Residential NG'!H28</f>
        <v>0.40852598117517702</v>
      </c>
      <c r="C28" s="148">
        <f>'STATE Form 1.1'!B86/'CEC Residential NG'!H28</f>
        <v>0.50727366201907131</v>
      </c>
      <c r="D28" s="148">
        <f>'Utility NG Form 1.1'!B86/'CEC Residential NG'!H28</f>
        <v>6.255697056090738E-2</v>
      </c>
      <c r="E28" s="148"/>
      <c r="F28" s="148">
        <f>'Utility NG Form 1.1'!B140/H28</f>
        <v>2.1643386244844239E-2</v>
      </c>
      <c r="G28" s="147"/>
      <c r="H28" s="146">
        <f>'STATE Form 1.1'!B32</f>
        <v>4299.5098801680006</v>
      </c>
      <c r="J28" s="138">
        <f>B28*'IPER 2021 nat gas prices'!B32+C28*'IPER 2021 nat gas prices'!E32+(D28+F28)*'IPER 2021 nat gas prices'!H32</f>
        <v>0.90733007783079145</v>
      </c>
      <c r="K28" s="154">
        <f>J28/About!$B$132</f>
        <v>9.0733007783079144E-6</v>
      </c>
      <c r="L28" s="154">
        <f>K28*About!$C$185</f>
        <v>8.0490167627806899E-6</v>
      </c>
    </row>
    <row r="29" spans="1:19">
      <c r="A29" s="138">
        <f>'STATE Form 1.1'!A33</f>
        <v>2017</v>
      </c>
      <c r="B29" s="148">
        <f>'Utility NG Form 1.1'!B33/'CEC Residential NG'!H29</f>
        <v>0.42285858043265284</v>
      </c>
      <c r="C29" s="148">
        <f>'STATE Form 1.1'!B87/'CEC Residential NG'!H29</f>
        <v>0.49408393839678799</v>
      </c>
      <c r="D29" s="148">
        <f>'Utility NG Form 1.1'!B87/'CEC Residential NG'!H29</f>
        <v>6.1190012970025368E-2</v>
      </c>
      <c r="E29" s="148"/>
      <c r="F29" s="148">
        <f>'Utility NG Form 1.1'!B141/H29</f>
        <v>2.18674682005339E-2</v>
      </c>
      <c r="G29" s="147"/>
      <c r="H29" s="146">
        <f>'STATE Form 1.1'!B33</f>
        <v>4457.9114100469997</v>
      </c>
      <c r="J29" s="138">
        <f>B29*'IPER 2021 nat gas prices'!B33+C29*'IPER 2021 nat gas prices'!E33+(D29+F29)*'IPER 2021 nat gas prices'!H33</f>
        <v>0.96178732842109138</v>
      </c>
      <c r="K29" s="154">
        <f>J29/About!$B$132</f>
        <v>9.6178732842109137E-6</v>
      </c>
      <c r="L29" s="154">
        <f>K29*About!$C$185</f>
        <v>8.5321125330699417E-6</v>
      </c>
    </row>
    <row r="30" spans="1:19">
      <c r="A30" s="138">
        <f>'STATE Form 1.1'!A34</f>
        <v>2018</v>
      </c>
      <c r="B30" s="148">
        <f>'Utility NG Form 1.1'!B34/'CEC Residential NG'!H30</f>
        <v>0.41970375257423204</v>
      </c>
      <c r="C30" s="148">
        <f>'STATE Form 1.1'!B88/'CEC Residential NG'!H30</f>
        <v>0.49901065789461674</v>
      </c>
      <c r="D30" s="148">
        <f>'Utility NG Form 1.1'!B88/'CEC Residential NG'!H30</f>
        <v>6.019008891817762E-2</v>
      </c>
      <c r="E30" s="148"/>
      <c r="F30" s="148">
        <f>'Utility NG Form 1.1'!B142/H30</f>
        <v>2.1095500612973706E-2</v>
      </c>
      <c r="G30" s="147"/>
      <c r="H30" s="146">
        <f>'STATE Form 1.1'!B34</f>
        <v>4394.4022804079996</v>
      </c>
      <c r="J30" s="138">
        <f>B30*'IPER 2021 nat gas prices'!B34+C30*'IPER 2021 nat gas prices'!E34+(D30+F30)*'IPER 2021 nat gas prices'!H34</f>
        <v>0.94469731420993364</v>
      </c>
      <c r="K30" s="154">
        <f>J30/About!$B$132</f>
        <v>9.4469731420993372E-6</v>
      </c>
      <c r="L30" s="154">
        <f>K30*About!$C$185</f>
        <v>8.3805052908735459E-6</v>
      </c>
    </row>
    <row r="31" spans="1:19">
      <c r="A31" s="138">
        <f>'STATE Form 1.1'!A35</f>
        <v>2019</v>
      </c>
      <c r="B31" s="148">
        <f>'Utility NG Form 1.1'!B35/'CEC Residential NG'!H31</f>
        <v>0.39942745029573706</v>
      </c>
      <c r="C31" s="148">
        <f>'STATE Form 1.1'!B89/'CEC Residential NG'!H31</f>
        <v>0.51467972669337758</v>
      </c>
      <c r="D31" s="148">
        <f>'Utility NG Form 1.1'!B89/'CEC Residential NG'!H31</f>
        <v>6.3360963998323264E-2</v>
      </c>
      <c r="E31" s="148"/>
      <c r="F31" s="148">
        <f>'Utility NG Form 1.1'!B143/H31</f>
        <v>2.2531859012562046E-2</v>
      </c>
      <c r="G31" s="147"/>
      <c r="H31" s="146">
        <f>'STATE Form 1.1'!B35</f>
        <v>4793.7898484000007</v>
      </c>
      <c r="J31" s="138">
        <f>B31*'IPER 2021 nat gas prices'!B35+C31*'IPER 2021 nat gas prices'!E35+(D31+F31)*'IPER 2021 nat gas prices'!H35</f>
        <v>0.99274717247655642</v>
      </c>
      <c r="K31" s="154">
        <f>J31/About!$B$132</f>
        <v>9.9274717247655642E-6</v>
      </c>
      <c r="L31" s="154">
        <f>K31*About!$C$185</f>
        <v>8.8067604366986668E-6</v>
      </c>
    </row>
    <row r="32" spans="1:19">
      <c r="A32" s="138">
        <f>'STATE Form 1.1'!A36</f>
        <v>2020</v>
      </c>
      <c r="B32" s="148">
        <f>'Utility NG Form 1.1'!B36/'CEC Residential NG'!H32</f>
        <v>0.39787998112796968</v>
      </c>
      <c r="C32" s="148">
        <f>'STATE Form 1.1'!B90/'CEC Residential NG'!H32</f>
        <v>0.51740686515157597</v>
      </c>
      <c r="D32" s="148">
        <f>'Utility NG Form 1.1'!B90/'CEC Residential NG'!H32</f>
        <v>6.3325425271506669E-2</v>
      </c>
      <c r="E32" s="148"/>
      <c r="F32" s="148">
        <f>'Utility NG Form 1.1'!B144/H32</f>
        <v>2.1387728448947735E-2</v>
      </c>
      <c r="G32" s="147"/>
      <c r="H32" s="146">
        <f>'STATE Form 1.1'!B36</f>
        <v>4781.9156318599998</v>
      </c>
      <c r="J32" s="138">
        <f>B32*'IPER 2021 nat gas prices'!B36+C32*'IPER 2021 nat gas prices'!E36+(D32+F32)*'IPER 2021 nat gas prices'!H36</f>
        <v>1.080814555059747</v>
      </c>
      <c r="K32" s="154">
        <f>J32/About!$B$132</f>
        <v>1.0808145550597469E-5</v>
      </c>
      <c r="L32" s="154">
        <f>K32*About!$C$185</f>
        <v>9.5880150825944856E-6</v>
      </c>
      <c r="P32" s="156"/>
      <c r="Q32" s="156"/>
      <c r="R32" s="156"/>
      <c r="S32" s="146"/>
    </row>
    <row r="33" spans="1:12">
      <c r="A33" s="138">
        <f>'STATE Form 1.1'!A37</f>
        <v>2021</v>
      </c>
      <c r="B33" s="148">
        <f>'Utility NG Form 1.1'!B37/'CEC Residential NG'!H33</f>
        <v>0.41018319620654159</v>
      </c>
      <c r="C33" s="148">
        <f>'STATE Form 1.1'!B91/'CEC Residential NG'!H33</f>
        <v>0.50696524117754049</v>
      </c>
      <c r="D33" s="148">
        <f>'Utility NG Form 1.1'!B91/'CEC Residential NG'!H33</f>
        <v>6.146383416697019E-2</v>
      </c>
      <c r="E33" s="148"/>
      <c r="F33" s="148">
        <f>'Utility NG Form 1.1'!B145/H33</f>
        <v>2.1387728448947669E-2</v>
      </c>
      <c r="G33" s="147"/>
      <c r="H33" s="146">
        <f>'STATE Form 1.1'!B37</f>
        <v>4942.6671036806774</v>
      </c>
      <c r="J33" s="138">
        <f>B33*'IPER 2021 nat gas prices'!B37+C33*'IPER 2021 nat gas prices'!E37+(D33+F33)*'IPER 2021 nat gas prices'!H37</f>
        <v>1.1421622191350482</v>
      </c>
      <c r="K33" s="154">
        <f>J33/About!$B$132</f>
        <v>1.1421622191350482E-5</v>
      </c>
      <c r="L33" s="154">
        <f>K33*About!$C$185</f>
        <v>1.0132236406856179E-5</v>
      </c>
    </row>
    <row r="34" spans="1:12">
      <c r="A34" s="138">
        <f>'STATE Form 1.1'!A38</f>
        <v>2022</v>
      </c>
      <c r="B34" s="148">
        <f>'Utility NG Form 1.1'!B38/'CEC Residential NG'!H34</f>
        <v>0.41082571846654264</v>
      </c>
      <c r="C34" s="148">
        <f>'STATE Form 1.1'!B92/'CEC Residential NG'!H34</f>
        <v>0.50637505211757838</v>
      </c>
      <c r="D34" s="148">
        <f>'Utility NG Form 1.1'!B92/'CEC Residential NG'!H34</f>
        <v>6.1411500966931279E-2</v>
      </c>
      <c r="E34" s="148"/>
      <c r="F34" s="148">
        <f>'Utility NG Form 1.1'!B146/H34</f>
        <v>2.1387728448947655E-2</v>
      </c>
      <c r="G34" s="147"/>
      <c r="H34" s="146">
        <f>'STATE Form 1.1'!B38</f>
        <v>4951.7521632958151</v>
      </c>
      <c r="J34" s="138">
        <f>B34*'IPER 2021 nat gas prices'!B38+C34*'IPER 2021 nat gas prices'!E38+(D34+F34)*'IPER 2021 nat gas prices'!H38</f>
        <v>1.1767734129759262</v>
      </c>
      <c r="K34" s="154">
        <f>J34/About!$B$132</f>
        <v>1.1767734129759261E-5</v>
      </c>
      <c r="L34" s="154">
        <f>K34*About!$C$185</f>
        <v>1.0439275803225701E-5</v>
      </c>
    </row>
    <row r="35" spans="1:12">
      <c r="A35" s="138">
        <f>'STATE Form 1.1'!A39</f>
        <v>2023</v>
      </c>
      <c r="B35" s="148">
        <f>'Utility NG Form 1.1'!B39/'CEC Residential NG'!H35</f>
        <v>0.4114878276028372</v>
      </c>
      <c r="C35" s="148">
        <f>'STATE Form 1.1'!B93/'CEC Residential NG'!H35</f>
        <v>0.50580551414704378</v>
      </c>
      <c r="D35" s="148">
        <f>'Utility NG Form 1.1'!B93/'CEC Residential NG'!H35</f>
        <v>6.131892980117129E-2</v>
      </c>
      <c r="E35" s="148"/>
      <c r="F35" s="148">
        <f>'Utility NG Form 1.1'!B147/H35</f>
        <v>2.1387728448947766E-2</v>
      </c>
      <c r="G35" s="147"/>
      <c r="H35" s="146">
        <f>'STATE Form 1.1'!B39</f>
        <v>4960.3456513811989</v>
      </c>
      <c r="J35" s="138">
        <f>B35*'IPER 2021 nat gas prices'!B39+C35*'IPER 2021 nat gas prices'!E39+(D35+F35)*'IPER 2021 nat gas prices'!H39</f>
        <v>1.2129069020619871</v>
      </c>
      <c r="K35" s="154">
        <f>J35/About!$B$132</f>
        <v>1.2129069020619871E-5</v>
      </c>
      <c r="L35" s="154">
        <f>K35*About!$C$185</f>
        <v>1.0759819634470427E-5</v>
      </c>
    </row>
    <row r="36" spans="1:12">
      <c r="A36" s="138">
        <f>'STATE Form 1.1'!A40</f>
        <v>2024</v>
      </c>
      <c r="B36" s="148">
        <f>'Utility NG Form 1.1'!B40/'CEC Residential NG'!H36</f>
        <v>0.41224241509744414</v>
      </c>
      <c r="C36" s="148">
        <f>'STATE Form 1.1'!B94/'CEC Residential NG'!H36</f>
        <v>0.5051645045764166</v>
      </c>
      <c r="D36" s="148">
        <f>'Utility NG Form 1.1'!B94/'CEC Residential NG'!H36</f>
        <v>6.1205351877191581E-2</v>
      </c>
      <c r="E36" s="148"/>
      <c r="F36" s="148">
        <f>'Utility NG Form 1.1'!B148/H36</f>
        <v>2.1387728448947724E-2</v>
      </c>
      <c r="G36" s="147"/>
      <c r="H36" s="146">
        <f>'STATE Form 1.1'!B40</f>
        <v>4970.55821830286</v>
      </c>
      <c r="J36" s="138">
        <f>B36*'IPER 2021 nat gas prices'!B40+C36*'IPER 2021 nat gas prices'!E40+(D36+F36)*'IPER 2021 nat gas prices'!H40</f>
        <v>1.2488461540240166</v>
      </c>
      <c r="K36" s="154">
        <f>J36/About!$B$132</f>
        <v>1.2488461540240166E-5</v>
      </c>
      <c r="L36" s="154">
        <f>K36*About!$C$185</f>
        <v>1.1078640368569492E-5</v>
      </c>
    </row>
    <row r="37" spans="1:12">
      <c r="A37" s="138">
        <f>'STATE Form 1.1'!A41</f>
        <v>2025</v>
      </c>
      <c r="B37" s="148">
        <f>'Utility NG Form 1.1'!B41/'CEC Residential NG'!H37</f>
        <v>0.41313124143666502</v>
      </c>
      <c r="C37" s="148">
        <f>'STATE Form 1.1'!B95/'CEC Residential NG'!H37</f>
        <v>0.50438003548810439</v>
      </c>
      <c r="D37" s="148">
        <f>'Utility NG Form 1.1'!B95/'CEC Residential NG'!H37</f>
        <v>6.1100994626282872E-2</v>
      </c>
      <c r="E37" s="148"/>
      <c r="F37" s="148">
        <f>'Utility NG Form 1.1'!B149/H37</f>
        <v>2.1387728448947659E-2</v>
      </c>
      <c r="G37" s="147"/>
      <c r="H37" s="146">
        <f>'STATE Form 1.1'!B41</f>
        <v>4982.4389120774176</v>
      </c>
      <c r="J37" s="138">
        <f>B37*'IPER 2021 nat gas prices'!B41+C37*'IPER 2021 nat gas prices'!E41+(D37+F37)*'IPER 2021 nat gas prices'!H41</f>
        <v>1.2869545506563145</v>
      </c>
      <c r="K37" s="154">
        <f>J37/About!$B$132</f>
        <v>1.2869545506563146E-5</v>
      </c>
      <c r="L37" s="154">
        <f>K37*About!$C$185</f>
        <v>1.1416703804126915E-5</v>
      </c>
    </row>
    <row r="38" spans="1:12">
      <c r="A38" s="138">
        <f>'STATE Form 1.1'!A42</f>
        <v>2026</v>
      </c>
      <c r="B38" s="148">
        <f>'Utility NG Form 1.1'!B42/'CEC Residential NG'!H38</f>
        <v>0.41410602256018081</v>
      </c>
      <c r="C38" s="148">
        <f>'STATE Form 1.1'!B96/'CEC Residential NG'!H38</f>
        <v>0.50349095328814553</v>
      </c>
      <c r="D38" s="148">
        <f>'Utility NG Form 1.1'!B96/'CEC Residential NG'!H38</f>
        <v>6.1015295702725986E-2</v>
      </c>
      <c r="E38" s="148"/>
      <c r="F38" s="148">
        <f>'Utility NG Form 1.1'!B150/H38</f>
        <v>2.1387728448947686E-2</v>
      </c>
      <c r="G38" s="147"/>
      <c r="H38" s="146">
        <f>'STATE Form 1.1'!B42</f>
        <v>4992.8699197329706</v>
      </c>
      <c r="J38" s="138">
        <f>B38*'IPER 2021 nat gas prices'!B42+C38*'IPER 2021 nat gas prices'!E42+(D38+F38)*'IPER 2021 nat gas prices'!H42</f>
        <v>1.3264179351359413</v>
      </c>
      <c r="K38" s="154">
        <f>J38/About!$B$132</f>
        <v>1.3264179351359412E-5</v>
      </c>
      <c r="L38" s="154">
        <f>K38*About!$C$185</f>
        <v>1.176678747373476E-5</v>
      </c>
    </row>
    <row r="39" spans="1:12">
      <c r="A39" s="138">
        <f>'STATE Form 1.1'!A43</f>
        <v>2027</v>
      </c>
      <c r="B39" s="148">
        <f>'Utility NG Form 1.1'!B43/'CEC Residential NG'!H39</f>
        <v>0.41511568950850819</v>
      </c>
      <c r="C39" s="148">
        <f>'STATE Form 1.1'!B97/'CEC Residential NG'!H39</f>
        <v>0.50252785496199093</v>
      </c>
      <c r="D39" s="148">
        <f>'Utility NG Form 1.1'!B97/'CEC Residential NG'!H39</f>
        <v>6.0968727080552995E-2</v>
      </c>
      <c r="E39" s="148"/>
      <c r="F39" s="148">
        <f>'Utility NG Form 1.1'!B151/H39</f>
        <v>2.1387728448947839E-2</v>
      </c>
      <c r="G39" s="147"/>
      <c r="H39" s="146">
        <f>'STATE Form 1.1'!B43</f>
        <v>5003.4000708185713</v>
      </c>
      <c r="J39" s="138">
        <f>B39*'IPER 2021 nat gas prices'!B43+C39*'IPER 2021 nat gas prices'!E43+(D39+F39)*'IPER 2021 nat gas prices'!H43</f>
        <v>1.366205080121647</v>
      </c>
      <c r="K39" s="154">
        <f>J39/About!$B$132</f>
        <v>1.366205080121647E-5</v>
      </c>
      <c r="L39" s="154">
        <f>K39*About!$C$185</f>
        <v>1.2119743255492558E-5</v>
      </c>
    </row>
    <row r="40" spans="1:12">
      <c r="A40" s="138">
        <f>'STATE Form 1.1'!A44</f>
        <v>2028</v>
      </c>
      <c r="B40" s="148">
        <f>'Utility NG Form 1.1'!B44/'CEC Residential NG'!H40</f>
        <v>0.41610240394729797</v>
      </c>
      <c r="C40" s="148">
        <f>'STATE Form 1.1'!B98/'CEC Residential NG'!H40</f>
        <v>0.50157824654603067</v>
      </c>
      <c r="D40" s="148">
        <f>'Utility NG Form 1.1'!B98/'CEC Residential NG'!H40</f>
        <v>6.0931621057723651E-2</v>
      </c>
      <c r="E40" s="148"/>
      <c r="F40" s="148">
        <f>'Utility NG Form 1.1'!B152/H40</f>
        <v>2.1387728448947707E-2</v>
      </c>
      <c r="G40" s="147"/>
      <c r="H40" s="146">
        <f>'STATE Form 1.1'!B44</f>
        <v>5013.5327776958802</v>
      </c>
      <c r="J40" s="138">
        <f>B40*'IPER 2021 nat gas prices'!B44+C40*'IPER 2021 nat gas prices'!E44+(D40+F40)*'IPER 2021 nat gas prices'!H44</f>
        <v>1.4110021200752849</v>
      </c>
      <c r="K40" s="154">
        <f>J40/About!$B$132</f>
        <v>1.4110021200752849E-5</v>
      </c>
      <c r="L40" s="154">
        <f>K40*About!$C$185</f>
        <v>1.2517142321521351E-5</v>
      </c>
    </row>
    <row r="41" spans="1:12">
      <c r="A41" s="138">
        <f>'STATE Form 1.1'!A45</f>
        <v>2029</v>
      </c>
      <c r="B41" s="148">
        <f>'Utility NG Form 1.1'!B45/'CEC Residential NG'!H41</f>
        <v>0.41693642040126749</v>
      </c>
      <c r="C41" s="148">
        <f>'STATE Form 1.1'!B99/'CEC Residential NG'!H41</f>
        <v>0.50084471720026902</v>
      </c>
      <c r="D41" s="148">
        <f>'Utility NG Form 1.1'!B99/'CEC Residential NG'!H41</f>
        <v>6.0831133949515864E-2</v>
      </c>
      <c r="E41" s="148"/>
      <c r="F41" s="148">
        <f>'Utility NG Form 1.1'!B153/H41</f>
        <v>2.1387728448947603E-2</v>
      </c>
      <c r="G41" s="147"/>
      <c r="H41" s="146">
        <f>'STATE Form 1.1'!B45</f>
        <v>5024.2562723309456</v>
      </c>
      <c r="J41" s="138">
        <f>B41*'IPER 2021 nat gas prices'!B45+C41*'IPER 2021 nat gas prices'!E45+(D41+F41)*'IPER 2021 nat gas prices'!H45</f>
        <v>1.4539208905826388</v>
      </c>
      <c r="K41" s="154">
        <f>J41/About!$B$132</f>
        <v>1.4539208905826388E-5</v>
      </c>
      <c r="L41" s="154">
        <f>K41*About!$C$185</f>
        <v>1.2897879069582791E-5</v>
      </c>
    </row>
    <row r="42" spans="1:12">
      <c r="A42" s="138">
        <f>'STATE Form 1.1'!A46</f>
        <v>2030</v>
      </c>
      <c r="B42" s="148">
        <f>'Utility NG Form 1.1'!B46/'CEC Residential NG'!H42</f>
        <v>0.41769069741260234</v>
      </c>
      <c r="C42" s="148">
        <f>'STATE Form 1.1'!B100/'CEC Residential NG'!H42</f>
        <v>0.50024936500244666</v>
      </c>
      <c r="D42" s="148">
        <f>'Utility NG Form 1.1'!B100/'CEC Residential NG'!H42</f>
        <v>6.0672209136003276E-2</v>
      </c>
      <c r="E42" s="148"/>
      <c r="F42" s="148">
        <f>'Utility NG Form 1.1'!B154/H42</f>
        <v>2.1387728448947721E-2</v>
      </c>
      <c r="G42" s="147"/>
      <c r="H42" s="146">
        <f>'STATE Form 1.1'!B46</f>
        <v>5034.76951521516</v>
      </c>
      <c r="J42" s="138">
        <f>B42*'IPER 2021 nat gas prices'!B46+C42*'IPER 2021 nat gas prices'!E46+(D42+F42)*'IPER 2021 nat gas prices'!H46</f>
        <v>1.499949252923847</v>
      </c>
      <c r="K42" s="154">
        <f>J42/About!$B$132</f>
        <v>1.499949252923847E-5</v>
      </c>
      <c r="L42" s="154">
        <f>K42*About!$C$185</f>
        <v>1.3306201320878002E-5</v>
      </c>
    </row>
    <row r="43" spans="1:12">
      <c r="A43" s="138">
        <f>'STATE Form 1.1'!A47</f>
        <v>2031</v>
      </c>
      <c r="B43" s="148">
        <f>'Utility NG Form 1.1'!B47/'CEC Residential NG'!H43</f>
        <v>0.41837817122104226</v>
      </c>
      <c r="C43" s="148">
        <f>'STATE Form 1.1'!B101/'CEC Residential NG'!H43</f>
        <v>0.49979869856713455</v>
      </c>
      <c r="D43" s="148">
        <f>'Utility NG Form 1.1'!B101/'CEC Residential NG'!H43</f>
        <v>6.043540176287545E-2</v>
      </c>
      <c r="E43" s="148"/>
      <c r="F43" s="148">
        <f>'Utility NG Form 1.1'!B155/H43</f>
        <v>2.138772844894778E-2</v>
      </c>
      <c r="G43" s="147"/>
      <c r="H43" s="146">
        <f>'STATE Form 1.1'!B47</f>
        <v>5046.6556966958869</v>
      </c>
      <c r="J43" s="138">
        <f>B43*'IPER 2021 nat gas prices'!B47+C43*'IPER 2021 nat gas prices'!E47+(D43+F43)*'IPER 2021 nat gas prices'!H47</f>
        <v>1.5304991519616369</v>
      </c>
      <c r="K43" s="154">
        <f>J43/About!$B$132</f>
        <v>1.5304991519616368E-5</v>
      </c>
      <c r="L43" s="154">
        <f>K43*About!$C$185</f>
        <v>1.3577212560849577E-5</v>
      </c>
    </row>
    <row r="44" spans="1:12">
      <c r="A44" s="138">
        <f>'STATE Form 1.1'!A48</f>
        <v>2032</v>
      </c>
      <c r="B44" s="148">
        <f>'Utility NG Form 1.1'!B48/'CEC Residential NG'!H44</f>
        <v>0.41900649406092622</v>
      </c>
      <c r="C44" s="148">
        <f>'STATE Form 1.1'!B102/'CEC Residential NG'!H44</f>
        <v>0.49943635629792682</v>
      </c>
      <c r="D44" s="148">
        <f>'Utility NG Form 1.1'!B102/'CEC Residential NG'!H44</f>
        <v>6.0169421192199299E-2</v>
      </c>
      <c r="E44" s="148"/>
      <c r="F44" s="148">
        <f>'Utility NG Form 1.1'!B156/H44</f>
        <v>2.1387728448947676E-2</v>
      </c>
      <c r="G44" s="147"/>
      <c r="H44" s="146">
        <f>'STATE Form 1.1'!B48</f>
        <v>5055.5598086890841</v>
      </c>
      <c r="J44" s="138">
        <f>B44*'IPER 2021 nat gas prices'!B48+C44*'IPER 2021 nat gas prices'!E48+(D44+F44)*'IPER 2021 nat gas prices'!H48</f>
        <v>1.5700024015730283</v>
      </c>
      <c r="K44" s="154">
        <f>J44/About!$B$132</f>
        <v>1.5700024015730284E-5</v>
      </c>
      <c r="L44" s="154">
        <f>K44*About!$C$185</f>
        <v>1.3927649878067775E-5</v>
      </c>
    </row>
    <row r="45" spans="1:12">
      <c r="A45" s="138">
        <f>'STATE Form 1.1'!A49</f>
        <v>2033</v>
      </c>
      <c r="B45" s="148">
        <f>'Utility NG Form 1.1'!B49/'CEC Residential NG'!H45</f>
        <v>0.41960508842930455</v>
      </c>
      <c r="C45" s="148">
        <f>'STATE Form 1.1'!B103/'CEC Residential NG'!H45</f>
        <v>0.4990781541066881</v>
      </c>
      <c r="D45" s="148">
        <f>'Utility NG Form 1.1'!B103/'CEC Residential NG'!H45</f>
        <v>5.9929029015059698E-2</v>
      </c>
      <c r="E45" s="148"/>
      <c r="F45" s="148">
        <f>'Utility NG Form 1.1'!B157/H45</f>
        <v>2.1387728448947731E-2</v>
      </c>
      <c r="G45" s="147"/>
      <c r="H45" s="146">
        <f>'STATE Form 1.1'!B49</f>
        <v>5061.7215939071029</v>
      </c>
      <c r="J45" s="138">
        <f>B45*'IPER 2021 nat gas prices'!B49+C45*'IPER 2021 nat gas prices'!E49+(D45+F45)*'IPER 2021 nat gas prices'!H49</f>
        <v>1.6095126259940011</v>
      </c>
      <c r="K45" s="154">
        <f>J45/About!$B$132</f>
        <v>1.6095126259940011E-5</v>
      </c>
      <c r="L45" s="154">
        <f>K45*About!$C$185</f>
        <v>1.4278149069526237E-5</v>
      </c>
    </row>
    <row r="46" spans="1:12">
      <c r="A46" s="138">
        <f>'STATE Form 1.1'!A50</f>
        <v>2034</v>
      </c>
      <c r="B46" s="148">
        <f>'Utility NG Form 1.1'!B50/'CEC Residential NG'!H46</f>
        <v>0.42023840402699114</v>
      </c>
      <c r="C46" s="148">
        <f>'STATE Form 1.1'!B104/'CEC Residential NG'!H46</f>
        <v>0.49864819864654991</v>
      </c>
      <c r="D46" s="148">
        <f>'Utility NG Form 1.1'!B104/'CEC Residential NG'!H46</f>
        <v>5.9725668877511344E-2</v>
      </c>
      <c r="E46" s="148"/>
      <c r="F46" s="148">
        <f>'Utility NG Form 1.1'!B158/H46</f>
        <v>2.1387728448947707E-2</v>
      </c>
      <c r="G46" s="147"/>
      <c r="H46" s="146">
        <f>'STATE Form 1.1'!B50</f>
        <v>5064.4707925839266</v>
      </c>
      <c r="J46" s="138">
        <f>B46*'IPER 2021 nat gas prices'!B50+C46*'IPER 2021 nat gas prices'!E50+(D46+F46)*'IPER 2021 nat gas prices'!H50</f>
        <v>1.649058700018194</v>
      </c>
      <c r="K46" s="154">
        <f>J46/About!$B$132</f>
        <v>1.6490587000181941E-5</v>
      </c>
      <c r="L46" s="154">
        <f>K46*About!$C$185</f>
        <v>1.4628966286435755E-5</v>
      </c>
    </row>
    <row r="47" spans="1:12">
      <c r="A47" s="138">
        <f>'STATE Form 1.1'!A51</f>
        <v>2035</v>
      </c>
      <c r="B47" s="148">
        <f>'Utility NG Form 1.1'!B51/'CEC Residential NG'!H47</f>
        <v>0.42099676590471957</v>
      </c>
      <c r="C47" s="148">
        <f>'STATE Form 1.1'!B105/'CEC Residential NG'!H47</f>
        <v>0.49805794575440204</v>
      </c>
      <c r="D47" s="148">
        <f>'Utility NG Form 1.1'!B105/'CEC Residential NG'!H47</f>
        <v>5.9557559891930768E-2</v>
      </c>
      <c r="E47" s="148"/>
      <c r="F47" s="148">
        <f>'Utility NG Form 1.1'!B159/H47</f>
        <v>2.1387728448947711E-2</v>
      </c>
      <c r="G47" s="147"/>
      <c r="H47" s="146">
        <f>'STATE Form 1.1'!B51</f>
        <v>5063.8753569488426</v>
      </c>
      <c r="J47" s="138">
        <f>B47*'IPER 2021 nat gas prices'!B51+C47*'IPER 2021 nat gas prices'!E51+(D47+F47)*'IPER 2021 nat gas prices'!H51</f>
        <v>1.6886708034969018</v>
      </c>
      <c r="K47" s="154">
        <f>J47/About!$B$132</f>
        <v>1.6886708034969017E-5</v>
      </c>
      <c r="L47" s="154">
        <f>K47*About!$C$185</f>
        <v>1.4980369257305394E-5</v>
      </c>
    </row>
    <row r="48" spans="1:12">
      <c r="B48" s="148"/>
      <c r="C48" s="148"/>
      <c r="D48" s="148"/>
      <c r="E48" s="148"/>
      <c r="F48" s="148"/>
      <c r="G48" s="147"/>
      <c r="H48" s="146"/>
    </row>
    <row r="49" spans="1:17">
      <c r="B49" s="138">
        <v>2020</v>
      </c>
      <c r="Q49" s="138">
        <v>2035</v>
      </c>
    </row>
    <row r="50" spans="1:17">
      <c r="B50" s="138">
        <v>9.5880150825944856E-6</v>
      </c>
      <c r="C50" s="138">
        <v>1.0132236406856179E-5</v>
      </c>
      <c r="D50" s="138">
        <v>1.0439275803225701E-5</v>
      </c>
      <c r="E50" s="138">
        <v>1.0759819634470427E-5</v>
      </c>
      <c r="F50" s="138">
        <v>1.1078640368569492E-5</v>
      </c>
      <c r="G50" s="138">
        <v>1.1416703804126915E-5</v>
      </c>
      <c r="H50" s="138">
        <v>1.176678747373476E-5</v>
      </c>
      <c r="I50" s="138">
        <v>1.2119743255492558E-5</v>
      </c>
      <c r="J50" s="138">
        <v>1.2517142321521351E-5</v>
      </c>
      <c r="K50" s="138">
        <v>1.2897879069582791E-5</v>
      </c>
      <c r="L50" s="138">
        <v>1.3306201320878002E-5</v>
      </c>
      <c r="M50" s="138">
        <v>1.3577212560849577E-5</v>
      </c>
      <c r="N50" s="138">
        <v>1.3927649878067775E-5</v>
      </c>
      <c r="O50" s="138">
        <v>1.4278149069526237E-5</v>
      </c>
      <c r="P50" s="138">
        <v>1.4628966286435755E-5</v>
      </c>
      <c r="Q50" s="138">
        <v>1.4980369257305394E-5</v>
      </c>
    </row>
    <row r="51" spans="1:17">
      <c r="A51" s="180" t="s">
        <v>1275</v>
      </c>
      <c r="B51" s="180"/>
      <c r="C51" s="180"/>
      <c r="D51" s="180">
        <f>(D50-C50)/$C$50</f>
        <v>3.0303220734344296E-2</v>
      </c>
      <c r="E51" s="180">
        <f t="shared" ref="E51:Q51" si="0">(E50-D50)/$C$50</f>
        <v>3.1636039505338047E-2</v>
      </c>
      <c r="F51" s="180">
        <f t="shared" si="0"/>
        <v>3.1465978614881963E-2</v>
      </c>
      <c r="G51" s="180">
        <f t="shared" si="0"/>
        <v>3.3365134999087227E-2</v>
      </c>
      <c r="H51" s="180">
        <f t="shared" si="0"/>
        <v>3.4551470726734479E-2</v>
      </c>
      <c r="I51" s="180">
        <f t="shared" si="0"/>
        <v>3.4834933531452519E-2</v>
      </c>
      <c r="J51" s="180">
        <f t="shared" si="0"/>
        <v>3.9221258769671502E-2</v>
      </c>
      <c r="K51" s="180">
        <f t="shared" si="0"/>
        <v>3.7576773061059533E-2</v>
      </c>
      <c r="L51" s="180">
        <f t="shared" si="0"/>
        <v>4.0299321383669283E-2</v>
      </c>
      <c r="M51" s="180">
        <f t="shared" si="0"/>
        <v>2.6747425651082225E-2</v>
      </c>
      <c r="N51" s="180">
        <f t="shared" si="0"/>
        <v>3.4586373940215971E-2</v>
      </c>
      <c r="O51" s="180">
        <f t="shared" si="0"/>
        <v>3.4592480611811409E-2</v>
      </c>
      <c r="P51" s="180">
        <f t="shared" si="0"/>
        <v>3.4623868100050546E-2</v>
      </c>
      <c r="Q51" s="180">
        <f t="shared" si="0"/>
        <v>3.4681679025161206E-2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C6DCC-EB2E-40F3-B050-6EA8347527C3}">
  <sheetPr>
    <tabColor theme="0" tint="-0.14999847407452621"/>
  </sheetPr>
  <dimension ref="A1:J52"/>
  <sheetViews>
    <sheetView workbookViewId="0">
      <selection activeCell="B36" sqref="B36"/>
    </sheetView>
  </sheetViews>
  <sheetFormatPr defaultRowHeight="14.5"/>
  <cols>
    <col min="1" max="10" width="20" style="138" customWidth="1"/>
    <col min="11" max="16384" width="8.7265625" style="138"/>
  </cols>
  <sheetData>
    <row r="1" spans="1:10" ht="18.5">
      <c r="A1" s="231" t="s">
        <v>943</v>
      </c>
      <c r="B1" s="232"/>
      <c r="C1" s="232"/>
      <c r="D1" s="232"/>
      <c r="E1" s="232"/>
      <c r="F1" s="232"/>
      <c r="G1" s="232"/>
      <c r="H1" s="232"/>
      <c r="I1" s="232"/>
    </row>
    <row r="2" spans="1:10" ht="15.5">
      <c r="A2" s="233" t="s">
        <v>942</v>
      </c>
      <c r="B2" s="232"/>
      <c r="C2" s="232"/>
      <c r="D2" s="232"/>
      <c r="E2" s="232"/>
      <c r="F2" s="232"/>
      <c r="G2" s="232"/>
      <c r="H2" s="232"/>
      <c r="I2" s="232"/>
    </row>
    <row r="3" spans="1:10" ht="15.5">
      <c r="A3" s="233" t="s">
        <v>941</v>
      </c>
      <c r="B3" s="232"/>
      <c r="C3" s="232"/>
      <c r="D3" s="232"/>
      <c r="E3" s="232"/>
      <c r="F3" s="232"/>
      <c r="G3" s="232"/>
      <c r="H3" s="232"/>
      <c r="I3" s="232"/>
    </row>
    <row r="5" spans="1:10" ht="15" thickBot="1">
      <c r="A5" s="139" t="s">
        <v>940</v>
      </c>
      <c r="B5" s="139" t="s">
        <v>939</v>
      </c>
      <c r="C5" s="139" t="s">
        <v>938</v>
      </c>
      <c r="D5" s="139" t="s">
        <v>937</v>
      </c>
      <c r="E5" s="139" t="s">
        <v>936</v>
      </c>
      <c r="F5" s="139" t="s">
        <v>935</v>
      </c>
      <c r="G5" s="139" t="s">
        <v>934</v>
      </c>
      <c r="H5" s="139" t="s">
        <v>933</v>
      </c>
      <c r="I5" s="139" t="s">
        <v>932</v>
      </c>
      <c r="J5" s="139" t="s">
        <v>931</v>
      </c>
    </row>
    <row r="6" spans="1:10" ht="15" thickTop="1">
      <c r="A6" s="140">
        <v>1990</v>
      </c>
      <c r="B6" s="145">
        <v>0.96672785578898446</v>
      </c>
      <c r="C6" s="145">
        <v>1.0329551461577484</v>
      </c>
      <c r="D6" s="145">
        <v>0.68870129740188168</v>
      </c>
      <c r="E6" s="145">
        <v>1.1958855278358818</v>
      </c>
      <c r="F6" s="145">
        <v>1.0174222987298025</v>
      </c>
      <c r="G6" s="145">
        <v>0.92772725616796337</v>
      </c>
      <c r="H6" s="145">
        <v>1.0201865014221709</v>
      </c>
      <c r="I6" s="145">
        <v>1.0330663581453166</v>
      </c>
      <c r="J6" s="145">
        <v>0.6418421533142441</v>
      </c>
    </row>
    <row r="7" spans="1:10">
      <c r="A7" s="140">
        <v>1991</v>
      </c>
      <c r="B7" s="145">
        <v>0.97643831665079484</v>
      </c>
      <c r="C7" s="145">
        <v>1.0240891648188071</v>
      </c>
      <c r="D7" s="145">
        <v>0.58531685300236858</v>
      </c>
      <c r="E7" s="145">
        <v>1.327446552237658</v>
      </c>
      <c r="F7" s="145">
        <v>1.1178824967425804</v>
      </c>
      <c r="G7" s="145">
        <v>1.0530818941343494</v>
      </c>
      <c r="H7" s="145">
        <v>0.95240631389455221</v>
      </c>
      <c r="I7" s="145">
        <v>0.95757280608983053</v>
      </c>
      <c r="J7" s="145">
        <v>0.59919879207184001</v>
      </c>
    </row>
    <row r="8" spans="1:10">
      <c r="A8" s="140">
        <v>1992</v>
      </c>
      <c r="B8" s="145">
        <v>0.92533953334048735</v>
      </c>
      <c r="C8" s="145">
        <v>1.0280179609776614</v>
      </c>
      <c r="D8" s="145">
        <v>0.45590901988654059</v>
      </c>
      <c r="E8" s="145">
        <v>1.1803850667675027</v>
      </c>
      <c r="F8" s="145">
        <v>1.0341424892578226</v>
      </c>
      <c r="G8" s="145">
        <v>0.94101148812031776</v>
      </c>
      <c r="H8" s="145">
        <v>0.97771448477405909</v>
      </c>
      <c r="I8" s="145">
        <v>0.99712496158717201</v>
      </c>
      <c r="J8" s="145">
        <v>0.61512122475557274</v>
      </c>
    </row>
    <row r="9" spans="1:10">
      <c r="A9" s="140">
        <v>1993</v>
      </c>
      <c r="B9" s="145">
        <v>0.89532132298031675</v>
      </c>
      <c r="C9" s="145">
        <v>0.94491944474182166</v>
      </c>
      <c r="D9" s="145">
        <v>0.49356957024287251</v>
      </c>
      <c r="E9" s="145">
        <v>1.2723922931161384</v>
      </c>
      <c r="F9" s="145">
        <v>1.109022421345282</v>
      </c>
      <c r="G9" s="145">
        <v>1.0288662672545121</v>
      </c>
      <c r="H9" s="145">
        <v>1.027488601451656</v>
      </c>
      <c r="I9" s="145">
        <v>1.0746441110768437</v>
      </c>
      <c r="J9" s="145">
        <v>0.64643621096949333</v>
      </c>
    </row>
    <row r="10" spans="1:10">
      <c r="A10" s="140">
        <v>1994</v>
      </c>
      <c r="B10" s="145">
        <v>0.92783334186080391</v>
      </c>
      <c r="C10" s="145">
        <v>0.95272265017221303</v>
      </c>
      <c r="D10" s="145">
        <v>0.63879249708823715</v>
      </c>
      <c r="E10" s="145">
        <v>1.2514311772495392</v>
      </c>
      <c r="F10" s="145">
        <v>1.0775314711454167</v>
      </c>
      <c r="G10" s="145">
        <v>1.0200870766412309</v>
      </c>
      <c r="H10" s="145">
        <v>1.0439361101678788</v>
      </c>
      <c r="I10" s="145">
        <v>1.0016753642041898</v>
      </c>
      <c r="J10" s="145">
        <v>0.65678402913446521</v>
      </c>
    </row>
    <row r="11" spans="1:10">
      <c r="A11" s="140">
        <v>1995</v>
      </c>
      <c r="B11" s="145">
        <v>0.9649994282930312</v>
      </c>
      <c r="C11" s="145">
        <v>0.99067177389065941</v>
      </c>
      <c r="D11" s="145">
        <v>0.61405314991744042</v>
      </c>
      <c r="E11" s="145">
        <v>1.2022299600725777</v>
      </c>
      <c r="F11" s="145">
        <v>1.0700303398394437</v>
      </c>
      <c r="G11" s="145">
        <v>0.96852061069030637</v>
      </c>
      <c r="H11" s="145">
        <v>0.98796475628714442</v>
      </c>
      <c r="I11" s="145">
        <v>0.95200199010933506</v>
      </c>
      <c r="J11" s="145">
        <v>0.62157010084915276</v>
      </c>
    </row>
    <row r="12" spans="1:10">
      <c r="A12" s="140">
        <v>1996</v>
      </c>
      <c r="B12" s="145">
        <v>0.87915481386953265</v>
      </c>
      <c r="C12" s="145">
        <v>0.87294425418539834</v>
      </c>
      <c r="D12" s="145">
        <v>0.61562841233064158</v>
      </c>
      <c r="E12" s="145">
        <v>1.2525541307263754</v>
      </c>
      <c r="F12" s="145">
        <v>0.94496162920750304</v>
      </c>
      <c r="G12" s="145">
        <v>0.82603653223531626</v>
      </c>
      <c r="H12" s="145">
        <v>0.99880109067365941</v>
      </c>
      <c r="I12" s="145">
        <v>0.96743732351729061</v>
      </c>
      <c r="J12" s="145">
        <v>0.628387693698086</v>
      </c>
    </row>
    <row r="13" spans="1:10">
      <c r="A13" s="140">
        <v>1997</v>
      </c>
      <c r="B13" s="145">
        <v>0.90629252630913382</v>
      </c>
      <c r="C13" s="145">
        <v>0.91133718232201655</v>
      </c>
      <c r="D13" s="145">
        <v>0.6723609260905089</v>
      </c>
      <c r="E13" s="145">
        <v>1.2942940178653111</v>
      </c>
      <c r="F13" s="145">
        <v>0.9813849220358194</v>
      </c>
      <c r="G13" s="145">
        <v>0.81644672077448921</v>
      </c>
      <c r="H13" s="145">
        <v>1.102519373868736</v>
      </c>
      <c r="I13" s="145">
        <v>1.0274404282387042</v>
      </c>
      <c r="J13" s="145">
        <v>0.51929614222276177</v>
      </c>
    </row>
    <row r="14" spans="1:10">
      <c r="A14" s="140">
        <v>1998</v>
      </c>
      <c r="B14" s="145">
        <v>0.92663713534043457</v>
      </c>
      <c r="C14" s="145">
        <v>0.97036303053439343</v>
      </c>
      <c r="D14" s="145">
        <v>0.96161012741073215</v>
      </c>
      <c r="E14" s="145">
        <v>1.276259968290496</v>
      </c>
      <c r="F14" s="145">
        <v>0.87615712823658587</v>
      </c>
      <c r="G14" s="145">
        <v>0.74158025846792808</v>
      </c>
      <c r="H14" s="145">
        <v>1.0685629433244797</v>
      </c>
      <c r="I14" s="145">
        <v>0.94616925025757481</v>
      </c>
      <c r="J14" s="145">
        <v>0.40006920409624147</v>
      </c>
    </row>
    <row r="15" spans="1:10">
      <c r="A15" s="140">
        <v>1999</v>
      </c>
      <c r="B15" s="145">
        <v>0.95474919247080403</v>
      </c>
      <c r="C15" s="145">
        <v>0.98570449118184666</v>
      </c>
      <c r="D15" s="145">
        <v>0.70973906619686744</v>
      </c>
      <c r="E15" s="145">
        <v>1.1332653035280604</v>
      </c>
      <c r="F15" s="145">
        <v>0.79191055589002779</v>
      </c>
      <c r="G15" s="145">
        <v>0.65738247877144496</v>
      </c>
      <c r="H15" s="145">
        <v>1.0249179937687563</v>
      </c>
      <c r="I15" s="145">
        <v>0.86611663786491089</v>
      </c>
      <c r="J15" s="145">
        <v>0.5098841587204217</v>
      </c>
    </row>
    <row r="16" spans="1:10">
      <c r="A16" s="140">
        <v>2000</v>
      </c>
      <c r="B16" s="145">
        <v>1.1282113372003493</v>
      </c>
      <c r="C16" s="145">
        <v>1.1081240816349023</v>
      </c>
      <c r="D16" s="145">
        <v>1.0424255070395292</v>
      </c>
      <c r="E16" s="145">
        <v>1.4489289082593475</v>
      </c>
      <c r="F16" s="145">
        <v>1.0156057580838647</v>
      </c>
      <c r="G16" s="145">
        <v>0.89889526343301829</v>
      </c>
      <c r="H16" s="145">
        <v>1.1966669505909617</v>
      </c>
      <c r="I16" s="145">
        <v>1.0676386617042224</v>
      </c>
      <c r="J16" s="145">
        <v>0.71170900781358271</v>
      </c>
    </row>
    <row r="17" spans="1:10">
      <c r="A17" s="140">
        <v>2001</v>
      </c>
      <c r="B17" s="145">
        <v>0.81541677165648419</v>
      </c>
      <c r="C17" s="145">
        <v>1.4639815469675135</v>
      </c>
      <c r="D17" s="145">
        <v>1.2311150767178665</v>
      </c>
      <c r="E17" s="145">
        <v>1.4537396577927948</v>
      </c>
      <c r="F17" s="145">
        <v>1.0106009406018768</v>
      </c>
      <c r="G17" s="145">
        <v>0.89831097883746647</v>
      </c>
      <c r="H17" s="145">
        <v>1.8702823007993863</v>
      </c>
      <c r="I17" s="145">
        <v>1.7178258819553289</v>
      </c>
      <c r="J17" s="145">
        <v>1.8246146868933391</v>
      </c>
    </row>
    <row r="18" spans="1:10">
      <c r="A18" s="140">
        <v>2002</v>
      </c>
      <c r="B18" s="145">
        <v>0.92840859862859348</v>
      </c>
      <c r="C18" s="145">
        <v>0.82454596872591479</v>
      </c>
      <c r="D18" s="145">
        <v>0.76457390097044586</v>
      </c>
      <c r="E18" s="145">
        <v>1.1440259527950027</v>
      </c>
      <c r="F18" s="145">
        <v>0.77846453509947766</v>
      </c>
      <c r="G18" s="145">
        <v>0.66397062556928255</v>
      </c>
      <c r="H18" s="145">
        <v>1.0169399769755649</v>
      </c>
      <c r="I18" s="145">
        <v>0.81869695489567962</v>
      </c>
      <c r="J18" s="145">
        <v>0.61611835019070627</v>
      </c>
    </row>
    <row r="19" spans="1:10">
      <c r="A19" s="140">
        <v>2003</v>
      </c>
      <c r="B19" s="145">
        <v>1.2358983161875867</v>
      </c>
      <c r="C19" s="145">
        <v>1.1297131803811769</v>
      </c>
      <c r="D19" s="145">
        <v>1.102394712658948</v>
      </c>
      <c r="E19" s="145">
        <v>1.3984884069620918</v>
      </c>
      <c r="F19" s="145">
        <v>1.0125703294933814</v>
      </c>
      <c r="G19" s="145">
        <v>0.87970071743548439</v>
      </c>
      <c r="H19" s="145">
        <v>1.2126669623104751</v>
      </c>
      <c r="I19" s="145">
        <v>1.0243630439260776</v>
      </c>
      <c r="J19" s="145">
        <v>0.67705099424091209</v>
      </c>
    </row>
    <row r="20" spans="1:10">
      <c r="A20" s="140">
        <v>2004</v>
      </c>
      <c r="B20" s="145">
        <v>1.2544794403361026</v>
      </c>
      <c r="C20" s="145">
        <v>1.1078922521488233</v>
      </c>
      <c r="D20" s="145">
        <v>1.0994846051482585</v>
      </c>
      <c r="E20" s="145">
        <v>1.4986698170777106</v>
      </c>
      <c r="F20" s="145">
        <v>1.0873552001382805</v>
      </c>
      <c r="G20" s="145">
        <v>0.96798959067297152</v>
      </c>
      <c r="H20" s="145">
        <v>1.2855291202924533</v>
      </c>
      <c r="I20" s="145">
        <v>1.0729142411379256</v>
      </c>
      <c r="J20" s="145">
        <v>0.84941760181419612</v>
      </c>
    </row>
    <row r="21" spans="1:10">
      <c r="A21" s="140">
        <v>2005</v>
      </c>
      <c r="B21" s="145">
        <v>1.5191359032474103</v>
      </c>
      <c r="C21" s="145">
        <v>1.388099821009029</v>
      </c>
      <c r="D21" s="145">
        <v>1.3414961517159052</v>
      </c>
      <c r="E21" s="145">
        <v>1.7097300677498695</v>
      </c>
      <c r="F21" s="145">
        <v>1.2793673225401871</v>
      </c>
      <c r="G21" s="145">
        <v>1.1750863041955959</v>
      </c>
      <c r="H21" s="145">
        <v>1.5353836650056871</v>
      </c>
      <c r="I21" s="145">
        <v>1.2956248307604632</v>
      </c>
      <c r="J21" s="145">
        <v>1.0431829751772697</v>
      </c>
    </row>
    <row r="22" spans="1:10">
      <c r="A22" s="140">
        <v>2006</v>
      </c>
      <c r="B22" s="145">
        <v>1.5312174475248983</v>
      </c>
      <c r="C22" s="145">
        <v>1.3716377139341596</v>
      </c>
      <c r="D22" s="145">
        <v>1.2836638759705619</v>
      </c>
      <c r="E22" s="145">
        <v>1.6120531949129393</v>
      </c>
      <c r="F22" s="145">
        <v>1.1859513745167085</v>
      </c>
      <c r="G22" s="145">
        <v>1.0591100897167427</v>
      </c>
      <c r="H22" s="145">
        <v>1.5502873289367927</v>
      </c>
      <c r="I22" s="145">
        <v>1.261667567147928</v>
      </c>
      <c r="J22" s="145">
        <v>0.99831807174037024</v>
      </c>
    </row>
    <row r="23" spans="1:10">
      <c r="A23" s="140">
        <v>2007</v>
      </c>
      <c r="B23" s="145">
        <v>1.4400895308695565</v>
      </c>
      <c r="C23" s="145">
        <v>1.3629797602415363</v>
      </c>
      <c r="D23" s="145">
        <v>1.2419943583547071</v>
      </c>
      <c r="E23" s="145">
        <v>1.5785045119426686</v>
      </c>
      <c r="F23" s="145">
        <v>1.1222593200141995</v>
      </c>
      <c r="G23" s="145">
        <v>1.0151814252491798</v>
      </c>
      <c r="H23" s="145">
        <v>1.4813383018642068</v>
      </c>
      <c r="I23" s="145">
        <v>1.1784900196497081</v>
      </c>
      <c r="J23" s="145">
        <v>0.85006504708869857</v>
      </c>
    </row>
    <row r="24" spans="1:10">
      <c r="A24" s="140">
        <v>2008</v>
      </c>
      <c r="B24" s="145">
        <v>1.5160955247348256</v>
      </c>
      <c r="C24" s="145">
        <v>1.43468288958321</v>
      </c>
      <c r="D24" s="145">
        <v>1.3645817772054134</v>
      </c>
      <c r="E24" s="145">
        <v>1.7495284411236114</v>
      </c>
      <c r="F24" s="145">
        <v>1.3438304137927946</v>
      </c>
      <c r="G24" s="145">
        <v>1.2346564659317665</v>
      </c>
      <c r="H24" s="145">
        <v>1.5951769109042033</v>
      </c>
      <c r="I24" s="145">
        <v>1.3017543096327282</v>
      </c>
      <c r="J24" s="145">
        <v>2.7011749581656441</v>
      </c>
    </row>
    <row r="25" spans="1:10">
      <c r="A25" s="140">
        <v>2009</v>
      </c>
      <c r="B25" s="145">
        <v>1.1615621279286759</v>
      </c>
      <c r="C25" s="145">
        <v>1.0118583547462707</v>
      </c>
      <c r="D25" s="145">
        <v>0.90727908822816583</v>
      </c>
      <c r="E25" s="145">
        <v>1.2081303131832768</v>
      </c>
      <c r="F25" s="145">
        <v>0.82264185804674694</v>
      </c>
      <c r="G25" s="145">
        <v>0.68688763496850613</v>
      </c>
      <c r="H25" s="145">
        <v>1.173058076588479</v>
      </c>
      <c r="I25" s="145">
        <v>0.80196832675952079</v>
      </c>
      <c r="J25" s="145">
        <v>0.7380200784764589</v>
      </c>
    </row>
    <row r="26" spans="1:10">
      <c r="A26" s="140">
        <v>2010</v>
      </c>
      <c r="B26" s="145">
        <v>1.1706043626159537</v>
      </c>
      <c r="C26" s="145">
        <v>1.0169519217664067</v>
      </c>
      <c r="D26" s="145">
        <v>0.90683324192789461</v>
      </c>
      <c r="E26" s="145">
        <v>1.2887640191286027</v>
      </c>
      <c r="F26" s="145">
        <v>0.90396311927995265</v>
      </c>
      <c r="G26" s="145">
        <v>0.76850974903435532</v>
      </c>
      <c r="H26" s="145">
        <v>1.2490003524266073</v>
      </c>
      <c r="I26" s="145">
        <v>0.85824698529500543</v>
      </c>
      <c r="J26" s="145">
        <v>0.7857985521021924</v>
      </c>
    </row>
    <row r="27" spans="1:10">
      <c r="A27" s="140">
        <v>2011</v>
      </c>
      <c r="B27" s="145">
        <v>1.1679287793870987</v>
      </c>
      <c r="C27" s="145">
        <v>1.0120287416334575</v>
      </c>
      <c r="D27" s="145">
        <v>0.90919093615297664</v>
      </c>
      <c r="E27" s="145">
        <v>1.2520511165612636</v>
      </c>
      <c r="F27" s="145">
        <v>0.88373888443542836</v>
      </c>
      <c r="G27" s="145">
        <v>0.7514687900457383</v>
      </c>
      <c r="H27" s="145">
        <v>1.1908850870305472</v>
      </c>
      <c r="I27" s="145">
        <v>0.79306091451117711</v>
      </c>
      <c r="J27" s="145">
        <v>0.74923579908572235</v>
      </c>
    </row>
    <row r="28" spans="1:10">
      <c r="A28" s="140">
        <v>2012</v>
      </c>
      <c r="B28" s="145">
        <v>1.102025314026629</v>
      </c>
      <c r="C28" s="145">
        <v>0.91310618092281504</v>
      </c>
      <c r="D28" s="145">
        <v>0.78355373542956908</v>
      </c>
      <c r="E28" s="145">
        <v>1.1145583870166371</v>
      </c>
      <c r="F28" s="145">
        <v>0.72655800904629153</v>
      </c>
      <c r="G28" s="145">
        <v>0.58871862876888914</v>
      </c>
      <c r="H28" s="145">
        <v>0.96517612982102297</v>
      </c>
      <c r="I28" s="145">
        <v>0.578248590437484</v>
      </c>
      <c r="J28" s="145">
        <v>0.60723281932102102</v>
      </c>
    </row>
    <row r="29" spans="1:10">
      <c r="A29" s="140">
        <v>2013</v>
      </c>
      <c r="B29" s="145">
        <v>1.1151028796405833</v>
      </c>
      <c r="C29" s="145">
        <v>0.92147011461357931</v>
      </c>
      <c r="D29" s="145">
        <v>0.82690277589494343</v>
      </c>
      <c r="E29" s="145">
        <v>1.2393703206555098</v>
      </c>
      <c r="F29" s="145">
        <v>0.81799982113835645</v>
      </c>
      <c r="G29" s="145">
        <v>0.68370872765781643</v>
      </c>
      <c r="H29" s="145">
        <v>1.1347815065055722</v>
      </c>
      <c r="I29" s="145">
        <v>0.72263033945865418</v>
      </c>
      <c r="J29" s="145">
        <v>0.71393868146792305</v>
      </c>
    </row>
    <row r="30" spans="1:10">
      <c r="A30" s="140">
        <v>2014</v>
      </c>
      <c r="B30" s="145">
        <v>1.2474175762427497</v>
      </c>
      <c r="C30" s="145">
        <v>1.0659980036178369</v>
      </c>
      <c r="D30" s="145">
        <v>0.96856118598931618</v>
      </c>
      <c r="E30" s="145">
        <v>1.4370636809207116</v>
      </c>
      <c r="F30" s="145">
        <v>0.92506460653018263</v>
      </c>
      <c r="G30" s="145">
        <v>0.78767592638223849</v>
      </c>
      <c r="H30" s="145">
        <v>1.310522264347888</v>
      </c>
      <c r="I30" s="145">
        <v>0.82298994332437736</v>
      </c>
      <c r="J30" s="145">
        <v>0.82450456945148831</v>
      </c>
    </row>
    <row r="31" spans="1:10">
      <c r="A31" s="140">
        <v>2015</v>
      </c>
      <c r="B31" s="145">
        <v>1.3197059855692754</v>
      </c>
      <c r="C31" s="145">
        <v>1.005429777815307</v>
      </c>
      <c r="D31" s="145">
        <v>0.84880779845426202</v>
      </c>
      <c r="E31" s="145">
        <v>1.3019795689182256</v>
      </c>
      <c r="F31" s="145">
        <v>0.75864315118252845</v>
      </c>
      <c r="G31" s="145">
        <v>0.61491806952786821</v>
      </c>
      <c r="H31" s="145">
        <v>1.2793986859371598</v>
      </c>
      <c r="I31" s="145">
        <v>0.74531091041431408</v>
      </c>
      <c r="J31" s="145">
        <v>0.80492341977136728</v>
      </c>
    </row>
    <row r="32" spans="1:10">
      <c r="A32" s="140">
        <v>2016</v>
      </c>
      <c r="B32" s="145">
        <v>1.0067408812992744</v>
      </c>
      <c r="C32" s="145">
        <v>0.95397115407894051</v>
      </c>
      <c r="D32" s="145">
        <v>0.79274372766698653</v>
      </c>
      <c r="E32" s="145">
        <v>0.82257216959410062</v>
      </c>
      <c r="F32" s="145">
        <v>0.74559952451284717</v>
      </c>
      <c r="G32" s="145">
        <v>0.58772881517688225</v>
      </c>
      <c r="H32" s="145">
        <v>0.93563825323943928</v>
      </c>
      <c r="I32" s="145">
        <v>0.73007429201257756</v>
      </c>
      <c r="J32" s="145">
        <v>0.59056519383299588</v>
      </c>
    </row>
    <row r="33" spans="1:10">
      <c r="A33" s="140">
        <v>2017</v>
      </c>
      <c r="B33" s="145">
        <v>1.0952199182789117</v>
      </c>
      <c r="C33" s="145">
        <v>1.0808042351698193</v>
      </c>
      <c r="D33" s="145">
        <v>0.91423938665455307</v>
      </c>
      <c r="E33" s="145">
        <v>0.84069150664512327</v>
      </c>
      <c r="F33" s="145">
        <v>0.71684779518888808</v>
      </c>
      <c r="G33" s="145">
        <v>0.55543512540504947</v>
      </c>
      <c r="H33" s="145">
        <v>1.0028237885653162</v>
      </c>
      <c r="I33" s="145">
        <v>0.75099883280295376</v>
      </c>
      <c r="J33" s="145">
        <v>0.55827150406116322</v>
      </c>
    </row>
    <row r="34" spans="1:10">
      <c r="A34" s="140">
        <v>2018</v>
      </c>
      <c r="B34" s="145">
        <v>1.0678501890106604</v>
      </c>
      <c r="C34" s="145">
        <v>1.0522242323340152</v>
      </c>
      <c r="D34" s="145">
        <v>0.89245312065145954</v>
      </c>
      <c r="E34" s="145">
        <v>0.84190446918843564</v>
      </c>
      <c r="F34" s="145">
        <v>0.72461791889831917</v>
      </c>
      <c r="G34" s="145">
        <v>0.56110696680740868</v>
      </c>
      <c r="H34" s="145">
        <v>0.93986252768258693</v>
      </c>
      <c r="I34" s="145">
        <v>0.6249216302000451</v>
      </c>
      <c r="J34" s="145">
        <v>0.56394334546352232</v>
      </c>
    </row>
    <row r="35" spans="1:10">
      <c r="A35" s="140">
        <v>2019</v>
      </c>
      <c r="B35" s="145">
        <v>1.0954335908774113</v>
      </c>
      <c r="C35" s="145">
        <v>1.1246167340192121</v>
      </c>
      <c r="D35" s="145">
        <v>0.93820795179486594</v>
      </c>
      <c r="E35" s="145">
        <v>0.91630434493053936</v>
      </c>
      <c r="F35" s="145">
        <v>0.80303898673530538</v>
      </c>
      <c r="G35" s="145">
        <v>0.63203778348865791</v>
      </c>
      <c r="H35" s="145">
        <v>0.9732787159258881</v>
      </c>
      <c r="I35" s="145">
        <v>0.75659072695336593</v>
      </c>
      <c r="J35" s="145">
        <v>0.63487416214477166</v>
      </c>
    </row>
    <row r="36" spans="1:10">
      <c r="A36" s="140">
        <v>2020</v>
      </c>
      <c r="B36" s="145">
        <v>1.1423717418845294</v>
      </c>
      <c r="C36" s="145">
        <v>1.0765148858544167</v>
      </c>
      <c r="D36" s="145">
        <v>0.81893962923505448</v>
      </c>
      <c r="E36" s="145">
        <v>1.0006441629179381</v>
      </c>
      <c r="F36" s="145">
        <v>0.84169732019326071</v>
      </c>
      <c r="G36" s="145">
        <v>0.53890368125810384</v>
      </c>
      <c r="H36" s="145">
        <v>1.281354119434724</v>
      </c>
      <c r="I36" s="145">
        <v>0.8537545249395706</v>
      </c>
      <c r="J36" s="145">
        <v>0.60362928851228825</v>
      </c>
    </row>
    <row r="37" spans="1:10">
      <c r="A37" s="140">
        <v>2021</v>
      </c>
      <c r="B37" s="145">
        <v>1.2361179727016711</v>
      </c>
      <c r="C37" s="145">
        <v>1.1115090337268503</v>
      </c>
      <c r="D37" s="145">
        <v>0.77095075698898896</v>
      </c>
      <c r="E37" s="145">
        <v>1.011877813105351</v>
      </c>
      <c r="F37" s="145">
        <v>0.88711713265560066</v>
      </c>
      <c r="G37" s="145">
        <v>0.44963200979497275</v>
      </c>
      <c r="H37" s="145">
        <v>1.4742089923757644</v>
      </c>
      <c r="I37" s="145">
        <v>1.018689315462092</v>
      </c>
      <c r="J37" s="145">
        <v>0.51217695303555166</v>
      </c>
    </row>
    <row r="38" spans="1:10">
      <c r="A38" s="140">
        <v>2022</v>
      </c>
      <c r="B38" s="145">
        <v>1.2738024372793253</v>
      </c>
      <c r="C38" s="145">
        <v>1.1482230874537371</v>
      </c>
      <c r="D38" s="145">
        <v>0.79220209323836421</v>
      </c>
      <c r="E38" s="145">
        <v>1.041658046128342</v>
      </c>
      <c r="F38" s="145">
        <v>0.90633385230327856</v>
      </c>
      <c r="G38" s="145">
        <v>0.45764985058408625</v>
      </c>
      <c r="H38" s="145">
        <v>1.5216683173034158</v>
      </c>
      <c r="I38" s="145">
        <v>1.0422553663435863</v>
      </c>
      <c r="J38" s="145">
        <v>0.52158878928347374</v>
      </c>
    </row>
    <row r="39" spans="1:10">
      <c r="A39" s="140">
        <v>2023</v>
      </c>
      <c r="B39" s="145">
        <v>1.3118799412914783</v>
      </c>
      <c r="C39" s="145">
        <v>1.1896408123206879</v>
      </c>
      <c r="D39" s="145">
        <v>0.81604644424570116</v>
      </c>
      <c r="E39" s="145">
        <v>1.0738893807508436</v>
      </c>
      <c r="F39" s="145">
        <v>0.93014625015167507</v>
      </c>
      <c r="G39" s="145">
        <v>0.46882545651705199</v>
      </c>
      <c r="H39" s="145">
        <v>1.5706728735627689</v>
      </c>
      <c r="I39" s="145">
        <v>1.0722218303248521</v>
      </c>
      <c r="J39" s="145">
        <v>0.53423081110966264</v>
      </c>
    </row>
    <row r="40" spans="1:10">
      <c r="A40" s="140">
        <v>2024</v>
      </c>
      <c r="B40" s="145">
        <v>1.3502788094816298</v>
      </c>
      <c r="C40" s="145">
        <v>1.2332786043627488</v>
      </c>
      <c r="D40" s="145">
        <v>0.83814052275626172</v>
      </c>
      <c r="E40" s="145">
        <v>1.1055214931676005</v>
      </c>
      <c r="F40" s="145">
        <v>0.95279684161883815</v>
      </c>
      <c r="G40" s="145">
        <v>0.47787868224034713</v>
      </c>
      <c r="H40" s="145">
        <v>1.6191881768513279</v>
      </c>
      <c r="I40" s="145">
        <v>1.1015335236039703</v>
      </c>
      <c r="J40" s="145">
        <v>0.54417246984159273</v>
      </c>
    </row>
    <row r="41" spans="1:10">
      <c r="A41" s="140">
        <v>2025</v>
      </c>
      <c r="B41" s="145">
        <v>1.3900150673133647</v>
      </c>
      <c r="C41" s="145">
        <v>1.2796128513763796</v>
      </c>
      <c r="D41" s="145">
        <v>0.8619565786841703</v>
      </c>
      <c r="E41" s="145">
        <v>1.1397326546788675</v>
      </c>
      <c r="F41" s="145">
        <v>0.97913853760565428</v>
      </c>
      <c r="G41" s="145">
        <v>0.48957233849637533</v>
      </c>
      <c r="H41" s="145">
        <v>1.6709860248641135</v>
      </c>
      <c r="I41" s="145">
        <v>1.1342903295753695</v>
      </c>
      <c r="J41" s="145">
        <v>0.55736839679131989</v>
      </c>
    </row>
    <row r="42" spans="1:10">
      <c r="A42" s="140">
        <v>2026</v>
      </c>
      <c r="B42" s="145">
        <v>1.431444414256519</v>
      </c>
      <c r="C42" s="145">
        <v>1.3277446057051874</v>
      </c>
      <c r="D42" s="145">
        <v>0.8870241764178397</v>
      </c>
      <c r="E42" s="145">
        <v>1.1749252621573272</v>
      </c>
      <c r="F42" s="145">
        <v>1.0059554092807763</v>
      </c>
      <c r="G42" s="145">
        <v>0.50110485039116193</v>
      </c>
      <c r="H42" s="145">
        <v>1.7242564021041884</v>
      </c>
      <c r="I42" s="145">
        <v>1.167793582353871</v>
      </c>
      <c r="J42" s="145">
        <v>0.57060846693194178</v>
      </c>
    </row>
    <row r="43" spans="1:10">
      <c r="A43" s="140">
        <v>2027</v>
      </c>
      <c r="B43" s="145">
        <v>1.4744542690362683</v>
      </c>
      <c r="C43" s="145">
        <v>1.3794942509011276</v>
      </c>
      <c r="D43" s="145">
        <v>0.91363477145349281</v>
      </c>
      <c r="E43" s="145">
        <v>1.2094213700463341</v>
      </c>
      <c r="F43" s="145">
        <v>1.0304112701249013</v>
      </c>
      <c r="G43" s="145">
        <v>0.51060924634347704</v>
      </c>
      <c r="H43" s="145">
        <v>1.7772505118907924</v>
      </c>
      <c r="I43" s="145">
        <v>1.1997464228763908</v>
      </c>
      <c r="J43" s="145">
        <v>0.58205945002039194</v>
      </c>
    </row>
    <row r="44" spans="1:10">
      <c r="A44" s="140">
        <v>2028</v>
      </c>
      <c r="B44" s="145">
        <v>1.5195928154241596</v>
      </c>
      <c r="C44" s="145">
        <v>1.4331441132118117</v>
      </c>
      <c r="D44" s="145">
        <v>0.94179296238301791</v>
      </c>
      <c r="E44" s="145">
        <v>1.2508272582804352</v>
      </c>
      <c r="F44" s="145">
        <v>1.0623233439158233</v>
      </c>
      <c r="G44" s="145">
        <v>0.52741721938831243</v>
      </c>
      <c r="H44" s="145">
        <v>1.8380630377030303</v>
      </c>
      <c r="I44" s="145">
        <v>1.2404163237189458</v>
      </c>
      <c r="J44" s="145">
        <v>0.60115667316528265</v>
      </c>
    </row>
    <row r="45" spans="1:10">
      <c r="A45" s="140">
        <v>2029</v>
      </c>
      <c r="B45" s="145">
        <v>1.5662155153315229</v>
      </c>
      <c r="C45" s="145">
        <v>1.4883031984081023</v>
      </c>
      <c r="D45" s="145">
        <v>0.97044725855099156</v>
      </c>
      <c r="E45" s="145">
        <v>1.2878778170195069</v>
      </c>
      <c r="F45" s="145">
        <v>1.086788361563179</v>
      </c>
      <c r="G45" s="145">
        <v>0.53751001420428812</v>
      </c>
      <c r="H45" s="145">
        <v>1.8959371905961278</v>
      </c>
      <c r="I45" s="145">
        <v>1.2741243077996787</v>
      </c>
      <c r="J45" s="145">
        <v>0.61314585948466738</v>
      </c>
    </row>
    <row r="46" spans="1:10">
      <c r="A46" s="140">
        <v>2030</v>
      </c>
      <c r="B46" s="145">
        <v>1.6149975510335952</v>
      </c>
      <c r="C46" s="145">
        <v>1.5429263157650204</v>
      </c>
      <c r="D46" s="145">
        <v>1.0006151683943367</v>
      </c>
      <c r="E46" s="145">
        <v>1.3286929405618437</v>
      </c>
      <c r="F46" s="145">
        <v>1.112520315289252</v>
      </c>
      <c r="G46" s="145">
        <v>0.55080658117407177</v>
      </c>
      <c r="H46" s="145">
        <v>1.9583490366090017</v>
      </c>
      <c r="I46" s="145">
        <v>1.3106435419544062</v>
      </c>
      <c r="J46" s="145">
        <v>0.6284947550774671</v>
      </c>
    </row>
    <row r="47" spans="1:10">
      <c r="A47" s="140">
        <v>2031</v>
      </c>
      <c r="B47" s="145">
        <v>1.6471908075690596</v>
      </c>
      <c r="C47" s="145">
        <v>1.5789747377706229</v>
      </c>
      <c r="D47" s="145">
        <v>1.0191136997895986</v>
      </c>
      <c r="E47" s="145">
        <v>1.3559909425599508</v>
      </c>
      <c r="F47" s="145">
        <v>1.1357649926021061</v>
      </c>
      <c r="G47" s="145">
        <v>0.55950980179054011</v>
      </c>
      <c r="H47" s="145">
        <v>1.999776413526317</v>
      </c>
      <c r="I47" s="145">
        <v>1.336830955940969</v>
      </c>
      <c r="J47" s="145">
        <v>0.63814326349882533</v>
      </c>
    </row>
    <row r="48" spans="1:10">
      <c r="A48" s="140">
        <v>2032</v>
      </c>
      <c r="B48" s="145">
        <v>1.6890655217970791</v>
      </c>
      <c r="C48" s="145">
        <v>1.6272632923974357</v>
      </c>
      <c r="D48" s="145">
        <v>1.0445378136947405</v>
      </c>
      <c r="E48" s="145">
        <v>1.3911815860090997</v>
      </c>
      <c r="F48" s="145">
        <v>1.1612944219023213</v>
      </c>
      <c r="G48" s="145">
        <v>0.57085692485910966</v>
      </c>
      <c r="H48" s="145">
        <v>2.0533615693699989</v>
      </c>
      <c r="I48" s="145">
        <v>1.3696781380390934</v>
      </c>
      <c r="J48" s="145">
        <v>0.65116926368513295</v>
      </c>
    </row>
    <row r="49" spans="1:10">
      <c r="A49" s="140">
        <v>2033</v>
      </c>
      <c r="B49" s="145">
        <v>1.7309402360250987</v>
      </c>
      <c r="C49" s="145">
        <v>1.6755518470242372</v>
      </c>
      <c r="D49" s="145">
        <v>1.0699619275998824</v>
      </c>
      <c r="E49" s="145">
        <v>1.4263722294582453</v>
      </c>
      <c r="F49" s="145">
        <v>1.1868238512025457</v>
      </c>
      <c r="G49" s="145">
        <v>0.58220404792767666</v>
      </c>
      <c r="H49" s="145">
        <v>2.1069467252136835</v>
      </c>
      <c r="I49" s="145">
        <v>1.4025253201372068</v>
      </c>
      <c r="J49" s="145">
        <v>0.66419526387144079</v>
      </c>
    </row>
    <row r="50" spans="1:10">
      <c r="A50" s="140">
        <v>2034</v>
      </c>
      <c r="B50" s="145">
        <v>1.7728149502531152</v>
      </c>
      <c r="C50" s="145">
        <v>1.7238404016510502</v>
      </c>
      <c r="D50" s="145">
        <v>1.0953860415050243</v>
      </c>
      <c r="E50" s="145">
        <v>1.4615628729073906</v>
      </c>
      <c r="F50" s="145">
        <v>1.212353280502759</v>
      </c>
      <c r="G50" s="145">
        <v>0.5935511709962461</v>
      </c>
      <c r="H50" s="145">
        <v>2.1605318810573686</v>
      </c>
      <c r="I50" s="145">
        <v>1.4353725022353314</v>
      </c>
      <c r="J50" s="145">
        <v>0.67722126405774719</v>
      </c>
    </row>
    <row r="51" spans="1:10">
      <c r="A51" s="140">
        <v>2035</v>
      </c>
      <c r="B51" s="145">
        <v>1.814689664481135</v>
      </c>
      <c r="C51" s="145">
        <v>1.772128956277863</v>
      </c>
      <c r="D51" s="145">
        <v>1.1208101554101686</v>
      </c>
      <c r="E51" s="145">
        <v>1.4967535163565397</v>
      </c>
      <c r="F51" s="145">
        <v>1.2378827098029834</v>
      </c>
      <c r="G51" s="145">
        <v>0.60489829406481432</v>
      </c>
      <c r="H51" s="145">
        <v>2.2141170369010537</v>
      </c>
      <c r="I51" s="145">
        <v>1.4682196843334561</v>
      </c>
      <c r="J51" s="145">
        <v>0.69024726424405491</v>
      </c>
    </row>
    <row r="52" spans="1:10">
      <c r="A52" s="144" t="s">
        <v>930</v>
      </c>
    </row>
  </sheetData>
  <mergeCells count="3">
    <mergeCell ref="A1:I1"/>
    <mergeCell ref="A2:I2"/>
    <mergeCell ref="A3:I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4CB74-9224-488B-BBB3-C08DEB62D5FE}">
  <sheetPr>
    <tabColor theme="0" tint="-0.14999847407452621"/>
  </sheetPr>
  <dimension ref="A1:AJ170"/>
  <sheetViews>
    <sheetView topLeftCell="L11" workbookViewId="0">
      <selection activeCell="P16" sqref="P16:AB16"/>
    </sheetView>
  </sheetViews>
  <sheetFormatPr defaultColWidth="8.7265625" defaultRowHeight="14.5"/>
  <cols>
    <col min="1" max="1" width="22" style="32" customWidth="1"/>
    <col min="2" max="2" width="11.81640625" style="32" bestFit="1" customWidth="1"/>
    <col min="3" max="16384" width="8.7265625" style="32"/>
  </cols>
  <sheetData>
    <row r="1" spans="1:35">
      <c r="A1" s="32" t="s">
        <v>670</v>
      </c>
      <c r="D1" s="32">
        <v>2019</v>
      </c>
      <c r="E1" s="32">
        <v>2020</v>
      </c>
      <c r="F1" s="32">
        <v>2021</v>
      </c>
      <c r="G1" s="32">
        <v>2022</v>
      </c>
      <c r="H1" s="32">
        <v>2023</v>
      </c>
      <c r="I1" s="32">
        <v>2024</v>
      </c>
      <c r="J1" s="32">
        <v>2025</v>
      </c>
      <c r="K1" s="32">
        <v>2026</v>
      </c>
      <c r="L1" s="32">
        <v>2027</v>
      </c>
      <c r="M1" s="32">
        <v>2028</v>
      </c>
      <c r="N1" s="32">
        <v>2029</v>
      </c>
      <c r="O1" s="32">
        <v>2030</v>
      </c>
      <c r="P1" s="32">
        <v>2031</v>
      </c>
      <c r="Q1" s="32">
        <v>2032</v>
      </c>
      <c r="R1" s="32">
        <v>2033</v>
      </c>
      <c r="S1" s="32">
        <v>2034</v>
      </c>
      <c r="T1" s="32">
        <v>2035</v>
      </c>
      <c r="U1" s="38">
        <v>2036</v>
      </c>
      <c r="V1" s="32">
        <v>2037</v>
      </c>
      <c r="W1" s="32">
        <v>2038</v>
      </c>
      <c r="X1" s="32">
        <v>2039</v>
      </c>
      <c r="Y1" s="32">
        <v>2040</v>
      </c>
      <c r="Z1" s="32">
        <v>2041</v>
      </c>
      <c r="AA1" s="32">
        <v>2042</v>
      </c>
      <c r="AB1" s="32">
        <v>2043</v>
      </c>
      <c r="AC1" s="32">
        <v>2044</v>
      </c>
      <c r="AD1" s="32">
        <v>2045</v>
      </c>
      <c r="AE1" s="32">
        <v>2046</v>
      </c>
      <c r="AF1" s="32">
        <v>2047</v>
      </c>
      <c r="AG1" s="32">
        <v>2048</v>
      </c>
      <c r="AH1" s="32">
        <v>2049</v>
      </c>
      <c r="AI1" s="32">
        <v>2050</v>
      </c>
    </row>
    <row r="2" spans="1:35">
      <c r="A2" s="32" t="str">
        <f>A58</f>
        <v>Residential</v>
      </c>
      <c r="U2" s="38"/>
    </row>
    <row r="3" spans="1:35">
      <c r="B3" s="32" t="str">
        <f>A59</f>
        <v>Propane</v>
      </c>
      <c r="G3" s="32">
        <f>(G59-F59)/F59</f>
        <v>8.0777456852945073E-2</v>
      </c>
      <c r="H3" s="32">
        <f>(H59-G59)/G59</f>
        <v>-9.51528385821559E-3</v>
      </c>
      <c r="I3" s="32">
        <f t="shared" ref="I3:AG6" si="0">(I59-H59)/H59</f>
        <v>1.9285911275939115E-3</v>
      </c>
      <c r="J3" s="32">
        <f t="shared" si="0"/>
        <v>-2.431864401601638E-3</v>
      </c>
      <c r="K3" s="32">
        <f t="shared" si="0"/>
        <v>3.7233761185396907E-3</v>
      </c>
      <c r="L3" s="32">
        <f t="shared" si="0"/>
        <v>1.3619157235145098E-2</v>
      </c>
      <c r="M3" s="32">
        <f t="shared" si="0"/>
        <v>2.2296112459104785E-2</v>
      </c>
      <c r="N3" s="32">
        <f t="shared" si="0"/>
        <v>2.0621722875891618E-2</v>
      </c>
      <c r="O3" s="32">
        <f t="shared" si="0"/>
        <v>2.0903394029256121E-2</v>
      </c>
      <c r="P3" s="32">
        <f t="shared" si="0"/>
        <v>2.6799336636769259E-2</v>
      </c>
      <c r="Q3" s="32">
        <f t="shared" si="0"/>
        <v>1.71208989869539E-2</v>
      </c>
      <c r="R3" s="32">
        <f t="shared" si="0"/>
        <v>1.6682619702732431E-2</v>
      </c>
      <c r="S3" s="32">
        <f t="shared" si="0"/>
        <v>1.2059729885186769E-2</v>
      </c>
      <c r="T3" s="32">
        <f t="shared" si="0"/>
        <v>9.0384814365047691E-3</v>
      </c>
      <c r="U3" s="38">
        <f t="shared" si="0"/>
        <v>8.5854768027021876E-3</v>
      </c>
      <c r="V3" s="32">
        <f t="shared" si="0"/>
        <v>9.2363437227701711E-3</v>
      </c>
      <c r="W3" s="32">
        <f t="shared" si="0"/>
        <v>8.9808843442016426E-3</v>
      </c>
      <c r="X3" s="32">
        <f t="shared" si="0"/>
        <v>6.6056391881534919E-3</v>
      </c>
      <c r="Y3" s="32">
        <f t="shared" si="0"/>
        <v>1.0600486299341055E-2</v>
      </c>
      <c r="Z3" s="32">
        <f t="shared" si="0"/>
        <v>9.1315659959457715E-3</v>
      </c>
      <c r="AA3" s="32">
        <f t="shared" si="0"/>
        <v>4.9253897101637235E-3</v>
      </c>
      <c r="AB3" s="32">
        <f t="shared" si="0"/>
        <v>7.125465486422889E-3</v>
      </c>
      <c r="AC3" s="32">
        <f t="shared" si="0"/>
        <v>8.5979422444642118E-3</v>
      </c>
      <c r="AD3" s="32">
        <f t="shared" si="0"/>
        <v>4.8523632427164044E-3</v>
      </c>
      <c r="AE3" s="32">
        <f t="shared" si="0"/>
        <v>5.1967040542506646E-3</v>
      </c>
      <c r="AF3" s="32">
        <f t="shared" si="0"/>
        <v>4.2664316155229896E-3</v>
      </c>
      <c r="AG3" s="32">
        <f t="shared" si="0"/>
        <v>3.0274855115882465E-3</v>
      </c>
      <c r="AH3" s="32">
        <f>(AH59-AG59)/AG59</f>
        <v>1.0843103164008962E-3</v>
      </c>
      <c r="AI3" s="32">
        <f t="shared" ref="AI3:AI6" si="1">(AI59-AH59)/AH59</f>
        <v>1.1988315478568685E-4</v>
      </c>
    </row>
    <row r="4" spans="1:35">
      <c r="B4" s="32" t="str">
        <f>A60</f>
        <v>Distillate Fuel Oil</v>
      </c>
      <c r="G4" s="32">
        <f>(G60-F60)/F60</f>
        <v>1.4868323408051569E-2</v>
      </c>
      <c r="H4" s="32">
        <f t="shared" ref="H4:H48" si="2">(H60-G60)/G60</f>
        <v>-1.4603247452586524E-2</v>
      </c>
      <c r="I4" s="32">
        <f t="shared" si="0"/>
        <v>6.4406997935801291E-2</v>
      </c>
      <c r="J4" s="32">
        <f t="shared" si="0"/>
        <v>2.29151436595115E-2</v>
      </c>
      <c r="K4" s="32">
        <f t="shared" si="0"/>
        <v>2.3762225035841189E-2</v>
      </c>
      <c r="L4" s="32">
        <f t="shared" si="0"/>
        <v>2.6587944442114472E-2</v>
      </c>
      <c r="M4" s="32">
        <f t="shared" si="0"/>
        <v>7.40548520231231E-3</v>
      </c>
      <c r="N4" s="32">
        <f t="shared" si="0"/>
        <v>4.8422705087694971E-3</v>
      </c>
      <c r="O4" s="32">
        <f t="shared" si="0"/>
        <v>-1.4386070275914193E-3</v>
      </c>
      <c r="P4" s="32">
        <f t="shared" si="0"/>
        <v>1.092184858704291E-2</v>
      </c>
      <c r="Q4" s="32">
        <f t="shared" si="0"/>
        <v>4.1060871462767325E-3</v>
      </c>
      <c r="R4" s="32">
        <f t="shared" si="0"/>
        <v>2.4586460056977141E-3</v>
      </c>
      <c r="S4" s="32">
        <f t="shared" si="0"/>
        <v>1.9261301442713111E-3</v>
      </c>
      <c r="T4" s="32">
        <f t="shared" si="0"/>
        <v>3.0937874325254531E-3</v>
      </c>
      <c r="U4" s="38">
        <f t="shared" si="0"/>
        <v>6.5990906514369748E-3</v>
      </c>
      <c r="V4" s="32">
        <f t="shared" si="0"/>
        <v>8.3647606259937869E-3</v>
      </c>
      <c r="W4" s="32">
        <f t="shared" si="0"/>
        <v>4.8767263739487726E-3</v>
      </c>
      <c r="X4" s="32">
        <f t="shared" si="0"/>
        <v>2.6089073369115587E-3</v>
      </c>
      <c r="Y4" s="32">
        <f t="shared" si="0"/>
        <v>8.5262010716349208E-3</v>
      </c>
      <c r="Z4" s="32">
        <f t="shared" si="0"/>
        <v>3.669900027993838E-3</v>
      </c>
      <c r="AA4" s="32">
        <f t="shared" si="0"/>
        <v>4.7214376250956044E-4</v>
      </c>
      <c r="AB4" s="32">
        <f t="shared" si="0"/>
        <v>8.5105559038525253E-3</v>
      </c>
      <c r="AC4" s="32">
        <f t="shared" si="0"/>
        <v>9.6247634024947386E-3</v>
      </c>
      <c r="AD4" s="32">
        <f t="shared" si="0"/>
        <v>3.6357814360133802E-3</v>
      </c>
      <c r="AE4" s="32">
        <f t="shared" si="0"/>
        <v>7.5753082815159497E-3</v>
      </c>
      <c r="AF4" s="32">
        <f t="shared" si="0"/>
        <v>1.0575618465366852E-3</v>
      </c>
      <c r="AG4" s="32">
        <f t="shared" si="0"/>
        <v>-2.8443721026698019E-3</v>
      </c>
      <c r="AH4" s="32">
        <f t="shared" ref="AH4:AH6" si="3">(AH60-AG60)/AG60</f>
        <v>-5.5008564955741845E-4</v>
      </c>
      <c r="AI4" s="32">
        <f t="shared" si="1"/>
        <v>-1.9318860121372778E-3</v>
      </c>
    </row>
    <row r="5" spans="1:35">
      <c r="B5" s="32" t="str">
        <f>A61</f>
        <v>Natural Gas</v>
      </c>
      <c r="G5" s="32">
        <f>(G61-F61)/F61</f>
        <v>3.6442524021390643E-2</v>
      </c>
      <c r="H5" s="32">
        <f t="shared" si="2"/>
        <v>-4.8944310499018165E-2</v>
      </c>
      <c r="I5" s="32">
        <f t="shared" si="0"/>
        <v>-4.0485816966348433E-2</v>
      </c>
      <c r="J5" s="32">
        <f t="shared" si="0"/>
        <v>-2.6294698193631068E-2</v>
      </c>
      <c r="K5" s="32">
        <f t="shared" si="0"/>
        <v>-1.4347087611865357E-2</v>
      </c>
      <c r="L5" s="32">
        <f t="shared" si="0"/>
        <v>-7.4764679076834697E-3</v>
      </c>
      <c r="M5" s="32">
        <f t="shared" si="0"/>
        <v>1.0392979218217168E-2</v>
      </c>
      <c r="N5" s="32">
        <f t="shared" si="0"/>
        <v>1.6686426690468256E-2</v>
      </c>
      <c r="O5" s="32">
        <f t="shared" si="0"/>
        <v>7.4388133077914736E-3</v>
      </c>
      <c r="P5" s="32">
        <f t="shared" si="0"/>
        <v>3.5557406269984805E-2</v>
      </c>
      <c r="Q5" s="32">
        <f t="shared" si="0"/>
        <v>4.2109811912045166E-3</v>
      </c>
      <c r="R5" s="32">
        <f t="shared" si="0"/>
        <v>1.4425582005023039E-2</v>
      </c>
      <c r="S5" s="32">
        <f t="shared" si="0"/>
        <v>3.6098745123544027E-3</v>
      </c>
      <c r="T5" s="32">
        <f t="shared" si="0"/>
        <v>-3.571685628263602E-3</v>
      </c>
      <c r="U5" s="38">
        <f t="shared" si="0"/>
        <v>1.2035508139050116E-3</v>
      </c>
      <c r="V5" s="32">
        <f t="shared" si="0"/>
        <v>4.3229209443401409E-3</v>
      </c>
      <c r="W5" s="32">
        <f t="shared" si="0"/>
        <v>1.9873045566492051E-3</v>
      </c>
      <c r="X5" s="32">
        <f t="shared" si="0"/>
        <v>3.0144287955079867E-3</v>
      </c>
      <c r="Y5" s="32">
        <f t="shared" si="0"/>
        <v>1.6960467179241755E-3</v>
      </c>
      <c r="Z5" s="32">
        <f t="shared" si="0"/>
        <v>1.9847878726834585E-3</v>
      </c>
      <c r="AA5" s="32">
        <f t="shared" si="0"/>
        <v>7.2587405048131606E-5</v>
      </c>
      <c r="AB5" s="32">
        <f t="shared" si="0"/>
        <v>6.0619366422227981E-4</v>
      </c>
      <c r="AC5" s="32">
        <f t="shared" si="0"/>
        <v>-1.4365468339617557E-3</v>
      </c>
      <c r="AD5" s="32">
        <f t="shared" si="0"/>
        <v>1.5703477183816451E-3</v>
      </c>
      <c r="AE5" s="32">
        <f t="shared" si="0"/>
        <v>9.9193810525428786E-4</v>
      </c>
      <c r="AF5" s="32">
        <f t="shared" si="0"/>
        <v>1.6376765523795343E-3</v>
      </c>
      <c r="AG5" s="32">
        <f t="shared" si="0"/>
        <v>1.92247317334246E-4</v>
      </c>
      <c r="AH5" s="32">
        <f t="shared" si="3"/>
        <v>2.7490949419299911E-3</v>
      </c>
      <c r="AI5" s="32">
        <f t="shared" si="1"/>
        <v>9.7119026456071495E-4</v>
      </c>
    </row>
    <row r="6" spans="1:35">
      <c r="B6" s="32" t="str">
        <f>A62</f>
        <v>Electricity</v>
      </c>
      <c r="G6" s="32">
        <f>(G62-F62)/F62</f>
        <v>-4.3526380474888837E-4</v>
      </c>
      <c r="H6" s="32">
        <f t="shared" si="2"/>
        <v>-6.48552755501949E-3</v>
      </c>
      <c r="I6" s="32">
        <f t="shared" si="0"/>
        <v>-2.0340131165616341E-2</v>
      </c>
      <c r="J6" s="32">
        <f t="shared" si="0"/>
        <v>-3.9315871068887932E-3</v>
      </c>
      <c r="K6" s="32">
        <f t="shared" si="0"/>
        <v>-3.8002112780946307E-4</v>
      </c>
      <c r="L6" s="32">
        <f t="shared" si="0"/>
        <v>3.3121247591888173E-3</v>
      </c>
      <c r="M6" s="32">
        <f t="shared" si="0"/>
        <v>4.4891281743534893E-3</v>
      </c>
      <c r="N6" s="32">
        <f t="shared" si="0"/>
        <v>4.3306400538837952E-3</v>
      </c>
      <c r="O6" s="32">
        <f t="shared" si="0"/>
        <v>2.7024766320511481E-3</v>
      </c>
      <c r="P6" s="32">
        <f t="shared" si="0"/>
        <v>4.5612251288901506E-3</v>
      </c>
      <c r="Q6" s="32">
        <f t="shared" si="0"/>
        <v>3.5119094915220385E-3</v>
      </c>
      <c r="R6" s="32">
        <f t="shared" si="0"/>
        <v>6.5104476267111144E-3</v>
      </c>
      <c r="S6" s="32">
        <f t="shared" si="0"/>
        <v>4.7198590505078616E-3</v>
      </c>
      <c r="T6" s="32">
        <f t="shared" si="0"/>
        <v>-4.1770334317620967E-3</v>
      </c>
      <c r="U6" s="38">
        <f t="shared" si="0"/>
        <v>-1.1192519859200877E-3</v>
      </c>
      <c r="V6" s="32">
        <f t="shared" si="0"/>
        <v>-3.9661956119300028E-3</v>
      </c>
      <c r="W6" s="32">
        <f t="shared" si="0"/>
        <v>-4.0393927181899851E-3</v>
      </c>
      <c r="X6" s="32">
        <f t="shared" si="0"/>
        <v>9.3268834364516266E-4</v>
      </c>
      <c r="Y6" s="32">
        <f t="shared" si="0"/>
        <v>3.4413986633524397E-4</v>
      </c>
      <c r="Z6" s="32">
        <f t="shared" si="0"/>
        <v>-2.4602336720986819E-3</v>
      </c>
      <c r="AA6" s="32">
        <f t="shared" si="0"/>
        <v>5.1309343021992691E-4</v>
      </c>
      <c r="AB6" s="32">
        <f t="shared" si="0"/>
        <v>-1.6806401920910566E-3</v>
      </c>
      <c r="AC6" s="32">
        <f t="shared" si="0"/>
        <v>-5.642563824371739E-3</v>
      </c>
      <c r="AD6" s="32">
        <f t="shared" si="0"/>
        <v>8.1219357555889948E-4</v>
      </c>
      <c r="AE6" s="32">
        <f t="shared" si="0"/>
        <v>-1.0028784762290833E-3</v>
      </c>
      <c r="AF6" s="32">
        <f t="shared" si="0"/>
        <v>-1.8750307877635445E-3</v>
      </c>
      <c r="AG6" s="32">
        <f t="shared" si="0"/>
        <v>1.5127869957113108E-3</v>
      </c>
      <c r="AH6" s="32">
        <f t="shared" si="3"/>
        <v>-1.9777245237128749E-3</v>
      </c>
      <c r="AI6" s="32">
        <f t="shared" si="1"/>
        <v>-6.4327770886400465E-3</v>
      </c>
    </row>
    <row r="7" spans="1:35">
      <c r="A7" s="32" t="str">
        <f>A63</f>
        <v>Commercial</v>
      </c>
      <c r="U7" s="38"/>
    </row>
    <row r="8" spans="1:35">
      <c r="B8" s="32" t="str">
        <f>A64</f>
        <v>Propane</v>
      </c>
      <c r="G8" s="32">
        <f t="shared" ref="G8:G12" si="4">(G64-F64)/F64</f>
        <v>5.413626330213437E-2</v>
      </c>
      <c r="H8" s="32">
        <f t="shared" si="2"/>
        <v>-7.8339465903532246E-2</v>
      </c>
      <c r="I8" s="32">
        <f t="shared" ref="I8:I12" si="5">(I64-H64)/H64</f>
        <v>-4.0804238790267573E-3</v>
      </c>
      <c r="J8" s="32">
        <f t="shared" ref="J8:J12" si="6">(J64-I64)/I64</f>
        <v>-6.9136486319789385E-3</v>
      </c>
      <c r="K8" s="32">
        <f t="shared" ref="K8:K12" si="7">(K64-J64)/J64</f>
        <v>7.3159273698154463E-3</v>
      </c>
      <c r="L8" s="32">
        <f t="shared" ref="L8:L12" si="8">(L64-K64)/K64</f>
        <v>2.1253567568821501E-2</v>
      </c>
      <c r="M8" s="32">
        <f t="shared" ref="M8:M12" si="9">(M64-L64)/L64</f>
        <v>2.9271349053956432E-2</v>
      </c>
      <c r="N8" s="32">
        <f t="shared" ref="N8:N12" si="10">(N64-M64)/M64</f>
        <v>1.9485562162981945E-2</v>
      </c>
      <c r="O8" s="32">
        <f t="shared" ref="O8:O12" si="11">(O64-N64)/N64</f>
        <v>1.9623944887002909E-2</v>
      </c>
      <c r="P8" s="32">
        <f t="shared" ref="P8:P12" si="12">(P64-O64)/O64</f>
        <v>2.956204083918381E-2</v>
      </c>
      <c r="Q8" s="32">
        <f t="shared" ref="Q8:Q12" si="13">(Q64-P64)/P64</f>
        <v>1.3679884878338024E-2</v>
      </c>
      <c r="R8" s="32">
        <f t="shared" ref="R8:R12" si="14">(R64-Q64)/Q64</f>
        <v>1.451747433319245E-2</v>
      </c>
      <c r="S8" s="32">
        <f t="shared" ref="S8:S12" si="15">(S64-R64)/R64</f>
        <v>7.8383054517485104E-3</v>
      </c>
      <c r="T8" s="32">
        <f t="shared" ref="T8:T12" si="16">(T64-S64)/S64</f>
        <v>5.2248329386413344E-3</v>
      </c>
      <c r="U8" s="38">
        <f t="shared" ref="U8:U12" si="17">(U64-T64)/T64</f>
        <v>6.8509169328725339E-3</v>
      </c>
      <c r="V8" s="32">
        <f t="shared" ref="V8:V12" si="18">(V64-U64)/U64</f>
        <v>8.7322417064527886E-3</v>
      </c>
      <c r="W8" s="32">
        <f t="shared" ref="W8:W12" si="19">(W64-V64)/V64</f>
        <v>8.0479534457245337E-3</v>
      </c>
      <c r="X8" s="32">
        <f t="shared" ref="X8:X12" si="20">(X64-W64)/W64</f>
        <v>4.1144275039806891E-3</v>
      </c>
      <c r="Y8" s="32">
        <f t="shared" ref="Y8:Y12" si="21">(Y64-X64)/X64</f>
        <v>1.2439897410678621E-2</v>
      </c>
      <c r="Z8" s="32">
        <f t="shared" ref="Z8:Z12" si="22">(Z64-Y64)/Y64</f>
        <v>7.7410329954941482E-3</v>
      </c>
      <c r="AA8" s="32">
        <f t="shared" ref="AA8:AA12" si="23">(AA64-Z64)/Z64</f>
        <v>1.0469420067647812E-3</v>
      </c>
      <c r="AB8" s="32">
        <f t="shared" ref="AB8:AB12" si="24">(AB64-AA64)/AA64</f>
        <v>7.5142755823770363E-3</v>
      </c>
      <c r="AC8" s="32">
        <f t="shared" ref="AC8:AC12" si="25">(AC64-AB64)/AB64</f>
        <v>9.2250980593165284E-3</v>
      </c>
      <c r="AD8" s="32">
        <f t="shared" ref="AD8:AD12" si="26">(AD64-AC64)/AC64</f>
        <v>1.7437734677903302E-3</v>
      </c>
      <c r="AE8" s="32">
        <f t="shared" ref="AE8:AE12" si="27">(AE64-AD64)/AD64</f>
        <v>4.4344741738775355E-3</v>
      </c>
      <c r="AF8" s="32">
        <f t="shared" ref="AF8:AF12" si="28">(AF64-AE64)/AE64</f>
        <v>3.0653508506302027E-3</v>
      </c>
      <c r="AG8" s="32">
        <f t="shared" ref="AG8:AG12" si="29">(AG64-AF64)/AF64</f>
        <v>1.58501757684419E-3</v>
      </c>
      <c r="AH8" s="32">
        <f t="shared" ref="AH8:AH12" si="30">(AH64-AG64)/AG64</f>
        <v>-8.3421721357726866E-4</v>
      </c>
      <c r="AI8" s="32">
        <f t="shared" ref="AI8:AI12" si="31">(AI64-AH64)/AH64</f>
        <v>-1.0845961508363028E-3</v>
      </c>
    </row>
    <row r="9" spans="1:35">
      <c r="B9" s="32" t="str">
        <f>A65</f>
        <v>Distillate Fuel Oil</v>
      </c>
      <c r="G9" s="32">
        <f t="shared" si="4"/>
        <v>1.5032386662744044E-2</v>
      </c>
      <c r="H9" s="32">
        <f t="shared" si="2"/>
        <v>-6.6880405067503729E-2</v>
      </c>
      <c r="I9" s="32">
        <f t="shared" si="5"/>
        <v>1.7286480569451448E-2</v>
      </c>
      <c r="J9" s="32">
        <f t="shared" si="6"/>
        <v>-2.6221285019449755E-2</v>
      </c>
      <c r="K9" s="32">
        <f t="shared" si="7"/>
        <v>-2.507684061109328E-2</v>
      </c>
      <c r="L9" s="32">
        <f t="shared" si="8"/>
        <v>-2.0876281922403497E-2</v>
      </c>
      <c r="M9" s="32">
        <f t="shared" si="9"/>
        <v>9.7607133248780141E-3</v>
      </c>
      <c r="N9" s="32">
        <f t="shared" si="10"/>
        <v>5.8753934272507777E-3</v>
      </c>
      <c r="O9" s="32">
        <f t="shared" si="11"/>
        <v>-1.6799276869760207E-3</v>
      </c>
      <c r="P9" s="32">
        <f t="shared" si="12"/>
        <v>2.9707185943801302E-2</v>
      </c>
      <c r="Q9" s="32">
        <f t="shared" si="13"/>
        <v>5.3780067269622953E-3</v>
      </c>
      <c r="R9" s="32">
        <f t="shared" si="14"/>
        <v>5.5341579073214771E-3</v>
      </c>
      <c r="S9" s="32">
        <f t="shared" si="15"/>
        <v>2.5980724404641793E-3</v>
      </c>
      <c r="T9" s="32">
        <f t="shared" si="16"/>
        <v>4.516141653396373E-3</v>
      </c>
      <c r="U9" s="38">
        <f t="shared" si="17"/>
        <v>8.3198909718958745E-3</v>
      </c>
      <c r="V9" s="32">
        <f t="shared" si="18"/>
        <v>1.0451760661502987E-2</v>
      </c>
      <c r="W9" s="32">
        <f t="shared" si="19"/>
        <v>6.2093228791121032E-3</v>
      </c>
      <c r="X9" s="32">
        <f t="shared" si="20"/>
        <v>3.2189945079747553E-3</v>
      </c>
      <c r="Y9" s="32">
        <f t="shared" si="21"/>
        <v>9.6994894790923044E-3</v>
      </c>
      <c r="Z9" s="32">
        <f t="shared" si="22"/>
        <v>4.8304281135187034E-3</v>
      </c>
      <c r="AA9" s="32">
        <f t="shared" si="23"/>
        <v>7.4464129900107335E-4</v>
      </c>
      <c r="AB9" s="32">
        <f t="shared" si="24"/>
        <v>1.1327722758428612E-2</v>
      </c>
      <c r="AC9" s="32">
        <f t="shared" si="25"/>
        <v>1.2593199807213381E-2</v>
      </c>
      <c r="AD9" s="32">
        <f t="shared" si="26"/>
        <v>4.8080904191283354E-3</v>
      </c>
      <c r="AE9" s="32">
        <f t="shared" si="27"/>
        <v>8.5563370961829859E-3</v>
      </c>
      <c r="AF9" s="32">
        <f t="shared" si="28"/>
        <v>2.0122361286459868E-3</v>
      </c>
      <c r="AG9" s="32">
        <f t="shared" si="29"/>
        <v>-2.6257735544428034E-3</v>
      </c>
      <c r="AH9" s="32">
        <f t="shared" si="30"/>
        <v>-9.3503762872187025E-4</v>
      </c>
      <c r="AI9" s="32">
        <f t="shared" si="31"/>
        <v>-3.2395197530915251E-3</v>
      </c>
    </row>
    <row r="10" spans="1:35">
      <c r="B10" s="32" t="str">
        <f>A66</f>
        <v>Residual Fuel Oil</v>
      </c>
      <c r="G10" s="32">
        <f t="shared" si="4"/>
        <v>0.16083947930718723</v>
      </c>
      <c r="H10" s="32">
        <f t="shared" si="2"/>
        <v>1.6436078339064169E-2</v>
      </c>
      <c r="I10" s="32">
        <f t="shared" si="5"/>
        <v>0.17444773863390547</v>
      </c>
      <c r="J10" s="32">
        <f t="shared" si="6"/>
        <v>5.9720820983092032E-2</v>
      </c>
      <c r="K10" s="32">
        <f t="shared" si="7"/>
        <v>6.0811903098322774E-2</v>
      </c>
      <c r="L10" s="32">
        <f t="shared" si="8"/>
        <v>7.6153006440237911E-2</v>
      </c>
      <c r="M10" s="32">
        <f t="shared" si="9"/>
        <v>1.8877115795569405E-2</v>
      </c>
      <c r="N10" s="32">
        <f t="shared" si="10"/>
        <v>8.796788616399728E-3</v>
      </c>
      <c r="O10" s="32">
        <f t="shared" si="11"/>
        <v>1.3839249520610749E-2</v>
      </c>
      <c r="P10" s="32">
        <f t="shared" si="12"/>
        <v>1.5923414019420871E-2</v>
      </c>
      <c r="Q10" s="32">
        <f t="shared" si="13"/>
        <v>1.2204272943239038E-2</v>
      </c>
      <c r="R10" s="32">
        <f t="shared" si="14"/>
        <v>1.0291746065731775E-2</v>
      </c>
      <c r="S10" s="32">
        <f t="shared" si="15"/>
        <v>9.1264984738167359E-4</v>
      </c>
      <c r="T10" s="32">
        <f t="shared" si="16"/>
        <v>1.5605751921393483E-3</v>
      </c>
      <c r="U10" s="38">
        <f t="shared" si="17"/>
        <v>-4.2116217081722869E-3</v>
      </c>
      <c r="V10" s="32">
        <f t="shared" si="18"/>
        <v>-1.8668785813896545E-3</v>
      </c>
      <c r="W10" s="32">
        <f t="shared" si="19"/>
        <v>1.7047220895467133E-2</v>
      </c>
      <c r="X10" s="32">
        <f t="shared" si="20"/>
        <v>-1.4438031445370892E-2</v>
      </c>
      <c r="Y10" s="32">
        <f t="shared" si="21"/>
        <v>4.4580034438455138E-2</v>
      </c>
      <c r="Z10" s="32">
        <f t="shared" si="22"/>
        <v>1.4006297808345497E-2</v>
      </c>
      <c r="AA10" s="32">
        <f t="shared" si="23"/>
        <v>1.1301691439366976E-2</v>
      </c>
      <c r="AB10" s="32">
        <f t="shared" si="24"/>
        <v>2.9504612831937348E-2</v>
      </c>
      <c r="AC10" s="32">
        <f t="shared" si="25"/>
        <v>2.1156297996126235E-2</v>
      </c>
      <c r="AD10" s="32">
        <f t="shared" si="26"/>
        <v>6.9515189795182853E-3</v>
      </c>
      <c r="AE10" s="32">
        <f t="shared" si="27"/>
        <v>1.1027726768190537E-2</v>
      </c>
      <c r="AF10" s="32">
        <f t="shared" si="28"/>
        <v>8.5931637306123181E-3</v>
      </c>
      <c r="AG10" s="32">
        <f t="shared" si="29"/>
        <v>-6.8358970700026379E-3</v>
      </c>
      <c r="AH10" s="32">
        <f t="shared" si="30"/>
        <v>4.1923263915526442E-3</v>
      </c>
      <c r="AI10" s="32">
        <f t="shared" si="31"/>
        <v>-6.2083599525417426E-3</v>
      </c>
    </row>
    <row r="11" spans="1:35">
      <c r="B11" s="32" t="str">
        <f>A67</f>
        <v>Natural Gas</v>
      </c>
      <c r="G11" s="32">
        <f t="shared" si="4"/>
        <v>4.2231546558235522E-2</v>
      </c>
      <c r="H11" s="32">
        <f t="shared" si="2"/>
        <v>-3.2059688668853323E-2</v>
      </c>
      <c r="I11" s="32">
        <f t="shared" si="5"/>
        <v>-3.5096646578635309E-2</v>
      </c>
      <c r="J11" s="32">
        <f t="shared" si="6"/>
        <v>-1.7394469981830495E-2</v>
      </c>
      <c r="K11" s="32">
        <f t="shared" si="7"/>
        <v>-2.5212586621365771E-3</v>
      </c>
      <c r="L11" s="32">
        <f t="shared" si="8"/>
        <v>4.9407380032320675E-3</v>
      </c>
      <c r="M11" s="32">
        <f t="shared" si="9"/>
        <v>1.1905738544200614E-2</v>
      </c>
      <c r="N11" s="32">
        <f t="shared" si="10"/>
        <v>1.8870201728641459E-2</v>
      </c>
      <c r="O11" s="32">
        <f t="shared" si="11"/>
        <v>7.591646128836534E-3</v>
      </c>
      <c r="P11" s="32">
        <f t="shared" si="12"/>
        <v>3.1410265572739432E-2</v>
      </c>
      <c r="Q11" s="32">
        <f t="shared" si="13"/>
        <v>1.5451875549346772E-3</v>
      </c>
      <c r="R11" s="32">
        <f t="shared" si="14"/>
        <v>1.422873136225746E-2</v>
      </c>
      <c r="S11" s="32">
        <f t="shared" si="15"/>
        <v>3.0283351762329081E-3</v>
      </c>
      <c r="T11" s="32">
        <f t="shared" si="16"/>
        <v>-5.5949753353874256E-3</v>
      </c>
      <c r="U11" s="38">
        <f t="shared" si="17"/>
        <v>5.2295645475646294E-4</v>
      </c>
      <c r="V11" s="32">
        <f t="shared" si="18"/>
        <v>4.6043506419900298E-3</v>
      </c>
      <c r="W11" s="32">
        <f t="shared" si="19"/>
        <v>1.8500372128055931E-3</v>
      </c>
      <c r="X11" s="32">
        <f t="shared" si="20"/>
        <v>3.0697780240341471E-3</v>
      </c>
      <c r="Y11" s="32">
        <f t="shared" si="21"/>
        <v>1.6719262303175112E-3</v>
      </c>
      <c r="Z11" s="32">
        <f t="shared" si="22"/>
        <v>1.6906531675779722E-3</v>
      </c>
      <c r="AA11" s="32">
        <f t="shared" si="23"/>
        <v>-5.6211253542450543E-4</v>
      </c>
      <c r="AB11" s="32">
        <f t="shared" si="24"/>
        <v>3.2588904918266526E-4</v>
      </c>
      <c r="AC11" s="32">
        <f t="shared" si="25"/>
        <v>-2.6102003339723095E-3</v>
      </c>
      <c r="AD11" s="32">
        <f t="shared" si="26"/>
        <v>1.2533056896264817E-3</v>
      </c>
      <c r="AE11" s="32">
        <f t="shared" si="27"/>
        <v>7.9697970039199989E-4</v>
      </c>
      <c r="AF11" s="32">
        <f t="shared" si="28"/>
        <v>1.5557711658940715E-3</v>
      </c>
      <c r="AG11" s="32">
        <f t="shared" si="29"/>
        <v>8.7321404128306272E-5</v>
      </c>
      <c r="AH11" s="32">
        <f t="shared" si="30"/>
        <v>3.1741986319942586E-3</v>
      </c>
      <c r="AI11" s="32">
        <f t="shared" si="31"/>
        <v>8.8740169634629249E-4</v>
      </c>
    </row>
    <row r="12" spans="1:35">
      <c r="B12" s="32" t="str">
        <f>A68</f>
        <v>Electricity</v>
      </c>
      <c r="G12" s="32">
        <f t="shared" si="4"/>
        <v>-3.0722278689500775E-3</v>
      </c>
      <c r="H12" s="32">
        <f t="shared" si="2"/>
        <v>-2.5338580366817395E-2</v>
      </c>
      <c r="I12" s="32">
        <f t="shared" si="5"/>
        <v>-2.6921594950381867E-2</v>
      </c>
      <c r="J12" s="32">
        <f t="shared" si="6"/>
        <v>-4.615351613333085E-3</v>
      </c>
      <c r="K12" s="32">
        <f t="shared" si="7"/>
        <v>-2.783287160828729E-3</v>
      </c>
      <c r="L12" s="32">
        <f t="shared" si="8"/>
        <v>7.9530213324779237E-4</v>
      </c>
      <c r="M12" s="32">
        <f t="shared" si="9"/>
        <v>1.6110623780597789E-3</v>
      </c>
      <c r="N12" s="32">
        <f t="shared" si="10"/>
        <v>1.7594483858300704E-3</v>
      </c>
      <c r="O12" s="32">
        <f t="shared" si="11"/>
        <v>-3.0817172145681187E-4</v>
      </c>
      <c r="P12" s="32">
        <f t="shared" si="12"/>
        <v>2.8776252132429159E-3</v>
      </c>
      <c r="Q12" s="32">
        <f t="shared" si="13"/>
        <v>-6.948234536342736E-4</v>
      </c>
      <c r="R12" s="32">
        <f t="shared" si="14"/>
        <v>5.2707199937184887E-3</v>
      </c>
      <c r="S12" s="32">
        <f t="shared" si="15"/>
        <v>2.2564075404893735E-3</v>
      </c>
      <c r="T12" s="32">
        <f t="shared" si="16"/>
        <v>-8.0888573981658437E-3</v>
      </c>
      <c r="U12" s="38">
        <f t="shared" si="17"/>
        <v>-4.2374662290430853E-3</v>
      </c>
      <c r="V12" s="32">
        <f t="shared" si="18"/>
        <v>-6.918412897401722E-3</v>
      </c>
      <c r="W12" s="32">
        <f t="shared" si="19"/>
        <v>-7.6862867700313526E-3</v>
      </c>
      <c r="X12" s="32">
        <f t="shared" si="20"/>
        <v>4.3938793196054532E-5</v>
      </c>
      <c r="Y12" s="32">
        <f t="shared" si="21"/>
        <v>-1.9766706324838663E-3</v>
      </c>
      <c r="Z12" s="32">
        <f t="shared" si="22"/>
        <v>-6.3437763745862403E-3</v>
      </c>
      <c r="AA12" s="32">
        <f t="shared" si="23"/>
        <v>-1.815846336013877E-3</v>
      </c>
      <c r="AB12" s="32">
        <f t="shared" si="24"/>
        <v>-2.8932468549556106E-3</v>
      </c>
      <c r="AC12" s="32">
        <f t="shared" si="25"/>
        <v>-1.0098983058537665E-2</v>
      </c>
      <c r="AD12" s="32">
        <f t="shared" si="26"/>
        <v>-6.832875454397231E-4</v>
      </c>
      <c r="AE12" s="32">
        <f t="shared" si="27"/>
        <v>-2.6552537100769701E-3</v>
      </c>
      <c r="AF12" s="32">
        <f t="shared" si="28"/>
        <v>-5.4824954252658273E-3</v>
      </c>
      <c r="AG12" s="32">
        <f t="shared" si="29"/>
        <v>7.4429988712161361E-4</v>
      </c>
      <c r="AH12" s="32">
        <f t="shared" si="30"/>
        <v>-3.2290235952074386E-3</v>
      </c>
      <c r="AI12" s="32">
        <f t="shared" si="31"/>
        <v>-9.3431505516963515E-3</v>
      </c>
    </row>
    <row r="13" spans="1:35">
      <c r="A13" s="32" t="str">
        <f>A69</f>
        <v>Industrial</v>
      </c>
      <c r="U13" s="38"/>
    </row>
    <row r="14" spans="1:35">
      <c r="B14" s="32" t="str">
        <f t="shared" ref="B14:B21" si="32">A70</f>
        <v>Propane</v>
      </c>
      <c r="G14" s="32">
        <f t="shared" ref="G14:G17" si="33">(G70-F70)/F70</f>
        <v>6.0979193564336474E-2</v>
      </c>
      <c r="H14" s="32">
        <f t="shared" si="2"/>
        <v>-0.1231986661745611</v>
      </c>
      <c r="I14" s="32">
        <f t="shared" ref="I14:I17" si="34">(I70-H70)/H70</f>
        <v>-1.3325508179296811E-3</v>
      </c>
      <c r="J14" s="32">
        <f t="shared" ref="J14:J17" si="35">(J70-I70)/I70</f>
        <v>-9.4036612734615197E-3</v>
      </c>
      <c r="K14" s="32">
        <f t="shared" ref="K14:K17" si="36">(K70-J70)/J70</f>
        <v>1.1939521484025746E-2</v>
      </c>
      <c r="L14" s="32">
        <f t="shared" ref="L14:L17" si="37">(L70-K70)/K70</f>
        <v>3.2175442046021005E-2</v>
      </c>
      <c r="M14" s="32">
        <f t="shared" ref="M14:M17" si="38">(M70-L70)/L70</f>
        <v>4.3325863041393957E-2</v>
      </c>
      <c r="N14" s="32">
        <f t="shared" ref="N14:N17" si="39">(N70-M70)/M70</f>
        <v>2.7466593379927007E-2</v>
      </c>
      <c r="O14" s="32">
        <f t="shared" ref="O14:O17" si="40">(O70-N70)/N70</f>
        <v>2.82627367807619E-2</v>
      </c>
      <c r="P14" s="32">
        <f t="shared" ref="P14:P17" si="41">(P70-O70)/O70</f>
        <v>2.4618843533607552E-2</v>
      </c>
      <c r="Q14" s="32">
        <f t="shared" ref="Q14:Q17" si="42">(Q70-P70)/P70</f>
        <v>1.9759154915312632E-2</v>
      </c>
      <c r="R14" s="32">
        <f t="shared" ref="R14:R17" si="43">(R70-Q70)/Q70</f>
        <v>1.875118767873115E-2</v>
      </c>
      <c r="S14" s="32">
        <f t="shared" ref="S14:S17" si="44">(S70-R70)/R70</f>
        <v>1.110378924891667E-2</v>
      </c>
      <c r="T14" s="32">
        <f t="shared" ref="T14:T17" si="45">(T70-S70)/S70</f>
        <v>7.4292439034330093E-3</v>
      </c>
      <c r="U14" s="38">
        <f t="shared" ref="U14:U17" si="46">(U70-T70)/T70</f>
        <v>1.019645035533648E-2</v>
      </c>
      <c r="V14" s="32">
        <f t="shared" ref="V14:V17" si="47">(V70-U70)/U70</f>
        <v>1.3024038782204771E-2</v>
      </c>
      <c r="W14" s="32">
        <f t="shared" ref="W14:W17" si="48">(W70-V70)/V70</f>
        <v>1.1809808052040509E-2</v>
      </c>
      <c r="X14" s="32">
        <f t="shared" ref="X14:X17" si="49">(X70-W70)/W70</f>
        <v>5.7482636063487646E-3</v>
      </c>
      <c r="Y14" s="32">
        <f t="shared" ref="Y14:Y17" si="50">(Y70-X70)/X70</f>
        <v>1.8931809044296307E-2</v>
      </c>
      <c r="Z14" s="32">
        <f t="shared" ref="Z14:Z17" si="51">(Z70-Y70)/Y70</f>
        <v>1.1072436069426551E-2</v>
      </c>
      <c r="AA14" s="32">
        <f t="shared" ref="AA14:AA17" si="52">(AA70-Z70)/Z70</f>
        <v>9.9366949034994682E-4</v>
      </c>
      <c r="AB14" s="32">
        <f t="shared" ref="AB14:AB17" si="53">(AB70-AA70)/AA70</f>
        <v>1.1509966756880433E-2</v>
      </c>
      <c r="AC14" s="32">
        <f t="shared" ref="AC14:AC17" si="54">(AC70-AB70)/AB70</f>
        <v>1.3744533147315191E-2</v>
      </c>
      <c r="AD14" s="32">
        <f t="shared" ref="AD14:AD17" si="55">(AD70-AC70)/AC70</f>
        <v>2.0107913162601136E-3</v>
      </c>
      <c r="AE14" s="32">
        <f t="shared" ref="AE14:AE17" si="56">(AE70-AD70)/AD70</f>
        <v>6.6854863662996851E-3</v>
      </c>
      <c r="AF14" s="32">
        <f t="shared" ref="AF14:AF17" si="57">(AF70-AE70)/AE70</f>
        <v>4.4484533089033254E-3</v>
      </c>
      <c r="AG14" s="32">
        <f t="shared" ref="AG14:AG17" si="58">(AG70-AF70)/AF70</f>
        <v>2.2441130918168651E-3</v>
      </c>
      <c r="AH14" s="32">
        <f t="shared" ref="AH14:AH17" si="59">(AH70-AG70)/AG70</f>
        <v>-1.3589614857066595E-3</v>
      </c>
      <c r="AI14" s="32">
        <f t="shared" ref="AI14:AI17" si="60">(AI70-AH70)/AH70</f>
        <v>-1.5477601330037346E-3</v>
      </c>
    </row>
    <row r="15" spans="1:35">
      <c r="B15" s="32" t="str">
        <f t="shared" si="32"/>
        <v>Distillate Fuel Oil</v>
      </c>
      <c r="G15" s="32">
        <f t="shared" si="33"/>
        <v>1.4824249391921606E-2</v>
      </c>
      <c r="H15" s="32">
        <f t="shared" si="2"/>
        <v>-6.3433994694716639E-2</v>
      </c>
      <c r="I15" s="32">
        <f t="shared" si="34"/>
        <v>1.5568842606899856E-2</v>
      </c>
      <c r="J15" s="32">
        <f t="shared" si="35"/>
        <v>-2.6639463618658283E-2</v>
      </c>
      <c r="K15" s="32">
        <f t="shared" si="36"/>
        <v>-2.593905199307921E-2</v>
      </c>
      <c r="L15" s="32">
        <f t="shared" si="37"/>
        <v>-2.2149935368998928E-2</v>
      </c>
      <c r="M15" s="32">
        <f t="shared" si="38"/>
        <v>1.0039257204460682E-2</v>
      </c>
      <c r="N15" s="32">
        <f t="shared" si="39"/>
        <v>6.3871573003302607E-3</v>
      </c>
      <c r="O15" s="32">
        <f t="shared" si="40"/>
        <v>-1.4420363934997506E-3</v>
      </c>
      <c r="P15" s="32">
        <f t="shared" si="41"/>
        <v>1.4467345820236939E-2</v>
      </c>
      <c r="Q15" s="32">
        <f t="shared" si="42"/>
        <v>5.4635888001700614E-3</v>
      </c>
      <c r="R15" s="32">
        <f t="shared" si="43"/>
        <v>4.1767960996029118E-3</v>
      </c>
      <c r="S15" s="32">
        <f t="shared" si="44"/>
        <v>2.5204785167660458E-3</v>
      </c>
      <c r="T15" s="32">
        <f t="shared" si="45"/>
        <v>5.0819448362917387E-3</v>
      </c>
      <c r="U15" s="38">
        <f t="shared" si="46"/>
        <v>8.9115392387202341E-3</v>
      </c>
      <c r="V15" s="32">
        <f t="shared" si="47"/>
        <v>1.0952781104594099E-2</v>
      </c>
      <c r="W15" s="32">
        <f t="shared" si="48"/>
        <v>6.5960787584535448E-3</v>
      </c>
      <c r="X15" s="32">
        <f t="shared" si="49"/>
        <v>3.603654374493085E-3</v>
      </c>
      <c r="Y15" s="32">
        <f t="shared" si="50"/>
        <v>9.6792038430233464E-3</v>
      </c>
      <c r="Z15" s="32">
        <f t="shared" si="51"/>
        <v>5.3896526223472987E-3</v>
      </c>
      <c r="AA15" s="32">
        <f t="shared" si="52"/>
        <v>9.920411309664479E-4</v>
      </c>
      <c r="AB15" s="32">
        <f t="shared" si="53"/>
        <v>1.22884431833311E-2</v>
      </c>
      <c r="AC15" s="32">
        <f t="shared" si="54"/>
        <v>1.3246341438321849E-2</v>
      </c>
      <c r="AD15" s="32">
        <f t="shared" si="55"/>
        <v>5.0912444471947144E-3</v>
      </c>
      <c r="AE15" s="32">
        <f t="shared" si="56"/>
        <v>8.5131242140187927E-3</v>
      </c>
      <c r="AF15" s="32">
        <f t="shared" si="57"/>
        <v>2.5202142798035295E-3</v>
      </c>
      <c r="AG15" s="32">
        <f t="shared" si="58"/>
        <v>-2.0782087915049612E-3</v>
      </c>
      <c r="AH15" s="32">
        <f t="shared" si="59"/>
        <v>-9.3043276443889546E-4</v>
      </c>
      <c r="AI15" s="32">
        <f t="shared" si="60"/>
        <v>-3.2634297599008389E-3</v>
      </c>
    </row>
    <row r="16" spans="1:35">
      <c r="B16" s="32" t="str">
        <f t="shared" si="32"/>
        <v>Residual Fuel Oil</v>
      </c>
      <c r="G16" s="32">
        <f t="shared" si="33"/>
        <v>0.16941828262671701</v>
      </c>
      <c r="H16" s="32">
        <f t="shared" si="2"/>
        <v>4.1886252019637846E-2</v>
      </c>
      <c r="I16" s="32">
        <f t="shared" si="34"/>
        <v>0.17885307654868884</v>
      </c>
      <c r="J16" s="32">
        <f t="shared" si="35"/>
        <v>7.2151674704659066E-2</v>
      </c>
      <c r="K16" s="32">
        <f t="shared" si="36"/>
        <v>7.522726199335758E-2</v>
      </c>
      <c r="L16" s="32">
        <f t="shared" si="37"/>
        <v>8.3822399180250987E-2</v>
      </c>
      <c r="M16" s="32">
        <f t="shared" si="38"/>
        <v>1.7863292282006272E-2</v>
      </c>
      <c r="N16" s="32">
        <f t="shared" si="39"/>
        <v>9.2571410104529024E-3</v>
      </c>
      <c r="O16" s="32">
        <f t="shared" si="40"/>
        <v>1.3038075316563967E-2</v>
      </c>
      <c r="P16" s="32">
        <f t="shared" si="41"/>
        <v>1.5236148313321412E-2</v>
      </c>
      <c r="Q16" s="32">
        <f t="shared" si="42"/>
        <v>1.1517484930649384E-2</v>
      </c>
      <c r="R16" s="32">
        <f t="shared" si="43"/>
        <v>9.9123059187098475E-3</v>
      </c>
      <c r="S16" s="32">
        <f t="shared" si="44"/>
        <v>1.7583661106941732E-3</v>
      </c>
      <c r="T16" s="32">
        <f t="shared" si="45"/>
        <v>2.6105745775147952E-3</v>
      </c>
      <c r="U16" s="38">
        <f t="shared" si="46"/>
        <v>-2.9849753771110997E-3</v>
      </c>
      <c r="V16" s="32">
        <f t="shared" si="47"/>
        <v>-2.410755307862941E-3</v>
      </c>
      <c r="W16" s="32">
        <f t="shared" si="48"/>
        <v>1.7321081653785458E-2</v>
      </c>
      <c r="X16" s="32">
        <f t="shared" si="49"/>
        <v>-9.211459862493155E-3</v>
      </c>
      <c r="Y16" s="32">
        <f t="shared" si="50"/>
        <v>3.7201215987361966E-2</v>
      </c>
      <c r="Z16" s="32">
        <f t="shared" si="51"/>
        <v>1.2521520698268899E-2</v>
      </c>
      <c r="AA16" s="32">
        <f t="shared" si="52"/>
        <v>9.9154844270795475E-3</v>
      </c>
      <c r="AB16" s="32">
        <f t="shared" si="53"/>
        <v>2.5263384137709247E-2</v>
      </c>
      <c r="AC16" s="32">
        <f t="shared" si="54"/>
        <v>1.6789958043084936E-2</v>
      </c>
      <c r="AD16" s="32">
        <f t="shared" si="55"/>
        <v>5.6815491380648089E-3</v>
      </c>
      <c r="AE16" s="32">
        <f t="shared" si="56"/>
        <v>1.1190602855411879E-2</v>
      </c>
      <c r="AF16" s="32">
        <f t="shared" si="57"/>
        <v>4.9524998212826911E-3</v>
      </c>
      <c r="AG16" s="32">
        <f t="shared" si="58"/>
        <v>-2.0577781289651525E-3</v>
      </c>
      <c r="AH16" s="32">
        <f t="shared" si="59"/>
        <v>1.884524366304139E-3</v>
      </c>
      <c r="AI16" s="32">
        <f t="shared" si="60"/>
        <v>-3.0758689339352953E-3</v>
      </c>
    </row>
    <row r="17" spans="1:35">
      <c r="B17" s="32" t="str">
        <f t="shared" si="32"/>
        <v>Natural Gas</v>
      </c>
      <c r="G17" s="32">
        <f t="shared" si="33"/>
        <v>-4.2422234338630536E-2</v>
      </c>
      <c r="H17" s="32">
        <f t="shared" si="2"/>
        <v>-6.2981961091319386E-2</v>
      </c>
      <c r="I17" s="32">
        <f t="shared" si="34"/>
        <v>-7.2553866396926112E-2</v>
      </c>
      <c r="J17" s="32">
        <f t="shared" si="35"/>
        <v>-4.0829489540512284E-2</v>
      </c>
      <c r="K17" s="32">
        <f t="shared" si="36"/>
        <v>-5.6495118162971604E-3</v>
      </c>
      <c r="L17" s="32">
        <f t="shared" si="37"/>
        <v>1.9518734492953101E-2</v>
      </c>
      <c r="M17" s="32">
        <f t="shared" si="38"/>
        <v>3.5324593843885928E-2</v>
      </c>
      <c r="N17" s="32">
        <f t="shared" si="39"/>
        <v>2.8498072636870996E-2</v>
      </c>
      <c r="O17" s="32">
        <f t="shared" si="40"/>
        <v>1.9545844595059821E-2</v>
      </c>
      <c r="P17" s="32">
        <f t="shared" si="41"/>
        <v>9.8730558876803654E-3</v>
      </c>
      <c r="Q17" s="32">
        <f t="shared" si="42"/>
        <v>5.263977719348667E-3</v>
      </c>
      <c r="R17" s="32">
        <f t="shared" si="43"/>
        <v>1.5251258949307858E-2</v>
      </c>
      <c r="S17" s="32">
        <f t="shared" si="44"/>
        <v>-1.054607488411897E-3</v>
      </c>
      <c r="T17" s="32">
        <f t="shared" si="45"/>
        <v>-4.2565441032306525E-3</v>
      </c>
      <c r="U17" s="38">
        <f t="shared" si="46"/>
        <v>6.1067710305490891E-4</v>
      </c>
      <c r="V17" s="32">
        <f t="shared" si="47"/>
        <v>3.4692141793324807E-3</v>
      </c>
      <c r="W17" s="32">
        <f t="shared" si="48"/>
        <v>1.9393576356058441E-3</v>
      </c>
      <c r="X17" s="32">
        <f t="shared" si="49"/>
        <v>8.8608804673554614E-4</v>
      </c>
      <c r="Y17" s="32">
        <f t="shared" si="50"/>
        <v>5.0988341940390756E-3</v>
      </c>
      <c r="Z17" s="32">
        <f t="shared" si="51"/>
        <v>1.4790101585159083E-3</v>
      </c>
      <c r="AA17" s="32">
        <f t="shared" si="52"/>
        <v>-4.5664869453915201E-3</v>
      </c>
      <c r="AB17" s="32">
        <f t="shared" si="53"/>
        <v>-1.0686973075877133E-3</v>
      </c>
      <c r="AC17" s="32">
        <f t="shared" si="54"/>
        <v>-9.8411399901294078E-3</v>
      </c>
      <c r="AD17" s="32">
        <f t="shared" si="55"/>
        <v>-2.759255405777988E-3</v>
      </c>
      <c r="AE17" s="32">
        <f t="shared" si="56"/>
        <v>-1.6884998930213743E-3</v>
      </c>
      <c r="AF17" s="32">
        <f t="shared" si="57"/>
        <v>-6.0340856239176417E-4</v>
      </c>
      <c r="AG17" s="32">
        <f t="shared" si="58"/>
        <v>6.234491150559474E-4</v>
      </c>
      <c r="AH17" s="32">
        <f t="shared" si="59"/>
        <v>-2.1212785381670993E-3</v>
      </c>
      <c r="AI17" s="32">
        <f t="shared" si="60"/>
        <v>-9.033657681498657E-4</v>
      </c>
    </row>
    <row r="18" spans="1:35">
      <c r="B18" s="32" t="str">
        <f t="shared" si="32"/>
        <v>Metallurgical Coal</v>
      </c>
      <c r="U18" s="38"/>
    </row>
    <row r="19" spans="1:35">
      <c r="B19" s="32" t="str">
        <f t="shared" si="32"/>
        <v>Other Industrial Coal</v>
      </c>
      <c r="G19" s="32">
        <f t="shared" ref="G19" si="61">(G75-F75)/F75</f>
        <v>-4.7819654137941821E-3</v>
      </c>
      <c r="H19" s="32">
        <f t="shared" si="2"/>
        <v>3.2671368814990581E-3</v>
      </c>
      <c r="I19" s="32">
        <f t="shared" ref="I19" si="62">(I75-H75)/H75</f>
        <v>1.7999860823899284E-3</v>
      </c>
      <c r="J19" s="32">
        <f t="shared" ref="J19" si="63">(J75-I75)/I75</f>
        <v>-5.984220379779149E-4</v>
      </c>
      <c r="K19" s="32">
        <f t="shared" ref="K19" si="64">(K75-J75)/J75</f>
        <v>-3.9565592467336501E-3</v>
      </c>
      <c r="L19" s="32">
        <f t="shared" ref="L19" si="65">(L75-K75)/K75</f>
        <v>-3.8961513890464986E-3</v>
      </c>
      <c r="M19" s="32">
        <f t="shared" ref="M19" si="66">(M75-L75)/L75</f>
        <v>-3.2217182772210093E-5</v>
      </c>
      <c r="N19" s="32">
        <f t="shared" ref="N19" si="67">(N75-M75)/M75</f>
        <v>1.9817952067537775E-4</v>
      </c>
      <c r="O19" s="32">
        <f t="shared" ref="O19" si="68">(O75-N75)/N75</f>
        <v>6.2026514087438729E-4</v>
      </c>
      <c r="P19" s="32">
        <f t="shared" ref="P19" si="69">(P75-O75)/O75</f>
        <v>1.4104530743609702E-3</v>
      </c>
      <c r="Q19" s="32">
        <f t="shared" ref="Q19" si="70">(Q75-P75)/P75</f>
        <v>9.5505092981967475E-4</v>
      </c>
      <c r="R19" s="32">
        <f t="shared" ref="R19" si="71">(R75-Q75)/Q75</f>
        <v>1.4788231405945321E-3</v>
      </c>
      <c r="S19" s="32">
        <f t="shared" ref="S19" si="72">(S75-R75)/R75</f>
        <v>7.1482773471954802E-4</v>
      </c>
      <c r="T19" s="32">
        <f t="shared" ref="T19" si="73">(T75-S75)/S75</f>
        <v>-1.2855472444201486E-3</v>
      </c>
      <c r="U19" s="38">
        <f t="shared" ref="U19" si="74">(U75-T75)/T75</f>
        <v>-8.1560103752213286E-4</v>
      </c>
      <c r="V19" s="32">
        <f t="shared" ref="V19" si="75">(V75-U75)/U75</f>
        <v>-2.7706768293010741E-4</v>
      </c>
      <c r="W19" s="32">
        <f t="shared" ref="W19" si="76">(W75-V75)/V75</f>
        <v>2.5611585385896087E-3</v>
      </c>
      <c r="X19" s="32">
        <f t="shared" ref="X19" si="77">(X75-W75)/W75</f>
        <v>1.3449267760019287E-3</v>
      </c>
      <c r="Y19" s="32">
        <f t="shared" ref="Y19" si="78">(Y75-X75)/X75</f>
        <v>1.8930184156313015E-3</v>
      </c>
      <c r="Z19" s="32">
        <f t="shared" ref="Z19" si="79">(Z75-Y75)/Y75</f>
        <v>2.1096537174802124E-3</v>
      </c>
      <c r="AA19" s="32">
        <f t="shared" ref="AA19" si="80">(AA75-Z75)/Z75</f>
        <v>-1.5315689224543428E-3</v>
      </c>
      <c r="AB19" s="32">
        <f t="shared" ref="AB19" si="81">(AB75-AA75)/AA75</f>
        <v>1.3279359799763292E-3</v>
      </c>
      <c r="AC19" s="32">
        <f t="shared" ref="AC19" si="82">(AC75-AB75)/AB75</f>
        <v>2.0719166340805312E-3</v>
      </c>
      <c r="AD19" s="32">
        <f t="shared" ref="AD19" si="83">(AD75-AC75)/AC75</f>
        <v>2.2551621464172509E-3</v>
      </c>
      <c r="AE19" s="32">
        <f t="shared" ref="AE19" si="84">(AE75-AD75)/AD75</f>
        <v>1.8540989462931823E-3</v>
      </c>
      <c r="AF19" s="32">
        <f t="shared" ref="AF19" si="85">(AF75-AE75)/AE75</f>
        <v>1.1098848637196041E-3</v>
      </c>
      <c r="AG19" s="32">
        <f t="shared" ref="AG19" si="86">(AG75-AF75)/AF75</f>
        <v>6.5937891069279891E-4</v>
      </c>
      <c r="AH19" s="32">
        <f t="shared" ref="AH19" si="87">(AH75-AG75)/AG75</f>
        <v>1.6727333433596509E-3</v>
      </c>
      <c r="AI19" s="32">
        <f t="shared" ref="AI19" si="88">(AI75-AH75)/AH75</f>
        <v>1.5836713716708315E-3</v>
      </c>
    </row>
    <row r="20" spans="1:35">
      <c r="B20" s="32" t="str">
        <f t="shared" si="32"/>
        <v>Coal to Liquids</v>
      </c>
      <c r="U20" s="38"/>
    </row>
    <row r="21" spans="1:35">
      <c r="B21" s="32" t="str">
        <f t="shared" si="32"/>
        <v>Electricity</v>
      </c>
      <c r="G21" s="32">
        <f t="shared" ref="G21" si="89">(G77-F77)/F77</f>
        <v>-8.8906847933642019E-3</v>
      </c>
      <c r="H21" s="32">
        <f t="shared" si="2"/>
        <v>-4.2666301155464582E-2</v>
      </c>
      <c r="I21" s="32">
        <f t="shared" ref="I21" si="90">(I77-H77)/H77</f>
        <v>-3.3645369984587031E-2</v>
      </c>
      <c r="J21" s="32">
        <f t="shared" ref="J21" si="91">(J77-I77)/I77</f>
        <v>-1.1660505336807585E-2</v>
      </c>
      <c r="K21" s="32">
        <f t="shared" ref="K21" si="92">(K77-J77)/J77</f>
        <v>-1.1345131125051982E-2</v>
      </c>
      <c r="L21" s="32">
        <f t="shared" ref="L21" si="93">(L77-K77)/K77</f>
        <v>-4.2495718743404312E-4</v>
      </c>
      <c r="M21" s="32">
        <f t="shared" ref="M21" si="94">(M77-L77)/L77</f>
        <v>4.3572938155249305E-3</v>
      </c>
      <c r="N21" s="32">
        <f t="shared" ref="N21" si="95">(N77-M77)/M77</f>
        <v>1.1697987203954491E-3</v>
      </c>
      <c r="O21" s="32">
        <f t="shared" ref="O21" si="96">(O77-N77)/N77</f>
        <v>1.5727468996650353E-3</v>
      </c>
      <c r="P21" s="32">
        <f t="shared" ref="P21" si="97">(P77-O77)/O77</f>
        <v>7.4324872297741129E-4</v>
      </c>
      <c r="Q21" s="32">
        <f t="shared" ref="Q21" si="98">(Q77-P77)/P77</f>
        <v>1.2236812535669492E-3</v>
      </c>
      <c r="R21" s="32">
        <f t="shared" ref="R21" si="99">(R77-Q77)/Q77</f>
        <v>2.1240900973892112E-3</v>
      </c>
      <c r="S21" s="32">
        <f t="shared" ref="S21" si="100">(S77-R77)/R77</f>
        <v>8.2818668708654853E-4</v>
      </c>
      <c r="T21" s="32">
        <f t="shared" ref="T21" si="101">(T77-S77)/S77</f>
        <v>-8.3392635836609889E-3</v>
      </c>
      <c r="U21" s="38">
        <f t="shared" ref="U21" si="102">(U77-T77)/T77</f>
        <v>-2.6578217713476445E-3</v>
      </c>
      <c r="V21" s="32">
        <f t="shared" ref="V21" si="103">(V77-U77)/U77</f>
        <v>-7.1747666675959576E-3</v>
      </c>
      <c r="W21" s="32">
        <f t="shared" ref="W21" si="104">(W77-V77)/V77</f>
        <v>-5.3924081103991547E-3</v>
      </c>
      <c r="X21" s="32">
        <f t="shared" ref="X21" si="105">(X77-W77)/W77</f>
        <v>-1.8856234068704381E-3</v>
      </c>
      <c r="Y21" s="32">
        <f t="shared" ref="Y21" si="106">(Y77-X77)/X77</f>
        <v>-2.0650871494131981E-3</v>
      </c>
      <c r="Z21" s="32">
        <f t="shared" ref="Z21" si="107">(Z77-Y77)/Y77</f>
        <v>-3.9108897448729609E-3</v>
      </c>
      <c r="AA21" s="32">
        <f t="shared" ref="AA21" si="108">(AA77-Z77)/Z77</f>
        <v>-3.8148675466770526E-3</v>
      </c>
      <c r="AB21" s="32">
        <f t="shared" ref="AB21" si="109">(AB77-AA77)/AA77</f>
        <v>-5.4609262569070534E-3</v>
      </c>
      <c r="AC21" s="32">
        <f t="shared" ref="AC21" si="110">(AC77-AB77)/AB77</f>
        <v>-7.8972800674191566E-3</v>
      </c>
      <c r="AD21" s="32">
        <f t="shared" ref="AD21" si="111">(AD77-AC77)/AC77</f>
        <v>-3.3532074991277794E-3</v>
      </c>
      <c r="AE21" s="32">
        <f t="shared" ref="AE21" si="112">(AE77-AD77)/AD77</f>
        <v>-3.2542407666429855E-3</v>
      </c>
      <c r="AF21" s="32">
        <f t="shared" ref="AF21" si="113">(AF77-AE77)/AE77</f>
        <v>-3.1886625426354471E-3</v>
      </c>
      <c r="AG21" s="32">
        <f t="shared" ref="AG21" si="114">(AG77-AF77)/AF77</f>
        <v>-1.0052226981984832E-3</v>
      </c>
      <c r="AH21" s="32">
        <f t="shared" ref="AH21" si="115">(AH77-AG77)/AG77</f>
        <v>-3.1448356177104231E-3</v>
      </c>
      <c r="AI21" s="32">
        <f t="shared" ref="AI21" si="116">(AI77-AH77)/AH77</f>
        <v>-6.0843613394627512E-3</v>
      </c>
    </row>
    <row r="22" spans="1:35">
      <c r="A22" s="32" t="str">
        <f>A78</f>
        <v>Transportation</v>
      </c>
      <c r="U22" s="38"/>
    </row>
    <row r="23" spans="1:35">
      <c r="B23" s="32" t="str">
        <f t="shared" ref="B23:B30" si="117">A79</f>
        <v>Propane</v>
      </c>
      <c r="G23" s="32">
        <f t="shared" ref="G23:G30" si="118">(G79-F79)/F79</f>
        <v>3.4387914376687326E-2</v>
      </c>
      <c r="H23" s="32">
        <f t="shared" si="2"/>
        <v>-8.2213184264421993E-2</v>
      </c>
      <c r="I23" s="32">
        <f t="shared" ref="I23:I30" si="119">(I79-H79)/H79</f>
        <v>1.4455897816345885E-4</v>
      </c>
      <c r="J23" s="32">
        <f t="shared" ref="J23:J30" si="120">(J79-I79)/I79</f>
        <v>-5.9146052380007622E-3</v>
      </c>
      <c r="K23" s="32">
        <f t="shared" ref="K23:K30" si="121">(K79-J79)/J79</f>
        <v>7.7611511800022692E-3</v>
      </c>
      <c r="L23" s="32">
        <f t="shared" ref="L23:L30" si="122">(L79-K79)/K79</f>
        <v>2.047993299325121E-2</v>
      </c>
      <c r="M23" s="32">
        <f t="shared" ref="M23:M30" si="123">(M79-L79)/L79</f>
        <v>2.7343255559449758E-2</v>
      </c>
      <c r="N23" s="32">
        <f t="shared" ref="N23:N30" si="124">(N79-M79)/M79</f>
        <v>1.7126346964457331E-2</v>
      </c>
      <c r="O23" s="32">
        <f t="shared" ref="O23:O30" si="125">(O79-N79)/N79</f>
        <v>1.7772256272288185E-2</v>
      </c>
      <c r="P23" s="32">
        <f t="shared" ref="P23:P30" si="126">(P79-O79)/O79</f>
        <v>3.3920864110609551E-2</v>
      </c>
      <c r="Q23" s="32">
        <f t="shared" ref="Q23:Q30" si="127">(Q79-P79)/P79</f>
        <v>1.2108180983729998E-2</v>
      </c>
      <c r="R23" s="32">
        <f t="shared" ref="R23:R30" si="128">(R79-Q79)/Q79</f>
        <v>1.4013291483975782E-2</v>
      </c>
      <c r="S23" s="32">
        <f t="shared" ref="S23:S30" si="129">(S79-R79)/R79</f>
        <v>6.7019778753128608E-3</v>
      </c>
      <c r="T23" s="32">
        <f t="shared" ref="T23:T30" si="130">(T79-S79)/S79</f>
        <v>4.4607452729382713E-3</v>
      </c>
      <c r="U23" s="38">
        <f t="shared" ref="U23:U30" si="131">(U79-T79)/T79</f>
        <v>6.2462817934013058E-3</v>
      </c>
      <c r="V23" s="32">
        <f t="shared" ref="V23:V30" si="132">(V79-U79)/U79</f>
        <v>8.0016982155994201E-3</v>
      </c>
      <c r="W23" s="32">
        <f t="shared" ref="W23:W30" si="133">(W79-V79)/V79</f>
        <v>7.2185149872876367E-3</v>
      </c>
      <c r="X23" s="32">
        <f t="shared" ref="X23:X30" si="134">(X79-W79)/W79</f>
        <v>3.4085243739599745E-3</v>
      </c>
      <c r="Y23" s="32">
        <f t="shared" ref="Y23:Y30" si="135">(Y79-X79)/X79</f>
        <v>1.1761273983977577E-2</v>
      </c>
      <c r="Z23" s="32">
        <f t="shared" ref="Z23:Z30" si="136">(Z79-Y79)/Y79</f>
        <v>6.7050547605065503E-3</v>
      </c>
      <c r="AA23" s="32">
        <f t="shared" ref="AA23:AA30" si="137">(AA79-Z79)/Z79</f>
        <v>4.0009259146444481E-4</v>
      </c>
      <c r="AB23" s="32">
        <f t="shared" ref="AB23:AB30" si="138">(AB79-AA79)/AA79</f>
        <v>7.139941330231425E-3</v>
      </c>
      <c r="AC23" s="32">
        <f t="shared" ref="AC23:AC30" si="139">(AC79-AB79)/AB79</f>
        <v>8.4739409351337006E-3</v>
      </c>
      <c r="AD23" s="32">
        <f t="shared" ref="AD23:AD30" si="140">(AD79-AC79)/AC79</f>
        <v>1.0407558554147032E-3</v>
      </c>
      <c r="AE23" s="32">
        <f t="shared" ref="AE23:AE30" si="141">(AE79-AD79)/AD79</f>
        <v>4.0978000550117317E-3</v>
      </c>
      <c r="AF23" s="32">
        <f t="shared" ref="AF23:AF30" si="142">(AF79-AE79)/AE79</f>
        <v>2.6627272579787058E-3</v>
      </c>
      <c r="AG23" s="32">
        <f t="shared" ref="AG23:AG30" si="143">(AG79-AF79)/AF79</f>
        <v>1.2897092046243658E-3</v>
      </c>
      <c r="AH23" s="32">
        <f t="shared" ref="AH23:AH30" si="144">(AH79-AG79)/AG79</f>
        <v>-9.7503061377498038E-4</v>
      </c>
      <c r="AI23" s="32">
        <f t="shared" ref="AI23:AI30" si="145">(AI79-AH79)/AH79</f>
        <v>-1.0674671798324472E-3</v>
      </c>
    </row>
    <row r="24" spans="1:35">
      <c r="B24" s="32" t="str">
        <f t="shared" si="117"/>
        <v>E85</v>
      </c>
      <c r="G24" s="32">
        <f t="shared" si="118"/>
        <v>-2.5786699628189285E-4</v>
      </c>
      <c r="H24" s="32">
        <f t="shared" si="2"/>
        <v>5.7465919669011656E-3</v>
      </c>
      <c r="I24" s="32">
        <f t="shared" si="119"/>
        <v>-8.673649524272329E-3</v>
      </c>
      <c r="J24" s="32">
        <f t="shared" si="120"/>
        <v>-1.1929650412742793E-2</v>
      </c>
      <c r="K24" s="32">
        <f t="shared" si="121"/>
        <v>1.1197081951028774E-2</v>
      </c>
      <c r="L24" s="32">
        <f t="shared" si="122"/>
        <v>1.2876134216413307E-2</v>
      </c>
      <c r="M24" s="32">
        <f t="shared" si="123"/>
        <v>1.2319926097727557E-2</v>
      </c>
      <c r="N24" s="32">
        <f t="shared" si="124"/>
        <v>8.8288927870779892E-3</v>
      </c>
      <c r="O24" s="32">
        <f t="shared" si="125"/>
        <v>2.6070030458291087E-2</v>
      </c>
      <c r="P24" s="32">
        <f t="shared" si="126"/>
        <v>2.7122187320915595E-2</v>
      </c>
      <c r="Q24" s="32">
        <f t="shared" si="127"/>
        <v>1.2948172575245684E-2</v>
      </c>
      <c r="R24" s="32">
        <f t="shared" si="128"/>
        <v>5.8978166393492152E-3</v>
      </c>
      <c r="S24" s="32">
        <f t="shared" si="129"/>
        <v>1.680920598184921E-2</v>
      </c>
      <c r="T24" s="32">
        <f t="shared" si="130"/>
        <v>5.9482623000890805E-3</v>
      </c>
      <c r="U24" s="38">
        <f t="shared" si="131"/>
        <v>1.4291666382917742E-3</v>
      </c>
      <c r="V24" s="32">
        <f t="shared" si="132"/>
        <v>4.6144220643806726E-3</v>
      </c>
      <c r="W24" s="32">
        <f t="shared" si="133"/>
        <v>1.2865486679980215E-2</v>
      </c>
      <c r="X24" s="32">
        <f t="shared" si="134"/>
        <v>-3.5659772623973025E-4</v>
      </c>
      <c r="Y24" s="32">
        <f t="shared" si="135"/>
        <v>7.8677009359969883E-3</v>
      </c>
      <c r="Z24" s="32">
        <f t="shared" si="136"/>
        <v>7.1678174554144864E-3</v>
      </c>
      <c r="AA24" s="32">
        <f t="shared" si="137"/>
        <v>6.4579695285629627E-4</v>
      </c>
      <c r="AB24" s="32">
        <f t="shared" si="138"/>
        <v>9.7449579902884245E-3</v>
      </c>
      <c r="AC24" s="32">
        <f t="shared" si="139"/>
        <v>9.7325860553600912E-3</v>
      </c>
      <c r="AD24" s="32">
        <f t="shared" si="140"/>
        <v>3.3723766369289526E-3</v>
      </c>
      <c r="AE24" s="32">
        <f t="shared" si="141"/>
        <v>8.5664863855981488E-3</v>
      </c>
      <c r="AF24" s="32">
        <f t="shared" si="142"/>
        <v>3.4279872034183203E-3</v>
      </c>
      <c r="AG24" s="32">
        <f t="shared" si="143"/>
        <v>-2.4787676734044839E-3</v>
      </c>
      <c r="AH24" s="32">
        <f t="shared" si="144"/>
        <v>9.6693996188312599E-4</v>
      </c>
      <c r="AI24" s="32">
        <f t="shared" si="145"/>
        <v>-9.9716529797907251E-5</v>
      </c>
    </row>
    <row r="25" spans="1:35">
      <c r="B25" s="32" t="str">
        <f t="shared" si="117"/>
        <v>Motor Gasoline</v>
      </c>
      <c r="G25" s="32">
        <f t="shared" si="118"/>
        <v>-4.1118754529068234E-2</v>
      </c>
      <c r="H25" s="32">
        <f t="shared" si="2"/>
        <v>-0.10519311834705004</v>
      </c>
      <c r="I25" s="32">
        <f t="shared" si="119"/>
        <v>-6.5921683710305932E-3</v>
      </c>
      <c r="J25" s="32">
        <f t="shared" si="120"/>
        <v>-1.0098478482410921E-2</v>
      </c>
      <c r="K25" s="32">
        <f t="shared" si="121"/>
        <v>1.0555299586403074E-2</v>
      </c>
      <c r="L25" s="32">
        <f t="shared" si="122"/>
        <v>1.1952025083110968E-2</v>
      </c>
      <c r="M25" s="32">
        <f t="shared" si="123"/>
        <v>1.080949627748252E-2</v>
      </c>
      <c r="N25" s="32">
        <f t="shared" si="124"/>
        <v>7.5049446319234089E-3</v>
      </c>
      <c r="O25" s="32">
        <f t="shared" si="125"/>
        <v>2.4712049068568259E-2</v>
      </c>
      <c r="P25" s="32">
        <f t="shared" si="126"/>
        <v>3.2028006387527376E-2</v>
      </c>
      <c r="Q25" s="32">
        <f t="shared" si="127"/>
        <v>1.0151563729633615E-2</v>
      </c>
      <c r="R25" s="32">
        <f t="shared" si="128"/>
        <v>8.283559224789707E-3</v>
      </c>
      <c r="S25" s="32">
        <f t="shared" si="129"/>
        <v>7.7517481558344748E-3</v>
      </c>
      <c r="T25" s="32">
        <f t="shared" si="130"/>
        <v>3.7639936814721909E-3</v>
      </c>
      <c r="U25" s="38">
        <f t="shared" si="131"/>
        <v>7.1088267996752231E-3</v>
      </c>
      <c r="V25" s="32">
        <f t="shared" si="132"/>
        <v>6.2675363144344748E-3</v>
      </c>
      <c r="W25" s="32">
        <f t="shared" si="133"/>
        <v>1.0967778007129213E-2</v>
      </c>
      <c r="X25" s="32">
        <f t="shared" si="134"/>
        <v>5.2961340075742883E-4</v>
      </c>
      <c r="Y25" s="32">
        <f t="shared" si="135"/>
        <v>7.852943343739309E-3</v>
      </c>
      <c r="Z25" s="32">
        <f t="shared" si="136"/>
        <v>6.3352459152667805E-3</v>
      </c>
      <c r="AA25" s="32">
        <f t="shared" si="137"/>
        <v>1.5932673444061013E-3</v>
      </c>
      <c r="AB25" s="32">
        <f t="shared" si="138"/>
        <v>9.9238880093313626E-3</v>
      </c>
      <c r="AC25" s="32">
        <f t="shared" si="139"/>
        <v>9.4565286021023737E-3</v>
      </c>
      <c r="AD25" s="32">
        <f t="shared" si="140"/>
        <v>3.205206418011336E-3</v>
      </c>
      <c r="AE25" s="32">
        <f t="shared" si="141"/>
        <v>8.008058263026873E-3</v>
      </c>
      <c r="AF25" s="32">
        <f t="shared" si="142"/>
        <v>3.0801363243987013E-3</v>
      </c>
      <c r="AG25" s="32">
        <f t="shared" si="143"/>
        <v>-2.6874157813449213E-3</v>
      </c>
      <c r="AH25" s="32">
        <f t="shared" si="144"/>
        <v>5.9160838076621389E-4</v>
      </c>
      <c r="AI25" s="32">
        <f t="shared" si="145"/>
        <v>-1.957573275578262E-4</v>
      </c>
    </row>
    <row r="26" spans="1:35">
      <c r="B26" s="32" t="str">
        <f t="shared" si="117"/>
        <v>Jet Fuel</v>
      </c>
      <c r="G26" s="32">
        <f t="shared" si="118"/>
        <v>4.533775193291046E-2</v>
      </c>
      <c r="H26" s="32">
        <f t="shared" si="2"/>
        <v>-6.6516736597076423E-2</v>
      </c>
      <c r="I26" s="32">
        <f t="shared" si="119"/>
        <v>8.1753310458265963E-2</v>
      </c>
      <c r="J26" s="32">
        <f t="shared" si="120"/>
        <v>3.9425945954238324E-3</v>
      </c>
      <c r="K26" s="32">
        <f t="shared" si="121"/>
        <v>9.4450738235470448E-3</v>
      </c>
      <c r="L26" s="32">
        <f t="shared" si="122"/>
        <v>1.7929486068465932E-2</v>
      </c>
      <c r="M26" s="32">
        <f t="shared" si="123"/>
        <v>1.7353751986963512E-2</v>
      </c>
      <c r="N26" s="32">
        <f t="shared" si="124"/>
        <v>1.0387877942925616E-2</v>
      </c>
      <c r="O26" s="32">
        <f t="shared" si="125"/>
        <v>-3.4681379603459621E-3</v>
      </c>
      <c r="P26" s="32">
        <f t="shared" si="126"/>
        <v>2.9606744753123904E-2</v>
      </c>
      <c r="Q26" s="32">
        <f t="shared" si="127"/>
        <v>1.0907660665328408E-2</v>
      </c>
      <c r="R26" s="32">
        <f t="shared" si="128"/>
        <v>6.5154956193669263E-3</v>
      </c>
      <c r="S26" s="32">
        <f t="shared" si="129"/>
        <v>9.8387714051168199E-3</v>
      </c>
      <c r="T26" s="32">
        <f t="shared" si="130"/>
        <v>6.4721739532532293E-3</v>
      </c>
      <c r="U26" s="38">
        <f t="shared" si="131"/>
        <v>1.1286810901763705E-2</v>
      </c>
      <c r="V26" s="32">
        <f t="shared" si="132"/>
        <v>1.4551357410479594E-2</v>
      </c>
      <c r="W26" s="32">
        <f t="shared" si="133"/>
        <v>1.0014105577255884E-2</v>
      </c>
      <c r="X26" s="32">
        <f t="shared" si="134"/>
        <v>5.7462733886334914E-3</v>
      </c>
      <c r="Y26" s="32">
        <f t="shared" si="135"/>
        <v>1.0296079834070118E-2</v>
      </c>
      <c r="Z26" s="32">
        <f t="shared" si="136"/>
        <v>7.7353489998179458E-3</v>
      </c>
      <c r="AA26" s="32">
        <f t="shared" si="137"/>
        <v>2.2109047184935425E-3</v>
      </c>
      <c r="AB26" s="32">
        <f t="shared" si="138"/>
        <v>1.5710511371502353E-2</v>
      </c>
      <c r="AC26" s="32">
        <f t="shared" si="139"/>
        <v>1.6507745210094679E-2</v>
      </c>
      <c r="AD26" s="32">
        <f t="shared" si="140"/>
        <v>5.6772748830127015E-3</v>
      </c>
      <c r="AE26" s="32">
        <f t="shared" si="141"/>
        <v>1.086509003909835E-2</v>
      </c>
      <c r="AF26" s="32">
        <f t="shared" si="142"/>
        <v>4.6925729360884506E-3</v>
      </c>
      <c r="AG26" s="32">
        <f t="shared" si="143"/>
        <v>-1.4311717346316311E-3</v>
      </c>
      <c r="AH26" s="32">
        <f t="shared" si="144"/>
        <v>2.1253053342370955E-3</v>
      </c>
      <c r="AI26" s="32">
        <f t="shared" si="145"/>
        <v>-2.9685352517198641E-3</v>
      </c>
    </row>
    <row r="27" spans="1:35">
      <c r="B27" s="32" t="str">
        <f t="shared" si="117"/>
        <v>Diesel Fuel (distillate fuel oil)</v>
      </c>
      <c r="G27" s="32">
        <f t="shared" si="118"/>
        <v>-3.8187126976043324E-2</v>
      </c>
      <c r="H27" s="32">
        <f t="shared" si="2"/>
        <v>-3.5388774741546107E-2</v>
      </c>
      <c r="I27" s="32">
        <f t="shared" si="119"/>
        <v>3.5533886953607867E-2</v>
      </c>
      <c r="J27" s="32">
        <f t="shared" si="120"/>
        <v>-1.1367162963135061E-3</v>
      </c>
      <c r="K27" s="32">
        <f t="shared" si="121"/>
        <v>-1.071696293039165E-3</v>
      </c>
      <c r="L27" s="32">
        <f t="shared" si="122"/>
        <v>2.6002670259156488E-3</v>
      </c>
      <c r="M27" s="32">
        <f t="shared" si="123"/>
        <v>7.8541975479495939E-3</v>
      </c>
      <c r="N27" s="32">
        <f t="shared" si="124"/>
        <v>5.8537435708018691E-3</v>
      </c>
      <c r="O27" s="32">
        <f t="shared" si="125"/>
        <v>-1.5895297067061254E-3</v>
      </c>
      <c r="P27" s="32">
        <f t="shared" si="126"/>
        <v>2.6586592557798654E-2</v>
      </c>
      <c r="Q27" s="32">
        <f t="shared" si="127"/>
        <v>4.0875435495007564E-3</v>
      </c>
      <c r="R27" s="32">
        <f t="shared" si="128"/>
        <v>5.5144395446176482E-3</v>
      </c>
      <c r="S27" s="32">
        <f t="shared" si="129"/>
        <v>1.6655409695472379E-3</v>
      </c>
      <c r="T27" s="32">
        <f t="shared" si="130"/>
        <v>4.1480763628880535E-3</v>
      </c>
      <c r="U27" s="38">
        <f t="shared" si="131"/>
        <v>7.5613875417064403E-3</v>
      </c>
      <c r="V27" s="32">
        <f t="shared" si="132"/>
        <v>8.2675664428327449E-3</v>
      </c>
      <c r="W27" s="32">
        <f t="shared" si="133"/>
        <v>5.4820711704023986E-3</v>
      </c>
      <c r="X27" s="32">
        <f t="shared" si="134"/>
        <v>3.5979987605124397E-3</v>
      </c>
      <c r="Y27" s="32">
        <f t="shared" si="135"/>
        <v>8.2636303880340399E-3</v>
      </c>
      <c r="Z27" s="32">
        <f t="shared" si="136"/>
        <v>4.6207536860399454E-3</v>
      </c>
      <c r="AA27" s="32">
        <f t="shared" si="137"/>
        <v>4.8465538287049281E-4</v>
      </c>
      <c r="AB27" s="32">
        <f t="shared" si="138"/>
        <v>1.043593771652729E-2</v>
      </c>
      <c r="AC27" s="32">
        <f t="shared" si="139"/>
        <v>1.1333813226145332E-2</v>
      </c>
      <c r="AD27" s="32">
        <f t="shared" si="140"/>
        <v>4.0253453706687418E-3</v>
      </c>
      <c r="AE27" s="32">
        <f t="shared" si="141"/>
        <v>7.0947247897374241E-3</v>
      </c>
      <c r="AF27" s="32">
        <f t="shared" si="142"/>
        <v>2.3110845827206752E-3</v>
      </c>
      <c r="AG27" s="32">
        <f t="shared" si="143"/>
        <v>-1.9535036449633177E-3</v>
      </c>
      <c r="AH27" s="32">
        <f t="shared" si="144"/>
        <v>-8.1524323617645188E-4</v>
      </c>
      <c r="AI27" s="32">
        <f t="shared" si="145"/>
        <v>-2.3627702686885139E-3</v>
      </c>
    </row>
    <row r="28" spans="1:35">
      <c r="B28" s="32" t="str">
        <f t="shared" si="117"/>
        <v>Residual Fuel Oil</v>
      </c>
      <c r="G28" s="32">
        <f t="shared" si="118"/>
        <v>-0.15453709844627619</v>
      </c>
      <c r="H28" s="32">
        <f t="shared" si="2"/>
        <v>0.2323660036184394</v>
      </c>
      <c r="I28" s="32">
        <f t="shared" si="119"/>
        <v>6.9914062537070651E-2</v>
      </c>
      <c r="J28" s="32">
        <f t="shared" si="120"/>
        <v>1.235199892513552E-2</v>
      </c>
      <c r="K28" s="32">
        <f t="shared" si="121"/>
        <v>1.241027751354927E-2</v>
      </c>
      <c r="L28" s="32">
        <f t="shared" si="122"/>
        <v>2.4691728474196067E-2</v>
      </c>
      <c r="M28" s="32">
        <f t="shared" si="123"/>
        <v>1.2416626381864467E-2</v>
      </c>
      <c r="N28" s="32">
        <f t="shared" si="124"/>
        <v>6.9677264598282029E-3</v>
      </c>
      <c r="O28" s="32">
        <f t="shared" si="125"/>
        <v>8.1803844475795175E-3</v>
      </c>
      <c r="P28" s="32">
        <f t="shared" si="126"/>
        <v>1.5319471034550726E-2</v>
      </c>
      <c r="Q28" s="32">
        <f t="shared" si="127"/>
        <v>7.1606277651068036E-3</v>
      </c>
      <c r="R28" s="32">
        <f t="shared" si="128"/>
        <v>8.5861198571113469E-3</v>
      </c>
      <c r="S28" s="32">
        <f t="shared" si="129"/>
        <v>9.1794081893957383E-4</v>
      </c>
      <c r="T28" s="32">
        <f t="shared" si="130"/>
        <v>2.2215639617162936E-3</v>
      </c>
      <c r="U28" s="38">
        <f t="shared" si="131"/>
        <v>-9.5660082891085635E-4</v>
      </c>
      <c r="V28" s="32">
        <f t="shared" si="132"/>
        <v>2.2170677661101658E-3</v>
      </c>
      <c r="W28" s="32">
        <f t="shared" si="133"/>
        <v>1.2271221890708787E-2</v>
      </c>
      <c r="X28" s="32">
        <f t="shared" si="134"/>
        <v>-3.311837424565874E-3</v>
      </c>
      <c r="Y28" s="32">
        <f t="shared" si="135"/>
        <v>2.1055300275089478E-2</v>
      </c>
      <c r="Z28" s="32">
        <f t="shared" si="136"/>
        <v>8.266485128367685E-3</v>
      </c>
      <c r="AA28" s="32">
        <f t="shared" si="137"/>
        <v>5.3213715151506141E-3</v>
      </c>
      <c r="AB28" s="32">
        <f t="shared" si="138"/>
        <v>1.9053867109610104E-2</v>
      </c>
      <c r="AC28" s="32">
        <f t="shared" si="139"/>
        <v>1.3246189211564284E-2</v>
      </c>
      <c r="AD28" s="32">
        <f t="shared" si="140"/>
        <v>5.7381750921929398E-3</v>
      </c>
      <c r="AE28" s="32">
        <f t="shared" si="141"/>
        <v>8.947474897435392E-3</v>
      </c>
      <c r="AF28" s="32">
        <f t="shared" si="142"/>
        <v>3.2337311185914931E-3</v>
      </c>
      <c r="AG28" s="32">
        <f t="shared" si="143"/>
        <v>-1.7031154258625757E-3</v>
      </c>
      <c r="AH28" s="32">
        <f t="shared" si="144"/>
        <v>1.9871634545635952E-3</v>
      </c>
      <c r="AI28" s="32">
        <f t="shared" si="145"/>
        <v>-2.2670644837185761E-3</v>
      </c>
    </row>
    <row r="29" spans="1:35">
      <c r="B29" s="32" t="str">
        <f t="shared" si="117"/>
        <v>Natural Gas</v>
      </c>
      <c r="G29" s="32">
        <f t="shared" si="118"/>
        <v>-1.1379437948363584E-3</v>
      </c>
      <c r="H29" s="32">
        <f t="shared" si="2"/>
        <v>-4.8936532549118977E-2</v>
      </c>
      <c r="I29" s="32">
        <f t="shared" si="119"/>
        <v>-3.9051692831620279E-2</v>
      </c>
      <c r="J29" s="32">
        <f t="shared" si="120"/>
        <v>-3.0135507225832747E-2</v>
      </c>
      <c r="K29" s="32">
        <f t="shared" si="121"/>
        <v>-2.288860647823171E-2</v>
      </c>
      <c r="L29" s="32">
        <f t="shared" si="122"/>
        <v>-1.6873924506259508E-2</v>
      </c>
      <c r="M29" s="32">
        <f t="shared" si="123"/>
        <v>-1.0871042730326979E-2</v>
      </c>
      <c r="N29" s="32">
        <f t="shared" si="124"/>
        <v>-1.0668915471278937E-2</v>
      </c>
      <c r="O29" s="32">
        <f t="shared" si="125"/>
        <v>-1.2983837625848128E-2</v>
      </c>
      <c r="P29" s="32">
        <f t="shared" si="126"/>
        <v>5.4640112281616394E-2</v>
      </c>
      <c r="Q29" s="32">
        <f t="shared" si="127"/>
        <v>-1.4335158368854376E-2</v>
      </c>
      <c r="R29" s="32">
        <f t="shared" si="128"/>
        <v>-7.8207540742284193E-5</v>
      </c>
      <c r="S29" s="32">
        <f t="shared" si="129"/>
        <v>-1.2013393888938255E-2</v>
      </c>
      <c r="T29" s="32">
        <f t="shared" si="130"/>
        <v>-1.4169508932821115E-2</v>
      </c>
      <c r="U29" s="38">
        <f t="shared" si="131"/>
        <v>-9.452873656841462E-3</v>
      </c>
      <c r="V29" s="32">
        <f t="shared" si="132"/>
        <v>-8.4983889011569554E-3</v>
      </c>
      <c r="W29" s="32">
        <f t="shared" si="133"/>
        <v>-7.6570317272555552E-3</v>
      </c>
      <c r="X29" s="32">
        <f t="shared" si="134"/>
        <v>-7.8269847481465624E-3</v>
      </c>
      <c r="Y29" s="32">
        <f t="shared" si="135"/>
        <v>-2.405916513321484E-3</v>
      </c>
      <c r="Z29" s="32">
        <f t="shared" si="136"/>
        <v>-3.7757266543796768E-3</v>
      </c>
      <c r="AA29" s="32">
        <f t="shared" si="137"/>
        <v>-6.9298745363594047E-3</v>
      </c>
      <c r="AB29" s="32">
        <f t="shared" si="138"/>
        <v>-2.8571797298459416E-3</v>
      </c>
      <c r="AC29" s="32">
        <f t="shared" si="139"/>
        <v>-4.8672146029207627E-3</v>
      </c>
      <c r="AD29" s="32">
        <f t="shared" si="140"/>
        <v>-3.7824121131522005E-3</v>
      </c>
      <c r="AE29" s="32">
        <f t="shared" si="141"/>
        <v>-2.6586288987661202E-3</v>
      </c>
      <c r="AF29" s="32">
        <f t="shared" si="142"/>
        <v>-2.5122150654364899E-3</v>
      </c>
      <c r="AG29" s="32">
        <f t="shared" si="143"/>
        <v>-4.0169995473483015E-3</v>
      </c>
      <c r="AH29" s="32">
        <f t="shared" si="144"/>
        <v>-3.4155193031651506E-3</v>
      </c>
      <c r="AI29" s="32">
        <f t="shared" si="145"/>
        <v>-3.7722039391054297E-3</v>
      </c>
    </row>
    <row r="30" spans="1:35">
      <c r="B30" s="32" t="str">
        <f t="shared" si="117"/>
        <v>Electricity</v>
      </c>
      <c r="G30" s="32">
        <f t="shared" si="118"/>
        <v>1.7185612954957203E-2</v>
      </c>
      <c r="H30" s="32">
        <f t="shared" si="2"/>
        <v>-3.4784468146744345E-2</v>
      </c>
      <c r="I30" s="32">
        <f t="shared" si="119"/>
        <v>-2.8190684445703655E-2</v>
      </c>
      <c r="J30" s="32">
        <f t="shared" si="120"/>
        <v>9.226911943047831E-4</v>
      </c>
      <c r="K30" s="32">
        <f t="shared" si="121"/>
        <v>8.2782126062310828E-3</v>
      </c>
      <c r="L30" s="32">
        <f t="shared" si="122"/>
        <v>2.8227943972225725E-3</v>
      </c>
      <c r="M30" s="32">
        <f t="shared" si="123"/>
        <v>2.1139202755685919E-3</v>
      </c>
      <c r="N30" s="32">
        <f t="shared" si="124"/>
        <v>9.3809809587878479E-4</v>
      </c>
      <c r="O30" s="32">
        <f t="shared" si="125"/>
        <v>-4.4213607271635091E-3</v>
      </c>
      <c r="P30" s="32">
        <f t="shared" si="126"/>
        <v>2.5516339830318289E-3</v>
      </c>
      <c r="Q30" s="32">
        <f t="shared" si="127"/>
        <v>2.4031001002640354E-3</v>
      </c>
      <c r="R30" s="32">
        <f t="shared" si="128"/>
        <v>2.7924864998570991E-3</v>
      </c>
      <c r="S30" s="32">
        <f t="shared" si="129"/>
        <v>-1.1395201276667942E-3</v>
      </c>
      <c r="T30" s="32">
        <f t="shared" si="130"/>
        <v>-8.4302566898133043E-3</v>
      </c>
      <c r="U30" s="38">
        <f t="shared" si="131"/>
        <v>-7.2853957051013767E-3</v>
      </c>
      <c r="V30" s="32">
        <f t="shared" si="132"/>
        <v>-5.8962285687765119E-3</v>
      </c>
      <c r="W30" s="32">
        <f t="shared" si="133"/>
        <v>-5.9472753859403536E-3</v>
      </c>
      <c r="X30" s="32">
        <f t="shared" si="134"/>
        <v>-5.5014693442138147E-3</v>
      </c>
      <c r="Y30" s="32">
        <f t="shared" si="135"/>
        <v>-4.5160850943257481E-3</v>
      </c>
      <c r="Z30" s="32">
        <f t="shared" si="136"/>
        <v>-5.3789938861454941E-3</v>
      </c>
      <c r="AA30" s="32">
        <f t="shared" si="137"/>
        <v>-4.9565523311025676E-3</v>
      </c>
      <c r="AB30" s="32">
        <f t="shared" si="138"/>
        <v>-7.0979149606083735E-3</v>
      </c>
      <c r="AC30" s="32">
        <f t="shared" si="139"/>
        <v>-6.9639347182417948E-3</v>
      </c>
      <c r="AD30" s="32">
        <f t="shared" si="140"/>
        <v>-4.2854901853106647E-3</v>
      </c>
      <c r="AE30" s="32">
        <f t="shared" si="141"/>
        <v>-4.9935067600867652E-3</v>
      </c>
      <c r="AF30" s="32">
        <f t="shared" si="142"/>
        <v>-6.1139143010999859E-3</v>
      </c>
      <c r="AG30" s="32">
        <f t="shared" si="143"/>
        <v>-4.7427326122495214E-3</v>
      </c>
      <c r="AH30" s="32">
        <f t="shared" si="144"/>
        <v>-5.1244270153175397E-3</v>
      </c>
      <c r="AI30" s="32">
        <f t="shared" si="145"/>
        <v>-6.380320408259298E-3</v>
      </c>
    </row>
    <row r="31" spans="1:35">
      <c r="A31" s="32" t="str">
        <f>A87</f>
        <v>Electric Power</v>
      </c>
      <c r="U31" s="38"/>
    </row>
    <row r="32" spans="1:35">
      <c r="B32" s="32" t="str">
        <f>A88</f>
        <v>Distillate Fuel Oil</v>
      </c>
      <c r="G32" s="32">
        <f t="shared" ref="G32:G36" si="146">(G88-F88)/F88</f>
        <v>1.4507617781887246E-2</v>
      </c>
      <c r="H32" s="32">
        <f t="shared" si="2"/>
        <v>-7.4257035402767457E-2</v>
      </c>
      <c r="I32" s="32">
        <f t="shared" ref="I32:I36" si="147">(I88-H88)/H88</f>
        <v>2.3241932557603553E-2</v>
      </c>
      <c r="J32" s="32">
        <f t="shared" ref="J32:J36" si="148">(J88-I88)/I88</f>
        <v>-3.1869940174017321E-2</v>
      </c>
      <c r="K32" s="32">
        <f t="shared" ref="K32:K36" si="149">(K88-J88)/J88</f>
        <v>-3.1710464331958232E-2</v>
      </c>
      <c r="L32" s="32">
        <f t="shared" ref="L32:L36" si="150">(L88-K88)/K88</f>
        <v>-2.4006745321874471E-2</v>
      </c>
      <c r="M32" s="32">
        <f t="shared" ref="M32:M36" si="151">(M88-L88)/L88</f>
        <v>1.0957249860179791E-2</v>
      </c>
      <c r="N32" s="32">
        <f t="shared" ref="N32:N36" si="152">(N88-M88)/M88</f>
        <v>7.3483613933821787E-3</v>
      </c>
      <c r="O32" s="32">
        <f t="shared" ref="O32:O36" si="153">(O88-N88)/N88</f>
        <v>5.3755983323305748E-4</v>
      </c>
      <c r="P32" s="32">
        <f t="shared" ref="P32:P36" si="154">(P88-O88)/O88</f>
        <v>9.6787944855595831E-3</v>
      </c>
      <c r="Q32" s="32">
        <f t="shared" ref="Q32:Q36" si="155">(Q88-P88)/P88</f>
        <v>6.7003835983611582E-3</v>
      </c>
      <c r="R32" s="32">
        <f t="shared" ref="R32:R36" si="156">(R88-Q88)/Q88</f>
        <v>2.0141835377969659E-3</v>
      </c>
      <c r="S32" s="32">
        <f t="shared" ref="S32:S36" si="157">(S88-R88)/R88</f>
        <v>6.2178008364658652E-3</v>
      </c>
      <c r="T32" s="32">
        <f t="shared" ref="T32:T36" si="158">(T88-S88)/S88</f>
        <v>4.9276729247441997E-3</v>
      </c>
      <c r="U32" s="38">
        <f t="shared" ref="U32:U36" si="159">(U88-T88)/T88</f>
        <v>9.2694118443310894E-3</v>
      </c>
      <c r="V32" s="32">
        <f t="shared" ref="V32:V36" si="160">(V88-U88)/U88</f>
        <v>1.0241954934507962E-2</v>
      </c>
      <c r="W32" s="32">
        <f t="shared" ref="W32:W36" si="161">(W88-V88)/V88</f>
        <v>4.895278009936407E-3</v>
      </c>
      <c r="X32" s="32">
        <f t="shared" ref="X32:X36" si="162">(X88-W88)/W88</f>
        <v>3.3043403622075433E-3</v>
      </c>
      <c r="Y32" s="32">
        <f t="shared" ref="Y32:Y36" si="163">(Y88-X88)/X88</f>
        <v>1.0487976119263729E-2</v>
      </c>
      <c r="Z32" s="32">
        <f t="shared" ref="Z32:Z36" si="164">(Z88-Y88)/Y88</f>
        <v>4.3344395867571661E-3</v>
      </c>
      <c r="AA32" s="32">
        <f t="shared" ref="AA32:AA36" si="165">(AA88-Z88)/Z88</f>
        <v>1.7194614038325946E-3</v>
      </c>
      <c r="AB32" s="32">
        <f t="shared" ref="AB32:AB36" si="166">(AB88-AA88)/AA88</f>
        <v>1.1097184169097975E-2</v>
      </c>
      <c r="AC32" s="32">
        <f t="shared" ref="AC32:AC36" si="167">(AC88-AB88)/AB88</f>
        <v>1.2747219733790649E-2</v>
      </c>
      <c r="AD32" s="32">
        <f t="shared" ref="AD32:AD36" si="168">(AD88-AC88)/AC88</f>
        <v>4.790428154865075E-3</v>
      </c>
      <c r="AE32" s="32">
        <f t="shared" ref="AE32:AE36" si="169">(AE88-AD88)/AD88</f>
        <v>1.1185617734186516E-2</v>
      </c>
      <c r="AF32" s="32">
        <f t="shared" ref="AF32:AF36" si="170">(AF88-AE88)/AE88</f>
        <v>3.079868536698999E-3</v>
      </c>
      <c r="AG32" s="32">
        <f t="shared" ref="AG32:AG36" si="171">(AG88-AF88)/AF88</f>
        <v>-2.4078737939864474E-3</v>
      </c>
      <c r="AH32" s="32">
        <f t="shared" ref="AH32:AH36" si="172">(AH88-AG88)/AG88</f>
        <v>-2.9447386914859631E-4</v>
      </c>
      <c r="AI32" s="32">
        <f t="shared" ref="AI32:AI36" si="173">(AI88-AH88)/AH88</f>
        <v>-2.5296694441664606E-3</v>
      </c>
    </row>
    <row r="33" spans="1:35">
      <c r="B33" s="32" t="str">
        <f>A89</f>
        <v>Residual Fuel Oil</v>
      </c>
      <c r="G33" s="32">
        <f t="shared" si="146"/>
        <v>2.7202274452396358E-2</v>
      </c>
      <c r="H33" s="32">
        <f t="shared" si="2"/>
        <v>-3.9458947684420737E-2</v>
      </c>
      <c r="I33" s="32">
        <f t="shared" si="147"/>
        <v>7.1574885389998705E-2</v>
      </c>
      <c r="J33" s="32">
        <f t="shared" si="148"/>
        <v>1.4462425242954904E-2</v>
      </c>
      <c r="K33" s="32">
        <f t="shared" si="149"/>
        <v>1.2707241944597011E-2</v>
      </c>
      <c r="L33" s="32">
        <f t="shared" si="150"/>
        <v>2.9902099355834943E-2</v>
      </c>
      <c r="M33" s="32">
        <f t="shared" si="151"/>
        <v>1.1309584948971918E-2</v>
      </c>
      <c r="N33" s="32">
        <f t="shared" si="152"/>
        <v>6.6375030871315801E-3</v>
      </c>
      <c r="O33" s="32">
        <f t="shared" si="153"/>
        <v>6.184067277826325E-3</v>
      </c>
      <c r="P33" s="32">
        <f t="shared" si="154"/>
        <v>1.8884043270754589E-2</v>
      </c>
      <c r="Q33" s="32">
        <f t="shared" si="155"/>
        <v>6.1397344672693092E-3</v>
      </c>
      <c r="R33" s="32">
        <f t="shared" si="156"/>
        <v>8.8844718392433342E-3</v>
      </c>
      <c r="S33" s="32">
        <f t="shared" si="157"/>
        <v>1.7199821269500881E-3</v>
      </c>
      <c r="T33" s="32">
        <f t="shared" si="158"/>
        <v>2.5590009730782292E-3</v>
      </c>
      <c r="U33" s="38">
        <f t="shared" si="159"/>
        <v>-1.1684015610523401E-3</v>
      </c>
      <c r="V33" s="32">
        <f t="shared" si="160"/>
        <v>3.0281691509478799E-3</v>
      </c>
      <c r="W33" s="32">
        <f t="shared" si="161"/>
        <v>1.0975103619202661E-2</v>
      </c>
      <c r="X33" s="32">
        <f t="shared" si="162"/>
        <v>-1.072186319061018E-3</v>
      </c>
      <c r="Y33" s="32">
        <f t="shared" si="163"/>
        <v>1.387938819207638E-2</v>
      </c>
      <c r="Z33" s="32">
        <f t="shared" si="164"/>
        <v>2.3875152318425909E-3</v>
      </c>
      <c r="AA33" s="32">
        <f t="shared" si="165"/>
        <v>-3.5172402856633242E-3</v>
      </c>
      <c r="AB33" s="32">
        <f t="shared" si="166"/>
        <v>8.7032362400892415E-3</v>
      </c>
      <c r="AC33" s="32">
        <f t="shared" si="167"/>
        <v>7.3630146527183904E-4</v>
      </c>
      <c r="AD33" s="32">
        <f t="shared" si="168"/>
        <v>-1.1445095658773625E-2</v>
      </c>
      <c r="AE33" s="32">
        <f t="shared" si="169"/>
        <v>1.4121918327491201E-2</v>
      </c>
      <c r="AF33" s="32">
        <f t="shared" si="170"/>
        <v>5.349252416982626E-3</v>
      </c>
      <c r="AG33" s="32">
        <f t="shared" si="171"/>
        <v>2.3790924887800761E-3</v>
      </c>
      <c r="AH33" s="32">
        <f t="shared" si="172"/>
        <v>3.5061409636973941E-3</v>
      </c>
      <c r="AI33" s="32">
        <f t="shared" si="173"/>
        <v>-3.3716500629561318E-4</v>
      </c>
    </row>
    <row r="34" spans="1:35">
      <c r="B34" s="32" t="str">
        <f>A90</f>
        <v>Natural Gas</v>
      </c>
      <c r="G34" s="32">
        <f t="shared" si="146"/>
        <v>-0.21522381120777595</v>
      </c>
      <c r="H34" s="32">
        <f t="shared" si="2"/>
        <v>-6.3740803319465966E-2</v>
      </c>
      <c r="I34" s="32">
        <f t="shared" si="147"/>
        <v>-7.908082019332649E-2</v>
      </c>
      <c r="J34" s="32">
        <f t="shared" si="148"/>
        <v>-4.8639900629703074E-2</v>
      </c>
      <c r="K34" s="32">
        <f t="shared" si="149"/>
        <v>-1.1481620809065038E-3</v>
      </c>
      <c r="L34" s="32">
        <f t="shared" si="150"/>
        <v>2.7004669505840614E-2</v>
      </c>
      <c r="M34" s="32">
        <f t="shared" si="151"/>
        <v>4.3592196492779962E-2</v>
      </c>
      <c r="N34" s="32">
        <f t="shared" si="152"/>
        <v>2.4222357169728169E-2</v>
      </c>
      <c r="O34" s="32">
        <f t="shared" si="153"/>
        <v>2.1245986216603823E-2</v>
      </c>
      <c r="P34" s="32">
        <f t="shared" si="154"/>
        <v>1.3648860349929936E-2</v>
      </c>
      <c r="Q34" s="32">
        <f t="shared" si="155"/>
        <v>5.591689461503224E-3</v>
      </c>
      <c r="R34" s="32">
        <f t="shared" si="156"/>
        <v>1.4631618091509539E-2</v>
      </c>
      <c r="S34" s="32">
        <f t="shared" si="157"/>
        <v>-7.4846045022241509E-3</v>
      </c>
      <c r="T34" s="32">
        <f t="shared" si="158"/>
        <v>-7.8995562978878137E-3</v>
      </c>
      <c r="U34" s="38">
        <f t="shared" si="159"/>
        <v>-2.0049654574000476E-3</v>
      </c>
      <c r="V34" s="32">
        <f t="shared" si="160"/>
        <v>7.938956712407407E-4</v>
      </c>
      <c r="W34" s="32">
        <f t="shared" si="161"/>
        <v>4.0529398381314178E-3</v>
      </c>
      <c r="X34" s="32">
        <f t="shared" si="162"/>
        <v>-4.9936254116177701E-4</v>
      </c>
      <c r="Y34" s="32">
        <f t="shared" si="163"/>
        <v>8.5211167239385138E-3</v>
      </c>
      <c r="Z34" s="32">
        <f t="shared" si="164"/>
        <v>-1.3377905415696443E-3</v>
      </c>
      <c r="AA34" s="32">
        <f t="shared" si="165"/>
        <v>-5.6471059302735608E-3</v>
      </c>
      <c r="AB34" s="32">
        <f t="shared" si="166"/>
        <v>-2.582905440519635E-3</v>
      </c>
      <c r="AC34" s="32">
        <f t="shared" si="167"/>
        <v>-1.2966730017176742E-2</v>
      </c>
      <c r="AD34" s="32">
        <f t="shared" si="168"/>
        <v>-3.6046917206929274E-3</v>
      </c>
      <c r="AE34" s="32">
        <f t="shared" si="169"/>
        <v>-1.445104952123901E-3</v>
      </c>
      <c r="AF34" s="32">
        <f t="shared" si="170"/>
        <v>-2.9484707716927873E-3</v>
      </c>
      <c r="AG34" s="32">
        <f t="shared" si="171"/>
        <v>3.816364413015682E-3</v>
      </c>
      <c r="AH34" s="32">
        <f t="shared" si="172"/>
        <v>-5.1962002416111137E-3</v>
      </c>
      <c r="AI34" s="32">
        <f t="shared" si="173"/>
        <v>-2.4165724501554213E-3</v>
      </c>
    </row>
    <row r="35" spans="1:35">
      <c r="B35" s="32" t="str">
        <f>A91</f>
        <v>Steam Coal</v>
      </c>
      <c r="G35" s="32">
        <f t="shared" si="146"/>
        <v>-1.3554922566909423E-2</v>
      </c>
      <c r="H35" s="32">
        <f t="shared" si="2"/>
        <v>-8.4646792557704579E-3</v>
      </c>
      <c r="I35" s="32">
        <f t="shared" si="147"/>
        <v>-4.4677556261914008E-4</v>
      </c>
      <c r="J35" s="32">
        <f t="shared" si="148"/>
        <v>-2.4640816348853414E-2</v>
      </c>
      <c r="K35" s="32">
        <f t="shared" si="149"/>
        <v>-1.6526680181900035E-2</v>
      </c>
      <c r="L35" s="32">
        <f t="shared" si="150"/>
        <v>-7.349755042720536E-4</v>
      </c>
      <c r="M35" s="32">
        <f t="shared" si="151"/>
        <v>-5.28710543815072E-3</v>
      </c>
      <c r="N35" s="32">
        <f t="shared" si="152"/>
        <v>3.7654383755582436E-3</v>
      </c>
      <c r="O35" s="32">
        <f t="shared" si="153"/>
        <v>-1.4966809113700534E-3</v>
      </c>
      <c r="P35" s="32">
        <f t="shared" si="154"/>
        <v>-6.4774758135212264E-4</v>
      </c>
      <c r="Q35" s="32">
        <f t="shared" si="155"/>
        <v>-5.813723448563176E-3</v>
      </c>
      <c r="R35" s="32">
        <f t="shared" si="156"/>
        <v>-1.8370021883785234E-3</v>
      </c>
      <c r="S35" s="32">
        <f t="shared" si="157"/>
        <v>-3.6267296216146204E-3</v>
      </c>
      <c r="T35" s="32">
        <f t="shared" si="158"/>
        <v>-7.1819259777212204E-3</v>
      </c>
      <c r="U35" s="38">
        <f t="shared" si="159"/>
        <v>-8.0771246072810134E-3</v>
      </c>
      <c r="V35" s="32">
        <f t="shared" si="160"/>
        <v>-1.7023624556363776E-3</v>
      </c>
      <c r="W35" s="32">
        <f t="shared" si="161"/>
        <v>-3.6097641442238063E-4</v>
      </c>
      <c r="X35" s="32">
        <f t="shared" si="162"/>
        <v>-1.4181744927896868E-3</v>
      </c>
      <c r="Y35" s="32">
        <f t="shared" si="163"/>
        <v>2.6724439959074343E-3</v>
      </c>
      <c r="Z35" s="32">
        <f t="shared" si="164"/>
        <v>-2.2270761518778173E-3</v>
      </c>
      <c r="AA35" s="32">
        <f t="shared" si="165"/>
        <v>-5.74100531143556E-3</v>
      </c>
      <c r="AB35" s="32">
        <f t="shared" si="166"/>
        <v>-6.0961697477441013E-3</v>
      </c>
      <c r="AC35" s="32">
        <f t="shared" si="167"/>
        <v>-2.8692387969711224E-3</v>
      </c>
      <c r="AD35" s="32">
        <f t="shared" si="168"/>
        <v>-1.6725065610369004E-3</v>
      </c>
      <c r="AE35" s="32">
        <f t="shared" si="169"/>
        <v>-1.5428321273256887E-3</v>
      </c>
      <c r="AF35" s="32">
        <f t="shared" si="170"/>
        <v>-3.0036162425694369E-3</v>
      </c>
      <c r="AG35" s="32">
        <f t="shared" si="171"/>
        <v>-4.7142376768797255E-3</v>
      </c>
      <c r="AH35" s="32">
        <f t="shared" si="172"/>
        <v>7.2688254876600853E-4</v>
      </c>
      <c r="AI35" s="32">
        <f t="shared" si="173"/>
        <v>-1.4900990888401422E-3</v>
      </c>
    </row>
    <row r="36" spans="1:35">
      <c r="B36" s="32" t="str">
        <f>A92</f>
        <v>Uranium</v>
      </c>
      <c r="G36" s="32">
        <f t="shared" si="146"/>
        <v>1.4637263766563936E-3</v>
      </c>
      <c r="H36" s="32">
        <f t="shared" si="2"/>
        <v>2.924567340984435E-3</v>
      </c>
      <c r="I36" s="32">
        <f t="shared" si="147"/>
        <v>1.4573249681860911E-3</v>
      </c>
      <c r="J36" s="32">
        <f t="shared" si="148"/>
        <v>2.9104085253607065E-3</v>
      </c>
      <c r="K36" s="32">
        <f t="shared" si="149"/>
        <v>1.4523645185964839E-3</v>
      </c>
      <c r="L36" s="32">
        <f t="shared" si="150"/>
        <v>2.8977540334442432E-3</v>
      </c>
      <c r="M36" s="32">
        <f t="shared" si="151"/>
        <v>1.4446906585394133E-3</v>
      </c>
      <c r="N36" s="32">
        <f t="shared" si="152"/>
        <v>2.8865882974216839E-3</v>
      </c>
      <c r="O36" s="32">
        <f t="shared" si="153"/>
        <v>2.8782798883791841E-3</v>
      </c>
      <c r="P36" s="32">
        <f t="shared" si="154"/>
        <v>1.4343259215100726E-3</v>
      </c>
      <c r="Q36" s="32">
        <f t="shared" si="155"/>
        <v>2.8659085230398592E-3</v>
      </c>
      <c r="R36" s="32">
        <f t="shared" si="156"/>
        <v>2.8563570963728406E-3</v>
      </c>
      <c r="S36" s="32">
        <f t="shared" si="157"/>
        <v>1.4241107792559958E-3</v>
      </c>
      <c r="T36" s="32">
        <f t="shared" si="158"/>
        <v>2.8455268020426546E-3</v>
      </c>
      <c r="U36" s="38">
        <f t="shared" si="159"/>
        <v>2.8374527541812525E-3</v>
      </c>
      <c r="V36" s="32">
        <f t="shared" si="160"/>
        <v>1.4140382046432304E-3</v>
      </c>
      <c r="W36" s="32">
        <f t="shared" si="161"/>
        <v>2.8240830479637044E-3</v>
      </c>
      <c r="X36" s="32">
        <f t="shared" si="162"/>
        <v>2.8174723554820064E-3</v>
      </c>
      <c r="Y36" s="32">
        <f t="shared" si="163"/>
        <v>2.8095565076904239E-3</v>
      </c>
      <c r="Z36" s="32">
        <f t="shared" si="164"/>
        <v>2.8003502439962577E-3</v>
      </c>
      <c r="AA36" s="32">
        <f t="shared" si="165"/>
        <v>2.7938612253589983E-3</v>
      </c>
      <c r="AB36" s="32">
        <f t="shared" si="166"/>
        <v>2.784749976439853E-3</v>
      </c>
      <c r="AC36" s="32">
        <f t="shared" si="167"/>
        <v>2.7783403288209616E-3</v>
      </c>
      <c r="AD36" s="32">
        <f t="shared" si="168"/>
        <v>2.7706425409129432E-3</v>
      </c>
      <c r="AE36" s="32">
        <f t="shared" si="169"/>
        <v>2.7616709557249822E-3</v>
      </c>
      <c r="AF36" s="32">
        <f t="shared" si="170"/>
        <v>2.7553778438216157E-3</v>
      </c>
      <c r="AG36" s="32">
        <f t="shared" si="171"/>
        <v>2.7464974956865648E-3</v>
      </c>
      <c r="AH36" s="32">
        <f t="shared" si="172"/>
        <v>2.740280425076323E-3</v>
      </c>
      <c r="AI36" s="32">
        <f t="shared" si="173"/>
        <v>2.7314898597670871E-3</v>
      </c>
    </row>
    <row r="37" spans="1:35">
      <c r="A37" s="32" t="str">
        <f>A93</f>
        <v>Average Price to All Users</v>
      </c>
      <c r="U37" s="38"/>
    </row>
    <row r="38" spans="1:35">
      <c r="B38" s="32" t="str">
        <f t="shared" ref="B38:B48" si="174">A94</f>
        <v>Propane</v>
      </c>
      <c r="G38" s="32">
        <f t="shared" ref="G38:G44" si="175">(G94-F94)/F94</f>
        <v>9.6284660195449942E-2</v>
      </c>
      <c r="H38" s="32">
        <f t="shared" si="2"/>
        <v>-5.533066933253953E-2</v>
      </c>
      <c r="I38" s="32">
        <f t="shared" ref="I38:I44" si="176">(I94-H94)/H94</f>
        <v>-5.7669026852476371E-5</v>
      </c>
      <c r="J38" s="32">
        <f t="shared" ref="J38:J44" si="177">(J94-I94)/I94</f>
        <v>-4.7214531887039687E-3</v>
      </c>
      <c r="K38" s="32">
        <f t="shared" ref="K38:K44" si="178">(K94-J94)/J94</f>
        <v>4.7251829080579028E-3</v>
      </c>
      <c r="L38" s="32">
        <f t="shared" ref="L38:L44" si="179">(L94-K94)/K94</f>
        <v>1.6257514019745564E-2</v>
      </c>
      <c r="M38" s="32">
        <f t="shared" ref="M38:M44" si="180">(M94-L94)/L94</f>
        <v>2.5123831556417481E-2</v>
      </c>
      <c r="N38" s="32">
        <f t="shared" ref="N38:N44" si="181">(N94-M94)/M94</f>
        <v>1.9866419880535623E-2</v>
      </c>
      <c r="O38" s="32">
        <f t="shared" ref="O38:O44" si="182">(O94-N94)/N94</f>
        <v>2.0227949921993525E-2</v>
      </c>
      <c r="P38" s="32">
        <f t="shared" ref="P38:P44" si="183">(P94-O94)/O94</f>
        <v>2.6105944059076552E-2</v>
      </c>
      <c r="Q38" s="32">
        <f t="shared" ref="Q38:Q44" si="184">(Q94-P94)/P94</f>
        <v>1.514305476220156E-2</v>
      </c>
      <c r="R38" s="32">
        <f t="shared" ref="R38:R44" si="185">(R94-Q94)/Q94</f>
        <v>1.5272472855046397E-2</v>
      </c>
      <c r="S38" s="32">
        <f t="shared" ref="S38:S44" si="186">(S94-R94)/R94</f>
        <v>9.8327672754274231E-3</v>
      </c>
      <c r="T38" s="32">
        <f t="shared" ref="T38:T44" si="187">(T94-S94)/S94</f>
        <v>6.8909516246643873E-3</v>
      </c>
      <c r="U38" s="38">
        <f t="shared" ref="U38:U44" si="188">(U94-T94)/T94</f>
        <v>7.3256168151845779E-3</v>
      </c>
      <c r="V38" s="32">
        <f t="shared" ref="V38:V44" si="189">(V94-U94)/U94</f>
        <v>8.3908592036933197E-3</v>
      </c>
      <c r="W38" s="32">
        <f t="shared" ref="W38:W44" si="190">(W94-V94)/V94</f>
        <v>7.9339492614253319E-3</v>
      </c>
      <c r="X38" s="32">
        <f t="shared" ref="X38:X44" si="191">(X94-W94)/W94</f>
        <v>4.7620415738876074E-3</v>
      </c>
      <c r="Y38" s="32">
        <f t="shared" ref="Y38:Y44" si="192">(Y94-X94)/X94</f>
        <v>1.1106425274164769E-2</v>
      </c>
      <c r="Z38" s="32">
        <f t="shared" ref="Z38:Z44" si="193">(Z94-Y94)/Y94</f>
        <v>8.0895836786630208E-3</v>
      </c>
      <c r="AA38" s="32">
        <f t="shared" ref="AA38:AA44" si="194">(AA94-Z94)/Z94</f>
        <v>2.5214742666561886E-3</v>
      </c>
      <c r="AB38" s="32">
        <f t="shared" ref="AB38:AB44" si="195">(AB94-AA94)/AA94</f>
        <v>6.8822625014896026E-3</v>
      </c>
      <c r="AC38" s="32">
        <f t="shared" ref="AC38:AC44" si="196">(AC94-AB94)/AB94</f>
        <v>8.5229513534857936E-3</v>
      </c>
      <c r="AD38" s="32">
        <f t="shared" ref="AD38:AD44" si="197">(AD94-AC94)/AC94</f>
        <v>2.7733833409119791E-3</v>
      </c>
      <c r="AE38" s="32">
        <f t="shared" ref="AE38:AE44" si="198">(AE94-AD94)/AD94</f>
        <v>4.2852765506458607E-3</v>
      </c>
      <c r="AF38" s="32">
        <f t="shared" ref="AF38:AF44" si="199">(AF94-AE94)/AE94</f>
        <v>3.1337929341534289E-3</v>
      </c>
      <c r="AG38" s="32">
        <f t="shared" ref="AG38:AG44" si="200">(AG94-AF94)/AF94</f>
        <v>1.7376113447363389E-3</v>
      </c>
      <c r="AH38" s="32">
        <f t="shared" ref="AH38:AH44" si="201">(AH94-AG94)/AG94</f>
        <v>-5.4303311144396295E-4</v>
      </c>
      <c r="AI38" s="32">
        <f t="shared" ref="AI38:AI44" si="202">(AI94-AH94)/AH94</f>
        <v>-1.2551274134055984E-3</v>
      </c>
    </row>
    <row r="39" spans="1:35">
      <c r="B39" s="32" t="str">
        <f t="shared" si="174"/>
        <v>E85</v>
      </c>
      <c r="G39" s="32">
        <f t="shared" si="175"/>
        <v>-2.5786699628189285E-4</v>
      </c>
      <c r="H39" s="32">
        <f t="shared" si="2"/>
        <v>5.7465919669011656E-3</v>
      </c>
      <c r="I39" s="32">
        <f t="shared" si="176"/>
        <v>-8.673649524272329E-3</v>
      </c>
      <c r="J39" s="32">
        <f t="shared" si="177"/>
        <v>-1.1929650412742793E-2</v>
      </c>
      <c r="K39" s="32">
        <f t="shared" si="178"/>
        <v>1.1197081951028774E-2</v>
      </c>
      <c r="L39" s="32">
        <f t="shared" si="179"/>
        <v>1.2876134216413307E-2</v>
      </c>
      <c r="M39" s="32">
        <f t="shared" si="180"/>
        <v>1.2319926097727557E-2</v>
      </c>
      <c r="N39" s="32">
        <f t="shared" si="181"/>
        <v>8.8288927870779892E-3</v>
      </c>
      <c r="O39" s="32">
        <f t="shared" si="182"/>
        <v>2.6070030458291087E-2</v>
      </c>
      <c r="P39" s="32">
        <f t="shared" si="183"/>
        <v>2.7122187320915595E-2</v>
      </c>
      <c r="Q39" s="32">
        <f t="shared" si="184"/>
        <v>1.2948172575245684E-2</v>
      </c>
      <c r="R39" s="32">
        <f t="shared" si="185"/>
        <v>5.8978166393492152E-3</v>
      </c>
      <c r="S39" s="32">
        <f t="shared" si="186"/>
        <v>1.680920598184921E-2</v>
      </c>
      <c r="T39" s="32">
        <f t="shared" si="187"/>
        <v>5.9482623000890805E-3</v>
      </c>
      <c r="U39" s="38">
        <f t="shared" si="188"/>
        <v>1.4291666382917742E-3</v>
      </c>
      <c r="V39" s="32">
        <f t="shared" si="189"/>
        <v>4.6144220643806726E-3</v>
      </c>
      <c r="W39" s="32">
        <f t="shared" si="190"/>
        <v>1.2865486679980215E-2</v>
      </c>
      <c r="X39" s="32">
        <f t="shared" si="191"/>
        <v>-3.5659772623973025E-4</v>
      </c>
      <c r="Y39" s="32">
        <f t="shared" si="192"/>
        <v>7.8677009359969883E-3</v>
      </c>
      <c r="Z39" s="32">
        <f t="shared" si="193"/>
        <v>7.1678174554144864E-3</v>
      </c>
      <c r="AA39" s="32">
        <f t="shared" si="194"/>
        <v>6.4579695285629627E-4</v>
      </c>
      <c r="AB39" s="32">
        <f t="shared" si="195"/>
        <v>9.7449579902884245E-3</v>
      </c>
      <c r="AC39" s="32">
        <f t="shared" si="196"/>
        <v>9.7325860553600912E-3</v>
      </c>
      <c r="AD39" s="32">
        <f t="shared" si="197"/>
        <v>3.3723766369289526E-3</v>
      </c>
      <c r="AE39" s="32">
        <f t="shared" si="198"/>
        <v>8.5664863855981488E-3</v>
      </c>
      <c r="AF39" s="32">
        <f t="shared" si="199"/>
        <v>3.4279872034183203E-3</v>
      </c>
      <c r="AG39" s="32">
        <f t="shared" si="200"/>
        <v>-2.4787676734044839E-3</v>
      </c>
      <c r="AH39" s="32">
        <f t="shared" si="201"/>
        <v>9.6693996188312599E-4</v>
      </c>
      <c r="AI39" s="32">
        <f t="shared" si="202"/>
        <v>-9.9716529797907251E-5</v>
      </c>
    </row>
    <row r="40" spans="1:35">
      <c r="B40" s="32" t="str">
        <f t="shared" si="174"/>
        <v>Motor Gasoline</v>
      </c>
      <c r="G40" s="32">
        <f t="shared" si="175"/>
        <v>-4.0955739199735108E-2</v>
      </c>
      <c r="H40" s="32">
        <f t="shared" si="2"/>
        <v>-0.10399403952407402</v>
      </c>
      <c r="I40" s="32">
        <f t="shared" si="176"/>
        <v>-6.0827213344617223E-3</v>
      </c>
      <c r="J40" s="32">
        <f t="shared" si="177"/>
        <v>-1.0180106899212265E-2</v>
      </c>
      <c r="K40" s="32">
        <f t="shared" si="178"/>
        <v>1.0062282646375362E-2</v>
      </c>
      <c r="L40" s="32">
        <f t="shared" si="179"/>
        <v>1.1273281693647228E-2</v>
      </c>
      <c r="M40" s="32">
        <f t="shared" si="180"/>
        <v>1.0811375369950594E-2</v>
      </c>
      <c r="N40" s="32">
        <f t="shared" si="181"/>
        <v>7.5068138843816593E-3</v>
      </c>
      <c r="O40" s="32">
        <f t="shared" si="182"/>
        <v>2.4700615440048097E-2</v>
      </c>
      <c r="P40" s="32">
        <f t="shared" si="183"/>
        <v>3.1910877357656971E-2</v>
      </c>
      <c r="Q40" s="32">
        <f t="shared" si="184"/>
        <v>1.0147662686663879E-2</v>
      </c>
      <c r="R40" s="32">
        <f t="shared" si="185"/>
        <v>8.2712992755690357E-3</v>
      </c>
      <c r="S40" s="32">
        <f t="shared" si="186"/>
        <v>7.7501967282177509E-3</v>
      </c>
      <c r="T40" s="32">
        <f t="shared" si="187"/>
        <v>3.7683216832791232E-3</v>
      </c>
      <c r="U40" s="38">
        <f t="shared" si="188"/>
        <v>7.108556566537287E-3</v>
      </c>
      <c r="V40" s="32">
        <f t="shared" si="189"/>
        <v>6.2688927320481078E-3</v>
      </c>
      <c r="W40" s="32">
        <f t="shared" si="190"/>
        <v>1.0970033623426516E-2</v>
      </c>
      <c r="X40" s="32">
        <f t="shared" si="191"/>
        <v>5.3478892459666509E-4</v>
      </c>
      <c r="Y40" s="32">
        <f t="shared" si="192"/>
        <v>7.8561428774301858E-3</v>
      </c>
      <c r="Z40" s="32">
        <f t="shared" si="193"/>
        <v>6.339910809110904E-3</v>
      </c>
      <c r="AA40" s="32">
        <f t="shared" si="194"/>
        <v>1.5989405527542819E-3</v>
      </c>
      <c r="AB40" s="32">
        <f t="shared" si="195"/>
        <v>9.9278690239382236E-3</v>
      </c>
      <c r="AC40" s="32">
        <f t="shared" si="196"/>
        <v>9.4563945599348154E-3</v>
      </c>
      <c r="AD40" s="32">
        <f t="shared" si="197"/>
        <v>3.2115059331131071E-3</v>
      </c>
      <c r="AE40" s="32">
        <f t="shared" si="198"/>
        <v>8.0086964372831082E-3</v>
      </c>
      <c r="AF40" s="32">
        <f t="shared" si="199"/>
        <v>3.0840382064413539E-3</v>
      </c>
      <c r="AG40" s="32">
        <f t="shared" si="200"/>
        <v>-2.6825968648209178E-3</v>
      </c>
      <c r="AH40" s="32">
        <f t="shared" si="201"/>
        <v>5.9461786190529917E-4</v>
      </c>
      <c r="AI40" s="32">
        <f t="shared" si="202"/>
        <v>-1.8873894711646743E-4</v>
      </c>
    </row>
    <row r="41" spans="1:35">
      <c r="B41" s="32" t="str">
        <f t="shared" si="174"/>
        <v>Jet Fuel</v>
      </c>
      <c r="G41" s="32">
        <f t="shared" si="175"/>
        <v>4.533775193291046E-2</v>
      </c>
      <c r="H41" s="32">
        <f t="shared" si="2"/>
        <v>-6.6516736597076423E-2</v>
      </c>
      <c r="I41" s="32">
        <f t="shared" si="176"/>
        <v>8.1753310458265963E-2</v>
      </c>
      <c r="J41" s="32">
        <f t="shared" si="177"/>
        <v>3.9425945954238324E-3</v>
      </c>
      <c r="K41" s="32">
        <f t="shared" si="178"/>
        <v>9.4450738235470448E-3</v>
      </c>
      <c r="L41" s="32">
        <f t="shared" si="179"/>
        <v>1.7929486068465932E-2</v>
      </c>
      <c r="M41" s="32">
        <f t="shared" si="180"/>
        <v>1.7353751986963512E-2</v>
      </c>
      <c r="N41" s="32">
        <f t="shared" si="181"/>
        <v>1.0387877942925616E-2</v>
      </c>
      <c r="O41" s="32">
        <f t="shared" si="182"/>
        <v>-3.4681379603459621E-3</v>
      </c>
      <c r="P41" s="32">
        <f t="shared" si="183"/>
        <v>2.9606744753123904E-2</v>
      </c>
      <c r="Q41" s="32">
        <f t="shared" si="184"/>
        <v>1.0907660665328408E-2</v>
      </c>
      <c r="R41" s="32">
        <f t="shared" si="185"/>
        <v>6.5154956193669263E-3</v>
      </c>
      <c r="S41" s="32">
        <f t="shared" si="186"/>
        <v>9.8387714051168199E-3</v>
      </c>
      <c r="T41" s="32">
        <f t="shared" si="187"/>
        <v>6.4721739532532293E-3</v>
      </c>
      <c r="U41" s="38">
        <f t="shared" si="188"/>
        <v>1.1286810901763705E-2</v>
      </c>
      <c r="V41" s="32">
        <f t="shared" si="189"/>
        <v>1.4551357410479594E-2</v>
      </c>
      <c r="W41" s="32">
        <f t="shared" si="190"/>
        <v>1.0014105577255884E-2</v>
      </c>
      <c r="X41" s="32">
        <f t="shared" si="191"/>
        <v>5.7462733886334914E-3</v>
      </c>
      <c r="Y41" s="32">
        <f t="shared" si="192"/>
        <v>1.0296079834070118E-2</v>
      </c>
      <c r="Z41" s="32">
        <f t="shared" si="193"/>
        <v>7.7353489998179458E-3</v>
      </c>
      <c r="AA41" s="32">
        <f t="shared" si="194"/>
        <v>2.2109047184935425E-3</v>
      </c>
      <c r="AB41" s="32">
        <f t="shared" si="195"/>
        <v>1.5710511371502353E-2</v>
      </c>
      <c r="AC41" s="32">
        <f t="shared" si="196"/>
        <v>1.6507745210094679E-2</v>
      </c>
      <c r="AD41" s="32">
        <f t="shared" si="197"/>
        <v>5.6772748830127015E-3</v>
      </c>
      <c r="AE41" s="32">
        <f t="shared" si="198"/>
        <v>1.086509003909835E-2</v>
      </c>
      <c r="AF41" s="32">
        <f t="shared" si="199"/>
        <v>4.6925729360884506E-3</v>
      </c>
      <c r="AG41" s="32">
        <f t="shared" si="200"/>
        <v>-1.4311717346316311E-3</v>
      </c>
      <c r="AH41" s="32">
        <f t="shared" si="201"/>
        <v>2.1253053342370955E-3</v>
      </c>
      <c r="AI41" s="32">
        <f t="shared" si="202"/>
        <v>-2.9685352517198641E-3</v>
      </c>
    </row>
    <row r="42" spans="1:35">
      <c r="B42" s="32" t="str">
        <f t="shared" si="174"/>
        <v>Distillate Fuel Oil</v>
      </c>
      <c r="G42" s="32">
        <f t="shared" si="175"/>
        <v>-2.6713386952193302E-2</v>
      </c>
      <c r="H42" s="32">
        <f t="shared" si="2"/>
        <v>-3.9521325115028413E-2</v>
      </c>
      <c r="I42" s="32">
        <f t="shared" si="176"/>
        <v>3.3745592375036715E-2</v>
      </c>
      <c r="J42" s="32">
        <f t="shared" si="177"/>
        <v>-4.9420762428661188E-3</v>
      </c>
      <c r="K42" s="32">
        <f t="shared" si="178"/>
        <v>-4.5151960347574625E-3</v>
      </c>
      <c r="L42" s="32">
        <f t="shared" si="179"/>
        <v>-5.4733238395259691E-4</v>
      </c>
      <c r="M42" s="32">
        <f t="shared" si="180"/>
        <v>8.1320401491344705E-3</v>
      </c>
      <c r="N42" s="32">
        <f t="shared" si="181"/>
        <v>5.3192744711273842E-3</v>
      </c>
      <c r="O42" s="32">
        <f t="shared" si="182"/>
        <v>-1.7768307816196094E-3</v>
      </c>
      <c r="P42" s="32">
        <f t="shared" si="183"/>
        <v>2.3532288884338573E-2</v>
      </c>
      <c r="Q42" s="32">
        <f t="shared" si="184"/>
        <v>3.9236883956577191E-3</v>
      </c>
      <c r="R42" s="32">
        <f t="shared" si="185"/>
        <v>4.9044779796250495E-3</v>
      </c>
      <c r="S42" s="32">
        <f t="shared" si="186"/>
        <v>1.4707926759673273E-3</v>
      </c>
      <c r="T42" s="32">
        <f t="shared" si="187"/>
        <v>3.9557040591343875E-3</v>
      </c>
      <c r="U42" s="38">
        <f t="shared" si="188"/>
        <v>7.1152416678430573E-3</v>
      </c>
      <c r="V42" s="32">
        <f t="shared" si="189"/>
        <v>9.191866924441126E-3</v>
      </c>
      <c r="W42" s="32">
        <f t="shared" si="190"/>
        <v>5.4073534546798053E-3</v>
      </c>
      <c r="X42" s="32">
        <f t="shared" si="191"/>
        <v>3.0021201148082207E-3</v>
      </c>
      <c r="Y42" s="32">
        <f t="shared" si="192"/>
        <v>8.2650649806204225E-3</v>
      </c>
      <c r="Z42" s="32">
        <f t="shared" si="193"/>
        <v>4.4359505002056071E-3</v>
      </c>
      <c r="AA42" s="32">
        <f t="shared" si="194"/>
        <v>5.1010040046487294E-4</v>
      </c>
      <c r="AB42" s="32">
        <f t="shared" si="195"/>
        <v>1.0554457647607101E-2</v>
      </c>
      <c r="AC42" s="32">
        <f t="shared" si="196"/>
        <v>1.1252877298702323E-2</v>
      </c>
      <c r="AD42" s="32">
        <f t="shared" si="197"/>
        <v>4.2516160732664655E-3</v>
      </c>
      <c r="AE42" s="32">
        <f t="shared" si="198"/>
        <v>7.2623632011659181E-3</v>
      </c>
      <c r="AF42" s="32">
        <f t="shared" si="199"/>
        <v>1.9222123642796936E-3</v>
      </c>
      <c r="AG42" s="32">
        <f t="shared" si="200"/>
        <v>-2.0745830749277581E-3</v>
      </c>
      <c r="AH42" s="32">
        <f t="shared" si="201"/>
        <v>-9.9654238091684928E-4</v>
      </c>
      <c r="AI42" s="32">
        <f t="shared" si="202"/>
        <v>-3.0263531324621717E-3</v>
      </c>
    </row>
    <row r="43" spans="1:35">
      <c r="B43" s="32" t="str">
        <f t="shared" si="174"/>
        <v>Residual Fuel Oil</v>
      </c>
      <c r="G43" s="32">
        <f t="shared" si="175"/>
        <v>-0.12942597118027618</v>
      </c>
      <c r="H43" s="32">
        <f t="shared" si="2"/>
        <v>0.20271459890508464</v>
      </c>
      <c r="I43" s="32">
        <f t="shared" si="176"/>
        <v>7.5512356383838894E-2</v>
      </c>
      <c r="J43" s="32">
        <f t="shared" si="177"/>
        <v>1.5441690628072092E-2</v>
      </c>
      <c r="K43" s="32">
        <f t="shared" si="178"/>
        <v>1.4922250645418226E-2</v>
      </c>
      <c r="L43" s="32">
        <f t="shared" si="179"/>
        <v>2.7735569013588597E-2</v>
      </c>
      <c r="M43" s="32">
        <f t="shared" si="180"/>
        <v>1.224455500572676E-2</v>
      </c>
      <c r="N43" s="32">
        <f t="shared" si="181"/>
        <v>6.7108296281138975E-3</v>
      </c>
      <c r="O43" s="32">
        <f t="shared" si="182"/>
        <v>8.0041210502350638E-3</v>
      </c>
      <c r="P43" s="32">
        <f t="shared" si="183"/>
        <v>1.5385033473786914E-2</v>
      </c>
      <c r="Q43" s="32">
        <f t="shared" si="184"/>
        <v>7.1273282699355215E-3</v>
      </c>
      <c r="R43" s="32">
        <f t="shared" si="185"/>
        <v>8.4096728178729274E-3</v>
      </c>
      <c r="S43" s="32">
        <f t="shared" si="186"/>
        <v>8.3091022947871676E-4</v>
      </c>
      <c r="T43" s="32">
        <f t="shared" si="187"/>
        <v>2.1327553475718351E-3</v>
      </c>
      <c r="U43" s="38">
        <f t="shared" si="188"/>
        <v>-1.313294550428741E-3</v>
      </c>
      <c r="V43" s="32">
        <f t="shared" si="189"/>
        <v>1.6899996994124622E-3</v>
      </c>
      <c r="W43" s="32">
        <f t="shared" si="190"/>
        <v>1.24345609471039E-2</v>
      </c>
      <c r="X43" s="32">
        <f t="shared" si="191"/>
        <v>-3.9607316246801803E-3</v>
      </c>
      <c r="Y43" s="32">
        <f t="shared" si="192"/>
        <v>2.1880903245811278E-2</v>
      </c>
      <c r="Z43" s="32">
        <f t="shared" si="193"/>
        <v>8.1623802440538989E-3</v>
      </c>
      <c r="AA43" s="32">
        <f t="shared" si="194"/>
        <v>5.2096866319071844E-3</v>
      </c>
      <c r="AB43" s="32">
        <f t="shared" si="195"/>
        <v>1.9089345915492266E-2</v>
      </c>
      <c r="AC43" s="32">
        <f t="shared" si="196"/>
        <v>1.3159172556560284E-2</v>
      </c>
      <c r="AD43" s="32">
        <f t="shared" si="197"/>
        <v>5.2401238269128101E-3</v>
      </c>
      <c r="AE43" s="32">
        <f t="shared" si="198"/>
        <v>9.1913544250287159E-3</v>
      </c>
      <c r="AF43" s="32">
        <f t="shared" si="199"/>
        <v>3.3727008187165513E-3</v>
      </c>
      <c r="AG43" s="32">
        <f t="shared" si="200"/>
        <v>-1.7131379644116781E-3</v>
      </c>
      <c r="AH43" s="32">
        <f t="shared" si="201"/>
        <v>1.9570538859830875E-3</v>
      </c>
      <c r="AI43" s="32">
        <f t="shared" si="202"/>
        <v>-2.4046349288910258E-3</v>
      </c>
    </row>
    <row r="44" spans="1:35">
      <c r="B44" s="32" t="str">
        <f t="shared" si="174"/>
        <v>Natural Gas</v>
      </c>
      <c r="G44" s="32">
        <f t="shared" si="175"/>
        <v>-5.2602993588571276E-2</v>
      </c>
      <c r="H44" s="32">
        <f t="shared" si="2"/>
        <v>-5.6731253048535567E-2</v>
      </c>
      <c r="I44" s="32">
        <f t="shared" si="176"/>
        <v>-5.6247912762991882E-2</v>
      </c>
      <c r="J44" s="32">
        <f t="shared" si="177"/>
        <v>-2.7534659573889422E-2</v>
      </c>
      <c r="K44" s="32">
        <f t="shared" si="178"/>
        <v>-6.0448957572788835E-3</v>
      </c>
      <c r="L44" s="32">
        <f t="shared" si="179"/>
        <v>1.0191267811472339E-2</v>
      </c>
      <c r="M44" s="32">
        <f t="shared" si="180"/>
        <v>2.2766699693857986E-2</v>
      </c>
      <c r="N44" s="32">
        <f t="shared" si="181"/>
        <v>2.4004708892756126E-2</v>
      </c>
      <c r="O44" s="32">
        <f t="shared" si="182"/>
        <v>1.5639102158442324E-2</v>
      </c>
      <c r="P44" s="32">
        <f t="shared" si="183"/>
        <v>2.3904891144501689E-2</v>
      </c>
      <c r="Q44" s="32">
        <f t="shared" si="184"/>
        <v>3.2829527712740104E-3</v>
      </c>
      <c r="R44" s="32">
        <f t="shared" si="185"/>
        <v>1.377929527659463E-2</v>
      </c>
      <c r="S44" s="32">
        <f t="shared" si="186"/>
        <v>-2.8698953043251418E-4</v>
      </c>
      <c r="T44" s="32">
        <f t="shared" si="187"/>
        <v>-3.8114593949184154E-3</v>
      </c>
      <c r="U44" s="38">
        <f t="shared" si="188"/>
        <v>-4.1291291291282995E-4</v>
      </c>
      <c r="V44" s="32">
        <f t="shared" si="189"/>
        <v>1.3296073279927118E-3</v>
      </c>
      <c r="W44" s="32">
        <f t="shared" si="190"/>
        <v>2.9363842906554615E-4</v>
      </c>
      <c r="X44" s="32">
        <f t="shared" si="191"/>
        <v>2.319930346424379E-4</v>
      </c>
      <c r="Y44" s="32">
        <f t="shared" si="192"/>
        <v>2.1809161975912513E-3</v>
      </c>
      <c r="Z44" s="32">
        <f t="shared" si="193"/>
        <v>-1.6335975584560014E-3</v>
      </c>
      <c r="AA44" s="32">
        <f t="shared" si="194"/>
        <v>-4.9307333394299942E-3</v>
      </c>
      <c r="AB44" s="32">
        <f t="shared" si="195"/>
        <v>-2.1821472309023265E-3</v>
      </c>
      <c r="AC44" s="32">
        <f t="shared" si="196"/>
        <v>-9.1352037840478437E-3</v>
      </c>
      <c r="AD44" s="32">
        <f t="shared" si="197"/>
        <v>-3.0787399165655392E-3</v>
      </c>
      <c r="AE44" s="32">
        <f t="shared" si="198"/>
        <v>-1.9069909490902572E-3</v>
      </c>
      <c r="AF44" s="32">
        <f t="shared" si="199"/>
        <v>-1.7928178993014382E-3</v>
      </c>
      <c r="AG44" s="32">
        <f t="shared" si="200"/>
        <v>-7.8718960253454026E-4</v>
      </c>
      <c r="AH44" s="32">
        <f t="shared" si="201"/>
        <v>-1.8512356482742517E-3</v>
      </c>
      <c r="AI44" s="32">
        <f t="shared" si="202"/>
        <v>-2.6850653062067782E-3</v>
      </c>
    </row>
    <row r="45" spans="1:35">
      <c r="B45" s="32" t="str">
        <f t="shared" si="174"/>
        <v>Metallurgical Coal</v>
      </c>
      <c r="U45" s="38"/>
    </row>
    <row r="46" spans="1:35">
      <c r="B46" s="32" t="str">
        <f t="shared" si="174"/>
        <v>Other Coal</v>
      </c>
      <c r="G46" s="32">
        <f t="shared" ref="G46" si="203">(G102-F102)/F102</f>
        <v>-1.2099082593358283E-2</v>
      </c>
      <c r="H46" s="32">
        <f t="shared" si="2"/>
        <v>-7.538265744183671E-3</v>
      </c>
      <c r="I46" s="32">
        <f t="shared" ref="I46" si="204">(I102-H102)/H102</f>
        <v>2.9355642907102205E-3</v>
      </c>
      <c r="J46" s="32">
        <f t="shared" ref="J46" si="205">(J102-I102)/I102</f>
        <v>-2.1889843217715737E-2</v>
      </c>
      <c r="K46" s="32">
        <f t="shared" ref="K46" si="206">(K102-J102)/J102</f>
        <v>-1.4969836747794268E-2</v>
      </c>
      <c r="L46" s="32">
        <f t="shared" ref="L46" si="207">(L102-K102)/K102</f>
        <v>-7.9744414360240603E-4</v>
      </c>
      <c r="M46" s="32">
        <f t="shared" ref="M46" si="208">(M102-L102)/L102</f>
        <v>-4.5138750420872682E-3</v>
      </c>
      <c r="N46" s="32">
        <f t="shared" ref="N46" si="209">(N102-M102)/M102</f>
        <v>4.2595031289599881E-3</v>
      </c>
      <c r="O46" s="32">
        <f t="shared" ref="O46" si="210">(O102-N102)/N102</f>
        <v>-8.8969184447461542E-4</v>
      </c>
      <c r="P46" s="32">
        <f t="shared" ref="P46" si="211">(P102-O102)/O102</f>
        <v>-1.2836717459299089E-4</v>
      </c>
      <c r="Q46" s="32">
        <f t="shared" ref="Q46" si="212">(Q102-P102)/P102</f>
        <v>-4.5960337537813874E-3</v>
      </c>
      <c r="R46" s="32">
        <f t="shared" ref="R46" si="213">(R102-Q102)/Q102</f>
        <v>-1.7691098391755475E-3</v>
      </c>
      <c r="S46" s="32">
        <f t="shared" ref="S46" si="214">(S102-R102)/R102</f>
        <v>-1.6150626593443343E-3</v>
      </c>
      <c r="T46" s="32">
        <f t="shared" ref="T46" si="215">(T102-S102)/S102</f>
        <v>-5.7793042518621621E-3</v>
      </c>
      <c r="U46" s="38">
        <f t="shared" ref="U46" si="216">(U102-T102)/T102</f>
        <v>-5.8697824582980267E-3</v>
      </c>
      <c r="V46" s="32">
        <f t="shared" ref="V46" si="217">(V102-U102)/U102</f>
        <v>-6.8869671363825887E-4</v>
      </c>
      <c r="W46" s="32">
        <f t="shared" ref="W46" si="218">(W102-V102)/V102</f>
        <v>3.5799768900625844E-4</v>
      </c>
      <c r="X46" s="32">
        <f t="shared" ref="X46" si="219">(X102-W102)/W102</f>
        <v>-6.9356567009784672E-4</v>
      </c>
      <c r="Y46" s="32">
        <f t="shared" ref="Y46" si="220">(Y102-X102)/X102</f>
        <v>3.6513582423116152E-3</v>
      </c>
      <c r="Z46" s="32">
        <f t="shared" ref="Z46" si="221">(Z102-Y102)/Y102</f>
        <v>-1.3383136630873303E-3</v>
      </c>
      <c r="AA46" s="32">
        <f t="shared" ref="AA46" si="222">(AA102-Z102)/Z102</f>
        <v>-4.8811201915998359E-3</v>
      </c>
      <c r="AB46" s="32">
        <f t="shared" ref="AB46" si="223">(AB102-AA102)/AA102</f>
        <v>-4.6898418491168863E-3</v>
      </c>
      <c r="AC46" s="32">
        <f t="shared" ref="AC46" si="224">(AC102-AB102)/AB102</f>
        <v>-1.7496293862887492E-3</v>
      </c>
      <c r="AD46" s="32">
        <f t="shared" ref="AD46" si="225">(AD102-AC102)/AC102</f>
        <v>-7.7949668570707149E-4</v>
      </c>
      <c r="AE46" s="32">
        <f t="shared" ref="AE46" si="226">(AE102-AD102)/AD102</f>
        <v>-1.008872975284143E-3</v>
      </c>
      <c r="AF46" s="32">
        <f t="shared" ref="AF46" si="227">(AF102-AE102)/AE102</f>
        <v>-2.2952086996756876E-3</v>
      </c>
      <c r="AG46" s="32">
        <f t="shared" ref="AG46" si="228">(AG102-AF102)/AF102</f>
        <v>-4.010693090220457E-3</v>
      </c>
      <c r="AH46" s="32">
        <f t="shared" ref="AH46" si="229">(AH102-AG102)/AG102</f>
        <v>7.7009248459033238E-4</v>
      </c>
      <c r="AI46" s="32">
        <f t="shared" ref="AI46" si="230">(AI102-AH102)/AH102</f>
        <v>-1.2347667082976256E-3</v>
      </c>
    </row>
    <row r="47" spans="1:35">
      <c r="B47" s="32" t="str">
        <f t="shared" si="174"/>
        <v>Coal to Liquids</v>
      </c>
      <c r="U47" s="38"/>
    </row>
    <row r="48" spans="1:35">
      <c r="B48" s="32" t="str">
        <f t="shared" si="174"/>
        <v>Electricity</v>
      </c>
      <c r="G48" s="32">
        <f t="shared" ref="G48" si="231">(G104-F104)/F104</f>
        <v>-5.9881643322933498E-3</v>
      </c>
      <c r="H48" s="32">
        <f t="shared" si="2"/>
        <v>-1.8681641302036672E-2</v>
      </c>
      <c r="I48" s="32">
        <f t="shared" ref="I48" si="232">(I104-H104)/H104</f>
        <v>-2.4819402134111466E-2</v>
      </c>
      <c r="J48" s="32">
        <f t="shared" ref="J48" si="233">(J104-I104)/I104</f>
        <v>-5.502562198128301E-3</v>
      </c>
      <c r="K48" s="32">
        <f t="shared" ref="K48" si="234">(K104-J104)/J104</f>
        <v>-3.0234396683529708E-3</v>
      </c>
      <c r="L48" s="32">
        <f t="shared" ref="L48" si="235">(L104-K104)/K104</f>
        <v>2.1161691860066573E-3</v>
      </c>
      <c r="M48" s="32">
        <f t="shared" ref="M48" si="236">(M104-L104)/L104</f>
        <v>3.6832121393425886E-3</v>
      </c>
      <c r="N48" s="32">
        <f t="shared" ref="N48" si="237">(N104-M104)/M104</f>
        <v>2.9204999900139684E-3</v>
      </c>
      <c r="O48" s="32">
        <f t="shared" ref="O48" si="238">(O104-N104)/N104</f>
        <v>1.4809467982749443E-3</v>
      </c>
      <c r="P48" s="32">
        <f t="shared" ref="P48" si="239">(P104-O104)/O104</f>
        <v>3.406870037333005E-3</v>
      </c>
      <c r="Q48" s="32">
        <f t="shared" ref="Q48" si="240">(Q104-P104)/P104</f>
        <v>1.7884226010835005E-3</v>
      </c>
      <c r="R48" s="32">
        <f t="shared" ref="R48" si="241">(R104-Q104)/Q104</f>
        <v>5.5203429421984895E-3</v>
      </c>
      <c r="S48" s="32">
        <f t="shared" ref="S48" si="242">(S104-R104)/R104</f>
        <v>3.3948495672540295E-3</v>
      </c>
      <c r="T48" s="32">
        <f t="shared" ref="T48" si="243">(T104-S104)/S104</f>
        <v>-5.9359895299902045E-3</v>
      </c>
      <c r="U48" s="38">
        <f t="shared" ref="U48" si="244">(U104-T104)/T104</f>
        <v>-2.1670492166571665E-3</v>
      </c>
      <c r="V48" s="32">
        <f t="shared" ref="V48" si="245">(V104-U104)/U104</f>
        <v>-5.2500938578539779E-3</v>
      </c>
      <c r="W48" s="32">
        <f t="shared" ref="W48" si="246">(W104-V104)/V104</f>
        <v>-5.2376415136707677E-3</v>
      </c>
      <c r="X48" s="32">
        <f t="shared" ref="X48" si="247">(X104-W104)/W104</f>
        <v>3.5263642908074097E-4</v>
      </c>
      <c r="Y48" s="32">
        <f t="shared" ref="Y48" si="248">(Y104-X104)/X104</f>
        <v>-6.2758651344535E-4</v>
      </c>
      <c r="Z48" s="32">
        <f t="shared" ref="Z48" si="249">(Z104-Y104)/Y104</f>
        <v>-3.9312711284340343E-3</v>
      </c>
      <c r="AA48" s="32">
        <f t="shared" ref="AA48" si="250">(AA104-Z104)/Z104</f>
        <v>-1.0394796450157546E-3</v>
      </c>
      <c r="AB48" s="32">
        <f t="shared" ref="AB48" si="251">(AB104-AA104)/AA104</f>
        <v>-2.7357466057439002E-3</v>
      </c>
      <c r="AC48" s="32">
        <f t="shared" ref="AC48" si="252">(AC104-AB104)/AB104</f>
        <v>-7.188008310787814E-3</v>
      </c>
      <c r="AD48" s="32">
        <f t="shared" ref="AD48" si="253">(AD104-AC104)/AC104</f>
        <v>-1.7151764923534546E-4</v>
      </c>
      <c r="AE48" s="32">
        <f t="shared" ref="AE48" si="254">(AE104-AD104)/AD104</f>
        <v>-1.7828559727917862E-3</v>
      </c>
      <c r="AF48" s="32">
        <f t="shared" ref="AF48" si="255">(AF104-AE104)/AE104</f>
        <v>-2.981811222490392E-3</v>
      </c>
      <c r="AG48" s="32">
        <f t="shared" ref="AG48" si="256">(AG104-AF104)/AF104</f>
        <v>1.2694740231579218E-3</v>
      </c>
      <c r="AH48" s="32">
        <f t="shared" ref="AH48" si="257">(AH104-AG104)/AG104</f>
        <v>-2.3171750476189907E-3</v>
      </c>
      <c r="AI48" s="32">
        <f t="shared" ref="AI48" si="258">(AI104-AH104)/AH104</f>
        <v>-7.2391170229974839E-3</v>
      </c>
    </row>
    <row r="49" spans="1:36">
      <c r="U49" s="38"/>
    </row>
    <row r="50" spans="1:36">
      <c r="U50" s="38"/>
    </row>
    <row r="51" spans="1:36">
      <c r="U51" s="38"/>
    </row>
    <row r="52" spans="1:36">
      <c r="U52" s="38"/>
    </row>
    <row r="53" spans="1:36">
      <c r="A53" s="113" t="s">
        <v>298</v>
      </c>
      <c r="B53" s="113"/>
      <c r="C53" s="113"/>
      <c r="D53" s="113"/>
      <c r="U53" s="38"/>
    </row>
    <row r="54" spans="1:36">
      <c r="A54" s="113" t="s">
        <v>971</v>
      </c>
      <c r="B54" s="113"/>
      <c r="C54" s="113"/>
      <c r="D54" s="113"/>
      <c r="U54" s="38"/>
    </row>
    <row r="55" spans="1:36">
      <c r="A55" s="113" t="s">
        <v>972</v>
      </c>
      <c r="B55" s="113"/>
      <c r="C55" s="113"/>
      <c r="D55" s="113"/>
      <c r="U55" s="38"/>
    </row>
    <row r="56" spans="1:36">
      <c r="A56" s="113" t="s">
        <v>299</v>
      </c>
      <c r="B56" s="113"/>
      <c r="C56" s="113"/>
      <c r="D56" s="113"/>
      <c r="U56" s="38"/>
    </row>
    <row r="57" spans="1:36">
      <c r="A57" s="113"/>
      <c r="B57" s="113" t="s">
        <v>300</v>
      </c>
      <c r="C57" s="113" t="s">
        <v>301</v>
      </c>
      <c r="D57" s="113" t="s">
        <v>302</v>
      </c>
      <c r="E57" s="32">
        <v>2020</v>
      </c>
      <c r="F57" s="32">
        <v>2021</v>
      </c>
      <c r="G57" s="32">
        <v>2022</v>
      </c>
      <c r="H57" s="32">
        <v>2023</v>
      </c>
      <c r="I57" s="32">
        <v>2024</v>
      </c>
      <c r="J57" s="32">
        <v>2025</v>
      </c>
      <c r="K57" s="32">
        <v>2026</v>
      </c>
      <c r="L57" s="32">
        <v>2027</v>
      </c>
      <c r="M57" s="32">
        <v>2028</v>
      </c>
      <c r="N57" s="32">
        <v>2029</v>
      </c>
      <c r="O57" s="32">
        <v>2030</v>
      </c>
      <c r="P57" s="32">
        <v>2031</v>
      </c>
      <c r="Q57" s="32">
        <v>2032</v>
      </c>
      <c r="R57" s="32">
        <v>2033</v>
      </c>
      <c r="S57" s="32">
        <v>2034</v>
      </c>
      <c r="T57" s="32">
        <v>2035</v>
      </c>
      <c r="U57" s="38">
        <v>2036</v>
      </c>
      <c r="V57" s="32">
        <v>2037</v>
      </c>
      <c r="W57" s="32">
        <v>2038</v>
      </c>
      <c r="X57" s="32">
        <v>2039</v>
      </c>
      <c r="Y57" s="32">
        <v>2040</v>
      </c>
      <c r="Z57" s="32">
        <v>2041</v>
      </c>
      <c r="AA57" s="32">
        <v>2042</v>
      </c>
      <c r="AB57" s="32">
        <v>2043</v>
      </c>
      <c r="AC57" s="32">
        <v>2044</v>
      </c>
      <c r="AD57" s="32">
        <v>2045</v>
      </c>
      <c r="AE57" s="32">
        <v>2046</v>
      </c>
      <c r="AF57" s="32">
        <v>2047</v>
      </c>
      <c r="AG57" s="32">
        <v>2048</v>
      </c>
      <c r="AH57" s="32">
        <v>2049</v>
      </c>
      <c r="AI57" s="32">
        <v>2050</v>
      </c>
      <c r="AJ57" s="32" t="s">
        <v>973</v>
      </c>
    </row>
    <row r="58" spans="1:36">
      <c r="A58" s="113" t="s">
        <v>303</v>
      </c>
      <c r="B58" s="113"/>
      <c r="C58" s="113" t="s">
        <v>974</v>
      </c>
      <c r="D58" s="113"/>
      <c r="U58" s="38"/>
    </row>
    <row r="59" spans="1:36">
      <c r="A59" s="113" t="s">
        <v>304</v>
      </c>
      <c r="B59" s="113" t="s">
        <v>975</v>
      </c>
      <c r="C59" s="113" t="s">
        <v>976</v>
      </c>
      <c r="D59" s="113" t="s">
        <v>977</v>
      </c>
      <c r="F59" s="32">
        <v>21.485128</v>
      </c>
      <c r="G59" s="32">
        <v>23.220642000000002</v>
      </c>
      <c r="H59" s="32">
        <v>22.999690999999999</v>
      </c>
      <c r="I59" s="32">
        <v>23.044048</v>
      </c>
      <c r="J59" s="32">
        <v>22.988008000000001</v>
      </c>
      <c r="K59" s="32">
        <v>23.073601</v>
      </c>
      <c r="L59" s="32">
        <v>23.387844000000001</v>
      </c>
      <c r="M59" s="32">
        <v>23.909302</v>
      </c>
      <c r="N59" s="32">
        <v>24.402353000000002</v>
      </c>
      <c r="O59" s="32">
        <v>24.912445000000002</v>
      </c>
      <c r="P59" s="32">
        <v>25.580082000000001</v>
      </c>
      <c r="Q59" s="32">
        <v>26.018035999999999</v>
      </c>
      <c r="R59" s="32">
        <v>26.452085</v>
      </c>
      <c r="S59" s="32">
        <v>26.771090000000001</v>
      </c>
      <c r="T59" s="32">
        <v>27.013059999999999</v>
      </c>
      <c r="U59" s="38">
        <v>27.244980000000002</v>
      </c>
      <c r="V59" s="32">
        <v>27.496624000000001</v>
      </c>
      <c r="W59" s="32">
        <v>27.743568</v>
      </c>
      <c r="X59" s="32">
        <v>27.926832000000001</v>
      </c>
      <c r="Y59" s="32">
        <v>28.22287</v>
      </c>
      <c r="Z59" s="32">
        <v>28.480588999999998</v>
      </c>
      <c r="AA59" s="32">
        <v>28.620867000000001</v>
      </c>
      <c r="AB59" s="32">
        <v>28.824804</v>
      </c>
      <c r="AC59" s="32">
        <v>29.072638000000001</v>
      </c>
      <c r="AD59" s="32">
        <v>29.213709000000001</v>
      </c>
      <c r="AE59" s="32">
        <v>29.365524000000001</v>
      </c>
      <c r="AF59" s="32">
        <v>29.49081</v>
      </c>
      <c r="AG59" s="32">
        <v>29.580093000000002</v>
      </c>
      <c r="AH59" s="32">
        <v>29.612166999999999</v>
      </c>
      <c r="AI59" s="32">
        <v>29.615717</v>
      </c>
      <c r="AJ59" s="36">
        <v>1.0999999999999999E-2</v>
      </c>
    </row>
    <row r="60" spans="1:36">
      <c r="A60" s="113" t="s">
        <v>305</v>
      </c>
      <c r="B60" s="113" t="s">
        <v>978</v>
      </c>
      <c r="C60" s="113" t="s">
        <v>979</v>
      </c>
      <c r="D60" s="113" t="s">
        <v>977</v>
      </c>
      <c r="F60" s="32">
        <v>21.710046999999999</v>
      </c>
      <c r="G60" s="32">
        <v>22.032838999999999</v>
      </c>
      <c r="H60" s="32">
        <v>21.711088</v>
      </c>
      <c r="I60" s="32">
        <v>23.109434</v>
      </c>
      <c r="J60" s="32">
        <v>23.63899</v>
      </c>
      <c r="K60" s="32">
        <v>24.200704999999999</v>
      </c>
      <c r="L60" s="32">
        <v>24.844152000000001</v>
      </c>
      <c r="M60" s="32">
        <v>25.028134999999999</v>
      </c>
      <c r="N60" s="32">
        <v>25.149328000000001</v>
      </c>
      <c r="O60" s="32">
        <v>25.113147999999999</v>
      </c>
      <c r="P60" s="32">
        <v>25.387429999999998</v>
      </c>
      <c r="Q60" s="32">
        <v>25.491672999999999</v>
      </c>
      <c r="R60" s="32">
        <v>25.554348000000001</v>
      </c>
      <c r="S60" s="32">
        <v>25.603569</v>
      </c>
      <c r="T60" s="32">
        <v>25.682780999999999</v>
      </c>
      <c r="U60" s="38">
        <v>25.852264000000002</v>
      </c>
      <c r="V60" s="32">
        <v>26.068511999999998</v>
      </c>
      <c r="W60" s="32">
        <v>26.195640999999998</v>
      </c>
      <c r="X60" s="32">
        <v>26.263983</v>
      </c>
      <c r="Y60" s="32">
        <v>26.487915000000001</v>
      </c>
      <c r="Z60" s="32">
        <v>26.585122999999999</v>
      </c>
      <c r="AA60" s="32">
        <v>26.597674999999999</v>
      </c>
      <c r="AB60" s="32">
        <v>26.824036</v>
      </c>
      <c r="AC60" s="32">
        <v>27.082211000000001</v>
      </c>
      <c r="AD60" s="32">
        <v>27.180675999999998</v>
      </c>
      <c r="AE60" s="32">
        <v>27.386578</v>
      </c>
      <c r="AF60" s="32">
        <v>27.415541000000001</v>
      </c>
      <c r="AG60" s="32">
        <v>27.337561000000001</v>
      </c>
      <c r="AH60" s="32">
        <v>27.322523</v>
      </c>
      <c r="AI60" s="32">
        <v>27.269739000000001</v>
      </c>
      <c r="AJ60" s="36">
        <v>8.0000000000000002E-3</v>
      </c>
    </row>
    <row r="61" spans="1:36">
      <c r="A61" s="113" t="s">
        <v>97</v>
      </c>
      <c r="B61" s="113" t="s">
        <v>980</v>
      </c>
      <c r="C61" s="113" t="s">
        <v>981</v>
      </c>
      <c r="D61" s="113" t="s">
        <v>977</v>
      </c>
      <c r="F61" s="32">
        <v>11.696033999999999</v>
      </c>
      <c r="G61" s="32">
        <v>12.122267000000001</v>
      </c>
      <c r="H61" s="32">
        <v>11.528950999999999</v>
      </c>
      <c r="I61" s="32">
        <v>11.062192</v>
      </c>
      <c r="J61" s="32">
        <v>10.771315</v>
      </c>
      <c r="K61" s="32">
        <v>10.616778</v>
      </c>
      <c r="L61" s="32">
        <v>10.537402</v>
      </c>
      <c r="M61" s="32">
        <v>10.646917</v>
      </c>
      <c r="N61" s="32">
        <v>10.824576</v>
      </c>
      <c r="O61" s="32">
        <v>10.905098000000001</v>
      </c>
      <c r="P61" s="32">
        <v>11.292854999999999</v>
      </c>
      <c r="Q61" s="32">
        <v>11.340408999999999</v>
      </c>
      <c r="R61" s="32">
        <v>11.504001000000001</v>
      </c>
      <c r="S61" s="32">
        <v>11.545529</v>
      </c>
      <c r="T61" s="32">
        <v>11.504292</v>
      </c>
      <c r="U61" s="38">
        <v>11.518138</v>
      </c>
      <c r="V61" s="32">
        <v>11.56793</v>
      </c>
      <c r="W61" s="32">
        <v>11.590919</v>
      </c>
      <c r="X61" s="32">
        <v>11.625859</v>
      </c>
      <c r="Y61" s="32">
        <v>11.645576999999999</v>
      </c>
      <c r="Z61" s="32">
        <v>11.668691000000001</v>
      </c>
      <c r="AA61" s="32">
        <v>11.669537999999999</v>
      </c>
      <c r="AB61" s="32">
        <v>11.676612</v>
      </c>
      <c r="AC61" s="32">
        <v>11.659838000000001</v>
      </c>
      <c r="AD61" s="32">
        <v>11.678148</v>
      </c>
      <c r="AE61" s="32">
        <v>11.689731999999999</v>
      </c>
      <c r="AF61" s="32">
        <v>11.708876</v>
      </c>
      <c r="AG61" s="32">
        <v>11.711126999999999</v>
      </c>
      <c r="AH61" s="32">
        <v>11.743321999999999</v>
      </c>
      <c r="AI61" s="32">
        <v>11.754727000000001</v>
      </c>
      <c r="AJ61" s="36">
        <v>0</v>
      </c>
    </row>
    <row r="62" spans="1:36">
      <c r="A62" s="113" t="s">
        <v>130</v>
      </c>
      <c r="B62" s="113" t="s">
        <v>982</v>
      </c>
      <c r="C62" s="113" t="s">
        <v>983</v>
      </c>
      <c r="D62" s="113" t="s">
        <v>977</v>
      </c>
      <c r="F62" s="32">
        <v>38.700668</v>
      </c>
      <c r="G62" s="32">
        <v>38.683822999999997</v>
      </c>
      <c r="H62" s="32">
        <v>38.432938</v>
      </c>
      <c r="I62" s="32">
        <v>37.651206999999999</v>
      </c>
      <c r="J62" s="32">
        <v>37.503177999999998</v>
      </c>
      <c r="K62" s="32">
        <v>37.488925999999999</v>
      </c>
      <c r="L62" s="32">
        <v>37.613093999999997</v>
      </c>
      <c r="M62" s="32">
        <v>37.781944000000003</v>
      </c>
      <c r="N62" s="32">
        <v>37.945563999999997</v>
      </c>
      <c r="O62" s="32">
        <v>38.048110999999999</v>
      </c>
      <c r="P62" s="32">
        <v>38.221657</v>
      </c>
      <c r="Q62" s="32">
        <v>38.355888</v>
      </c>
      <c r="R62" s="32">
        <v>38.605601999999998</v>
      </c>
      <c r="S62" s="32">
        <v>38.787815000000002</v>
      </c>
      <c r="T62" s="32">
        <v>38.625796999999999</v>
      </c>
      <c r="U62" s="38">
        <v>38.582565000000002</v>
      </c>
      <c r="V62" s="32">
        <v>38.429538999999998</v>
      </c>
      <c r="W62" s="32">
        <v>38.274307</v>
      </c>
      <c r="X62" s="32">
        <v>38.310004999999997</v>
      </c>
      <c r="Y62" s="32">
        <v>38.323188999999999</v>
      </c>
      <c r="Z62" s="32">
        <v>38.228904999999997</v>
      </c>
      <c r="AA62" s="32">
        <v>38.248519999999999</v>
      </c>
      <c r="AB62" s="32">
        <v>38.184238000000001</v>
      </c>
      <c r="AC62" s="32">
        <v>37.968781</v>
      </c>
      <c r="AD62" s="32">
        <v>37.999619000000003</v>
      </c>
      <c r="AE62" s="32">
        <v>37.961509999999997</v>
      </c>
      <c r="AF62" s="32">
        <v>37.890331000000003</v>
      </c>
      <c r="AG62" s="32">
        <v>37.947651</v>
      </c>
      <c r="AH62" s="32">
        <v>37.872601000000003</v>
      </c>
      <c r="AI62" s="32">
        <v>37.628974999999997</v>
      </c>
      <c r="AJ62" s="36">
        <v>-1E-3</v>
      </c>
    </row>
    <row r="63" spans="1:36">
      <c r="A63" s="113" t="s">
        <v>306</v>
      </c>
      <c r="B63" s="113"/>
      <c r="C63" s="113" t="s">
        <v>984</v>
      </c>
      <c r="D63" s="113"/>
      <c r="U63" s="38"/>
    </row>
    <row r="64" spans="1:36">
      <c r="A64" s="113" t="s">
        <v>304</v>
      </c>
      <c r="B64" s="113" t="s">
        <v>985</v>
      </c>
      <c r="C64" s="113" t="s">
        <v>986</v>
      </c>
      <c r="D64" s="113" t="s">
        <v>977</v>
      </c>
      <c r="F64" s="32">
        <v>18.792190999999999</v>
      </c>
      <c r="G64" s="32">
        <v>19.809529999999999</v>
      </c>
      <c r="H64" s="32">
        <v>18.257662</v>
      </c>
      <c r="I64" s="32">
        <v>18.183163</v>
      </c>
      <c r="J64" s="32">
        <v>18.057451</v>
      </c>
      <c r="K64" s="32">
        <v>18.189558000000002</v>
      </c>
      <c r="L64" s="32">
        <v>18.576150999999999</v>
      </c>
      <c r="M64" s="32">
        <v>19.119900000000001</v>
      </c>
      <c r="N64" s="32">
        <v>19.492462</v>
      </c>
      <c r="O64" s="32">
        <v>19.874980999999998</v>
      </c>
      <c r="P64" s="32">
        <v>20.462526</v>
      </c>
      <c r="Q64" s="32">
        <v>20.742450999999999</v>
      </c>
      <c r="R64" s="32">
        <v>21.043579000000001</v>
      </c>
      <c r="S64" s="32">
        <v>21.208525000000002</v>
      </c>
      <c r="T64" s="32">
        <v>21.319336</v>
      </c>
      <c r="U64" s="38">
        <v>21.465392999999999</v>
      </c>
      <c r="V64" s="32">
        <v>21.652833999999999</v>
      </c>
      <c r="W64" s="32">
        <v>21.827095</v>
      </c>
      <c r="X64" s="32">
        <v>21.916900999999999</v>
      </c>
      <c r="Y64" s="32">
        <v>22.189544999999999</v>
      </c>
      <c r="Z64" s="32">
        <v>22.361315000000001</v>
      </c>
      <c r="AA64" s="32">
        <v>22.384726000000001</v>
      </c>
      <c r="AB64" s="32">
        <v>22.552931000000001</v>
      </c>
      <c r="AC64" s="32">
        <v>22.760984000000001</v>
      </c>
      <c r="AD64" s="32">
        <v>22.800674000000001</v>
      </c>
      <c r="AE64" s="32">
        <v>22.901783000000002</v>
      </c>
      <c r="AF64" s="32">
        <v>22.971985</v>
      </c>
      <c r="AG64" s="32">
        <v>23.008396000000001</v>
      </c>
      <c r="AH64" s="32">
        <v>22.989201999999999</v>
      </c>
      <c r="AI64" s="32">
        <v>22.964268000000001</v>
      </c>
      <c r="AJ64" s="36">
        <v>7.0000000000000001E-3</v>
      </c>
    </row>
    <row r="65" spans="1:36">
      <c r="A65" s="113" t="s">
        <v>305</v>
      </c>
      <c r="B65" s="113" t="s">
        <v>987</v>
      </c>
      <c r="C65" s="113" t="s">
        <v>988</v>
      </c>
      <c r="D65" s="113" t="s">
        <v>977</v>
      </c>
      <c r="F65" s="32">
        <v>21.78829</v>
      </c>
      <c r="G65" s="32">
        <v>22.115819999999999</v>
      </c>
      <c r="H65" s="32">
        <v>20.636704999999999</v>
      </c>
      <c r="I65" s="32">
        <v>20.993441000000001</v>
      </c>
      <c r="J65" s="32">
        <v>20.442965999999998</v>
      </c>
      <c r="K65" s="32">
        <v>19.930320999999999</v>
      </c>
      <c r="L65" s="32">
        <v>19.514250000000001</v>
      </c>
      <c r="M65" s="32">
        <v>19.704723000000001</v>
      </c>
      <c r="N65" s="32">
        <v>19.820495999999999</v>
      </c>
      <c r="O65" s="32">
        <v>19.787199000000001</v>
      </c>
      <c r="P65" s="32">
        <v>20.375021</v>
      </c>
      <c r="Q65" s="32">
        <v>20.484597999999998</v>
      </c>
      <c r="R65" s="32">
        <v>20.597963</v>
      </c>
      <c r="S65" s="32">
        <v>20.651478000000001</v>
      </c>
      <c r="T65" s="32">
        <v>20.744743</v>
      </c>
      <c r="U65" s="38">
        <v>20.917337</v>
      </c>
      <c r="V65" s="32">
        <v>21.135960000000001</v>
      </c>
      <c r="W65" s="32">
        <v>21.267199999999999</v>
      </c>
      <c r="X65" s="32">
        <v>21.335659</v>
      </c>
      <c r="Y65" s="32">
        <v>21.542604000000001</v>
      </c>
      <c r="Z65" s="32">
        <v>21.646664000000001</v>
      </c>
      <c r="AA65" s="32">
        <v>21.662783000000001</v>
      </c>
      <c r="AB65" s="32">
        <v>21.908173000000001</v>
      </c>
      <c r="AC65" s="32">
        <v>22.184066999999999</v>
      </c>
      <c r="AD65" s="32">
        <v>22.29073</v>
      </c>
      <c r="AE65" s="32">
        <v>22.481456999999999</v>
      </c>
      <c r="AF65" s="32">
        <v>22.526695</v>
      </c>
      <c r="AG65" s="32">
        <v>22.467545000000001</v>
      </c>
      <c r="AH65" s="32">
        <v>22.446536999999999</v>
      </c>
      <c r="AI65" s="32">
        <v>22.373821</v>
      </c>
      <c r="AJ65" s="36">
        <v>1E-3</v>
      </c>
    </row>
    <row r="66" spans="1:36">
      <c r="A66" s="113" t="s">
        <v>307</v>
      </c>
      <c r="B66" s="113" t="s">
        <v>989</v>
      </c>
      <c r="C66" s="113" t="s">
        <v>990</v>
      </c>
      <c r="D66" s="113" t="s">
        <v>977</v>
      </c>
      <c r="F66" s="32">
        <v>6.4996479999999996</v>
      </c>
      <c r="G66" s="32">
        <v>7.5450480000000004</v>
      </c>
      <c r="H66" s="32">
        <v>7.6690589999999998</v>
      </c>
      <c r="I66" s="32">
        <v>9.0069090000000003</v>
      </c>
      <c r="J66" s="32">
        <v>9.5448090000000008</v>
      </c>
      <c r="K66" s="32">
        <v>10.125247</v>
      </c>
      <c r="L66" s="32">
        <v>10.896315</v>
      </c>
      <c r="M66" s="32">
        <v>11.102005999999999</v>
      </c>
      <c r="N66" s="32">
        <v>11.199668000000001</v>
      </c>
      <c r="O66" s="32">
        <v>11.354663</v>
      </c>
      <c r="P66" s="32">
        <v>11.535468</v>
      </c>
      <c r="Q66" s="32">
        <v>11.67625</v>
      </c>
      <c r="R66" s="32">
        <v>11.796419</v>
      </c>
      <c r="S66" s="32">
        <v>11.807185</v>
      </c>
      <c r="T66" s="32">
        <v>11.825611</v>
      </c>
      <c r="U66" s="38">
        <v>11.775805999999999</v>
      </c>
      <c r="V66" s="32">
        <v>11.753822</v>
      </c>
      <c r="W66" s="32">
        <v>11.954192000000001</v>
      </c>
      <c r="X66" s="32">
        <v>11.781597</v>
      </c>
      <c r="Y66" s="32">
        <v>12.306820999999999</v>
      </c>
      <c r="Z66" s="32">
        <v>12.479194</v>
      </c>
      <c r="AA66" s="32">
        <v>12.620229999999999</v>
      </c>
      <c r="AB66" s="32">
        <v>12.992585</v>
      </c>
      <c r="AC66" s="32">
        <v>13.26746</v>
      </c>
      <c r="AD66" s="32">
        <v>13.359688999999999</v>
      </c>
      <c r="AE66" s="32">
        <v>13.507016</v>
      </c>
      <c r="AF66" s="32">
        <v>13.623084</v>
      </c>
      <c r="AG66" s="32">
        <v>13.529958000000001</v>
      </c>
      <c r="AH66" s="32">
        <v>13.586679999999999</v>
      </c>
      <c r="AI66" s="32">
        <v>13.502329</v>
      </c>
      <c r="AJ66" s="36">
        <v>2.5999999999999999E-2</v>
      </c>
    </row>
    <row r="67" spans="1:36">
      <c r="A67" s="113" t="s">
        <v>97</v>
      </c>
      <c r="B67" s="113" t="s">
        <v>991</v>
      </c>
      <c r="C67" s="113" t="s">
        <v>992</v>
      </c>
      <c r="D67" s="113" t="s">
        <v>977</v>
      </c>
      <c r="F67" s="32">
        <v>8.4290780000000005</v>
      </c>
      <c r="G67" s="32">
        <v>8.7850509999999993</v>
      </c>
      <c r="H67" s="32">
        <v>8.5034050000000008</v>
      </c>
      <c r="I67" s="32">
        <v>8.2049640000000004</v>
      </c>
      <c r="J67" s="32">
        <v>8.0622430000000005</v>
      </c>
      <c r="K67" s="32">
        <v>8.0419160000000005</v>
      </c>
      <c r="L67" s="32">
        <v>8.0816490000000005</v>
      </c>
      <c r="M67" s="32">
        <v>8.1778670000000009</v>
      </c>
      <c r="N67" s="32">
        <v>8.3321850000000008</v>
      </c>
      <c r="O67" s="32">
        <v>8.3954400000000007</v>
      </c>
      <c r="P67" s="32">
        <v>8.6591430000000003</v>
      </c>
      <c r="Q67" s="32">
        <v>8.672523</v>
      </c>
      <c r="R67" s="32">
        <v>8.7959219999999991</v>
      </c>
      <c r="S67" s="32">
        <v>8.822559</v>
      </c>
      <c r="T67" s="32">
        <v>8.7731969999999997</v>
      </c>
      <c r="U67" s="38">
        <v>8.7777849999999997</v>
      </c>
      <c r="V67" s="32">
        <v>8.8182010000000002</v>
      </c>
      <c r="W67" s="32">
        <v>8.8345149999999997</v>
      </c>
      <c r="X67" s="32">
        <v>8.8616349999999997</v>
      </c>
      <c r="Y67" s="32">
        <v>8.8764509999999994</v>
      </c>
      <c r="Z67" s="32">
        <v>8.8914580000000001</v>
      </c>
      <c r="AA67" s="32">
        <v>8.8864599999999996</v>
      </c>
      <c r="AB67" s="32">
        <v>8.8893559999999994</v>
      </c>
      <c r="AC67" s="32">
        <v>8.8661530000000006</v>
      </c>
      <c r="AD67" s="32">
        <v>8.8772649999999995</v>
      </c>
      <c r="AE67" s="32">
        <v>8.8843399999999999</v>
      </c>
      <c r="AF67" s="32">
        <v>8.8981619999999992</v>
      </c>
      <c r="AG67" s="32">
        <v>8.8989390000000004</v>
      </c>
      <c r="AH67" s="32">
        <v>8.9271860000000007</v>
      </c>
      <c r="AI67" s="32">
        <v>8.9351079999999996</v>
      </c>
      <c r="AJ67" s="36">
        <v>2E-3</v>
      </c>
    </row>
    <row r="68" spans="1:36">
      <c r="A68" s="113" t="s">
        <v>130</v>
      </c>
      <c r="B68" s="113" t="s">
        <v>993</v>
      </c>
      <c r="C68" s="113" t="s">
        <v>994</v>
      </c>
      <c r="D68" s="113" t="s">
        <v>977</v>
      </c>
      <c r="F68" s="32">
        <v>33.181457999999999</v>
      </c>
      <c r="G68" s="32">
        <v>33.079517000000003</v>
      </c>
      <c r="H68" s="32">
        <v>32.241329</v>
      </c>
      <c r="I68" s="32">
        <v>31.373341</v>
      </c>
      <c r="J68" s="32">
        <v>31.228542000000001</v>
      </c>
      <c r="K68" s="32">
        <v>31.141624</v>
      </c>
      <c r="L68" s="32">
        <v>31.166391000000001</v>
      </c>
      <c r="M68" s="32">
        <v>31.216602000000002</v>
      </c>
      <c r="N68" s="32">
        <v>31.271526000000001</v>
      </c>
      <c r="O68" s="32">
        <v>31.261889</v>
      </c>
      <c r="P68" s="32">
        <v>31.351849000000001</v>
      </c>
      <c r="Q68" s="32">
        <v>31.330065000000001</v>
      </c>
      <c r="R68" s="32">
        <v>31.495197000000001</v>
      </c>
      <c r="S68" s="32">
        <v>31.566262999999999</v>
      </c>
      <c r="T68" s="32">
        <v>31.310928000000001</v>
      </c>
      <c r="U68" s="38">
        <v>31.178249000000001</v>
      </c>
      <c r="V68" s="32">
        <v>30.962544999999999</v>
      </c>
      <c r="W68" s="32">
        <v>30.724557999999998</v>
      </c>
      <c r="X68" s="32">
        <v>30.725908</v>
      </c>
      <c r="Y68" s="32">
        <v>30.665172999999999</v>
      </c>
      <c r="Z68" s="32">
        <v>30.47064</v>
      </c>
      <c r="AA68" s="32">
        <v>30.415310000000002</v>
      </c>
      <c r="AB68" s="32">
        <v>30.327311000000002</v>
      </c>
      <c r="AC68" s="32">
        <v>30.021035999999999</v>
      </c>
      <c r="AD68" s="32">
        <v>30.000523000000001</v>
      </c>
      <c r="AE68" s="32">
        <v>29.920864000000002</v>
      </c>
      <c r="AF68" s="32">
        <v>29.756823000000001</v>
      </c>
      <c r="AG68" s="32">
        <v>29.778970999999999</v>
      </c>
      <c r="AH68" s="32">
        <v>29.682814</v>
      </c>
      <c r="AI68" s="32">
        <v>29.405483</v>
      </c>
      <c r="AJ68" s="36">
        <v>-4.0000000000000001E-3</v>
      </c>
    </row>
    <row r="69" spans="1:36">
      <c r="A69" s="113" t="s">
        <v>308</v>
      </c>
      <c r="B69" s="113"/>
      <c r="C69" s="113" t="s">
        <v>995</v>
      </c>
      <c r="D69" s="113"/>
      <c r="U69" s="38"/>
    </row>
    <row r="70" spans="1:36">
      <c r="A70" s="113" t="s">
        <v>304</v>
      </c>
      <c r="B70" s="113" t="s">
        <v>996</v>
      </c>
      <c r="C70" s="113" t="s">
        <v>997</v>
      </c>
      <c r="D70" s="113" t="s">
        <v>977</v>
      </c>
      <c r="F70" s="32">
        <v>13.641980999999999</v>
      </c>
      <c r="G70" s="32">
        <v>14.473858</v>
      </c>
      <c r="H70" s="32">
        <v>12.690697999999999</v>
      </c>
      <c r="I70" s="32">
        <v>12.673787000000001</v>
      </c>
      <c r="J70" s="32">
        <v>12.554607000000001</v>
      </c>
      <c r="K70" s="32">
        <v>12.704503000000001</v>
      </c>
      <c r="L70" s="32">
        <v>13.113276000000001</v>
      </c>
      <c r="M70" s="32">
        <v>13.681419999999999</v>
      </c>
      <c r="N70" s="32">
        <v>14.057202</v>
      </c>
      <c r="O70" s="32">
        <v>14.454497</v>
      </c>
      <c r="P70" s="32">
        <v>14.81035</v>
      </c>
      <c r="Q70" s="32">
        <v>15.10299</v>
      </c>
      <c r="R70" s="32">
        <v>15.386189</v>
      </c>
      <c r="S70" s="32">
        <v>15.557034</v>
      </c>
      <c r="T70" s="32">
        <v>15.672611</v>
      </c>
      <c r="U70" s="38">
        <v>15.832416</v>
      </c>
      <c r="V70" s="32">
        <v>16.038618</v>
      </c>
      <c r="W70" s="32">
        <v>16.228031000000001</v>
      </c>
      <c r="X70" s="32">
        <v>16.321314000000001</v>
      </c>
      <c r="Y70" s="32">
        <v>16.630306000000001</v>
      </c>
      <c r="Z70" s="32">
        <v>16.814444000000002</v>
      </c>
      <c r="AA70" s="32">
        <v>16.831151999999999</v>
      </c>
      <c r="AB70" s="32">
        <v>17.024878000000001</v>
      </c>
      <c r="AC70" s="32">
        <v>17.258876999999998</v>
      </c>
      <c r="AD70" s="32">
        <v>17.293581</v>
      </c>
      <c r="AE70" s="32">
        <v>17.409196999999999</v>
      </c>
      <c r="AF70" s="32">
        <v>17.486640999999999</v>
      </c>
      <c r="AG70" s="32">
        <v>17.525883</v>
      </c>
      <c r="AH70" s="32">
        <v>17.502065999999999</v>
      </c>
      <c r="AI70" s="32">
        <v>17.474976999999999</v>
      </c>
      <c r="AJ70" s="36">
        <v>8.9999999999999993E-3</v>
      </c>
    </row>
    <row r="71" spans="1:36">
      <c r="A71" s="113" t="s">
        <v>305</v>
      </c>
      <c r="B71" s="113" t="s">
        <v>998</v>
      </c>
      <c r="C71" s="113" t="s">
        <v>999</v>
      </c>
      <c r="D71" s="113" t="s">
        <v>977</v>
      </c>
      <c r="F71" s="32">
        <v>21.717592</v>
      </c>
      <c r="G71" s="32">
        <v>22.039539000000001</v>
      </c>
      <c r="H71" s="32">
        <v>20.641483000000001</v>
      </c>
      <c r="I71" s="32">
        <v>20.962847</v>
      </c>
      <c r="J71" s="32">
        <v>20.404408</v>
      </c>
      <c r="K71" s="32">
        <v>19.875136999999999</v>
      </c>
      <c r="L71" s="32">
        <v>19.434904</v>
      </c>
      <c r="M71" s="32">
        <v>19.630016000000001</v>
      </c>
      <c r="N71" s="32">
        <v>19.755396000000001</v>
      </c>
      <c r="O71" s="32">
        <v>19.726908000000002</v>
      </c>
      <c r="P71" s="32">
        <v>20.012304</v>
      </c>
      <c r="Q71" s="32">
        <v>20.121642999999999</v>
      </c>
      <c r="R71" s="32">
        <v>20.205687000000001</v>
      </c>
      <c r="S71" s="32">
        <v>20.256615</v>
      </c>
      <c r="T71" s="32">
        <v>20.359558</v>
      </c>
      <c r="U71" s="38">
        <v>20.540993</v>
      </c>
      <c r="V71" s="32">
        <v>20.765974</v>
      </c>
      <c r="W71" s="32">
        <v>20.902947999999999</v>
      </c>
      <c r="X71" s="32">
        <v>20.978275</v>
      </c>
      <c r="Y71" s="32">
        <v>21.181328000000001</v>
      </c>
      <c r="Z71" s="32">
        <v>21.295487999999999</v>
      </c>
      <c r="AA71" s="32">
        <v>21.316614000000001</v>
      </c>
      <c r="AB71" s="32">
        <v>21.578562000000002</v>
      </c>
      <c r="AC71" s="32">
        <v>21.864398999999999</v>
      </c>
      <c r="AD71" s="32">
        <v>21.975715999999998</v>
      </c>
      <c r="AE71" s="32">
        <v>22.162797999999999</v>
      </c>
      <c r="AF71" s="32">
        <v>22.218653</v>
      </c>
      <c r="AG71" s="32">
        <v>22.172478000000002</v>
      </c>
      <c r="AH71" s="32">
        <v>22.151848000000001</v>
      </c>
      <c r="AI71" s="32">
        <v>22.079557000000001</v>
      </c>
      <c r="AJ71" s="36">
        <v>1E-3</v>
      </c>
    </row>
    <row r="72" spans="1:36">
      <c r="A72" s="113" t="s">
        <v>307</v>
      </c>
      <c r="B72" s="113" t="s">
        <v>1000</v>
      </c>
      <c r="C72" s="113" t="s">
        <v>1001</v>
      </c>
      <c r="D72" s="113" t="s">
        <v>977</v>
      </c>
      <c r="F72" s="32">
        <v>7.0809300000000004</v>
      </c>
      <c r="G72" s="32">
        <v>8.2805689999999998</v>
      </c>
      <c r="H72" s="32">
        <v>8.6274110000000004</v>
      </c>
      <c r="I72" s="32">
        <v>10.170450000000001</v>
      </c>
      <c r="J72" s="32">
        <v>10.904265000000001</v>
      </c>
      <c r="K72" s="32">
        <v>11.724563</v>
      </c>
      <c r="L72" s="32">
        <v>12.707344000000001</v>
      </c>
      <c r="M72" s="32">
        <v>12.934339</v>
      </c>
      <c r="N72" s="32">
        <v>13.054074</v>
      </c>
      <c r="O72" s="32">
        <v>13.224273999999999</v>
      </c>
      <c r="P72" s="32">
        <v>13.425761</v>
      </c>
      <c r="Q72" s="32">
        <v>13.580392</v>
      </c>
      <c r="R72" s="32">
        <v>13.715005</v>
      </c>
      <c r="S72" s="32">
        <v>13.739121000000001</v>
      </c>
      <c r="T72" s="32">
        <v>13.774988</v>
      </c>
      <c r="U72" s="38">
        <v>13.73387</v>
      </c>
      <c r="V72" s="32">
        <v>13.700761</v>
      </c>
      <c r="W72" s="32">
        <v>13.938072999999999</v>
      </c>
      <c r="X72" s="32">
        <v>13.809683</v>
      </c>
      <c r="Y72" s="32">
        <v>14.32342</v>
      </c>
      <c r="Z72" s="32">
        <v>14.502770999999999</v>
      </c>
      <c r="AA72" s="32">
        <v>14.646573</v>
      </c>
      <c r="AB72" s="32">
        <v>15.016595000000001</v>
      </c>
      <c r="AC72" s="32">
        <v>15.268723</v>
      </c>
      <c r="AD72" s="32">
        <v>15.355473</v>
      </c>
      <c r="AE72" s="32">
        <v>15.52731</v>
      </c>
      <c r="AF72" s="32">
        <v>15.604209000000001</v>
      </c>
      <c r="AG72" s="32">
        <v>15.572099</v>
      </c>
      <c r="AH72" s="32">
        <v>15.601445</v>
      </c>
      <c r="AI72" s="32">
        <v>15.553457</v>
      </c>
      <c r="AJ72" s="36">
        <v>2.8000000000000001E-2</v>
      </c>
    </row>
    <row r="73" spans="1:36">
      <c r="A73" s="113" t="s">
        <v>97</v>
      </c>
      <c r="B73" s="113" t="s">
        <v>1002</v>
      </c>
      <c r="C73" s="113" t="s">
        <v>1003</v>
      </c>
      <c r="D73" s="113" t="s">
        <v>977</v>
      </c>
      <c r="F73" s="32">
        <v>5.058338</v>
      </c>
      <c r="G73" s="32">
        <v>4.8437520000000003</v>
      </c>
      <c r="H73" s="32">
        <v>4.5386829999999998</v>
      </c>
      <c r="I73" s="32">
        <v>4.209384</v>
      </c>
      <c r="J73" s="32">
        <v>4.0375170000000002</v>
      </c>
      <c r="K73" s="32">
        <v>4.0147069999999996</v>
      </c>
      <c r="L73" s="32">
        <v>4.0930689999999998</v>
      </c>
      <c r="M73" s="32">
        <v>4.2376550000000002</v>
      </c>
      <c r="N73" s="32">
        <v>4.3584199999999997</v>
      </c>
      <c r="O73" s="32">
        <v>4.4436090000000004</v>
      </c>
      <c r="P73" s="32">
        <v>4.4874809999999998</v>
      </c>
      <c r="Q73" s="32">
        <v>4.5111030000000003</v>
      </c>
      <c r="R73" s="32">
        <v>4.5799029999999998</v>
      </c>
      <c r="S73" s="32">
        <v>4.5750729999999997</v>
      </c>
      <c r="T73" s="32">
        <v>4.555599</v>
      </c>
      <c r="U73" s="38">
        <v>4.5583809999999998</v>
      </c>
      <c r="V73" s="32">
        <v>4.5741949999999996</v>
      </c>
      <c r="W73" s="32">
        <v>4.5830659999999996</v>
      </c>
      <c r="X73" s="32">
        <v>4.5871269999999997</v>
      </c>
      <c r="Y73" s="32">
        <v>4.6105159999999996</v>
      </c>
      <c r="Z73" s="32">
        <v>4.6173349999999997</v>
      </c>
      <c r="AA73" s="32">
        <v>4.5962500000000004</v>
      </c>
      <c r="AB73" s="32">
        <v>4.5913380000000004</v>
      </c>
      <c r="AC73" s="32">
        <v>4.5461539999999996</v>
      </c>
      <c r="AD73" s="32">
        <v>4.5336100000000004</v>
      </c>
      <c r="AE73" s="32">
        <v>4.5259549999999997</v>
      </c>
      <c r="AF73" s="32">
        <v>4.5232239999999999</v>
      </c>
      <c r="AG73" s="32">
        <v>4.5260439999999997</v>
      </c>
      <c r="AH73" s="32">
        <v>4.5164429999999998</v>
      </c>
      <c r="AI73" s="32">
        <v>4.5123629999999997</v>
      </c>
      <c r="AJ73" s="36">
        <v>-4.0000000000000001E-3</v>
      </c>
    </row>
    <row r="74" spans="1:36">
      <c r="A74" s="113" t="s">
        <v>309</v>
      </c>
      <c r="B74" s="113" t="s">
        <v>1004</v>
      </c>
      <c r="C74" s="113" t="s">
        <v>1005</v>
      </c>
      <c r="D74" s="113" t="s">
        <v>977</v>
      </c>
      <c r="F74" s="32">
        <v>3.9200170000000001</v>
      </c>
      <c r="G74" s="32">
        <v>3.520448</v>
      </c>
      <c r="H74" s="32">
        <v>3.3495240000000002</v>
      </c>
      <c r="I74" s="32">
        <v>3.1881349999999999</v>
      </c>
      <c r="J74" s="32">
        <v>3.096409</v>
      </c>
      <c r="K74" s="32">
        <v>3.03288</v>
      </c>
      <c r="L74" s="32">
        <v>3.0056090000000002</v>
      </c>
      <c r="M74" s="32">
        <v>3.0067390000000001</v>
      </c>
      <c r="N74" s="32">
        <v>3.0179010000000002</v>
      </c>
      <c r="O74" s="32">
        <v>3.0464850000000001</v>
      </c>
      <c r="P74" s="32">
        <v>3.0680510000000001</v>
      </c>
      <c r="Q74" s="32">
        <v>3.100158</v>
      </c>
      <c r="R74" s="32">
        <v>3.1251690000000001</v>
      </c>
      <c r="S74" s="32">
        <v>3.1477789999999999</v>
      </c>
      <c r="T74" s="32">
        <v>3.1733889999999998</v>
      </c>
      <c r="U74" s="38">
        <v>3.20092</v>
      </c>
      <c r="V74" s="32">
        <v>3.2328570000000001</v>
      </c>
      <c r="W74" s="32">
        <v>3.2593830000000001</v>
      </c>
      <c r="X74" s="32">
        <v>3.2843460000000002</v>
      </c>
      <c r="Y74" s="32">
        <v>3.312316</v>
      </c>
      <c r="Z74" s="32">
        <v>3.3372099999999998</v>
      </c>
      <c r="AA74" s="32">
        <v>3.3597380000000001</v>
      </c>
      <c r="AB74" s="32">
        <v>3.3827820000000002</v>
      </c>
      <c r="AC74" s="32">
        <v>3.4101669999999999</v>
      </c>
      <c r="AD74" s="32">
        <v>3.4379360000000001</v>
      </c>
      <c r="AE74" s="32">
        <v>3.4673980000000002</v>
      </c>
      <c r="AF74" s="32">
        <v>3.493941</v>
      </c>
      <c r="AG74" s="32">
        <v>3.5140889999999998</v>
      </c>
      <c r="AH74" s="32">
        <v>3.5360510000000001</v>
      </c>
      <c r="AI74" s="32">
        <v>3.5649459999999999</v>
      </c>
      <c r="AJ74" s="32">
        <v>-3.0000000000000001E-3</v>
      </c>
    </row>
    <row r="75" spans="1:36">
      <c r="A75" s="113" t="s">
        <v>310</v>
      </c>
      <c r="B75" s="113" t="s">
        <v>1006</v>
      </c>
      <c r="C75" s="113" t="s">
        <v>1007</v>
      </c>
      <c r="D75" s="113" t="s">
        <v>977</v>
      </c>
      <c r="F75" s="32">
        <v>2.6913619999999998</v>
      </c>
      <c r="G75" s="32">
        <v>2.6784919999999999</v>
      </c>
      <c r="H75" s="32">
        <v>2.687243</v>
      </c>
      <c r="I75" s="32">
        <v>2.6920799999999998</v>
      </c>
      <c r="J75" s="32">
        <v>2.6904690000000002</v>
      </c>
      <c r="K75" s="32">
        <v>2.679824</v>
      </c>
      <c r="L75" s="32">
        <v>2.6693829999999998</v>
      </c>
      <c r="M75" s="32">
        <v>2.6692969999999998</v>
      </c>
      <c r="N75" s="32">
        <v>2.669826</v>
      </c>
      <c r="O75" s="32">
        <v>2.6714820000000001</v>
      </c>
      <c r="P75" s="32">
        <v>2.6752500000000001</v>
      </c>
      <c r="Q75" s="32">
        <v>2.6778050000000002</v>
      </c>
      <c r="R75" s="32">
        <v>2.681765</v>
      </c>
      <c r="S75" s="32">
        <v>2.6836820000000001</v>
      </c>
      <c r="T75" s="32">
        <v>2.6802320000000002</v>
      </c>
      <c r="U75" s="38">
        <v>2.6780460000000001</v>
      </c>
      <c r="V75" s="32">
        <v>2.6773039999999999</v>
      </c>
      <c r="W75" s="32">
        <v>2.684161</v>
      </c>
      <c r="X75" s="32">
        <v>2.6877710000000001</v>
      </c>
      <c r="Y75" s="32">
        <v>2.6928589999999999</v>
      </c>
      <c r="Z75" s="32">
        <v>2.6985399999999999</v>
      </c>
      <c r="AA75" s="32">
        <v>2.694407</v>
      </c>
      <c r="AB75" s="32">
        <v>2.6979850000000001</v>
      </c>
      <c r="AC75" s="32">
        <v>2.7035749999999998</v>
      </c>
      <c r="AD75" s="32">
        <v>2.7096719999999999</v>
      </c>
      <c r="AE75" s="32">
        <v>2.714696</v>
      </c>
      <c r="AF75" s="32">
        <v>2.7177090000000002</v>
      </c>
      <c r="AG75" s="32">
        <v>2.7195010000000002</v>
      </c>
      <c r="AH75" s="32">
        <v>2.7240500000000001</v>
      </c>
      <c r="AI75" s="32">
        <v>2.728364</v>
      </c>
      <c r="AJ75" s="36">
        <v>0</v>
      </c>
    </row>
    <row r="76" spans="1:36">
      <c r="A76" s="113" t="s">
        <v>311</v>
      </c>
      <c r="B76" s="113" t="s">
        <v>1008</v>
      </c>
      <c r="C76" s="113" t="s">
        <v>1009</v>
      </c>
      <c r="D76" s="113" t="s">
        <v>977</v>
      </c>
      <c r="F76" s="32">
        <v>0</v>
      </c>
      <c r="G76" s="32">
        <v>0</v>
      </c>
      <c r="H76" s="32">
        <v>0</v>
      </c>
      <c r="I76" s="32">
        <v>0</v>
      </c>
      <c r="J76" s="32">
        <v>0</v>
      </c>
      <c r="K76" s="32">
        <v>0</v>
      </c>
      <c r="L76" s="32">
        <v>0</v>
      </c>
      <c r="M76" s="32">
        <v>0</v>
      </c>
      <c r="N76" s="32">
        <v>0</v>
      </c>
      <c r="O76" s="32">
        <v>0</v>
      </c>
      <c r="P76" s="32">
        <v>0</v>
      </c>
      <c r="Q76" s="32">
        <v>0</v>
      </c>
      <c r="R76" s="32">
        <v>0</v>
      </c>
      <c r="S76" s="32">
        <v>0</v>
      </c>
      <c r="T76" s="32">
        <v>0</v>
      </c>
      <c r="U76" s="38">
        <v>0</v>
      </c>
      <c r="V76" s="32">
        <v>0</v>
      </c>
      <c r="W76" s="32">
        <v>0</v>
      </c>
      <c r="X76" s="32">
        <v>0</v>
      </c>
      <c r="Y76" s="32">
        <v>0</v>
      </c>
      <c r="Z76" s="32">
        <v>0</v>
      </c>
      <c r="AA76" s="32">
        <v>0</v>
      </c>
      <c r="AB76" s="32">
        <v>0</v>
      </c>
      <c r="AC76" s="32">
        <v>0</v>
      </c>
      <c r="AD76" s="32">
        <v>0</v>
      </c>
      <c r="AE76" s="32">
        <v>0</v>
      </c>
      <c r="AF76" s="32">
        <v>0</v>
      </c>
      <c r="AG76" s="32">
        <v>0</v>
      </c>
      <c r="AH76" s="32">
        <v>0</v>
      </c>
      <c r="AI76" s="32">
        <v>0</v>
      </c>
      <c r="AJ76" s="32" t="s">
        <v>86</v>
      </c>
    </row>
    <row r="77" spans="1:36">
      <c r="A77" s="113" t="s">
        <v>130</v>
      </c>
      <c r="B77" s="113" t="s">
        <v>1010</v>
      </c>
      <c r="C77" s="113" t="s">
        <v>1011</v>
      </c>
      <c r="D77" s="113" t="s">
        <v>977</v>
      </c>
      <c r="F77" s="32">
        <v>21.928906999999999</v>
      </c>
      <c r="G77" s="32">
        <v>21.733944000000001</v>
      </c>
      <c r="H77" s="32">
        <v>20.806636999999998</v>
      </c>
      <c r="I77" s="32">
        <v>20.106590000000001</v>
      </c>
      <c r="J77" s="32">
        <v>19.872136999999999</v>
      </c>
      <c r="K77" s="32">
        <v>19.646685000000002</v>
      </c>
      <c r="L77" s="32">
        <v>19.638335999999999</v>
      </c>
      <c r="M77" s="32">
        <v>19.723905999999999</v>
      </c>
      <c r="N77" s="32">
        <v>19.746979</v>
      </c>
      <c r="O77" s="32">
        <v>19.778036</v>
      </c>
      <c r="P77" s="32">
        <v>19.792736000000001</v>
      </c>
      <c r="Q77" s="32">
        <v>19.816956000000001</v>
      </c>
      <c r="R77" s="32">
        <v>19.859048999999999</v>
      </c>
      <c r="S77" s="32">
        <v>19.875495999999998</v>
      </c>
      <c r="T77" s="32">
        <v>19.709748999999999</v>
      </c>
      <c r="U77" s="38">
        <v>19.657364000000001</v>
      </c>
      <c r="V77" s="32">
        <v>19.516327</v>
      </c>
      <c r="W77" s="32">
        <v>19.411086999999998</v>
      </c>
      <c r="X77" s="32">
        <v>19.374485</v>
      </c>
      <c r="Y77" s="32">
        <v>19.334475000000001</v>
      </c>
      <c r="Z77" s="32">
        <v>19.258859999999999</v>
      </c>
      <c r="AA77" s="32">
        <v>19.185390000000002</v>
      </c>
      <c r="AB77" s="32">
        <v>19.08062</v>
      </c>
      <c r="AC77" s="32">
        <v>18.929935</v>
      </c>
      <c r="AD77" s="32">
        <v>18.866458999999999</v>
      </c>
      <c r="AE77" s="32">
        <v>18.805063000000001</v>
      </c>
      <c r="AF77" s="32">
        <v>18.745100000000001</v>
      </c>
      <c r="AG77" s="32">
        <v>18.726257</v>
      </c>
      <c r="AH77" s="32">
        <v>18.667366000000001</v>
      </c>
      <c r="AI77" s="32">
        <v>18.553787</v>
      </c>
      <c r="AJ77" s="36">
        <v>-6.0000000000000001E-3</v>
      </c>
    </row>
    <row r="78" spans="1:36">
      <c r="A78" s="113" t="s">
        <v>132</v>
      </c>
      <c r="B78" s="113"/>
      <c r="C78" s="113" t="s">
        <v>1012</v>
      </c>
      <c r="D78" s="113"/>
      <c r="U78" s="38"/>
    </row>
    <row r="79" spans="1:36">
      <c r="A79" s="113" t="s">
        <v>304</v>
      </c>
      <c r="B79" s="113" t="s">
        <v>1013</v>
      </c>
      <c r="C79" s="113" t="s">
        <v>1014</v>
      </c>
      <c r="D79" s="113" t="s">
        <v>977</v>
      </c>
      <c r="F79" s="32">
        <v>17.743065000000001</v>
      </c>
      <c r="G79" s="32">
        <v>18.353211999999999</v>
      </c>
      <c r="H79" s="32">
        <v>16.844335999999998</v>
      </c>
      <c r="I79" s="32">
        <v>16.846771</v>
      </c>
      <c r="J79" s="32">
        <v>16.747129000000001</v>
      </c>
      <c r="K79" s="32">
        <v>16.877106000000001</v>
      </c>
      <c r="L79" s="32">
        <v>17.222747999999999</v>
      </c>
      <c r="M79" s="32">
        <v>17.693674000000001</v>
      </c>
      <c r="N79" s="32">
        <v>17.996701999999999</v>
      </c>
      <c r="O79" s="32">
        <v>18.316544</v>
      </c>
      <c r="P79" s="32">
        <v>18.937857000000001</v>
      </c>
      <c r="Q79" s="32">
        <v>19.167159999999999</v>
      </c>
      <c r="R79" s="32">
        <v>19.435755</v>
      </c>
      <c r="S79" s="32">
        <v>19.566013000000002</v>
      </c>
      <c r="T79" s="32">
        <v>19.653292</v>
      </c>
      <c r="U79" s="38">
        <v>19.776052</v>
      </c>
      <c r="V79" s="32">
        <v>19.934294000000001</v>
      </c>
      <c r="W79" s="32">
        <v>20.078189999999999</v>
      </c>
      <c r="X79" s="32">
        <v>20.146626999999999</v>
      </c>
      <c r="Y79" s="32">
        <v>20.383576999999999</v>
      </c>
      <c r="Z79" s="32">
        <v>20.520250000000001</v>
      </c>
      <c r="AA79" s="32">
        <v>20.528459999999999</v>
      </c>
      <c r="AB79" s="32">
        <v>20.675032000000002</v>
      </c>
      <c r="AC79" s="32">
        <v>20.850231000000001</v>
      </c>
      <c r="AD79" s="32">
        <v>20.871931</v>
      </c>
      <c r="AE79" s="32">
        <v>20.957460000000001</v>
      </c>
      <c r="AF79" s="32">
        <v>21.013263999999999</v>
      </c>
      <c r="AG79" s="32">
        <v>21.040365000000001</v>
      </c>
      <c r="AH79" s="32">
        <v>21.019850000000002</v>
      </c>
      <c r="AI79" s="32">
        <v>20.997412000000001</v>
      </c>
      <c r="AJ79" s="36">
        <v>6.0000000000000001E-3</v>
      </c>
    </row>
    <row r="80" spans="1:36">
      <c r="A80" s="113" t="s">
        <v>312</v>
      </c>
      <c r="B80" s="113" t="s">
        <v>1015</v>
      </c>
      <c r="C80" s="113" t="s">
        <v>1016</v>
      </c>
      <c r="D80" s="113" t="s">
        <v>977</v>
      </c>
      <c r="F80" s="32">
        <v>25.695416999999999</v>
      </c>
      <c r="G80" s="32">
        <v>25.688790999999998</v>
      </c>
      <c r="H80" s="32">
        <v>25.836414000000001</v>
      </c>
      <c r="I80" s="32">
        <v>25.612317999999998</v>
      </c>
      <c r="J80" s="32">
        <v>25.306771999999999</v>
      </c>
      <c r="K80" s="32">
        <v>25.590133999999999</v>
      </c>
      <c r="L80" s="32">
        <v>25.919636000000001</v>
      </c>
      <c r="M80" s="32">
        <v>26.238963999999999</v>
      </c>
      <c r="N80" s="32">
        <v>26.470624999999998</v>
      </c>
      <c r="O80" s="32">
        <v>27.160715</v>
      </c>
      <c r="P80" s="32">
        <v>27.897373000000002</v>
      </c>
      <c r="Q80" s="32">
        <v>28.258593000000001</v>
      </c>
      <c r="R80" s="32">
        <v>28.425256999999998</v>
      </c>
      <c r="S80" s="32">
        <v>28.903063</v>
      </c>
      <c r="T80" s="32">
        <v>29.074985999999999</v>
      </c>
      <c r="U80" s="38">
        <v>29.116539</v>
      </c>
      <c r="V80" s="32">
        <v>29.250895</v>
      </c>
      <c r="W80" s="32">
        <v>29.627222</v>
      </c>
      <c r="X80" s="32">
        <v>29.616657</v>
      </c>
      <c r="Y80" s="32">
        <v>29.849672000000002</v>
      </c>
      <c r="Z80" s="32">
        <v>30.063628999999999</v>
      </c>
      <c r="AA80" s="32">
        <v>30.083044000000001</v>
      </c>
      <c r="AB80" s="32">
        <v>30.376201999999999</v>
      </c>
      <c r="AC80" s="32">
        <v>30.671841000000001</v>
      </c>
      <c r="AD80" s="32">
        <v>30.775278</v>
      </c>
      <c r="AE80" s="32">
        <v>31.038913999999998</v>
      </c>
      <c r="AF80" s="32">
        <v>31.145315</v>
      </c>
      <c r="AG80" s="32">
        <v>31.068113</v>
      </c>
      <c r="AH80" s="32">
        <v>31.098154000000001</v>
      </c>
      <c r="AI80" s="32">
        <v>31.095053</v>
      </c>
      <c r="AJ80" s="36">
        <v>7.0000000000000001E-3</v>
      </c>
    </row>
    <row r="81" spans="1:36">
      <c r="A81" s="113" t="s">
        <v>313</v>
      </c>
      <c r="B81" s="113" t="s">
        <v>1017</v>
      </c>
      <c r="C81" s="113" t="s">
        <v>1018</v>
      </c>
      <c r="D81" s="113" t="s">
        <v>977</v>
      </c>
      <c r="F81" s="32">
        <v>25.844168</v>
      </c>
      <c r="G81" s="32">
        <v>24.781488</v>
      </c>
      <c r="H81" s="32">
        <v>22.174645999999999</v>
      </c>
      <c r="I81" s="32">
        <v>22.028466999999999</v>
      </c>
      <c r="J81" s="32">
        <v>21.806013</v>
      </c>
      <c r="K81" s="32">
        <v>22.036182</v>
      </c>
      <c r="L81" s="32">
        <v>22.299558999999999</v>
      </c>
      <c r="M81" s="32">
        <v>22.540606</v>
      </c>
      <c r="N81" s="32">
        <v>22.709772000000001</v>
      </c>
      <c r="O81" s="32">
        <v>23.270976999999998</v>
      </c>
      <c r="P81" s="32">
        <v>24.016300000000001</v>
      </c>
      <c r="Q81" s="32">
        <v>24.260103000000001</v>
      </c>
      <c r="R81" s="32">
        <v>24.461062999999999</v>
      </c>
      <c r="S81" s="32">
        <v>24.650679</v>
      </c>
      <c r="T81" s="32">
        <v>24.743463999999999</v>
      </c>
      <c r="U81" s="38">
        <v>24.919360999999999</v>
      </c>
      <c r="V81" s="32">
        <v>25.075544000000001</v>
      </c>
      <c r="W81" s="32">
        <v>25.350567000000002</v>
      </c>
      <c r="X81" s="32">
        <v>25.363993000000001</v>
      </c>
      <c r="Y81" s="32">
        <v>25.563175000000001</v>
      </c>
      <c r="Z81" s="32">
        <v>25.725124000000001</v>
      </c>
      <c r="AA81" s="32">
        <v>25.766110999999999</v>
      </c>
      <c r="AB81" s="32">
        <v>26.021811</v>
      </c>
      <c r="AC81" s="32">
        <v>26.267887000000002</v>
      </c>
      <c r="AD81" s="32">
        <v>26.352080999999998</v>
      </c>
      <c r="AE81" s="32">
        <v>26.563110000000002</v>
      </c>
      <c r="AF81" s="32">
        <v>26.644928</v>
      </c>
      <c r="AG81" s="32">
        <v>26.573322000000001</v>
      </c>
      <c r="AH81" s="32">
        <v>26.589043</v>
      </c>
      <c r="AI81" s="32">
        <v>26.583838</v>
      </c>
      <c r="AJ81" s="36">
        <v>1E-3</v>
      </c>
    </row>
    <row r="82" spans="1:36">
      <c r="A82" s="113" t="s">
        <v>95</v>
      </c>
      <c r="B82" s="113" t="s">
        <v>1019</v>
      </c>
      <c r="C82" s="113" t="s">
        <v>1020</v>
      </c>
      <c r="D82" s="113" t="s">
        <v>977</v>
      </c>
      <c r="F82" s="32">
        <v>14.697266000000001</v>
      </c>
      <c r="G82" s="32">
        <v>15.363607</v>
      </c>
      <c r="H82" s="32">
        <v>14.341670000000001</v>
      </c>
      <c r="I82" s="32">
        <v>15.514149</v>
      </c>
      <c r="J82" s="32">
        <v>15.575315</v>
      </c>
      <c r="K82" s="32">
        <v>15.722424999999999</v>
      </c>
      <c r="L82" s="32">
        <v>16.00432</v>
      </c>
      <c r="M82" s="32">
        <v>16.282055</v>
      </c>
      <c r="N82" s="32">
        <v>16.451191000000001</v>
      </c>
      <c r="O82" s="32">
        <v>16.394136</v>
      </c>
      <c r="P82" s="32">
        <v>16.879512999999999</v>
      </c>
      <c r="Q82" s="32">
        <v>17.063628999999999</v>
      </c>
      <c r="R82" s="32">
        <v>17.174807000000001</v>
      </c>
      <c r="S82" s="32">
        <v>17.343786000000001</v>
      </c>
      <c r="T82" s="32">
        <v>17.456037999999999</v>
      </c>
      <c r="U82" s="38">
        <v>17.653061000000001</v>
      </c>
      <c r="V82" s="32">
        <v>17.909936999999999</v>
      </c>
      <c r="W82" s="32">
        <v>18.089289000000001</v>
      </c>
      <c r="X82" s="32">
        <v>18.193235000000001</v>
      </c>
      <c r="Y82" s="32">
        <v>18.380554</v>
      </c>
      <c r="Z82" s="32">
        <v>18.522734</v>
      </c>
      <c r="AA82" s="32">
        <v>18.563686000000001</v>
      </c>
      <c r="AB82" s="32">
        <v>18.855331</v>
      </c>
      <c r="AC82" s="32">
        <v>19.166589999999999</v>
      </c>
      <c r="AD82" s="32">
        <v>19.275404000000002</v>
      </c>
      <c r="AE82" s="32">
        <v>19.484832999999998</v>
      </c>
      <c r="AF82" s="32">
        <v>19.576267000000001</v>
      </c>
      <c r="AG82" s="32">
        <v>19.548249999999999</v>
      </c>
      <c r="AH82" s="32">
        <v>19.589796</v>
      </c>
      <c r="AI82" s="32">
        <v>19.531642999999999</v>
      </c>
      <c r="AJ82" s="36">
        <v>0.01</v>
      </c>
    </row>
    <row r="83" spans="1:36">
      <c r="A83" s="113" t="s">
        <v>314</v>
      </c>
      <c r="B83" s="113" t="s">
        <v>1021</v>
      </c>
      <c r="C83" s="113" t="s">
        <v>1022</v>
      </c>
      <c r="D83" s="113" t="s">
        <v>977</v>
      </c>
      <c r="F83" s="32">
        <v>23.712284</v>
      </c>
      <c r="G83" s="32">
        <v>22.80678</v>
      </c>
      <c r="H83" s="32">
        <v>21.999676000000001</v>
      </c>
      <c r="I83" s="32">
        <v>22.781410000000001</v>
      </c>
      <c r="J83" s="32">
        <v>22.755514000000002</v>
      </c>
      <c r="K83" s="32">
        <v>22.731127000000001</v>
      </c>
      <c r="L83" s="32">
        <v>22.790234000000002</v>
      </c>
      <c r="M83" s="32">
        <v>22.969232999999999</v>
      </c>
      <c r="N83" s="32">
        <v>23.103688999999999</v>
      </c>
      <c r="O83" s="32">
        <v>23.066965</v>
      </c>
      <c r="P83" s="32">
        <v>23.680237000000002</v>
      </c>
      <c r="Q83" s="32">
        <v>23.777031000000001</v>
      </c>
      <c r="R83" s="32">
        <v>23.908148000000001</v>
      </c>
      <c r="S83" s="32">
        <v>23.947967999999999</v>
      </c>
      <c r="T83" s="32">
        <v>24.047305999999999</v>
      </c>
      <c r="U83" s="38">
        <v>24.229137000000001</v>
      </c>
      <c r="V83" s="32">
        <v>24.429452999999999</v>
      </c>
      <c r="W83" s="32">
        <v>24.563376999999999</v>
      </c>
      <c r="X83" s="32">
        <v>24.651755999999999</v>
      </c>
      <c r="Y83" s="32">
        <v>24.855468999999999</v>
      </c>
      <c r="Z83" s="32">
        <v>24.970320000000001</v>
      </c>
      <c r="AA83" s="32">
        <v>24.982422</v>
      </c>
      <c r="AB83" s="32">
        <v>25.243137000000001</v>
      </c>
      <c r="AC83" s="32">
        <v>25.529237999999999</v>
      </c>
      <c r="AD83" s="32">
        <v>25.632002</v>
      </c>
      <c r="AE83" s="32">
        <v>25.813853999999999</v>
      </c>
      <c r="AF83" s="32">
        <v>25.873512000000002</v>
      </c>
      <c r="AG83" s="32">
        <v>25.822967999999999</v>
      </c>
      <c r="AH83" s="32">
        <v>25.801915999999999</v>
      </c>
      <c r="AI83" s="32">
        <v>25.740952</v>
      </c>
      <c r="AJ83" s="36">
        <v>3.0000000000000001E-3</v>
      </c>
    </row>
    <row r="84" spans="1:36">
      <c r="A84" s="113" t="s">
        <v>307</v>
      </c>
      <c r="B84" s="113" t="s">
        <v>1023</v>
      </c>
      <c r="C84" s="113" t="s">
        <v>1024</v>
      </c>
      <c r="D84" s="113" t="s">
        <v>977</v>
      </c>
      <c r="F84" s="32">
        <v>12.338293</v>
      </c>
      <c r="G84" s="32">
        <v>10.431569</v>
      </c>
      <c r="H84" s="32">
        <v>12.855511</v>
      </c>
      <c r="I84" s="32">
        <v>13.754292</v>
      </c>
      <c r="J84" s="32">
        <v>13.924185</v>
      </c>
      <c r="K84" s="32">
        <v>14.096988</v>
      </c>
      <c r="L84" s="32">
        <v>14.445067</v>
      </c>
      <c r="M84" s="32">
        <v>14.624426</v>
      </c>
      <c r="N84" s="32">
        <v>14.726324999999999</v>
      </c>
      <c r="O84" s="32">
        <v>14.846792000000001</v>
      </c>
      <c r="P84" s="32">
        <v>15.074237</v>
      </c>
      <c r="Q84" s="32">
        <v>15.182178</v>
      </c>
      <c r="R84" s="32">
        <v>15.312533999999999</v>
      </c>
      <c r="S84" s="32">
        <v>15.326589999999999</v>
      </c>
      <c r="T84" s="32">
        <v>15.360639000000001</v>
      </c>
      <c r="U84" s="38">
        <v>15.345945</v>
      </c>
      <c r="V84" s="32">
        <v>15.379968</v>
      </c>
      <c r="W84" s="32">
        <v>15.568699000000001</v>
      </c>
      <c r="X84" s="32">
        <v>15.517137999999999</v>
      </c>
      <c r="Y84" s="32">
        <v>15.843856000000001</v>
      </c>
      <c r="Z84" s="32">
        <v>15.974829</v>
      </c>
      <c r="AA84" s="32">
        <v>16.059837000000002</v>
      </c>
      <c r="AB84" s="32">
        <v>16.365839000000001</v>
      </c>
      <c r="AC84" s="32">
        <v>16.582623999999999</v>
      </c>
      <c r="AD84" s="32">
        <v>16.677778</v>
      </c>
      <c r="AE84" s="32">
        <v>16.827002</v>
      </c>
      <c r="AF84" s="32">
        <v>16.881416000000002</v>
      </c>
      <c r="AG84" s="32">
        <v>16.852664999999998</v>
      </c>
      <c r="AH84" s="32">
        <v>16.886154000000001</v>
      </c>
      <c r="AI84" s="32">
        <v>16.847871999999999</v>
      </c>
      <c r="AJ84" s="36">
        <v>1.0999999999999999E-2</v>
      </c>
    </row>
    <row r="85" spans="1:36">
      <c r="A85" s="113" t="s">
        <v>97</v>
      </c>
      <c r="B85" s="113" t="s">
        <v>1025</v>
      </c>
      <c r="C85" s="113" t="s">
        <v>1026</v>
      </c>
      <c r="D85" s="113" t="s">
        <v>977</v>
      </c>
      <c r="F85" s="32">
        <v>14.643957</v>
      </c>
      <c r="G85" s="32">
        <v>14.627293</v>
      </c>
      <c r="H85" s="32">
        <v>13.911484</v>
      </c>
      <c r="I85" s="32">
        <v>13.368217</v>
      </c>
      <c r="J85" s="32">
        <v>12.965358999999999</v>
      </c>
      <c r="K85" s="32">
        <v>12.6686</v>
      </c>
      <c r="L85" s="32">
        <v>12.454831</v>
      </c>
      <c r="M85" s="32">
        <v>12.319433999999999</v>
      </c>
      <c r="N85" s="32">
        <v>12.187999</v>
      </c>
      <c r="O85" s="32">
        <v>12.029752</v>
      </c>
      <c r="P85" s="32">
        <v>12.687059</v>
      </c>
      <c r="Q85" s="32">
        <v>12.505188</v>
      </c>
      <c r="R85" s="32">
        <v>12.50421</v>
      </c>
      <c r="S85" s="32">
        <v>12.353992</v>
      </c>
      <c r="T85" s="32">
        <v>12.178941999999999</v>
      </c>
      <c r="U85" s="38">
        <v>12.063815999999999</v>
      </c>
      <c r="V85" s="32">
        <v>11.961293</v>
      </c>
      <c r="W85" s="32">
        <v>11.869705</v>
      </c>
      <c r="X85" s="32">
        <v>11.776801000000001</v>
      </c>
      <c r="Y85" s="32">
        <v>11.748467</v>
      </c>
      <c r="Z85" s="32">
        <v>11.704108</v>
      </c>
      <c r="AA85" s="32">
        <v>11.622999999999999</v>
      </c>
      <c r="AB85" s="32">
        <v>11.589791</v>
      </c>
      <c r="AC85" s="32">
        <v>11.533381</v>
      </c>
      <c r="AD85" s="32">
        <v>11.489757000000001</v>
      </c>
      <c r="AE85" s="32">
        <v>11.459210000000001</v>
      </c>
      <c r="AF85" s="32">
        <v>11.430422</v>
      </c>
      <c r="AG85" s="32">
        <v>11.384506</v>
      </c>
      <c r="AH85" s="32">
        <v>11.345622000000001</v>
      </c>
      <c r="AI85" s="32">
        <v>11.302823999999999</v>
      </c>
      <c r="AJ85" s="36">
        <v>-8.9999999999999993E-3</v>
      </c>
    </row>
    <row r="86" spans="1:36">
      <c r="A86" s="113" t="s">
        <v>130</v>
      </c>
      <c r="B86" s="113" t="s">
        <v>1027</v>
      </c>
      <c r="C86" s="113" t="s">
        <v>1028</v>
      </c>
      <c r="D86" s="113" t="s">
        <v>977</v>
      </c>
      <c r="F86" s="32">
        <v>38.968001999999998</v>
      </c>
      <c r="G86" s="32">
        <v>39.637690999999997</v>
      </c>
      <c r="H86" s="32">
        <v>38.258915000000002</v>
      </c>
      <c r="I86" s="32">
        <v>37.180370000000003</v>
      </c>
      <c r="J86" s="32">
        <v>37.214675999999997</v>
      </c>
      <c r="K86" s="32">
        <v>37.522747000000003</v>
      </c>
      <c r="L86" s="32">
        <v>37.628666000000003</v>
      </c>
      <c r="M86" s="32">
        <v>37.708210000000001</v>
      </c>
      <c r="N86" s="32">
        <v>37.743583999999998</v>
      </c>
      <c r="O86" s="32">
        <v>37.576706000000001</v>
      </c>
      <c r="P86" s="32">
        <v>37.672587999999998</v>
      </c>
      <c r="Q86" s="32">
        <v>37.763119000000003</v>
      </c>
      <c r="R86" s="32">
        <v>37.868572</v>
      </c>
      <c r="S86" s="32">
        <v>37.825420000000001</v>
      </c>
      <c r="T86" s="32">
        <v>37.506542000000003</v>
      </c>
      <c r="U86" s="38">
        <v>37.233291999999999</v>
      </c>
      <c r="V86" s="32">
        <v>37.013756000000001</v>
      </c>
      <c r="W86" s="32">
        <v>36.793624999999999</v>
      </c>
      <c r="X86" s="32">
        <v>36.591206</v>
      </c>
      <c r="Y86" s="32">
        <v>36.425956999999997</v>
      </c>
      <c r="Z86" s="32">
        <v>36.230021999999998</v>
      </c>
      <c r="AA86" s="32">
        <v>36.050446000000001</v>
      </c>
      <c r="AB86" s="32">
        <v>35.794562999999997</v>
      </c>
      <c r="AC86" s="32">
        <v>35.545292000000003</v>
      </c>
      <c r="AD86" s="32">
        <v>35.392963000000002</v>
      </c>
      <c r="AE86" s="32">
        <v>35.216228000000001</v>
      </c>
      <c r="AF86" s="32">
        <v>35.000919000000003</v>
      </c>
      <c r="AG86" s="32">
        <v>34.834918999999999</v>
      </c>
      <c r="AH86" s="32">
        <v>34.656410000000001</v>
      </c>
      <c r="AI86" s="32">
        <v>34.435290999999999</v>
      </c>
      <c r="AJ86" s="36">
        <v>-4.0000000000000001E-3</v>
      </c>
    </row>
    <row r="87" spans="1:36">
      <c r="A87" s="113" t="s">
        <v>315</v>
      </c>
      <c r="B87" s="113"/>
      <c r="C87" s="113" t="s">
        <v>1029</v>
      </c>
      <c r="D87" s="113"/>
      <c r="U87" s="38"/>
    </row>
    <row r="88" spans="1:36">
      <c r="A88" s="113" t="s">
        <v>305</v>
      </c>
      <c r="B88" s="113" t="s">
        <v>1030</v>
      </c>
      <c r="C88" s="113" t="s">
        <v>1031</v>
      </c>
      <c r="D88" s="113" t="s">
        <v>977</v>
      </c>
      <c r="F88" s="32">
        <v>21.714523</v>
      </c>
      <c r="G88" s="32">
        <v>22.029548999999999</v>
      </c>
      <c r="H88" s="32">
        <v>20.393699999999999</v>
      </c>
      <c r="I88" s="32">
        <v>20.867688999999999</v>
      </c>
      <c r="J88" s="32">
        <v>20.202636999999999</v>
      </c>
      <c r="K88" s="32">
        <v>19.562002</v>
      </c>
      <c r="L88" s="32">
        <v>19.092382000000001</v>
      </c>
      <c r="M88" s="32">
        <v>19.301582</v>
      </c>
      <c r="N88" s="32">
        <v>19.443417</v>
      </c>
      <c r="O88" s="32">
        <v>19.453869000000001</v>
      </c>
      <c r="P88" s="32">
        <v>19.642158999999999</v>
      </c>
      <c r="Q88" s="32">
        <v>19.773769000000001</v>
      </c>
      <c r="R88" s="32">
        <v>19.813597000000001</v>
      </c>
      <c r="S88" s="32">
        <v>19.936793999999999</v>
      </c>
      <c r="T88" s="32">
        <v>20.035036000000002</v>
      </c>
      <c r="U88" s="38">
        <v>20.220749000000001</v>
      </c>
      <c r="V88" s="32">
        <v>20.427848999999998</v>
      </c>
      <c r="W88" s="32">
        <v>20.527849</v>
      </c>
      <c r="X88" s="32">
        <v>20.595680000000002</v>
      </c>
      <c r="Y88" s="32">
        <v>20.811686999999999</v>
      </c>
      <c r="Z88" s="32">
        <v>20.901893999999999</v>
      </c>
      <c r="AA88" s="32">
        <v>20.937833999999999</v>
      </c>
      <c r="AB88" s="32">
        <v>21.170185</v>
      </c>
      <c r="AC88" s="32">
        <v>21.440045999999999</v>
      </c>
      <c r="AD88" s="32">
        <v>21.542753000000001</v>
      </c>
      <c r="AE88" s="32">
        <v>21.783722000000001</v>
      </c>
      <c r="AF88" s="32">
        <v>21.850812999999999</v>
      </c>
      <c r="AG88" s="32">
        <v>21.798199</v>
      </c>
      <c r="AH88" s="32">
        <v>21.791779999999999</v>
      </c>
      <c r="AI88" s="32">
        <v>21.736654000000001</v>
      </c>
      <c r="AJ88" s="36">
        <v>0</v>
      </c>
    </row>
    <row r="89" spans="1:36">
      <c r="A89" s="113" t="s">
        <v>307</v>
      </c>
      <c r="B89" s="113" t="s">
        <v>1032</v>
      </c>
      <c r="C89" s="113" t="s">
        <v>1033</v>
      </c>
      <c r="D89" s="113" t="s">
        <v>977</v>
      </c>
      <c r="F89" s="32">
        <v>12.984576000000001</v>
      </c>
      <c r="G89" s="32">
        <v>13.337785999999999</v>
      </c>
      <c r="H89" s="32">
        <v>12.811491</v>
      </c>
      <c r="I89" s="32">
        <v>13.728472</v>
      </c>
      <c r="J89" s="32">
        <v>13.927019</v>
      </c>
      <c r="K89" s="32">
        <v>14.103992999999999</v>
      </c>
      <c r="L89" s="32">
        <v>14.525732</v>
      </c>
      <c r="M89" s="32">
        <v>14.690011999999999</v>
      </c>
      <c r="N89" s="32">
        <v>14.787516999999999</v>
      </c>
      <c r="O89" s="32">
        <v>14.878964</v>
      </c>
      <c r="P89" s="32">
        <v>15.159939</v>
      </c>
      <c r="Q89" s="32">
        <v>15.253017</v>
      </c>
      <c r="R89" s="32">
        <v>15.388532</v>
      </c>
      <c r="S89" s="32">
        <v>15.414999999999999</v>
      </c>
      <c r="T89" s="32">
        <v>15.454447</v>
      </c>
      <c r="U89" s="38">
        <v>15.436389999999999</v>
      </c>
      <c r="V89" s="32">
        <v>15.483134</v>
      </c>
      <c r="W89" s="32">
        <v>15.653063</v>
      </c>
      <c r="X89" s="32">
        <v>15.636279999999999</v>
      </c>
      <c r="Y89" s="32">
        <v>15.853301999999999</v>
      </c>
      <c r="Z89" s="32">
        <v>15.891152</v>
      </c>
      <c r="AA89" s="32">
        <v>15.835259000000001</v>
      </c>
      <c r="AB89" s="32">
        <v>15.973077</v>
      </c>
      <c r="AC89" s="32">
        <v>15.984838</v>
      </c>
      <c r="AD89" s="32">
        <v>15.80189</v>
      </c>
      <c r="AE89" s="32">
        <v>16.025043</v>
      </c>
      <c r="AF89" s="32">
        <v>16.110765000000001</v>
      </c>
      <c r="AG89" s="32">
        <v>16.149094000000002</v>
      </c>
      <c r="AH89" s="32">
        <v>16.205715000000001</v>
      </c>
      <c r="AI89" s="32">
        <v>16.200251000000002</v>
      </c>
      <c r="AJ89" s="36">
        <v>8.0000000000000002E-3</v>
      </c>
    </row>
    <row r="90" spans="1:36">
      <c r="A90" s="113" t="s">
        <v>97</v>
      </c>
      <c r="B90" s="113" t="s">
        <v>1034</v>
      </c>
      <c r="C90" s="113" t="s">
        <v>1035</v>
      </c>
      <c r="D90" s="113" t="s">
        <v>977</v>
      </c>
      <c r="F90" s="32">
        <v>5.1494070000000001</v>
      </c>
      <c r="G90" s="32">
        <v>4.0411320000000002</v>
      </c>
      <c r="H90" s="32">
        <v>3.783547</v>
      </c>
      <c r="I90" s="32">
        <v>3.4843410000000001</v>
      </c>
      <c r="J90" s="32">
        <v>3.3148629999999999</v>
      </c>
      <c r="K90" s="32">
        <v>3.3110569999999999</v>
      </c>
      <c r="L90" s="32">
        <v>3.400471</v>
      </c>
      <c r="M90" s="32">
        <v>3.548705</v>
      </c>
      <c r="N90" s="32">
        <v>3.6346630000000002</v>
      </c>
      <c r="O90" s="32">
        <v>3.7118850000000001</v>
      </c>
      <c r="P90" s="32">
        <v>3.7625479999999998</v>
      </c>
      <c r="Q90" s="32">
        <v>3.7835869999999998</v>
      </c>
      <c r="R90" s="32">
        <v>3.8389470000000001</v>
      </c>
      <c r="S90" s="32">
        <v>3.8102140000000002</v>
      </c>
      <c r="T90" s="32">
        <v>3.7801149999999999</v>
      </c>
      <c r="U90" s="38">
        <v>3.7725360000000001</v>
      </c>
      <c r="V90" s="32">
        <v>3.775531</v>
      </c>
      <c r="W90" s="32">
        <v>3.7908330000000001</v>
      </c>
      <c r="X90" s="32">
        <v>3.7889400000000002</v>
      </c>
      <c r="Y90" s="32">
        <v>3.8212259999999998</v>
      </c>
      <c r="Z90" s="32">
        <v>3.8161139999999998</v>
      </c>
      <c r="AA90" s="32">
        <v>3.7945639999999998</v>
      </c>
      <c r="AB90" s="32">
        <v>3.7847629999999999</v>
      </c>
      <c r="AC90" s="32">
        <v>3.735687</v>
      </c>
      <c r="AD90" s="32">
        <v>3.7222209999999998</v>
      </c>
      <c r="AE90" s="32">
        <v>3.7168420000000002</v>
      </c>
      <c r="AF90" s="32">
        <v>3.705883</v>
      </c>
      <c r="AG90" s="32">
        <v>3.7200259999999998</v>
      </c>
      <c r="AH90" s="32">
        <v>3.7006960000000002</v>
      </c>
      <c r="AI90" s="32">
        <v>3.6917529999999998</v>
      </c>
      <c r="AJ90" s="36">
        <v>-1.0999999999999999E-2</v>
      </c>
    </row>
    <row r="91" spans="1:36">
      <c r="A91" s="113" t="s">
        <v>316</v>
      </c>
      <c r="B91" s="113" t="s">
        <v>1036</v>
      </c>
      <c r="C91" s="113" t="s">
        <v>1037</v>
      </c>
      <c r="D91" s="113" t="s">
        <v>977</v>
      </c>
      <c r="F91" s="32">
        <v>2.0572599999999999</v>
      </c>
      <c r="G91" s="32">
        <v>2.0293739999999998</v>
      </c>
      <c r="H91" s="32">
        <v>2.0121959999999999</v>
      </c>
      <c r="I91" s="32">
        <v>2.0112969999999999</v>
      </c>
      <c r="J91" s="32">
        <v>1.9617370000000001</v>
      </c>
      <c r="K91" s="32">
        <v>1.929316</v>
      </c>
      <c r="L91" s="32">
        <v>1.9278979999999999</v>
      </c>
      <c r="M91" s="32">
        <v>1.917705</v>
      </c>
      <c r="N91" s="32">
        <v>1.9249259999999999</v>
      </c>
      <c r="O91" s="32">
        <v>1.922045</v>
      </c>
      <c r="P91" s="32">
        <v>1.9208000000000001</v>
      </c>
      <c r="Q91" s="32">
        <v>1.9096329999999999</v>
      </c>
      <c r="R91" s="32">
        <v>1.9061250000000001</v>
      </c>
      <c r="S91" s="32">
        <v>1.8992119999999999</v>
      </c>
      <c r="T91" s="32">
        <v>1.885572</v>
      </c>
      <c r="U91" s="38">
        <v>1.8703419999999999</v>
      </c>
      <c r="V91" s="32">
        <v>1.8671580000000001</v>
      </c>
      <c r="W91" s="32">
        <v>1.866484</v>
      </c>
      <c r="X91" s="32">
        <v>1.863837</v>
      </c>
      <c r="Y91" s="32">
        <v>1.8688180000000001</v>
      </c>
      <c r="Z91" s="32">
        <v>1.8646560000000001</v>
      </c>
      <c r="AA91" s="32">
        <v>1.8539509999999999</v>
      </c>
      <c r="AB91" s="32">
        <v>1.842649</v>
      </c>
      <c r="AC91" s="32">
        <v>1.8373619999999999</v>
      </c>
      <c r="AD91" s="32">
        <v>1.8342890000000001</v>
      </c>
      <c r="AE91" s="32">
        <v>1.8314589999999999</v>
      </c>
      <c r="AF91" s="32">
        <v>1.825958</v>
      </c>
      <c r="AG91" s="32">
        <v>1.81735</v>
      </c>
      <c r="AH91" s="32">
        <v>1.8186709999999999</v>
      </c>
      <c r="AI91" s="32">
        <v>1.8159609999999999</v>
      </c>
      <c r="AJ91" s="36">
        <v>-4.0000000000000001E-3</v>
      </c>
    </row>
    <row r="92" spans="1:36">
      <c r="A92" s="113" t="s">
        <v>317</v>
      </c>
      <c r="B92" s="113" t="s">
        <v>1038</v>
      </c>
      <c r="C92" s="113" t="s">
        <v>1039</v>
      </c>
      <c r="D92" s="113" t="s">
        <v>977</v>
      </c>
      <c r="F92" s="32">
        <v>0.71666399999999997</v>
      </c>
      <c r="G92" s="32">
        <v>0.71771300000000005</v>
      </c>
      <c r="H92" s="32">
        <v>0.71981200000000001</v>
      </c>
      <c r="I92" s="32">
        <v>0.72086099999999997</v>
      </c>
      <c r="J92" s="32">
        <v>0.72295900000000002</v>
      </c>
      <c r="K92" s="32">
        <v>0.72400900000000001</v>
      </c>
      <c r="L92" s="32">
        <v>0.72610699999999995</v>
      </c>
      <c r="M92" s="32">
        <v>0.72715600000000002</v>
      </c>
      <c r="N92" s="32">
        <v>0.72925499999999999</v>
      </c>
      <c r="O92" s="32">
        <v>0.73135399999999995</v>
      </c>
      <c r="P92" s="32">
        <v>0.73240300000000003</v>
      </c>
      <c r="Q92" s="32">
        <v>0.73450199999999999</v>
      </c>
      <c r="R92" s="32">
        <v>0.73660000000000003</v>
      </c>
      <c r="S92" s="32">
        <v>0.737649</v>
      </c>
      <c r="T92" s="32">
        <v>0.73974799999999996</v>
      </c>
      <c r="U92" s="38">
        <v>0.74184700000000003</v>
      </c>
      <c r="V92" s="32">
        <v>0.742896</v>
      </c>
      <c r="W92" s="32">
        <v>0.74499400000000005</v>
      </c>
      <c r="X92" s="32">
        <v>0.74709300000000001</v>
      </c>
      <c r="Y92" s="32">
        <v>0.74919199999999997</v>
      </c>
      <c r="Z92" s="32">
        <v>0.75129000000000001</v>
      </c>
      <c r="AA92" s="32">
        <v>0.75338899999999998</v>
      </c>
      <c r="AB92" s="32">
        <v>0.75548700000000002</v>
      </c>
      <c r="AC92" s="32">
        <v>0.75758599999999998</v>
      </c>
      <c r="AD92" s="32">
        <v>0.75968500000000005</v>
      </c>
      <c r="AE92" s="32">
        <v>0.76178299999999999</v>
      </c>
      <c r="AF92" s="32">
        <v>0.76388199999999995</v>
      </c>
      <c r="AG92" s="32">
        <v>0.76597999999999999</v>
      </c>
      <c r="AH92" s="32">
        <v>0.76807899999999996</v>
      </c>
      <c r="AI92" s="32">
        <v>0.770177</v>
      </c>
      <c r="AJ92" s="36">
        <v>2E-3</v>
      </c>
    </row>
    <row r="93" spans="1:36">
      <c r="A93" s="113" t="s">
        <v>318</v>
      </c>
      <c r="B93" s="113"/>
      <c r="C93" s="113" t="s">
        <v>1040</v>
      </c>
      <c r="D93" s="113"/>
      <c r="U93" s="38"/>
    </row>
    <row r="94" spans="1:36">
      <c r="A94" s="113" t="s">
        <v>304</v>
      </c>
      <c r="B94" s="113" t="s">
        <v>1041</v>
      </c>
      <c r="C94" s="113" t="s">
        <v>1042</v>
      </c>
      <c r="D94" s="113" t="s">
        <v>977</v>
      </c>
      <c r="F94" s="32">
        <v>19.489792000000001</v>
      </c>
      <c r="G94" s="32">
        <v>21.36636</v>
      </c>
      <c r="H94" s="32">
        <v>20.184145000000001</v>
      </c>
      <c r="I94" s="32">
        <v>20.182981000000002</v>
      </c>
      <c r="J94" s="32">
        <v>20.087688</v>
      </c>
      <c r="K94" s="32">
        <v>20.182606</v>
      </c>
      <c r="L94" s="32">
        <v>20.510725000000001</v>
      </c>
      <c r="M94" s="32">
        <v>21.026033000000002</v>
      </c>
      <c r="N94" s="32">
        <v>21.443745</v>
      </c>
      <c r="O94" s="32">
        <v>21.877507999999999</v>
      </c>
      <c r="P94" s="32">
        <v>22.448640999999999</v>
      </c>
      <c r="Q94" s="32">
        <v>22.788582000000002</v>
      </c>
      <c r="R94" s="32">
        <v>23.136620000000001</v>
      </c>
      <c r="S94" s="32">
        <v>23.364117</v>
      </c>
      <c r="T94" s="32">
        <v>23.525117999999999</v>
      </c>
      <c r="U94" s="38">
        <v>23.697454</v>
      </c>
      <c r="V94" s="32">
        <v>23.896296</v>
      </c>
      <c r="W94" s="32">
        <v>24.085888000000001</v>
      </c>
      <c r="X94" s="32">
        <v>24.200586000000001</v>
      </c>
      <c r="Y94" s="32">
        <v>24.469367999999999</v>
      </c>
      <c r="Z94" s="32">
        <v>24.667314999999999</v>
      </c>
      <c r="AA94" s="32">
        <v>24.729513000000001</v>
      </c>
      <c r="AB94" s="32">
        <v>24.899708</v>
      </c>
      <c r="AC94" s="32">
        <v>25.111927000000001</v>
      </c>
      <c r="AD94" s="32">
        <v>25.181571999999999</v>
      </c>
      <c r="AE94" s="32">
        <v>25.289482</v>
      </c>
      <c r="AF94" s="32">
        <v>25.368734</v>
      </c>
      <c r="AG94" s="32">
        <v>25.412814999999998</v>
      </c>
      <c r="AH94" s="32">
        <v>25.399014999999999</v>
      </c>
      <c r="AI94" s="32">
        <v>25.367135999999999</v>
      </c>
      <c r="AJ94" s="36">
        <v>8.9999999999999993E-3</v>
      </c>
    </row>
    <row r="95" spans="1:36">
      <c r="A95" s="113" t="s">
        <v>312</v>
      </c>
      <c r="B95" s="113" t="s">
        <v>1043</v>
      </c>
      <c r="C95" s="113" t="s">
        <v>1044</v>
      </c>
      <c r="D95" s="113" t="s">
        <v>977</v>
      </c>
      <c r="F95" s="32">
        <v>25.695416999999999</v>
      </c>
      <c r="G95" s="32">
        <v>25.688790999999998</v>
      </c>
      <c r="H95" s="32">
        <v>25.836414000000001</v>
      </c>
      <c r="I95" s="32">
        <v>25.612317999999998</v>
      </c>
      <c r="J95" s="32">
        <v>25.306771999999999</v>
      </c>
      <c r="K95" s="32">
        <v>25.590133999999999</v>
      </c>
      <c r="L95" s="32">
        <v>25.919636000000001</v>
      </c>
      <c r="M95" s="32">
        <v>26.238963999999999</v>
      </c>
      <c r="N95" s="32">
        <v>26.470624999999998</v>
      </c>
      <c r="O95" s="32">
        <v>27.160715</v>
      </c>
      <c r="P95" s="32">
        <v>27.897373000000002</v>
      </c>
      <c r="Q95" s="32">
        <v>28.258593000000001</v>
      </c>
      <c r="R95" s="32">
        <v>28.425256999999998</v>
      </c>
      <c r="S95" s="32">
        <v>28.903063</v>
      </c>
      <c r="T95" s="32">
        <v>29.074985999999999</v>
      </c>
      <c r="U95" s="38">
        <v>29.116539</v>
      </c>
      <c r="V95" s="32">
        <v>29.250895</v>
      </c>
      <c r="W95" s="32">
        <v>29.627222</v>
      </c>
      <c r="X95" s="32">
        <v>29.616657</v>
      </c>
      <c r="Y95" s="32">
        <v>29.849672000000002</v>
      </c>
      <c r="Z95" s="32">
        <v>30.063628999999999</v>
      </c>
      <c r="AA95" s="32">
        <v>30.083044000000001</v>
      </c>
      <c r="AB95" s="32">
        <v>30.376201999999999</v>
      </c>
      <c r="AC95" s="32">
        <v>30.671841000000001</v>
      </c>
      <c r="AD95" s="32">
        <v>30.775278</v>
      </c>
      <c r="AE95" s="32">
        <v>31.038913999999998</v>
      </c>
      <c r="AF95" s="32">
        <v>31.145315</v>
      </c>
      <c r="AG95" s="32">
        <v>31.068113</v>
      </c>
      <c r="AH95" s="32">
        <v>31.098154000000001</v>
      </c>
      <c r="AI95" s="32">
        <v>31.095053</v>
      </c>
      <c r="AJ95" s="36">
        <v>7.0000000000000001E-3</v>
      </c>
    </row>
    <row r="96" spans="1:36">
      <c r="A96" s="113" t="s">
        <v>313</v>
      </c>
      <c r="B96" s="113" t="s">
        <v>1045</v>
      </c>
      <c r="C96" s="113" t="s">
        <v>1046</v>
      </c>
      <c r="D96" s="113" t="s">
        <v>977</v>
      </c>
      <c r="F96" s="32">
        <v>25.834620999999999</v>
      </c>
      <c r="G96" s="32">
        <v>24.776544999999999</v>
      </c>
      <c r="H96" s="32">
        <v>22.199932</v>
      </c>
      <c r="I96" s="32">
        <v>22.064896000000001</v>
      </c>
      <c r="J96" s="32">
        <v>21.840273</v>
      </c>
      <c r="K96" s="32">
        <v>22.060036</v>
      </c>
      <c r="L96" s="32">
        <v>22.308724999999999</v>
      </c>
      <c r="M96" s="32">
        <v>22.549913</v>
      </c>
      <c r="N96" s="32">
        <v>22.719190999999999</v>
      </c>
      <c r="O96" s="32">
        <v>23.280369</v>
      </c>
      <c r="P96" s="32">
        <v>24.023266</v>
      </c>
      <c r="Q96" s="32">
        <v>24.267046000000001</v>
      </c>
      <c r="R96" s="32">
        <v>24.467766000000001</v>
      </c>
      <c r="S96" s="32">
        <v>24.657395999999999</v>
      </c>
      <c r="T96" s="32">
        <v>24.750312999999998</v>
      </c>
      <c r="U96" s="38">
        <v>24.926252000000002</v>
      </c>
      <c r="V96" s="32">
        <v>25.082512000000001</v>
      </c>
      <c r="W96" s="32">
        <v>25.357668</v>
      </c>
      <c r="X96" s="32">
        <v>25.371229</v>
      </c>
      <c r="Y96" s="32">
        <v>25.570549</v>
      </c>
      <c r="Z96" s="32">
        <v>25.732664</v>
      </c>
      <c r="AA96" s="32">
        <v>25.773809</v>
      </c>
      <c r="AB96" s="32">
        <v>26.029688</v>
      </c>
      <c r="AC96" s="32">
        <v>26.275835000000001</v>
      </c>
      <c r="AD96" s="32">
        <v>26.360220000000002</v>
      </c>
      <c r="AE96" s="32">
        <v>26.571331000000001</v>
      </c>
      <c r="AF96" s="32">
        <v>26.653278</v>
      </c>
      <c r="AG96" s="32">
        <v>26.581778</v>
      </c>
      <c r="AH96" s="32">
        <v>26.597584000000001</v>
      </c>
      <c r="AI96" s="32">
        <v>26.592563999999999</v>
      </c>
      <c r="AJ96" s="36">
        <v>1E-3</v>
      </c>
    </row>
    <row r="97" spans="1:36">
      <c r="A97" s="113" t="s">
        <v>95</v>
      </c>
      <c r="B97" s="113" t="s">
        <v>1047</v>
      </c>
      <c r="C97" s="113" t="s">
        <v>1048</v>
      </c>
      <c r="D97" s="113" t="s">
        <v>977</v>
      </c>
      <c r="F97" s="32">
        <v>14.697266000000001</v>
      </c>
      <c r="G97" s="32">
        <v>15.363607</v>
      </c>
      <c r="H97" s="32">
        <v>14.341670000000001</v>
      </c>
      <c r="I97" s="32">
        <v>15.514149</v>
      </c>
      <c r="J97" s="32">
        <v>15.575315</v>
      </c>
      <c r="K97" s="32">
        <v>15.722424999999999</v>
      </c>
      <c r="L97" s="32">
        <v>16.00432</v>
      </c>
      <c r="M97" s="32">
        <v>16.282055</v>
      </c>
      <c r="N97" s="32">
        <v>16.451191000000001</v>
      </c>
      <c r="O97" s="32">
        <v>16.394136</v>
      </c>
      <c r="P97" s="32">
        <v>16.879512999999999</v>
      </c>
      <c r="Q97" s="32">
        <v>17.063628999999999</v>
      </c>
      <c r="R97" s="32">
        <v>17.174807000000001</v>
      </c>
      <c r="S97" s="32">
        <v>17.343786000000001</v>
      </c>
      <c r="T97" s="32">
        <v>17.456037999999999</v>
      </c>
      <c r="U97" s="38">
        <v>17.653061000000001</v>
      </c>
      <c r="V97" s="32">
        <v>17.909936999999999</v>
      </c>
      <c r="W97" s="32">
        <v>18.089289000000001</v>
      </c>
      <c r="X97" s="32">
        <v>18.193235000000001</v>
      </c>
      <c r="Y97" s="32">
        <v>18.380554</v>
      </c>
      <c r="Z97" s="32">
        <v>18.522734</v>
      </c>
      <c r="AA97" s="32">
        <v>18.563686000000001</v>
      </c>
      <c r="AB97" s="32">
        <v>18.855331</v>
      </c>
      <c r="AC97" s="32">
        <v>19.166589999999999</v>
      </c>
      <c r="AD97" s="32">
        <v>19.275404000000002</v>
      </c>
      <c r="AE97" s="32">
        <v>19.484832999999998</v>
      </c>
      <c r="AF97" s="32">
        <v>19.576267000000001</v>
      </c>
      <c r="AG97" s="32">
        <v>19.548249999999999</v>
      </c>
      <c r="AH97" s="32">
        <v>19.589796</v>
      </c>
      <c r="AI97" s="32">
        <v>19.531642999999999</v>
      </c>
      <c r="AJ97" s="36">
        <v>0.01</v>
      </c>
    </row>
    <row r="98" spans="1:36">
      <c r="A98" s="113" t="s">
        <v>305</v>
      </c>
      <c r="B98" s="113" t="s">
        <v>1049</v>
      </c>
      <c r="C98" s="113" t="s">
        <v>1050</v>
      </c>
      <c r="D98" s="113" t="s">
        <v>977</v>
      </c>
      <c r="F98" s="32">
        <v>23.239584000000001</v>
      </c>
      <c r="G98" s="32">
        <v>22.618776</v>
      </c>
      <c r="H98" s="32">
        <v>21.724851999999998</v>
      </c>
      <c r="I98" s="32">
        <v>22.45797</v>
      </c>
      <c r="J98" s="32">
        <v>22.346981</v>
      </c>
      <c r="K98" s="32">
        <v>22.246079999999999</v>
      </c>
      <c r="L98" s="32">
        <v>22.233903999999999</v>
      </c>
      <c r="M98" s="32">
        <v>22.414711</v>
      </c>
      <c r="N98" s="32">
        <v>22.533940999999999</v>
      </c>
      <c r="O98" s="32">
        <v>22.493901999999999</v>
      </c>
      <c r="P98" s="32">
        <v>23.023235</v>
      </c>
      <c r="Q98" s="32">
        <v>23.113571</v>
      </c>
      <c r="R98" s="32">
        <v>23.226931</v>
      </c>
      <c r="S98" s="32">
        <v>23.261092999999999</v>
      </c>
      <c r="T98" s="32">
        <v>23.353107000000001</v>
      </c>
      <c r="U98" s="38">
        <v>23.519269999999999</v>
      </c>
      <c r="V98" s="32">
        <v>23.735455999999999</v>
      </c>
      <c r="W98" s="32">
        <v>23.863802</v>
      </c>
      <c r="X98" s="32">
        <v>23.935444</v>
      </c>
      <c r="Y98" s="32">
        <v>24.133272000000002</v>
      </c>
      <c r="Z98" s="32">
        <v>24.240326</v>
      </c>
      <c r="AA98" s="32">
        <v>24.252690999999999</v>
      </c>
      <c r="AB98" s="32">
        <v>24.508665000000001</v>
      </c>
      <c r="AC98" s="32">
        <v>24.784458000000001</v>
      </c>
      <c r="AD98" s="32">
        <v>24.889831999999998</v>
      </c>
      <c r="AE98" s="32">
        <v>25.070591</v>
      </c>
      <c r="AF98" s="32">
        <v>25.118781999999999</v>
      </c>
      <c r="AG98" s="32">
        <v>25.066670999999999</v>
      </c>
      <c r="AH98" s="32">
        <v>25.041691</v>
      </c>
      <c r="AI98" s="32">
        <v>24.965906</v>
      </c>
      <c r="AJ98" s="36">
        <v>2E-3</v>
      </c>
    </row>
    <row r="99" spans="1:36">
      <c r="A99" s="113" t="s">
        <v>307</v>
      </c>
      <c r="B99" s="113" t="s">
        <v>1051</v>
      </c>
      <c r="C99" s="113" t="s">
        <v>1052</v>
      </c>
      <c r="D99" s="113" t="s">
        <v>977</v>
      </c>
      <c r="F99" s="32">
        <v>12.013578000000001</v>
      </c>
      <c r="G99" s="32">
        <v>10.458709000000001</v>
      </c>
      <c r="H99" s="32">
        <v>12.578842</v>
      </c>
      <c r="I99" s="32">
        <v>13.528700000000001</v>
      </c>
      <c r="J99" s="32">
        <v>13.737606</v>
      </c>
      <c r="K99" s="32">
        <v>13.942602000000001</v>
      </c>
      <c r="L99" s="32">
        <v>14.329307999999999</v>
      </c>
      <c r="M99" s="32">
        <v>14.504764</v>
      </c>
      <c r="N99" s="32">
        <v>14.602103</v>
      </c>
      <c r="O99" s="32">
        <v>14.71898</v>
      </c>
      <c r="P99" s="32">
        <v>14.945432</v>
      </c>
      <c r="Q99" s="32">
        <v>15.051952999999999</v>
      </c>
      <c r="R99" s="32">
        <v>15.178535</v>
      </c>
      <c r="S99" s="32">
        <v>15.191147000000001</v>
      </c>
      <c r="T99" s="32">
        <v>15.223546000000001</v>
      </c>
      <c r="U99" s="38">
        <v>15.203552999999999</v>
      </c>
      <c r="V99" s="32">
        <v>15.229247000000001</v>
      </c>
      <c r="W99" s="32">
        <v>15.418616</v>
      </c>
      <c r="X99" s="32">
        <v>15.357547</v>
      </c>
      <c r="Y99" s="32">
        <v>15.693584</v>
      </c>
      <c r="Z99" s="32">
        <v>15.821681</v>
      </c>
      <c r="AA99" s="32">
        <v>15.904107</v>
      </c>
      <c r="AB99" s="32">
        <v>16.207706000000002</v>
      </c>
      <c r="AC99" s="32">
        <v>16.420985999999999</v>
      </c>
      <c r="AD99" s="32">
        <v>16.507034000000001</v>
      </c>
      <c r="AE99" s="32">
        <v>16.658756</v>
      </c>
      <c r="AF99" s="32">
        <v>16.714941</v>
      </c>
      <c r="AG99" s="32">
        <v>16.686305999999998</v>
      </c>
      <c r="AH99" s="32">
        <v>16.718962000000001</v>
      </c>
      <c r="AI99" s="32">
        <v>16.678758999999999</v>
      </c>
      <c r="AJ99" s="36">
        <v>1.0999999999999999E-2</v>
      </c>
    </row>
    <row r="100" spans="1:36">
      <c r="A100" s="113" t="s">
        <v>97</v>
      </c>
      <c r="B100" s="113" t="s">
        <v>1053</v>
      </c>
      <c r="C100" s="113" t="s">
        <v>1054</v>
      </c>
      <c r="D100" s="113" t="s">
        <v>977</v>
      </c>
      <c r="F100" s="32">
        <v>6.7148839999999996</v>
      </c>
      <c r="G100" s="32">
        <v>6.3616609999999998</v>
      </c>
      <c r="H100" s="32">
        <v>6.000756</v>
      </c>
      <c r="I100" s="32">
        <v>5.6632259999999999</v>
      </c>
      <c r="J100" s="32">
        <v>5.5072910000000004</v>
      </c>
      <c r="K100" s="32">
        <v>5.4740000000000002</v>
      </c>
      <c r="L100" s="32">
        <v>5.5297869999999998</v>
      </c>
      <c r="M100" s="32">
        <v>5.6556819999999997</v>
      </c>
      <c r="N100" s="32">
        <v>5.7914450000000004</v>
      </c>
      <c r="O100" s="32">
        <v>5.8820180000000004</v>
      </c>
      <c r="P100" s="32">
        <v>6.022627</v>
      </c>
      <c r="Q100" s="32">
        <v>6.0423989999999996</v>
      </c>
      <c r="R100" s="32">
        <v>6.1256589999999997</v>
      </c>
      <c r="S100" s="32">
        <v>6.123901</v>
      </c>
      <c r="T100" s="32">
        <v>6.1005599999999998</v>
      </c>
      <c r="U100" s="38">
        <v>6.0980410000000003</v>
      </c>
      <c r="V100" s="32">
        <v>6.1061490000000003</v>
      </c>
      <c r="W100" s="32">
        <v>6.1079420000000004</v>
      </c>
      <c r="X100" s="32">
        <v>6.1093590000000004</v>
      </c>
      <c r="Y100" s="32">
        <v>6.1226830000000003</v>
      </c>
      <c r="Z100" s="32">
        <v>6.1126810000000003</v>
      </c>
      <c r="AA100" s="32">
        <v>6.082541</v>
      </c>
      <c r="AB100" s="32">
        <v>6.0692680000000001</v>
      </c>
      <c r="AC100" s="32">
        <v>6.0138239999999996</v>
      </c>
      <c r="AD100" s="32">
        <v>5.9953089999999998</v>
      </c>
      <c r="AE100" s="32">
        <v>5.9838760000000004</v>
      </c>
      <c r="AF100" s="32">
        <v>5.9731480000000001</v>
      </c>
      <c r="AG100" s="32">
        <v>5.9684460000000001</v>
      </c>
      <c r="AH100" s="32">
        <v>5.9573970000000003</v>
      </c>
      <c r="AI100" s="32">
        <v>5.9414009999999999</v>
      </c>
      <c r="AJ100" s="36">
        <v>-4.0000000000000001E-3</v>
      </c>
    </row>
    <row r="101" spans="1:36">
      <c r="A101" s="113" t="s">
        <v>309</v>
      </c>
      <c r="B101" s="113" t="s">
        <v>1055</v>
      </c>
      <c r="C101" s="113" t="s">
        <v>1056</v>
      </c>
      <c r="D101" s="113" t="s">
        <v>977</v>
      </c>
      <c r="F101" s="32">
        <v>3.9200170000000001</v>
      </c>
      <c r="G101" s="32">
        <v>3.520448</v>
      </c>
      <c r="H101" s="32">
        <v>3.3495240000000002</v>
      </c>
      <c r="I101" s="32">
        <v>3.1881349999999999</v>
      </c>
      <c r="J101" s="32">
        <v>3.096409</v>
      </c>
      <c r="K101" s="32">
        <v>3.03288</v>
      </c>
      <c r="L101" s="32">
        <v>3.0056090000000002</v>
      </c>
      <c r="M101" s="32">
        <v>3.0067390000000001</v>
      </c>
      <c r="N101" s="32">
        <v>3.0179010000000002</v>
      </c>
      <c r="O101" s="32">
        <v>3.0464850000000001</v>
      </c>
      <c r="P101" s="32">
        <v>3.0680510000000001</v>
      </c>
      <c r="Q101" s="32">
        <v>3.100158</v>
      </c>
      <c r="R101" s="32">
        <v>3.1251690000000001</v>
      </c>
      <c r="S101" s="32">
        <v>3.1477789999999999</v>
      </c>
      <c r="T101" s="32">
        <v>3.1733889999999998</v>
      </c>
      <c r="U101" s="38">
        <v>3.20092</v>
      </c>
      <c r="V101" s="32">
        <v>3.2328570000000001</v>
      </c>
      <c r="W101" s="32">
        <v>3.2593830000000001</v>
      </c>
      <c r="X101" s="32">
        <v>3.2843460000000002</v>
      </c>
      <c r="Y101" s="32">
        <v>3.312316</v>
      </c>
      <c r="Z101" s="32">
        <v>3.3372099999999998</v>
      </c>
      <c r="AA101" s="32">
        <v>3.3597380000000001</v>
      </c>
      <c r="AB101" s="32">
        <v>3.3827820000000002</v>
      </c>
      <c r="AC101" s="32">
        <v>3.4101669999999999</v>
      </c>
      <c r="AD101" s="32">
        <v>3.4379360000000001</v>
      </c>
      <c r="AE101" s="32">
        <v>3.4673980000000002</v>
      </c>
      <c r="AF101" s="32">
        <v>3.493941</v>
      </c>
      <c r="AG101" s="32">
        <v>3.5140889999999998</v>
      </c>
      <c r="AH101" s="32">
        <v>3.5360510000000001</v>
      </c>
      <c r="AI101" s="32">
        <v>3.5649459999999999</v>
      </c>
      <c r="AJ101" s="32">
        <v>-3.0000000000000001E-3</v>
      </c>
    </row>
    <row r="102" spans="1:36">
      <c r="A102" s="113" t="s">
        <v>319</v>
      </c>
      <c r="B102" s="113" t="s">
        <v>1057</v>
      </c>
      <c r="C102" s="113" t="s">
        <v>1058</v>
      </c>
      <c r="D102" s="113" t="s">
        <v>977</v>
      </c>
      <c r="F102" s="32">
        <v>2.092638</v>
      </c>
      <c r="G102" s="32">
        <v>2.0673189999999999</v>
      </c>
      <c r="H102" s="32">
        <v>2.0517349999999999</v>
      </c>
      <c r="I102" s="32">
        <v>2.0577580000000002</v>
      </c>
      <c r="J102" s="32">
        <v>2.0127139999999999</v>
      </c>
      <c r="K102" s="32">
        <v>1.9825839999999999</v>
      </c>
      <c r="L102" s="32">
        <v>1.9810030000000001</v>
      </c>
      <c r="M102" s="32">
        <v>1.9720610000000001</v>
      </c>
      <c r="N102" s="32">
        <v>1.980461</v>
      </c>
      <c r="O102" s="32">
        <v>1.978699</v>
      </c>
      <c r="P102" s="32">
        <v>1.978445</v>
      </c>
      <c r="Q102" s="32">
        <v>1.969352</v>
      </c>
      <c r="R102" s="32">
        <v>1.9658679999999999</v>
      </c>
      <c r="S102" s="32">
        <v>1.962693</v>
      </c>
      <c r="T102" s="32">
        <v>1.9513499999999999</v>
      </c>
      <c r="U102" s="38">
        <v>1.9398960000000001</v>
      </c>
      <c r="V102" s="32">
        <v>1.9385600000000001</v>
      </c>
      <c r="W102" s="32">
        <v>1.939254</v>
      </c>
      <c r="X102" s="32">
        <v>1.9379090000000001</v>
      </c>
      <c r="Y102" s="32">
        <v>1.944985</v>
      </c>
      <c r="Z102" s="32">
        <v>1.9423820000000001</v>
      </c>
      <c r="AA102" s="32">
        <v>1.932901</v>
      </c>
      <c r="AB102" s="32">
        <v>1.9238360000000001</v>
      </c>
      <c r="AC102" s="32">
        <v>1.9204699999999999</v>
      </c>
      <c r="AD102" s="32">
        <v>1.918973</v>
      </c>
      <c r="AE102" s="32">
        <v>1.9170370000000001</v>
      </c>
      <c r="AF102" s="32">
        <v>1.9126369999999999</v>
      </c>
      <c r="AG102" s="32">
        <v>1.9049659999999999</v>
      </c>
      <c r="AH102" s="32">
        <v>1.906433</v>
      </c>
      <c r="AI102" s="32">
        <v>1.9040790000000001</v>
      </c>
      <c r="AJ102" s="36">
        <v>-3.0000000000000001E-3</v>
      </c>
    </row>
    <row r="103" spans="1:36">
      <c r="A103" s="113" t="s">
        <v>311</v>
      </c>
      <c r="B103" s="113" t="s">
        <v>1059</v>
      </c>
      <c r="C103" s="113" t="s">
        <v>1060</v>
      </c>
      <c r="D103" s="113" t="s">
        <v>977</v>
      </c>
      <c r="F103" s="32">
        <v>0</v>
      </c>
      <c r="G103" s="32">
        <v>0</v>
      </c>
      <c r="H103" s="32">
        <v>0</v>
      </c>
      <c r="I103" s="32">
        <v>0</v>
      </c>
      <c r="J103" s="32">
        <v>0</v>
      </c>
      <c r="K103" s="32">
        <v>0</v>
      </c>
      <c r="L103" s="32">
        <v>0</v>
      </c>
      <c r="M103" s="32">
        <v>0</v>
      </c>
      <c r="N103" s="32">
        <v>0</v>
      </c>
      <c r="O103" s="32">
        <v>0</v>
      </c>
      <c r="P103" s="32">
        <v>0</v>
      </c>
      <c r="Q103" s="32">
        <v>0</v>
      </c>
      <c r="R103" s="32">
        <v>0</v>
      </c>
      <c r="S103" s="32">
        <v>0</v>
      </c>
      <c r="T103" s="32">
        <v>0</v>
      </c>
      <c r="U103" s="38">
        <v>0</v>
      </c>
      <c r="V103" s="32">
        <v>0</v>
      </c>
      <c r="W103" s="32">
        <v>0</v>
      </c>
      <c r="X103" s="32">
        <v>0</v>
      </c>
      <c r="Y103" s="32">
        <v>0</v>
      </c>
      <c r="Z103" s="32">
        <v>0</v>
      </c>
      <c r="AA103" s="32">
        <v>0</v>
      </c>
      <c r="AB103" s="32">
        <v>0</v>
      </c>
      <c r="AC103" s="32">
        <v>0</v>
      </c>
      <c r="AD103" s="32">
        <v>0</v>
      </c>
      <c r="AE103" s="32">
        <v>0</v>
      </c>
      <c r="AF103" s="32">
        <v>0</v>
      </c>
      <c r="AG103" s="32">
        <v>0</v>
      </c>
      <c r="AH103" s="32">
        <v>0</v>
      </c>
      <c r="AI103" s="32">
        <v>0</v>
      </c>
      <c r="AJ103" s="32" t="s">
        <v>86</v>
      </c>
    </row>
    <row r="104" spans="1:36">
      <c r="A104" s="113" t="s">
        <v>130</v>
      </c>
      <c r="B104" s="113" t="s">
        <v>1061</v>
      </c>
      <c r="C104" s="113" t="s">
        <v>1062</v>
      </c>
      <c r="D104" s="113" t="s">
        <v>977</v>
      </c>
      <c r="F104" s="32">
        <v>32.461033</v>
      </c>
      <c r="G104" s="32">
        <v>32.266651000000003</v>
      </c>
      <c r="H104" s="32">
        <v>31.663857</v>
      </c>
      <c r="I104" s="32">
        <v>30.877979</v>
      </c>
      <c r="J104" s="32">
        <v>30.708071</v>
      </c>
      <c r="K104" s="32">
        <v>30.615227000000001</v>
      </c>
      <c r="L104" s="32">
        <v>30.680014</v>
      </c>
      <c r="M104" s="32">
        <v>30.793015</v>
      </c>
      <c r="N104" s="32">
        <v>30.882946</v>
      </c>
      <c r="O104" s="32">
        <v>30.928681999999998</v>
      </c>
      <c r="P104" s="32">
        <v>31.034051999999999</v>
      </c>
      <c r="Q104" s="32">
        <v>31.089554</v>
      </c>
      <c r="R104" s="32">
        <v>31.261178999999998</v>
      </c>
      <c r="S104" s="32">
        <v>31.367305999999999</v>
      </c>
      <c r="T104" s="32">
        <v>31.18111</v>
      </c>
      <c r="U104" s="38">
        <v>31.113538999999999</v>
      </c>
      <c r="V104" s="32">
        <v>30.950189999999999</v>
      </c>
      <c r="W104" s="32">
        <v>30.788084000000001</v>
      </c>
      <c r="X104" s="32">
        <v>30.798940999999999</v>
      </c>
      <c r="Y104" s="32">
        <v>30.779612</v>
      </c>
      <c r="Z104" s="32">
        <v>30.658608999999998</v>
      </c>
      <c r="AA104" s="32">
        <v>30.626740000000002</v>
      </c>
      <c r="AB104" s="32">
        <v>30.542953000000001</v>
      </c>
      <c r="AC104" s="32">
        <v>30.323409999999999</v>
      </c>
      <c r="AD104" s="32">
        <v>30.318209</v>
      </c>
      <c r="AE104" s="32">
        <v>30.264156</v>
      </c>
      <c r="AF104" s="32">
        <v>30.173914</v>
      </c>
      <c r="AG104" s="32">
        <v>30.212219000000001</v>
      </c>
      <c r="AH104" s="32">
        <v>30.142212000000001</v>
      </c>
      <c r="AI104" s="32">
        <v>29.924009000000002</v>
      </c>
      <c r="AJ104" s="36">
        <v>-3.0000000000000001E-3</v>
      </c>
    </row>
    <row r="105" spans="1:36">
      <c r="A105" s="113" t="s">
        <v>92</v>
      </c>
      <c r="B105" s="113"/>
      <c r="C105" s="113" t="s">
        <v>1063</v>
      </c>
      <c r="D105" s="113"/>
      <c r="U105" s="38"/>
    </row>
    <row r="106" spans="1:36">
      <c r="A106" s="113" t="s">
        <v>1064</v>
      </c>
      <c r="B106" s="113"/>
      <c r="C106" s="113" t="s">
        <v>1065</v>
      </c>
      <c r="D106" s="113"/>
      <c r="U106" s="38"/>
    </row>
    <row r="107" spans="1:36">
      <c r="A107" s="113" t="s">
        <v>303</v>
      </c>
      <c r="B107" s="113" t="s">
        <v>1066</v>
      </c>
      <c r="C107" s="113" t="s">
        <v>1067</v>
      </c>
      <c r="D107" s="113" t="s">
        <v>1068</v>
      </c>
      <c r="F107" s="32">
        <v>274.75665300000003</v>
      </c>
      <c r="G107" s="32">
        <v>275.37280299999998</v>
      </c>
      <c r="H107" s="32">
        <v>274.573578</v>
      </c>
      <c r="I107" s="32">
        <v>270.37634300000002</v>
      </c>
      <c r="J107" s="32">
        <v>269.817902</v>
      </c>
      <c r="K107" s="32">
        <v>270.29400600000002</v>
      </c>
      <c r="L107" s="32">
        <v>271.54333500000001</v>
      </c>
      <c r="M107" s="32">
        <v>273.80499300000002</v>
      </c>
      <c r="N107" s="32">
        <v>276.31787100000003</v>
      </c>
      <c r="O107" s="32">
        <v>278.00543199999998</v>
      </c>
      <c r="P107" s="32">
        <v>281.73922700000003</v>
      </c>
      <c r="Q107" s="32">
        <v>283.54626500000001</v>
      </c>
      <c r="R107" s="32">
        <v>286.57415800000001</v>
      </c>
      <c r="S107" s="32">
        <v>288.69665500000002</v>
      </c>
      <c r="T107" s="32">
        <v>288.89822400000003</v>
      </c>
      <c r="U107" s="38">
        <v>290.23642000000001</v>
      </c>
      <c r="V107" s="32">
        <v>291.36578400000002</v>
      </c>
      <c r="W107" s="32">
        <v>292.37094100000002</v>
      </c>
      <c r="X107" s="32">
        <v>294.34918199999998</v>
      </c>
      <c r="Y107" s="32">
        <v>296.07534800000002</v>
      </c>
      <c r="Z107" s="32">
        <v>297.19662499999998</v>
      </c>
      <c r="AA107" s="32">
        <v>298.851135</v>
      </c>
      <c r="AB107" s="32">
        <v>300.17169200000001</v>
      </c>
      <c r="AC107" s="32">
        <v>300.723816</v>
      </c>
      <c r="AD107" s="32">
        <v>302.79547100000002</v>
      </c>
      <c r="AE107" s="32">
        <v>304.46014400000001</v>
      </c>
      <c r="AF107" s="32">
        <v>305.915955</v>
      </c>
      <c r="AG107" s="32">
        <v>307.98172</v>
      </c>
      <c r="AH107" s="32">
        <v>309.46176100000002</v>
      </c>
      <c r="AI107" s="32">
        <v>310.00372299999998</v>
      </c>
      <c r="AJ107" s="36">
        <v>4.0000000000000001E-3</v>
      </c>
    </row>
    <row r="108" spans="1:36">
      <c r="A108" s="113" t="s">
        <v>306</v>
      </c>
      <c r="B108" s="113" t="s">
        <v>1069</v>
      </c>
      <c r="C108" s="113" t="s">
        <v>1070</v>
      </c>
      <c r="D108" s="113" t="s">
        <v>1068</v>
      </c>
      <c r="F108" s="32">
        <v>197.94026199999999</v>
      </c>
      <c r="G108" s="32">
        <v>201.65473900000001</v>
      </c>
      <c r="H108" s="32">
        <v>196.17666600000001</v>
      </c>
      <c r="I108" s="32">
        <v>191.186813</v>
      </c>
      <c r="J108" s="32">
        <v>189.77752699999999</v>
      </c>
      <c r="K108" s="32">
        <v>188.810913</v>
      </c>
      <c r="L108" s="32">
        <v>189.43356299999999</v>
      </c>
      <c r="M108" s="32">
        <v>190.58833300000001</v>
      </c>
      <c r="N108" s="32">
        <v>191.842163</v>
      </c>
      <c r="O108" s="32">
        <v>192.41606100000001</v>
      </c>
      <c r="P108" s="32">
        <v>194.629379</v>
      </c>
      <c r="Q108" s="32">
        <v>195.24662799999999</v>
      </c>
      <c r="R108" s="32">
        <v>197.12745699999999</v>
      </c>
      <c r="S108" s="32">
        <v>198.30746500000001</v>
      </c>
      <c r="T108" s="32">
        <v>197.981537</v>
      </c>
      <c r="U108" s="38">
        <v>198.472656</v>
      </c>
      <c r="V108" s="32">
        <v>198.74217200000001</v>
      </c>
      <c r="W108" s="32">
        <v>198.944016</v>
      </c>
      <c r="X108" s="32">
        <v>200.08554100000001</v>
      </c>
      <c r="Y108" s="32">
        <v>200.94512900000001</v>
      </c>
      <c r="Z108" s="32">
        <v>201.326584</v>
      </c>
      <c r="AA108" s="32">
        <v>202.22683699999999</v>
      </c>
      <c r="AB108" s="32">
        <v>203.18472299999999</v>
      </c>
      <c r="AC108" s="32">
        <v>203.166901</v>
      </c>
      <c r="AD108" s="32">
        <v>204.46878100000001</v>
      </c>
      <c r="AE108" s="32">
        <v>205.491714</v>
      </c>
      <c r="AF108" s="32">
        <v>206.207855</v>
      </c>
      <c r="AG108" s="32">
        <v>207.66523699999999</v>
      </c>
      <c r="AH108" s="32">
        <v>208.726303</v>
      </c>
      <c r="AI108" s="32">
        <v>208.915649</v>
      </c>
      <c r="AJ108" s="36">
        <v>2E-3</v>
      </c>
    </row>
    <row r="109" spans="1:36">
      <c r="A109" s="113" t="s">
        <v>308</v>
      </c>
      <c r="B109" s="113" t="s">
        <v>1071</v>
      </c>
      <c r="C109" s="113" t="s">
        <v>1072</v>
      </c>
      <c r="D109" s="113" t="s">
        <v>1068</v>
      </c>
      <c r="F109" s="32">
        <v>207.87148999999999</v>
      </c>
      <c r="G109" s="32">
        <v>216.86631800000001</v>
      </c>
      <c r="H109" s="32">
        <v>207.96852100000001</v>
      </c>
      <c r="I109" s="32">
        <v>205.65776099999999</v>
      </c>
      <c r="J109" s="32">
        <v>205.00015300000001</v>
      </c>
      <c r="K109" s="32">
        <v>206.92233300000001</v>
      </c>
      <c r="L109" s="32">
        <v>210.260727</v>
      </c>
      <c r="M109" s="32">
        <v>216.45573400000001</v>
      </c>
      <c r="N109" s="32">
        <v>221.23164399999999</v>
      </c>
      <c r="O109" s="32">
        <v>225.769699</v>
      </c>
      <c r="P109" s="32">
        <v>230.393066</v>
      </c>
      <c r="Q109" s="32">
        <v>234.78211999999999</v>
      </c>
      <c r="R109" s="32">
        <v>239.17683400000001</v>
      </c>
      <c r="S109" s="32">
        <v>241.704193</v>
      </c>
      <c r="T109" s="32">
        <v>243.648392</v>
      </c>
      <c r="U109" s="38">
        <v>246.29451</v>
      </c>
      <c r="V109" s="32">
        <v>249.97927899999999</v>
      </c>
      <c r="W109" s="32">
        <v>253.25907900000001</v>
      </c>
      <c r="X109" s="32">
        <v>255.100067</v>
      </c>
      <c r="Y109" s="32">
        <v>259.03656000000001</v>
      </c>
      <c r="Z109" s="32">
        <v>262.697723</v>
      </c>
      <c r="AA109" s="32">
        <v>265.09201000000002</v>
      </c>
      <c r="AB109" s="32">
        <v>268.04028299999999</v>
      </c>
      <c r="AC109" s="32">
        <v>270.74755900000002</v>
      </c>
      <c r="AD109" s="32">
        <v>272.82507299999997</v>
      </c>
      <c r="AE109" s="32">
        <v>276.04589800000002</v>
      </c>
      <c r="AF109" s="32">
        <v>277.769409</v>
      </c>
      <c r="AG109" s="32">
        <v>278.59582499999999</v>
      </c>
      <c r="AH109" s="32">
        <v>280.16696200000001</v>
      </c>
      <c r="AI109" s="32">
        <v>283.14764400000001</v>
      </c>
      <c r="AJ109" s="36">
        <v>1.0999999999999999E-2</v>
      </c>
    </row>
    <row r="110" spans="1:36">
      <c r="A110" s="113" t="s">
        <v>132</v>
      </c>
      <c r="B110" s="113" t="s">
        <v>1073</v>
      </c>
      <c r="C110" s="113" t="s">
        <v>1074</v>
      </c>
      <c r="D110" s="113" t="s">
        <v>1068</v>
      </c>
      <c r="F110" s="32">
        <v>608.60992399999998</v>
      </c>
      <c r="G110" s="32">
        <v>602.926331</v>
      </c>
      <c r="H110" s="32">
        <v>562.80590800000004</v>
      </c>
      <c r="I110" s="32">
        <v>570.52050799999995</v>
      </c>
      <c r="J110" s="32">
        <v>567.75238000000002</v>
      </c>
      <c r="K110" s="32">
        <v>571.39538600000003</v>
      </c>
      <c r="L110" s="32">
        <v>574.93676800000003</v>
      </c>
      <c r="M110" s="32">
        <v>578.65301499999998</v>
      </c>
      <c r="N110" s="32">
        <v>580.72393799999998</v>
      </c>
      <c r="O110" s="32">
        <v>587.70434599999999</v>
      </c>
      <c r="P110" s="32">
        <v>603.97045900000001</v>
      </c>
      <c r="Q110" s="32">
        <v>607.32482900000002</v>
      </c>
      <c r="R110" s="32">
        <v>611.17163100000005</v>
      </c>
      <c r="S110" s="32">
        <v>614.39117399999998</v>
      </c>
      <c r="T110" s="32">
        <v>616.35437000000002</v>
      </c>
      <c r="U110" s="38">
        <v>620.70343000000003</v>
      </c>
      <c r="V110" s="32">
        <v>626.23040800000001</v>
      </c>
      <c r="W110" s="32">
        <v>633.00915499999996</v>
      </c>
      <c r="X110" s="32">
        <v>635.54986599999995</v>
      </c>
      <c r="Y110" s="32">
        <v>642.60461399999997</v>
      </c>
      <c r="Z110" s="32">
        <v>648.44256600000006</v>
      </c>
      <c r="AA110" s="32">
        <v>651.84106399999996</v>
      </c>
      <c r="AB110" s="32">
        <v>661.36975099999995</v>
      </c>
      <c r="AC110" s="32">
        <v>671.17993200000001</v>
      </c>
      <c r="AD110" s="32">
        <v>677.16906700000004</v>
      </c>
      <c r="AE110" s="32">
        <v>686.59747300000004</v>
      </c>
      <c r="AF110" s="32">
        <v>692.32202099999995</v>
      </c>
      <c r="AG110" s="32">
        <v>694.33843999999999</v>
      </c>
      <c r="AH110" s="32">
        <v>699.02954099999999</v>
      </c>
      <c r="AI110" s="32">
        <v>703.490906</v>
      </c>
      <c r="AJ110" s="36">
        <v>5.0000000000000001E-3</v>
      </c>
    </row>
    <row r="111" spans="1:36">
      <c r="A111" s="113" t="s">
        <v>320</v>
      </c>
      <c r="B111" s="113" t="s">
        <v>1075</v>
      </c>
      <c r="C111" s="113" t="s">
        <v>1076</v>
      </c>
      <c r="D111" s="113" t="s">
        <v>1068</v>
      </c>
      <c r="F111" s="32">
        <v>1289.1782229999999</v>
      </c>
      <c r="G111" s="32">
        <v>1296.8201899999999</v>
      </c>
      <c r="H111" s="32">
        <v>1241.524658</v>
      </c>
      <c r="I111" s="32">
        <v>1237.7414550000001</v>
      </c>
      <c r="J111" s="32">
        <v>1232.3479</v>
      </c>
      <c r="K111" s="32">
        <v>1237.422607</v>
      </c>
      <c r="L111" s="32">
        <v>1246.1743160000001</v>
      </c>
      <c r="M111" s="32">
        <v>1259.5020750000001</v>
      </c>
      <c r="N111" s="32">
        <v>1270.115601</v>
      </c>
      <c r="O111" s="32">
        <v>1283.8955080000001</v>
      </c>
      <c r="P111" s="32">
        <v>1310.732178</v>
      </c>
      <c r="Q111" s="32">
        <v>1320.8999020000001</v>
      </c>
      <c r="R111" s="32">
        <v>1334.0500489999999</v>
      </c>
      <c r="S111" s="32">
        <v>1343.099487</v>
      </c>
      <c r="T111" s="32">
        <v>1346.882568</v>
      </c>
      <c r="U111" s="38">
        <v>1355.7070309999999</v>
      </c>
      <c r="V111" s="32">
        <v>1366.3176269999999</v>
      </c>
      <c r="W111" s="32">
        <v>1377.5832519999999</v>
      </c>
      <c r="X111" s="32">
        <v>1385.084717</v>
      </c>
      <c r="Y111" s="32">
        <v>1398.661621</v>
      </c>
      <c r="Z111" s="32">
        <v>1409.6635739999999</v>
      </c>
      <c r="AA111" s="32">
        <v>1418.010986</v>
      </c>
      <c r="AB111" s="32">
        <v>1432.7664789999999</v>
      </c>
      <c r="AC111" s="32">
        <v>1445.818237</v>
      </c>
      <c r="AD111" s="32">
        <v>1457.258423</v>
      </c>
      <c r="AE111" s="32">
        <v>1472.5952150000001</v>
      </c>
      <c r="AF111" s="32">
        <v>1482.2152100000001</v>
      </c>
      <c r="AG111" s="32">
        <v>1488.5812989999999</v>
      </c>
      <c r="AH111" s="32">
        <v>1497.3845209999999</v>
      </c>
      <c r="AI111" s="32">
        <v>1505.557861</v>
      </c>
      <c r="AJ111" s="36">
        <v>5.0000000000000001E-3</v>
      </c>
    </row>
    <row r="112" spans="1:36">
      <c r="A112" s="113" t="s">
        <v>321</v>
      </c>
      <c r="B112" s="113" t="s">
        <v>1077</v>
      </c>
      <c r="C112" s="113" t="s">
        <v>1078</v>
      </c>
      <c r="D112" s="113" t="s">
        <v>1068</v>
      </c>
      <c r="F112" s="32">
        <v>0.92960200000000004</v>
      </c>
      <c r="G112" s="32">
        <v>0.95433199999999996</v>
      </c>
      <c r="H112" s="32">
        <v>0.89493500000000004</v>
      </c>
      <c r="I112" s="32">
        <v>0.87756500000000004</v>
      </c>
      <c r="J112" s="32">
        <v>0.85770800000000003</v>
      </c>
      <c r="K112" s="32">
        <v>0.84426800000000002</v>
      </c>
      <c r="L112" s="32">
        <v>0.82739099999999999</v>
      </c>
      <c r="M112" s="32">
        <v>0.806037</v>
      </c>
      <c r="N112" s="32">
        <v>0.78468899999999997</v>
      </c>
      <c r="O112" s="32">
        <v>0.773231</v>
      </c>
      <c r="P112" s="32">
        <v>0.75879300000000005</v>
      </c>
      <c r="Q112" s="32">
        <v>0.73719000000000001</v>
      </c>
      <c r="R112" s="32">
        <v>0.72319299999999997</v>
      </c>
      <c r="S112" s="32">
        <v>0.69563900000000001</v>
      </c>
      <c r="T112" s="32">
        <v>0.67772200000000005</v>
      </c>
      <c r="U112" s="38">
        <v>0.67732999999999999</v>
      </c>
      <c r="V112" s="32">
        <v>0.67555699999999996</v>
      </c>
      <c r="W112" s="32">
        <v>0.67357999999999996</v>
      </c>
      <c r="X112" s="32">
        <v>0.67475099999999999</v>
      </c>
      <c r="Y112" s="32">
        <v>0.68207499999999999</v>
      </c>
      <c r="Z112" s="32">
        <v>0.68865900000000002</v>
      </c>
      <c r="AA112" s="32">
        <v>0.69686700000000001</v>
      </c>
      <c r="AB112" s="32">
        <v>0.70950999999999997</v>
      </c>
      <c r="AC112" s="32">
        <v>0.722464</v>
      </c>
      <c r="AD112" s="32">
        <v>0.73333000000000004</v>
      </c>
      <c r="AE112" s="32">
        <v>0.74799300000000002</v>
      </c>
      <c r="AF112" s="32">
        <v>0.76120600000000005</v>
      </c>
      <c r="AG112" s="32">
        <v>0.77143300000000004</v>
      </c>
      <c r="AH112" s="32">
        <v>0.78466400000000003</v>
      </c>
      <c r="AI112" s="32">
        <v>0.79827599999999999</v>
      </c>
      <c r="AJ112" s="36">
        <v>-5.0000000000000001E-3</v>
      </c>
    </row>
    <row r="113" spans="1:36">
      <c r="A113" s="113" t="s">
        <v>322</v>
      </c>
      <c r="B113" s="113" t="s">
        <v>1079</v>
      </c>
      <c r="C113" s="113" t="s">
        <v>1080</v>
      </c>
      <c r="D113" s="113" t="s">
        <v>1068</v>
      </c>
      <c r="F113" s="32">
        <v>1290.107788</v>
      </c>
      <c r="G113" s="32">
        <v>1297.7745359999999</v>
      </c>
      <c r="H113" s="32">
        <v>1242.4195560000001</v>
      </c>
      <c r="I113" s="32">
        <v>1238.619019</v>
      </c>
      <c r="J113" s="32">
        <v>1233.2055660000001</v>
      </c>
      <c r="K113" s="32">
        <v>1238.266846</v>
      </c>
      <c r="L113" s="32">
        <v>1247.0017089999999</v>
      </c>
      <c r="M113" s="32">
        <v>1260.3081050000001</v>
      </c>
      <c r="N113" s="32">
        <v>1270.900269</v>
      </c>
      <c r="O113" s="32">
        <v>1284.6687010000001</v>
      </c>
      <c r="P113" s="32">
        <v>1311.490967</v>
      </c>
      <c r="Q113" s="32">
        <v>1321.6370850000001</v>
      </c>
      <c r="R113" s="32">
        <v>1334.773193</v>
      </c>
      <c r="S113" s="32">
        <v>1343.7951660000001</v>
      </c>
      <c r="T113" s="32">
        <v>1347.560303</v>
      </c>
      <c r="U113" s="38">
        <v>1356.384399</v>
      </c>
      <c r="V113" s="32">
        <v>1366.993164</v>
      </c>
      <c r="W113" s="32">
        <v>1378.256836</v>
      </c>
      <c r="X113" s="32">
        <v>1385.7595209999999</v>
      </c>
      <c r="Y113" s="32">
        <v>1399.34375</v>
      </c>
      <c r="Z113" s="32">
        <v>1410.352173</v>
      </c>
      <c r="AA113" s="32">
        <v>1418.7078859999999</v>
      </c>
      <c r="AB113" s="32">
        <v>1433.475952</v>
      </c>
      <c r="AC113" s="32">
        <v>1446.540649</v>
      </c>
      <c r="AD113" s="32">
        <v>1457.9916989999999</v>
      </c>
      <c r="AE113" s="32">
        <v>1473.3432620000001</v>
      </c>
      <c r="AF113" s="32">
        <v>1482.9764399999999</v>
      </c>
      <c r="AG113" s="32">
        <v>1489.352783</v>
      </c>
      <c r="AH113" s="32">
        <v>1498.169189</v>
      </c>
      <c r="AI113" s="32">
        <v>1506.3560789999999</v>
      </c>
      <c r="AJ113" s="36">
        <v>5.0000000000000001E-3</v>
      </c>
    </row>
    <row r="114" spans="1:36">
      <c r="A114" s="113" t="s">
        <v>93</v>
      </c>
      <c r="B114" s="113"/>
      <c r="C114" s="113" t="s">
        <v>1081</v>
      </c>
      <c r="D114" s="113"/>
      <c r="U114" s="38"/>
    </row>
    <row r="115" spans="1:36">
      <c r="A115" s="113" t="s">
        <v>303</v>
      </c>
      <c r="B115" s="113"/>
      <c r="C115" s="113" t="s">
        <v>1082</v>
      </c>
      <c r="D115" s="113"/>
      <c r="U115" s="38"/>
    </row>
    <row r="116" spans="1:36">
      <c r="A116" s="113" t="s">
        <v>304</v>
      </c>
      <c r="B116" s="113" t="s">
        <v>1083</v>
      </c>
      <c r="C116" s="113" t="s">
        <v>1084</v>
      </c>
      <c r="D116" s="113" t="s">
        <v>323</v>
      </c>
      <c r="F116" s="32">
        <v>21.485128</v>
      </c>
      <c r="G116" s="32">
        <v>23.781223000000001</v>
      </c>
      <c r="H116" s="32">
        <v>23.973671</v>
      </c>
      <c r="I116" s="32">
        <v>24.563725999999999</v>
      </c>
      <c r="J116" s="32">
        <v>25.085902999999998</v>
      </c>
      <c r="K116" s="32">
        <v>25.796880999999999</v>
      </c>
      <c r="L116" s="32">
        <v>26.811335</v>
      </c>
      <c r="M116" s="32">
        <v>28.098096999999999</v>
      </c>
      <c r="N116" s="32">
        <v>29.37546</v>
      </c>
      <c r="O116" s="32">
        <v>30.688005</v>
      </c>
      <c r="P116" s="32">
        <v>32.237212999999997</v>
      </c>
      <c r="Q116" s="32">
        <v>33.517620000000001</v>
      </c>
      <c r="R116" s="32">
        <v>34.831046999999998</v>
      </c>
      <c r="S116" s="32">
        <v>36.038196999999997</v>
      </c>
      <c r="T116" s="32">
        <v>37.169186000000003</v>
      </c>
      <c r="U116" s="38">
        <v>38.316550999999997</v>
      </c>
      <c r="V116" s="32">
        <v>39.526668999999998</v>
      </c>
      <c r="W116" s="32">
        <v>40.770099999999999</v>
      </c>
      <c r="X116" s="32">
        <v>41.947226999999998</v>
      </c>
      <c r="Y116" s="32">
        <v>43.353558</v>
      </c>
      <c r="Z116" s="32">
        <v>44.741706999999998</v>
      </c>
      <c r="AA116" s="32">
        <v>45.987236000000003</v>
      </c>
      <c r="AB116" s="32">
        <v>47.376404000000001</v>
      </c>
      <c r="AC116" s="32">
        <v>48.874778999999997</v>
      </c>
      <c r="AD116" s="32">
        <v>50.227592000000001</v>
      </c>
      <c r="AE116" s="32">
        <v>51.642440999999998</v>
      </c>
      <c r="AF116" s="32">
        <v>53.044342</v>
      </c>
      <c r="AG116" s="32">
        <v>54.420516999999997</v>
      </c>
      <c r="AH116" s="32">
        <v>55.728988999999999</v>
      </c>
      <c r="AI116" s="32">
        <v>57.011783999999999</v>
      </c>
      <c r="AJ116" s="36">
        <v>3.4000000000000002E-2</v>
      </c>
    </row>
    <row r="117" spans="1:36">
      <c r="A117" s="113" t="s">
        <v>305</v>
      </c>
      <c r="B117" s="113" t="s">
        <v>1085</v>
      </c>
      <c r="C117" s="113" t="s">
        <v>1086</v>
      </c>
      <c r="D117" s="113" t="s">
        <v>323</v>
      </c>
      <c r="F117" s="32">
        <v>21.710046999999999</v>
      </c>
      <c r="G117" s="32">
        <v>22.564747000000001</v>
      </c>
      <c r="H117" s="32">
        <v>22.630500999999999</v>
      </c>
      <c r="I117" s="32">
        <v>24.633424999999999</v>
      </c>
      <c r="J117" s="32">
        <v>25.796292999999999</v>
      </c>
      <c r="K117" s="32">
        <v>27.057013000000001</v>
      </c>
      <c r="L117" s="32">
        <v>28.480813999999999</v>
      </c>
      <c r="M117" s="32">
        <v>29.412946999999999</v>
      </c>
      <c r="N117" s="32">
        <v>30.274664000000001</v>
      </c>
      <c r="O117" s="32">
        <v>30.93524</v>
      </c>
      <c r="P117" s="32">
        <v>31.994423000000001</v>
      </c>
      <c r="Q117" s="32">
        <v>32.839534999999998</v>
      </c>
      <c r="R117" s="32">
        <v>33.648944999999998</v>
      </c>
      <c r="S117" s="32">
        <v>34.466526000000002</v>
      </c>
      <c r="T117" s="32">
        <v>35.338763999999998</v>
      </c>
      <c r="U117" s="38">
        <v>36.357875999999997</v>
      </c>
      <c r="V117" s="32">
        <v>37.473742999999999</v>
      </c>
      <c r="W117" s="32">
        <v>38.495368999999997</v>
      </c>
      <c r="X117" s="32">
        <v>39.449562</v>
      </c>
      <c r="Y117" s="32">
        <v>40.688465000000001</v>
      </c>
      <c r="Z117" s="32">
        <v>41.764015000000001</v>
      </c>
      <c r="AA117" s="32">
        <v>42.736426999999999</v>
      </c>
      <c r="AB117" s="32">
        <v>44.087944</v>
      </c>
      <c r="AC117" s="32">
        <v>45.528618000000002</v>
      </c>
      <c r="AD117" s="32">
        <v>46.732165999999999</v>
      </c>
      <c r="AE117" s="32">
        <v>48.162250999999998</v>
      </c>
      <c r="AF117" s="32">
        <v>49.311610999999999</v>
      </c>
      <c r="AG117" s="32">
        <v>50.294777000000003</v>
      </c>
      <c r="AH117" s="32">
        <v>51.419967999999997</v>
      </c>
      <c r="AI117" s="32">
        <v>52.495659000000003</v>
      </c>
      <c r="AJ117" s="36">
        <v>3.1E-2</v>
      </c>
    </row>
    <row r="118" spans="1:36">
      <c r="A118" s="113" t="s">
        <v>97</v>
      </c>
      <c r="B118" s="113" t="s">
        <v>1087</v>
      </c>
      <c r="C118" s="113" t="s">
        <v>1088</v>
      </c>
      <c r="D118" s="113" t="s">
        <v>323</v>
      </c>
      <c r="F118" s="32">
        <v>11.696033999999999</v>
      </c>
      <c r="G118" s="32">
        <v>12.414918</v>
      </c>
      <c r="H118" s="32">
        <v>12.017173</v>
      </c>
      <c r="I118" s="32">
        <v>11.791706</v>
      </c>
      <c r="J118" s="32">
        <v>11.754308</v>
      </c>
      <c r="K118" s="32">
        <v>11.869832000000001</v>
      </c>
      <c r="L118" s="32">
        <v>12.079857000000001</v>
      </c>
      <c r="M118" s="32">
        <v>12.512207</v>
      </c>
      <c r="N118" s="32">
        <v>13.030582000000001</v>
      </c>
      <c r="O118" s="32">
        <v>13.433274000000001</v>
      </c>
      <c r="P118" s="32">
        <v>14.231783999999999</v>
      </c>
      <c r="Q118" s="32">
        <v>14.609230999999999</v>
      </c>
      <c r="R118" s="32">
        <v>15.148007</v>
      </c>
      <c r="S118" s="32">
        <v>15.542141000000001</v>
      </c>
      <c r="T118" s="32">
        <v>15.829572000000001</v>
      </c>
      <c r="U118" s="38">
        <v>16.198775999999999</v>
      </c>
      <c r="V118" s="32">
        <v>16.629014999999999</v>
      </c>
      <c r="W118" s="32">
        <v>17.033242999999999</v>
      </c>
      <c r="X118" s="32">
        <v>17.462510999999999</v>
      </c>
      <c r="Y118" s="32">
        <v>17.888939000000001</v>
      </c>
      <c r="Z118" s="32">
        <v>18.330981999999999</v>
      </c>
      <c r="AA118" s="32">
        <v>18.750298999999998</v>
      </c>
      <c r="AB118" s="32">
        <v>19.191662000000001</v>
      </c>
      <c r="AC118" s="32">
        <v>19.601662000000001</v>
      </c>
      <c r="AD118" s="32">
        <v>20.078423999999998</v>
      </c>
      <c r="AE118" s="32">
        <v>20.557652999999998</v>
      </c>
      <c r="AF118" s="32">
        <v>21.060445999999999</v>
      </c>
      <c r="AG118" s="32">
        <v>21.545760999999999</v>
      </c>
      <c r="AH118" s="32">
        <v>22.100491999999999</v>
      </c>
      <c r="AI118" s="32">
        <v>22.628457999999998</v>
      </c>
      <c r="AJ118" s="36">
        <v>2.3E-2</v>
      </c>
    </row>
    <row r="119" spans="1:36">
      <c r="A119" s="113" t="s">
        <v>130</v>
      </c>
      <c r="B119" s="113" t="s">
        <v>1089</v>
      </c>
      <c r="C119" s="113" t="s">
        <v>1090</v>
      </c>
      <c r="D119" s="113" t="s">
        <v>323</v>
      </c>
      <c r="F119" s="32">
        <v>38.700668</v>
      </c>
      <c r="G119" s="32">
        <v>39.617713999999999</v>
      </c>
      <c r="H119" s="32">
        <v>40.060478000000003</v>
      </c>
      <c r="I119" s="32">
        <v>40.134177999999999</v>
      </c>
      <c r="J119" s="32">
        <v>40.925732000000004</v>
      </c>
      <c r="K119" s="32">
        <v>41.913586000000002</v>
      </c>
      <c r="L119" s="32">
        <v>43.118862</v>
      </c>
      <c r="M119" s="32">
        <v>44.401164999999999</v>
      </c>
      <c r="N119" s="32">
        <v>45.678722</v>
      </c>
      <c r="O119" s="32">
        <v>46.868972999999997</v>
      </c>
      <c r="P119" s="32">
        <v>48.168712999999997</v>
      </c>
      <c r="Q119" s="32">
        <v>49.411799999999999</v>
      </c>
      <c r="R119" s="32">
        <v>50.834308999999998</v>
      </c>
      <c r="S119" s="32">
        <v>52.214641999999998</v>
      </c>
      <c r="T119" s="32">
        <v>53.147976</v>
      </c>
      <c r="U119" s="38">
        <v>54.261406000000001</v>
      </c>
      <c r="V119" s="32">
        <v>55.242843999999998</v>
      </c>
      <c r="W119" s="32">
        <v>56.245368999999997</v>
      </c>
      <c r="X119" s="32">
        <v>57.543174999999998</v>
      </c>
      <c r="Y119" s="32">
        <v>58.868800999999998</v>
      </c>
      <c r="Z119" s="32">
        <v>60.055866000000002</v>
      </c>
      <c r="AA119" s="32">
        <v>61.456688</v>
      </c>
      <c r="AB119" s="32">
        <v>62.75956</v>
      </c>
      <c r="AC119" s="32">
        <v>63.830314999999999</v>
      </c>
      <c r="AD119" s="32">
        <v>65.333343999999997</v>
      </c>
      <c r="AE119" s="32">
        <v>66.759406999999996</v>
      </c>
      <c r="AF119" s="32">
        <v>68.152343999999999</v>
      </c>
      <c r="AG119" s="32">
        <v>69.814887999999996</v>
      </c>
      <c r="AH119" s="32">
        <v>71.274811</v>
      </c>
      <c r="AI119" s="32">
        <v>72.437720999999996</v>
      </c>
      <c r="AJ119" s="36">
        <v>2.1999999999999999E-2</v>
      </c>
    </row>
    <row r="120" spans="1:36">
      <c r="A120" s="113" t="s">
        <v>306</v>
      </c>
      <c r="B120" s="113"/>
      <c r="C120" s="113" t="s">
        <v>1091</v>
      </c>
      <c r="D120" s="113"/>
      <c r="U120" s="38"/>
    </row>
    <row r="121" spans="1:36">
      <c r="A121" s="113" t="s">
        <v>304</v>
      </c>
      <c r="B121" s="113" t="s">
        <v>1092</v>
      </c>
      <c r="C121" s="113" t="s">
        <v>1093</v>
      </c>
      <c r="D121" s="113" t="s">
        <v>323</v>
      </c>
      <c r="F121" s="32">
        <v>18.792190999999999</v>
      </c>
      <c r="G121" s="32">
        <v>20.287763999999999</v>
      </c>
      <c r="H121" s="32">
        <v>19.030828</v>
      </c>
      <c r="I121" s="32">
        <v>19.382282</v>
      </c>
      <c r="J121" s="32">
        <v>19.705380999999999</v>
      </c>
      <c r="K121" s="32">
        <v>20.336395</v>
      </c>
      <c r="L121" s="32">
        <v>21.295309</v>
      </c>
      <c r="M121" s="32">
        <v>22.469615999999998</v>
      </c>
      <c r="N121" s="32">
        <v>23.464950999999999</v>
      </c>
      <c r="O121" s="32">
        <v>24.482685</v>
      </c>
      <c r="P121" s="32">
        <v>25.78783</v>
      </c>
      <c r="Q121" s="32">
        <v>26.721371000000001</v>
      </c>
      <c r="R121" s="32">
        <v>27.709343000000001</v>
      </c>
      <c r="S121" s="32">
        <v>28.550087000000001</v>
      </c>
      <c r="T121" s="32">
        <v>29.334786999999999</v>
      </c>
      <c r="U121" s="38">
        <v>30.188306999999998</v>
      </c>
      <c r="V121" s="32">
        <v>31.126162000000001</v>
      </c>
      <c r="W121" s="32">
        <v>32.075645000000002</v>
      </c>
      <c r="X121" s="32">
        <v>32.920071</v>
      </c>
      <c r="Y121" s="32">
        <v>34.085678000000001</v>
      </c>
      <c r="Z121" s="32">
        <v>35.128605</v>
      </c>
      <c r="AA121" s="32">
        <v>35.967174999999997</v>
      </c>
      <c r="AB121" s="32">
        <v>37.067965999999998</v>
      </c>
      <c r="AC121" s="32">
        <v>38.264091000000001</v>
      </c>
      <c r="AD121" s="32">
        <v>39.201560999999998</v>
      </c>
      <c r="AE121" s="32">
        <v>40.275252999999999</v>
      </c>
      <c r="AF121" s="32">
        <v>41.319102999999998</v>
      </c>
      <c r="AG121" s="32">
        <v>42.330120000000001</v>
      </c>
      <c r="AH121" s="32">
        <v>43.264816000000003</v>
      </c>
      <c r="AI121" s="32">
        <v>44.207405000000001</v>
      </c>
      <c r="AJ121" s="36">
        <v>0.03</v>
      </c>
    </row>
    <row r="122" spans="1:36">
      <c r="A122" s="113" t="s">
        <v>305</v>
      </c>
      <c r="B122" s="113" t="s">
        <v>1094</v>
      </c>
      <c r="C122" s="113" t="s">
        <v>1095</v>
      </c>
      <c r="D122" s="113" t="s">
        <v>323</v>
      </c>
      <c r="F122" s="32">
        <v>21.78829</v>
      </c>
      <c r="G122" s="32">
        <v>22.649730999999999</v>
      </c>
      <c r="H122" s="32">
        <v>21.510619999999999</v>
      </c>
      <c r="I122" s="32">
        <v>22.377887999999999</v>
      </c>
      <c r="J122" s="32">
        <v>22.308598</v>
      </c>
      <c r="K122" s="32">
        <v>22.282613999999999</v>
      </c>
      <c r="L122" s="32">
        <v>22.370726000000001</v>
      </c>
      <c r="M122" s="32">
        <v>23.156898000000002</v>
      </c>
      <c r="N122" s="32">
        <v>23.859835</v>
      </c>
      <c r="O122" s="32">
        <v>24.374552000000001</v>
      </c>
      <c r="P122" s="32">
        <v>25.677551000000001</v>
      </c>
      <c r="Q122" s="32">
        <v>26.389191</v>
      </c>
      <c r="R122" s="32">
        <v>27.122574</v>
      </c>
      <c r="S122" s="32">
        <v>27.800212999999999</v>
      </c>
      <c r="T122" s="32">
        <v>28.544165</v>
      </c>
      <c r="U122" s="38">
        <v>29.417538</v>
      </c>
      <c r="V122" s="32">
        <v>30.383151999999999</v>
      </c>
      <c r="W122" s="32">
        <v>31.252860999999999</v>
      </c>
      <c r="X122" s="32">
        <v>32.047020000000003</v>
      </c>
      <c r="Y122" s="32">
        <v>33.091904</v>
      </c>
      <c r="Z122" s="32">
        <v>34.005920000000003</v>
      </c>
      <c r="AA122" s="32">
        <v>34.807175000000001</v>
      </c>
      <c r="AB122" s="32">
        <v>36.008240000000001</v>
      </c>
      <c r="AC122" s="32">
        <v>37.294215999999999</v>
      </c>
      <c r="AD122" s="32">
        <v>38.324806000000002</v>
      </c>
      <c r="AE122" s="32">
        <v>39.536068</v>
      </c>
      <c r="AF122" s="32">
        <v>40.518172999999997</v>
      </c>
      <c r="AG122" s="32">
        <v>41.335075000000003</v>
      </c>
      <c r="AH122" s="32">
        <v>42.243541999999998</v>
      </c>
      <c r="AI122" s="32">
        <v>43.070762999999999</v>
      </c>
      <c r="AJ122" s="36">
        <v>2.4E-2</v>
      </c>
    </row>
    <row r="123" spans="1:36">
      <c r="A123" s="113" t="s">
        <v>307</v>
      </c>
      <c r="B123" s="113" t="s">
        <v>1096</v>
      </c>
      <c r="C123" s="113" t="s">
        <v>1097</v>
      </c>
      <c r="D123" s="113" t="s">
        <v>323</v>
      </c>
      <c r="F123" s="32">
        <v>6.4996479999999996</v>
      </c>
      <c r="G123" s="32">
        <v>7.7271970000000003</v>
      </c>
      <c r="H123" s="32">
        <v>7.9938250000000002</v>
      </c>
      <c r="I123" s="32">
        <v>9.6008840000000006</v>
      </c>
      <c r="J123" s="32">
        <v>10.415872</v>
      </c>
      <c r="K123" s="32">
        <v>11.320288</v>
      </c>
      <c r="L123" s="32">
        <v>12.491306</v>
      </c>
      <c r="M123" s="32">
        <v>13.047025</v>
      </c>
      <c r="N123" s="32">
        <v>13.482117000000001</v>
      </c>
      <c r="O123" s="32">
        <v>13.987064</v>
      </c>
      <c r="P123" s="32">
        <v>14.537535</v>
      </c>
      <c r="Q123" s="32">
        <v>15.041876</v>
      </c>
      <c r="R123" s="32">
        <v>15.533052</v>
      </c>
      <c r="S123" s="32">
        <v>15.894372000000001</v>
      </c>
      <c r="T123" s="32">
        <v>16.271698000000001</v>
      </c>
      <c r="U123" s="38">
        <v>16.561153000000001</v>
      </c>
      <c r="V123" s="32">
        <v>16.896235999999998</v>
      </c>
      <c r="W123" s="32">
        <v>17.567084999999999</v>
      </c>
      <c r="X123" s="32">
        <v>17.696434</v>
      </c>
      <c r="Y123" s="32">
        <v>18.904684</v>
      </c>
      <c r="Z123" s="32">
        <v>19.604246</v>
      </c>
      <c r="AA123" s="32">
        <v>20.277844999999999</v>
      </c>
      <c r="AB123" s="32">
        <v>21.354593000000001</v>
      </c>
      <c r="AC123" s="32">
        <v>22.304276000000002</v>
      </c>
      <c r="AD123" s="32">
        <v>22.969524</v>
      </c>
      <c r="AE123" s="32">
        <v>23.753544000000002</v>
      </c>
      <c r="AF123" s="32">
        <v>24.503482999999999</v>
      </c>
      <c r="AG123" s="32">
        <v>24.891987</v>
      </c>
      <c r="AH123" s="32">
        <v>25.569624000000001</v>
      </c>
      <c r="AI123" s="32">
        <v>25.992681999999999</v>
      </c>
      <c r="AJ123" s="36">
        <v>4.9000000000000002E-2</v>
      </c>
    </row>
    <row r="124" spans="1:36">
      <c r="A124" s="113" t="s">
        <v>97</v>
      </c>
      <c r="B124" s="113" t="s">
        <v>1098</v>
      </c>
      <c r="C124" s="113" t="s">
        <v>1099</v>
      </c>
      <c r="D124" s="113" t="s">
        <v>323</v>
      </c>
      <c r="F124" s="32">
        <v>8.4290780000000005</v>
      </c>
      <c r="G124" s="32">
        <v>8.9971359999999994</v>
      </c>
      <c r="H124" s="32">
        <v>8.8635029999999997</v>
      </c>
      <c r="I124" s="32">
        <v>8.7460540000000009</v>
      </c>
      <c r="J124" s="32">
        <v>8.7980060000000009</v>
      </c>
      <c r="K124" s="32">
        <v>8.9910700000000006</v>
      </c>
      <c r="L124" s="32">
        <v>9.2646320000000006</v>
      </c>
      <c r="M124" s="32">
        <v>9.6105909999999994</v>
      </c>
      <c r="N124" s="32">
        <v>10.030252000000001</v>
      </c>
      <c r="O124" s="32">
        <v>10.341791000000001</v>
      </c>
      <c r="P124" s="32">
        <v>10.912656999999999</v>
      </c>
      <c r="Q124" s="32">
        <v>11.172338</v>
      </c>
      <c r="R124" s="32">
        <v>11.582117999999999</v>
      </c>
      <c r="S124" s="32">
        <v>11.876585</v>
      </c>
      <c r="T124" s="32">
        <v>12.071666</v>
      </c>
      <c r="U124" s="38">
        <v>12.344823999999999</v>
      </c>
      <c r="V124" s="32">
        <v>12.676251000000001</v>
      </c>
      <c r="W124" s="32">
        <v>12.982614999999999</v>
      </c>
      <c r="X124" s="32">
        <v>13.310534000000001</v>
      </c>
      <c r="Y124" s="32">
        <v>13.635244</v>
      </c>
      <c r="Z124" s="32">
        <v>13.968075000000001</v>
      </c>
      <c r="AA124" s="32">
        <v>14.278524000000001</v>
      </c>
      <c r="AB124" s="32">
        <v>14.610531999999999</v>
      </c>
      <c r="AC124" s="32">
        <v>14.905124000000001</v>
      </c>
      <c r="AD124" s="32">
        <v>15.262822</v>
      </c>
      <c r="AE124" s="32">
        <v>15.62407</v>
      </c>
      <c r="AF124" s="32">
        <v>16.004888999999999</v>
      </c>
      <c r="AG124" s="32">
        <v>16.371986</v>
      </c>
      <c r="AH124" s="32">
        <v>16.800630999999999</v>
      </c>
      <c r="AI124" s="32">
        <v>17.200544000000001</v>
      </c>
      <c r="AJ124" s="36">
        <v>2.5000000000000001E-2</v>
      </c>
    </row>
    <row r="125" spans="1:36">
      <c r="A125" s="113" t="s">
        <v>130</v>
      </c>
      <c r="B125" s="113" t="s">
        <v>1100</v>
      </c>
      <c r="C125" s="113" t="s">
        <v>1101</v>
      </c>
      <c r="D125" s="113" t="s">
        <v>323</v>
      </c>
      <c r="F125" s="32">
        <v>33.181457999999999</v>
      </c>
      <c r="G125" s="32">
        <v>33.878109000000002</v>
      </c>
      <c r="H125" s="32">
        <v>33.606670000000001</v>
      </c>
      <c r="I125" s="32">
        <v>33.442309999999999</v>
      </c>
      <c r="J125" s="32">
        <v>34.078471999999998</v>
      </c>
      <c r="K125" s="32">
        <v>34.817138999999997</v>
      </c>
      <c r="L125" s="32">
        <v>35.728496999999997</v>
      </c>
      <c r="M125" s="32">
        <v>36.685603999999998</v>
      </c>
      <c r="N125" s="32">
        <v>37.644542999999999</v>
      </c>
      <c r="O125" s="32">
        <v>38.509467999999998</v>
      </c>
      <c r="P125" s="32">
        <v>39.511063</v>
      </c>
      <c r="Q125" s="32">
        <v>40.360816999999997</v>
      </c>
      <c r="R125" s="32">
        <v>41.471615</v>
      </c>
      <c r="S125" s="32">
        <v>42.493271</v>
      </c>
      <c r="T125" s="32">
        <v>43.082932</v>
      </c>
      <c r="U125" s="38">
        <v>43.848190000000002</v>
      </c>
      <c r="V125" s="32">
        <v>44.508965000000003</v>
      </c>
      <c r="W125" s="32">
        <v>45.150764000000002</v>
      </c>
      <c r="X125" s="32">
        <v>46.151558000000001</v>
      </c>
      <c r="Y125" s="32">
        <v>47.105209000000002</v>
      </c>
      <c r="Z125" s="32">
        <v>47.867989000000001</v>
      </c>
      <c r="AA125" s="32">
        <v>48.870499000000002</v>
      </c>
      <c r="AB125" s="32">
        <v>49.845920999999997</v>
      </c>
      <c r="AC125" s="32">
        <v>50.469154000000003</v>
      </c>
      <c r="AD125" s="32">
        <v>51.580371999999997</v>
      </c>
      <c r="AE125" s="32">
        <v>52.619067999999999</v>
      </c>
      <c r="AF125" s="32">
        <v>53.522812000000002</v>
      </c>
      <c r="AG125" s="32">
        <v>54.786403999999997</v>
      </c>
      <c r="AH125" s="32">
        <v>55.861941999999999</v>
      </c>
      <c r="AI125" s="32">
        <v>56.607075000000002</v>
      </c>
      <c r="AJ125" s="36">
        <v>1.9E-2</v>
      </c>
    </row>
    <row r="126" spans="1:36">
      <c r="A126" s="113" t="s">
        <v>308</v>
      </c>
      <c r="B126" s="113"/>
      <c r="C126" s="113" t="s">
        <v>1102</v>
      </c>
      <c r="D126" s="113"/>
      <c r="U126" s="38"/>
    </row>
    <row r="127" spans="1:36">
      <c r="A127" s="113" t="s">
        <v>304</v>
      </c>
      <c r="B127" s="113" t="s">
        <v>1103</v>
      </c>
      <c r="C127" s="113" t="s">
        <v>1104</v>
      </c>
      <c r="D127" s="113" t="s">
        <v>323</v>
      </c>
      <c r="F127" s="32">
        <v>13.641980999999999</v>
      </c>
      <c r="G127" s="32">
        <v>14.82328</v>
      </c>
      <c r="H127" s="32">
        <v>13.228118</v>
      </c>
      <c r="I127" s="32">
        <v>13.509581000000001</v>
      </c>
      <c r="J127" s="32">
        <v>13.700345</v>
      </c>
      <c r="K127" s="32">
        <v>14.203962000000001</v>
      </c>
      <c r="L127" s="32">
        <v>15.032783999999999</v>
      </c>
      <c r="M127" s="32">
        <v>16.078341000000002</v>
      </c>
      <c r="N127" s="32">
        <v>16.922007000000001</v>
      </c>
      <c r="O127" s="32">
        <v>17.805546</v>
      </c>
      <c r="P127" s="32">
        <v>18.664694000000001</v>
      </c>
      <c r="Q127" s="32">
        <v>19.45636</v>
      </c>
      <c r="R127" s="32">
        <v>20.259917999999999</v>
      </c>
      <c r="S127" s="32">
        <v>20.942271999999999</v>
      </c>
      <c r="T127" s="32">
        <v>21.565058000000001</v>
      </c>
      <c r="U127" s="38">
        <v>22.266251</v>
      </c>
      <c r="V127" s="32">
        <v>23.055674</v>
      </c>
      <c r="W127" s="32">
        <v>23.847632999999998</v>
      </c>
      <c r="X127" s="32">
        <v>24.515272</v>
      </c>
      <c r="Y127" s="32">
        <v>25.546053000000001</v>
      </c>
      <c r="Z127" s="32">
        <v>26.414724</v>
      </c>
      <c r="AA127" s="32">
        <v>27.043839999999999</v>
      </c>
      <c r="AB127" s="32">
        <v>27.982063</v>
      </c>
      <c r="AC127" s="32">
        <v>29.014353</v>
      </c>
      <c r="AD127" s="32">
        <v>29.733128000000001</v>
      </c>
      <c r="AE127" s="32">
        <v>30.615950000000002</v>
      </c>
      <c r="AF127" s="32">
        <v>31.452760999999999</v>
      </c>
      <c r="AG127" s="32">
        <v>32.243564999999997</v>
      </c>
      <c r="AH127" s="32">
        <v>32.938231999999999</v>
      </c>
      <c r="AI127" s="32">
        <v>33.640236000000002</v>
      </c>
      <c r="AJ127" s="36">
        <v>3.2000000000000001E-2</v>
      </c>
    </row>
    <row r="128" spans="1:36">
      <c r="A128" s="113" t="s">
        <v>305</v>
      </c>
      <c r="B128" s="113" t="s">
        <v>1105</v>
      </c>
      <c r="C128" s="113" t="s">
        <v>1106</v>
      </c>
      <c r="D128" s="113" t="s">
        <v>323</v>
      </c>
      <c r="F128" s="32">
        <v>21.717592</v>
      </c>
      <c r="G128" s="32">
        <v>22.571608000000001</v>
      </c>
      <c r="H128" s="32">
        <v>21.515599999999999</v>
      </c>
      <c r="I128" s="32">
        <v>22.345278</v>
      </c>
      <c r="J128" s="32">
        <v>22.266521000000001</v>
      </c>
      <c r="K128" s="32">
        <v>22.220915000000002</v>
      </c>
      <c r="L128" s="32">
        <v>22.279768000000001</v>
      </c>
      <c r="M128" s="32">
        <v>23.069102999999998</v>
      </c>
      <c r="N128" s="32">
        <v>23.781469000000001</v>
      </c>
      <c r="O128" s="32">
        <v>24.300283</v>
      </c>
      <c r="P128" s="32">
        <v>25.22044</v>
      </c>
      <c r="Q128" s="32">
        <v>25.921616</v>
      </c>
      <c r="R128" s="32">
        <v>26.606038999999999</v>
      </c>
      <c r="S128" s="32">
        <v>27.268663</v>
      </c>
      <c r="T128" s="32">
        <v>28.014161999999999</v>
      </c>
      <c r="U128" s="38">
        <v>28.888258</v>
      </c>
      <c r="V128" s="32">
        <v>29.851292000000001</v>
      </c>
      <c r="W128" s="32">
        <v>30.717579000000001</v>
      </c>
      <c r="X128" s="32">
        <v>31.510216</v>
      </c>
      <c r="Y128" s="32">
        <v>32.536942000000003</v>
      </c>
      <c r="Z128" s="32">
        <v>33.454242999999998</v>
      </c>
      <c r="AA128" s="32">
        <v>34.250960999999997</v>
      </c>
      <c r="AB128" s="32">
        <v>35.466492000000002</v>
      </c>
      <c r="AC128" s="32">
        <v>36.756816999999998</v>
      </c>
      <c r="AD128" s="32">
        <v>37.783194999999999</v>
      </c>
      <c r="AE128" s="32">
        <v>38.975670000000001</v>
      </c>
      <c r="AF128" s="32">
        <v>39.964108000000003</v>
      </c>
      <c r="AG128" s="32">
        <v>40.792220999999998</v>
      </c>
      <c r="AH128" s="32">
        <v>41.688946000000001</v>
      </c>
      <c r="AI128" s="32">
        <v>42.504292</v>
      </c>
      <c r="AJ128" s="36">
        <v>2.3E-2</v>
      </c>
    </row>
    <row r="129" spans="1:36">
      <c r="A129" s="113" t="s">
        <v>307</v>
      </c>
      <c r="B129" s="113" t="s">
        <v>1107</v>
      </c>
      <c r="C129" s="113" t="s">
        <v>1108</v>
      </c>
      <c r="D129" s="113" t="s">
        <v>323</v>
      </c>
      <c r="F129" s="32">
        <v>7.0809300000000004</v>
      </c>
      <c r="G129" s="32">
        <v>8.4804739999999992</v>
      </c>
      <c r="H129" s="32">
        <v>8.9927600000000005</v>
      </c>
      <c r="I129" s="32">
        <v>10.841158</v>
      </c>
      <c r="J129" s="32">
        <v>11.899393</v>
      </c>
      <c r="K129" s="32">
        <v>13.108364</v>
      </c>
      <c r="L129" s="32">
        <v>14.567432</v>
      </c>
      <c r="M129" s="32">
        <v>15.200374</v>
      </c>
      <c r="N129" s="32">
        <v>15.714444</v>
      </c>
      <c r="O129" s="32">
        <v>16.290115</v>
      </c>
      <c r="P129" s="32">
        <v>16.919771000000001</v>
      </c>
      <c r="Q129" s="32">
        <v>17.494879000000001</v>
      </c>
      <c r="R129" s="32">
        <v>18.059370000000001</v>
      </c>
      <c r="S129" s="32">
        <v>18.495069999999998</v>
      </c>
      <c r="T129" s="32">
        <v>18.953984999999999</v>
      </c>
      <c r="U129" s="38">
        <v>19.314917000000001</v>
      </c>
      <c r="V129" s="32">
        <v>19.694980999999999</v>
      </c>
      <c r="W129" s="32">
        <v>20.482464</v>
      </c>
      <c r="X129" s="32">
        <v>20.742702000000001</v>
      </c>
      <c r="Y129" s="32">
        <v>22.002410999999999</v>
      </c>
      <c r="Z129" s="32">
        <v>22.783194000000002</v>
      </c>
      <c r="AA129" s="32">
        <v>23.533719999999999</v>
      </c>
      <c r="AB129" s="32">
        <v>24.681253000000002</v>
      </c>
      <c r="AC129" s="32">
        <v>25.668652000000002</v>
      </c>
      <c r="AD129" s="32">
        <v>26.400908000000001</v>
      </c>
      <c r="AE129" s="32">
        <v>27.306450000000002</v>
      </c>
      <c r="AF129" s="32">
        <v>28.066879</v>
      </c>
      <c r="AG129" s="32">
        <v>28.649054</v>
      </c>
      <c r="AH129" s="32">
        <v>29.361336000000001</v>
      </c>
      <c r="AI129" s="32">
        <v>29.941208</v>
      </c>
      <c r="AJ129" s="36">
        <v>5.0999999999999997E-2</v>
      </c>
    </row>
    <row r="130" spans="1:36">
      <c r="A130" s="113" t="s">
        <v>97</v>
      </c>
      <c r="B130" s="113" t="s">
        <v>1109</v>
      </c>
      <c r="C130" s="113" t="s">
        <v>1110</v>
      </c>
      <c r="D130" s="113" t="s">
        <v>323</v>
      </c>
      <c r="F130" s="32">
        <v>5.058338</v>
      </c>
      <c r="G130" s="32">
        <v>4.9606880000000002</v>
      </c>
      <c r="H130" s="32">
        <v>4.7308859999999999</v>
      </c>
      <c r="I130" s="32">
        <v>4.4869789999999998</v>
      </c>
      <c r="J130" s="32">
        <v>4.4059819999999998</v>
      </c>
      <c r="K130" s="32">
        <v>4.4885460000000004</v>
      </c>
      <c r="L130" s="32">
        <v>4.6922079999999999</v>
      </c>
      <c r="M130" s="32">
        <v>4.9800719999999998</v>
      </c>
      <c r="N130" s="32">
        <v>5.2466489999999997</v>
      </c>
      <c r="O130" s="32">
        <v>5.4737900000000002</v>
      </c>
      <c r="P130" s="32">
        <v>5.6553329999999997</v>
      </c>
      <c r="Q130" s="32">
        <v>5.8114090000000003</v>
      </c>
      <c r="R130" s="32">
        <v>6.0306319999999998</v>
      </c>
      <c r="S130" s="32">
        <v>6.158785</v>
      </c>
      <c r="T130" s="32">
        <v>6.2683720000000003</v>
      </c>
      <c r="U130" s="38">
        <v>6.4107750000000001</v>
      </c>
      <c r="V130" s="32">
        <v>6.5754510000000002</v>
      </c>
      <c r="W130" s="32">
        <v>6.7349690000000004</v>
      </c>
      <c r="X130" s="32">
        <v>6.8900499999999996</v>
      </c>
      <c r="Y130" s="32">
        <v>7.0822799999999999</v>
      </c>
      <c r="Z130" s="32">
        <v>7.2536230000000002</v>
      </c>
      <c r="AA130" s="32">
        <v>7.3851310000000003</v>
      </c>
      <c r="AB130" s="32">
        <v>7.546316</v>
      </c>
      <c r="AC130" s="32">
        <v>7.642658</v>
      </c>
      <c r="AD130" s="32">
        <v>7.7947069999999998</v>
      </c>
      <c r="AE130" s="32">
        <v>7.9593800000000003</v>
      </c>
      <c r="AF130" s="32">
        <v>8.1358029999999992</v>
      </c>
      <c r="AG130" s="32">
        <v>8.3268740000000001</v>
      </c>
      <c r="AH130" s="32">
        <v>8.4997769999999999</v>
      </c>
      <c r="AI130" s="32">
        <v>8.6865319999999997</v>
      </c>
      <c r="AJ130" s="36">
        <v>1.9E-2</v>
      </c>
    </row>
    <row r="131" spans="1:36">
      <c r="A131" s="113" t="s">
        <v>309</v>
      </c>
      <c r="B131" s="113" t="s">
        <v>1111</v>
      </c>
      <c r="C131" s="113" t="s">
        <v>1112</v>
      </c>
      <c r="D131" s="113" t="s">
        <v>323</v>
      </c>
      <c r="F131" s="32">
        <v>3.9200170000000001</v>
      </c>
      <c r="G131" s="32">
        <v>3.6054369999999998</v>
      </c>
      <c r="H131" s="32">
        <v>3.4913690000000002</v>
      </c>
      <c r="I131" s="32">
        <v>3.3983819999999998</v>
      </c>
      <c r="J131" s="32">
        <v>3.3789889999999998</v>
      </c>
      <c r="K131" s="32">
        <v>3.3908390000000002</v>
      </c>
      <c r="L131" s="32">
        <v>3.445567</v>
      </c>
      <c r="M131" s="32">
        <v>3.533506</v>
      </c>
      <c r="N131" s="32">
        <v>3.6329379999999998</v>
      </c>
      <c r="O131" s="32">
        <v>3.7527650000000001</v>
      </c>
      <c r="P131" s="32">
        <v>3.866501</v>
      </c>
      <c r="Q131" s="32">
        <v>3.9937640000000001</v>
      </c>
      <c r="R131" s="32">
        <v>4.1150979999999997</v>
      </c>
      <c r="S131" s="32">
        <v>4.2374179999999999</v>
      </c>
      <c r="T131" s="32">
        <v>4.3664909999999999</v>
      </c>
      <c r="U131" s="38">
        <v>4.5016809999999996</v>
      </c>
      <c r="V131" s="32">
        <v>4.6472639999999998</v>
      </c>
      <c r="W131" s="32">
        <v>4.7897720000000001</v>
      </c>
      <c r="X131" s="32">
        <v>4.9332200000000004</v>
      </c>
      <c r="Y131" s="32">
        <v>5.0880960000000002</v>
      </c>
      <c r="Z131" s="32">
        <v>5.2426050000000002</v>
      </c>
      <c r="AA131" s="32">
        <v>5.3983359999999996</v>
      </c>
      <c r="AB131" s="32">
        <v>5.5599360000000004</v>
      </c>
      <c r="AC131" s="32">
        <v>5.7329210000000002</v>
      </c>
      <c r="AD131" s="32">
        <v>5.9108970000000003</v>
      </c>
      <c r="AE131" s="32">
        <v>6.0977940000000004</v>
      </c>
      <c r="AF131" s="32">
        <v>6.284459</v>
      </c>
      <c r="AG131" s="32">
        <v>6.4651100000000001</v>
      </c>
      <c r="AH131" s="32">
        <v>6.6547159999999996</v>
      </c>
      <c r="AI131" s="32">
        <v>6.8627050000000001</v>
      </c>
      <c r="AJ131" s="32">
        <v>1.9E-2</v>
      </c>
    </row>
    <row r="132" spans="1:36">
      <c r="A132" s="113" t="s">
        <v>310</v>
      </c>
      <c r="B132" s="113" t="s">
        <v>1113</v>
      </c>
      <c r="C132" s="113" t="s">
        <v>1114</v>
      </c>
      <c r="D132" s="113" t="s">
        <v>323</v>
      </c>
      <c r="F132" s="32">
        <v>2.6913619999999998</v>
      </c>
      <c r="G132" s="32">
        <v>2.7431549999999998</v>
      </c>
      <c r="H132" s="32">
        <v>2.8010410000000001</v>
      </c>
      <c r="I132" s="32">
        <v>2.8696139999999999</v>
      </c>
      <c r="J132" s="32">
        <v>2.9360019999999998</v>
      </c>
      <c r="K132" s="32">
        <v>2.9961129999999998</v>
      </c>
      <c r="L132" s="32">
        <v>3.0601240000000001</v>
      </c>
      <c r="M132" s="32">
        <v>3.1369449999999999</v>
      </c>
      <c r="N132" s="32">
        <v>3.2139259999999998</v>
      </c>
      <c r="O132" s="32">
        <v>3.2908240000000002</v>
      </c>
      <c r="P132" s="32">
        <v>3.3714750000000002</v>
      </c>
      <c r="Q132" s="32">
        <v>3.4496699999999998</v>
      </c>
      <c r="R132" s="32">
        <v>3.5312399999999999</v>
      </c>
      <c r="S132" s="32">
        <v>3.6126680000000002</v>
      </c>
      <c r="T132" s="32">
        <v>3.6879209999999998</v>
      </c>
      <c r="U132" s="38">
        <v>3.7663259999999998</v>
      </c>
      <c r="V132" s="32">
        <v>3.848652</v>
      </c>
      <c r="W132" s="32">
        <v>3.944464</v>
      </c>
      <c r="X132" s="32">
        <v>4.0371410000000001</v>
      </c>
      <c r="Y132" s="32">
        <v>4.1365400000000001</v>
      </c>
      <c r="Z132" s="32">
        <v>4.2392839999999996</v>
      </c>
      <c r="AA132" s="32">
        <v>4.3292999999999999</v>
      </c>
      <c r="AB132" s="32">
        <v>4.4344049999999999</v>
      </c>
      <c r="AC132" s="32">
        <v>4.545051</v>
      </c>
      <c r="AD132" s="32">
        <v>4.6587829999999997</v>
      </c>
      <c r="AE132" s="32">
        <v>4.7740859999999996</v>
      </c>
      <c r="AF132" s="32">
        <v>4.8882709999999996</v>
      </c>
      <c r="AG132" s="32">
        <v>5.0032519999999998</v>
      </c>
      <c r="AH132" s="32">
        <v>5.1265590000000003</v>
      </c>
      <c r="AI132" s="32">
        <v>5.2522419999999999</v>
      </c>
      <c r="AJ132" s="36">
        <v>2.3E-2</v>
      </c>
    </row>
    <row r="133" spans="1:36">
      <c r="A133" s="113" t="s">
        <v>311</v>
      </c>
      <c r="B133" s="113" t="s">
        <v>1115</v>
      </c>
      <c r="C133" s="113" t="s">
        <v>1116</v>
      </c>
      <c r="D133" s="113" t="s">
        <v>323</v>
      </c>
      <c r="F133" s="32">
        <v>0</v>
      </c>
      <c r="G133" s="32">
        <v>0</v>
      </c>
      <c r="H133" s="32">
        <v>0</v>
      </c>
      <c r="I133" s="32">
        <v>0</v>
      </c>
      <c r="J133" s="32">
        <v>0</v>
      </c>
      <c r="K133" s="32">
        <v>0</v>
      </c>
      <c r="L133" s="32">
        <v>0</v>
      </c>
      <c r="M133" s="32">
        <v>0</v>
      </c>
      <c r="N133" s="32">
        <v>0</v>
      </c>
      <c r="O133" s="32">
        <v>0</v>
      </c>
      <c r="P133" s="32">
        <v>0</v>
      </c>
      <c r="Q133" s="32">
        <v>0</v>
      </c>
      <c r="R133" s="32">
        <v>0</v>
      </c>
      <c r="S133" s="32">
        <v>0</v>
      </c>
      <c r="T133" s="32">
        <v>0</v>
      </c>
      <c r="U133" s="38">
        <v>0</v>
      </c>
      <c r="V133" s="32">
        <v>0</v>
      </c>
      <c r="W133" s="32">
        <v>0</v>
      </c>
      <c r="X133" s="32">
        <v>0</v>
      </c>
      <c r="Y133" s="32">
        <v>0</v>
      </c>
      <c r="Z133" s="32">
        <v>0</v>
      </c>
      <c r="AA133" s="32">
        <v>0</v>
      </c>
      <c r="AB133" s="32">
        <v>0</v>
      </c>
      <c r="AC133" s="32">
        <v>0</v>
      </c>
      <c r="AD133" s="32">
        <v>0</v>
      </c>
      <c r="AE133" s="32">
        <v>0</v>
      </c>
      <c r="AF133" s="32">
        <v>0</v>
      </c>
      <c r="AG133" s="32">
        <v>0</v>
      </c>
      <c r="AH133" s="32">
        <v>0</v>
      </c>
      <c r="AI133" s="32">
        <v>0</v>
      </c>
      <c r="AJ133" s="32" t="s">
        <v>86</v>
      </c>
    </row>
    <row r="134" spans="1:36">
      <c r="A134" s="113" t="s">
        <v>130</v>
      </c>
      <c r="B134" s="113" t="s">
        <v>1117</v>
      </c>
      <c r="C134" s="113" t="s">
        <v>1118</v>
      </c>
      <c r="D134" s="113" t="s">
        <v>323</v>
      </c>
      <c r="F134" s="32">
        <v>21.928906999999999</v>
      </c>
      <c r="G134" s="32">
        <v>22.258635999999999</v>
      </c>
      <c r="H134" s="32">
        <v>21.687746000000001</v>
      </c>
      <c r="I134" s="32">
        <v>21.432552000000001</v>
      </c>
      <c r="J134" s="32">
        <v>21.685675</v>
      </c>
      <c r="K134" s="32">
        <v>21.965502000000001</v>
      </c>
      <c r="L134" s="32">
        <v>22.512975999999998</v>
      </c>
      <c r="M134" s="32">
        <v>23.17944</v>
      </c>
      <c r="N134" s="32">
        <v>23.771338</v>
      </c>
      <c r="O134" s="32">
        <v>24.363264000000001</v>
      </c>
      <c r="P134" s="32">
        <v>24.943731</v>
      </c>
      <c r="Q134" s="32">
        <v>25.529104</v>
      </c>
      <c r="R134" s="32">
        <v>26.149601000000001</v>
      </c>
      <c r="S134" s="32">
        <v>26.755617000000001</v>
      </c>
      <c r="T134" s="32">
        <v>27.120042999999999</v>
      </c>
      <c r="U134" s="38">
        <v>27.645548000000002</v>
      </c>
      <c r="V134" s="32">
        <v>28.054914</v>
      </c>
      <c r="W134" s="32">
        <v>28.52524</v>
      </c>
      <c r="X134" s="32">
        <v>29.101257</v>
      </c>
      <c r="Y134" s="32">
        <v>29.699963</v>
      </c>
      <c r="Z134" s="32">
        <v>30.254791000000001</v>
      </c>
      <c r="AA134" s="32">
        <v>30.826568999999999</v>
      </c>
      <c r="AB134" s="32">
        <v>31.360878</v>
      </c>
      <c r="AC134" s="32">
        <v>31.823613999999999</v>
      </c>
      <c r="AD134" s="32">
        <v>32.437401000000001</v>
      </c>
      <c r="AE134" s="32">
        <v>33.070732</v>
      </c>
      <c r="AF134" s="32">
        <v>33.716315999999999</v>
      </c>
      <c r="AG134" s="32">
        <v>34.451973000000002</v>
      </c>
      <c r="AH134" s="32">
        <v>35.131283000000003</v>
      </c>
      <c r="AI134" s="32">
        <v>35.716999000000001</v>
      </c>
      <c r="AJ134" s="36">
        <v>1.7000000000000001E-2</v>
      </c>
    </row>
    <row r="135" spans="1:36">
      <c r="A135" s="113" t="s">
        <v>132</v>
      </c>
      <c r="B135" s="113"/>
      <c r="C135" s="113" t="s">
        <v>1119</v>
      </c>
      <c r="D135" s="113"/>
      <c r="U135" s="38"/>
    </row>
    <row r="136" spans="1:36">
      <c r="A136" s="113" t="s">
        <v>304</v>
      </c>
      <c r="B136" s="113" t="s">
        <v>1120</v>
      </c>
      <c r="C136" s="113" t="s">
        <v>1121</v>
      </c>
      <c r="D136" s="113" t="s">
        <v>323</v>
      </c>
      <c r="F136" s="32">
        <v>17.743065000000001</v>
      </c>
      <c r="G136" s="32">
        <v>18.796288000000001</v>
      </c>
      <c r="H136" s="32">
        <v>17.557652000000001</v>
      </c>
      <c r="I136" s="32">
        <v>17.95776</v>
      </c>
      <c r="J136" s="32">
        <v>18.275478</v>
      </c>
      <c r="K136" s="32">
        <v>18.869039999999998</v>
      </c>
      <c r="L136" s="32">
        <v>19.743797000000001</v>
      </c>
      <c r="M136" s="32">
        <v>20.793521999999999</v>
      </c>
      <c r="N136" s="32">
        <v>21.664362000000001</v>
      </c>
      <c r="O136" s="32">
        <v>22.562947999999999</v>
      </c>
      <c r="P136" s="32">
        <v>23.866371000000001</v>
      </c>
      <c r="Q136" s="32">
        <v>24.692008999999999</v>
      </c>
      <c r="R136" s="32">
        <v>25.592226</v>
      </c>
      <c r="S136" s="32">
        <v>26.339003000000002</v>
      </c>
      <c r="T136" s="32">
        <v>27.042359999999999</v>
      </c>
      <c r="U136" s="38">
        <v>27.812467999999999</v>
      </c>
      <c r="V136" s="32">
        <v>28.655745</v>
      </c>
      <c r="W136" s="32">
        <v>29.505571</v>
      </c>
      <c r="X136" s="32">
        <v>30.261047000000001</v>
      </c>
      <c r="Y136" s="32">
        <v>31.311506000000001</v>
      </c>
      <c r="Z136" s="32">
        <v>32.236378000000002</v>
      </c>
      <c r="AA136" s="32">
        <v>32.984577000000002</v>
      </c>
      <c r="AB136" s="32">
        <v>33.981448999999998</v>
      </c>
      <c r="AC136" s="32">
        <v>35.051872000000003</v>
      </c>
      <c r="AD136" s="32">
        <v>35.885441</v>
      </c>
      <c r="AE136" s="32">
        <v>36.855953</v>
      </c>
      <c r="AF136" s="32">
        <v>37.796000999999997</v>
      </c>
      <c r="AG136" s="32">
        <v>38.709395999999998</v>
      </c>
      <c r="AH136" s="32">
        <v>39.558571000000001</v>
      </c>
      <c r="AI136" s="32">
        <v>40.421101</v>
      </c>
      <c r="AJ136" s="36">
        <v>2.9000000000000001E-2</v>
      </c>
    </row>
    <row r="137" spans="1:36">
      <c r="A137" s="113" t="s">
        <v>312</v>
      </c>
      <c r="B137" s="113" t="s">
        <v>1122</v>
      </c>
      <c r="C137" s="113" t="s">
        <v>1123</v>
      </c>
      <c r="D137" s="113" t="s">
        <v>323</v>
      </c>
      <c r="F137" s="32">
        <v>25.695416999999999</v>
      </c>
      <c r="G137" s="32">
        <v>26.308959999999999</v>
      </c>
      <c r="H137" s="32">
        <v>26.930523000000001</v>
      </c>
      <c r="I137" s="32">
        <v>27.301365000000001</v>
      </c>
      <c r="J137" s="32">
        <v>27.616278000000001</v>
      </c>
      <c r="K137" s="32">
        <v>28.610430000000001</v>
      </c>
      <c r="L137" s="32">
        <v>29.713726000000001</v>
      </c>
      <c r="M137" s="32">
        <v>30.835906999999999</v>
      </c>
      <c r="N137" s="32">
        <v>31.865234000000001</v>
      </c>
      <c r="O137" s="32">
        <v>33.457504</v>
      </c>
      <c r="P137" s="32">
        <v>35.15757</v>
      </c>
      <c r="Q137" s="32">
        <v>36.404007</v>
      </c>
      <c r="R137" s="32">
        <v>37.429240999999998</v>
      </c>
      <c r="S137" s="32">
        <v>38.908175999999997</v>
      </c>
      <c r="T137" s="32">
        <v>40.006335999999997</v>
      </c>
      <c r="U137" s="38">
        <v>40.948658000000002</v>
      </c>
      <c r="V137" s="32">
        <v>42.048450000000003</v>
      </c>
      <c r="W137" s="32">
        <v>43.538193</v>
      </c>
      <c r="X137" s="32">
        <v>44.485416000000001</v>
      </c>
      <c r="Y137" s="32">
        <v>45.852508999999998</v>
      </c>
      <c r="Z137" s="32">
        <v>47.228591999999999</v>
      </c>
      <c r="AA137" s="32">
        <v>48.336624</v>
      </c>
      <c r="AB137" s="32">
        <v>49.926281000000003</v>
      </c>
      <c r="AC137" s="32">
        <v>51.563236000000003</v>
      </c>
      <c r="AD137" s="32">
        <v>52.912421999999999</v>
      </c>
      <c r="AE137" s="32">
        <v>54.585278000000002</v>
      </c>
      <c r="AF137" s="32">
        <v>56.020256000000003</v>
      </c>
      <c r="AG137" s="32">
        <v>57.158130999999997</v>
      </c>
      <c r="AH137" s="32">
        <v>58.525562000000001</v>
      </c>
      <c r="AI137" s="32">
        <v>59.859585000000003</v>
      </c>
      <c r="AJ137" s="36">
        <v>0.03</v>
      </c>
    </row>
    <row r="138" spans="1:36">
      <c r="A138" s="113" t="s">
        <v>313</v>
      </c>
      <c r="B138" s="113" t="s">
        <v>1124</v>
      </c>
      <c r="C138" s="113" t="s">
        <v>1125</v>
      </c>
      <c r="D138" s="113" t="s">
        <v>323</v>
      </c>
      <c r="F138" s="32">
        <v>25.844168</v>
      </c>
      <c r="G138" s="32">
        <v>25.379753000000001</v>
      </c>
      <c r="H138" s="32">
        <v>23.113689000000001</v>
      </c>
      <c r="I138" s="32">
        <v>23.481171</v>
      </c>
      <c r="J138" s="32">
        <v>23.796037999999999</v>
      </c>
      <c r="K138" s="32">
        <v>24.637022000000002</v>
      </c>
      <c r="L138" s="32">
        <v>25.563745000000001</v>
      </c>
      <c r="M138" s="32">
        <v>26.489612999999999</v>
      </c>
      <c r="N138" s="32">
        <v>27.337935999999999</v>
      </c>
      <c r="O138" s="32">
        <v>28.665991000000002</v>
      </c>
      <c r="P138" s="32">
        <v>30.266462000000001</v>
      </c>
      <c r="Q138" s="32">
        <v>31.252970000000001</v>
      </c>
      <c r="R138" s="32">
        <v>32.209350999999998</v>
      </c>
      <c r="S138" s="32">
        <v>33.183781000000003</v>
      </c>
      <c r="T138" s="32">
        <v>34.046287999999997</v>
      </c>
      <c r="U138" s="38">
        <v>35.045867999999999</v>
      </c>
      <c r="V138" s="32">
        <v>36.046345000000002</v>
      </c>
      <c r="W138" s="32">
        <v>37.253506000000002</v>
      </c>
      <c r="X138" s="32">
        <v>38.097740000000002</v>
      </c>
      <c r="Y138" s="32">
        <v>39.267960000000002</v>
      </c>
      <c r="Z138" s="32">
        <v>40.412998000000002</v>
      </c>
      <c r="AA138" s="32">
        <v>41.400291000000003</v>
      </c>
      <c r="AB138" s="32">
        <v>42.769409000000003</v>
      </c>
      <c r="AC138" s="32">
        <v>44.159633999999997</v>
      </c>
      <c r="AD138" s="32">
        <v>45.307552000000001</v>
      </c>
      <c r="AE138" s="32">
        <v>46.714092000000001</v>
      </c>
      <c r="AF138" s="32">
        <v>47.925528999999997</v>
      </c>
      <c r="AG138" s="32">
        <v>48.888756000000001</v>
      </c>
      <c r="AH138" s="32">
        <v>50.039580999999998</v>
      </c>
      <c r="AI138" s="32">
        <v>51.175261999999996</v>
      </c>
      <c r="AJ138" s="36">
        <v>2.4E-2</v>
      </c>
    </row>
    <row r="139" spans="1:36">
      <c r="A139" s="113" t="s">
        <v>95</v>
      </c>
      <c r="B139" s="113" t="s">
        <v>1126</v>
      </c>
      <c r="C139" s="113" t="s">
        <v>1127</v>
      </c>
      <c r="D139" s="113" t="s">
        <v>323</v>
      </c>
      <c r="F139" s="32">
        <v>14.697266000000001</v>
      </c>
      <c r="G139" s="32">
        <v>15.734508999999999</v>
      </c>
      <c r="H139" s="32">
        <v>14.949004</v>
      </c>
      <c r="I139" s="32">
        <v>16.537255999999999</v>
      </c>
      <c r="J139" s="32">
        <v>16.996722999999999</v>
      </c>
      <c r="K139" s="32">
        <v>17.578077</v>
      </c>
      <c r="L139" s="32">
        <v>18.347017000000001</v>
      </c>
      <c r="M139" s="32">
        <v>19.134594</v>
      </c>
      <c r="N139" s="32">
        <v>19.803878999999998</v>
      </c>
      <c r="O139" s="32">
        <v>20.194859999999998</v>
      </c>
      <c r="P139" s="32">
        <v>21.272349999999999</v>
      </c>
      <c r="Q139" s="32">
        <v>21.982144999999999</v>
      </c>
      <c r="R139" s="32">
        <v>22.615096999999999</v>
      </c>
      <c r="S139" s="32">
        <v>23.347526999999999</v>
      </c>
      <c r="T139" s="32">
        <v>24.019000999999999</v>
      </c>
      <c r="U139" s="38">
        <v>24.826756</v>
      </c>
      <c r="V139" s="32">
        <v>25.745712000000001</v>
      </c>
      <c r="W139" s="32">
        <v>26.582815</v>
      </c>
      <c r="X139" s="32">
        <v>27.326975000000001</v>
      </c>
      <c r="Y139" s="32">
        <v>28.234632000000001</v>
      </c>
      <c r="Z139" s="32">
        <v>29.098369999999999</v>
      </c>
      <c r="AA139" s="32">
        <v>29.827629000000002</v>
      </c>
      <c r="AB139" s="32">
        <v>30.990594999999999</v>
      </c>
      <c r="AC139" s="32">
        <v>32.221457999999998</v>
      </c>
      <c r="AD139" s="32">
        <v>33.140506999999999</v>
      </c>
      <c r="AE139" s="32">
        <v>34.266182000000001</v>
      </c>
      <c r="AF139" s="32">
        <v>35.211314999999999</v>
      </c>
      <c r="AG139" s="32">
        <v>35.964252000000002</v>
      </c>
      <c r="AH139" s="32">
        <v>36.867260000000002</v>
      </c>
      <c r="AI139" s="32">
        <v>37.599421999999997</v>
      </c>
      <c r="AJ139" s="36">
        <v>3.3000000000000002E-2</v>
      </c>
    </row>
    <row r="140" spans="1:36">
      <c r="A140" s="113" t="s">
        <v>314</v>
      </c>
      <c r="B140" s="113" t="s">
        <v>1128</v>
      </c>
      <c r="C140" s="113" t="s">
        <v>1129</v>
      </c>
      <c r="D140" s="113" t="s">
        <v>323</v>
      </c>
      <c r="F140" s="32">
        <v>23.712284</v>
      </c>
      <c r="G140" s="32">
        <v>23.357372000000002</v>
      </c>
      <c r="H140" s="32">
        <v>22.931307</v>
      </c>
      <c r="I140" s="32">
        <v>24.283770000000001</v>
      </c>
      <c r="J140" s="32">
        <v>24.832190000000001</v>
      </c>
      <c r="K140" s="32">
        <v>25.413986000000001</v>
      </c>
      <c r="L140" s="32">
        <v>26.126245000000001</v>
      </c>
      <c r="M140" s="32">
        <v>26.993334000000001</v>
      </c>
      <c r="N140" s="32">
        <v>27.812131999999998</v>
      </c>
      <c r="O140" s="32">
        <v>28.414680000000001</v>
      </c>
      <c r="P140" s="32">
        <v>29.842941</v>
      </c>
      <c r="Q140" s="32">
        <v>30.630652999999999</v>
      </c>
      <c r="R140" s="32">
        <v>31.481293000000001</v>
      </c>
      <c r="S140" s="32">
        <v>32.237819999999999</v>
      </c>
      <c r="T140" s="32">
        <v>33.088394000000001</v>
      </c>
      <c r="U140" s="38">
        <v>34.075161000000001</v>
      </c>
      <c r="V140" s="32">
        <v>35.117579999999997</v>
      </c>
      <c r="W140" s="32">
        <v>36.096702999999998</v>
      </c>
      <c r="X140" s="32">
        <v>37.027934999999999</v>
      </c>
      <c r="Y140" s="32">
        <v>38.180840000000003</v>
      </c>
      <c r="Z140" s="32">
        <v>39.227234000000003</v>
      </c>
      <c r="AA140" s="32">
        <v>40.141078999999998</v>
      </c>
      <c r="AB140" s="32">
        <v>41.489581999999999</v>
      </c>
      <c r="AC140" s="32">
        <v>42.917873</v>
      </c>
      <c r="AD140" s="32">
        <v>44.069504000000002</v>
      </c>
      <c r="AE140" s="32">
        <v>45.396445999999997</v>
      </c>
      <c r="AF140" s="32">
        <v>46.538006000000003</v>
      </c>
      <c r="AG140" s="32">
        <v>47.508277999999997</v>
      </c>
      <c r="AH140" s="32">
        <v>48.558239</v>
      </c>
      <c r="AI140" s="32">
        <v>49.552666000000002</v>
      </c>
      <c r="AJ140" s="36">
        <v>2.5999999999999999E-2</v>
      </c>
    </row>
    <row r="141" spans="1:36">
      <c r="A141" s="113" t="s">
        <v>307</v>
      </c>
      <c r="B141" s="113" t="s">
        <v>1130</v>
      </c>
      <c r="C141" s="113" t="s">
        <v>1131</v>
      </c>
      <c r="D141" s="113" t="s">
        <v>323</v>
      </c>
      <c r="F141" s="32">
        <v>12.338293</v>
      </c>
      <c r="G141" s="32">
        <v>10.683403</v>
      </c>
      <c r="H141" s="32">
        <v>13.39991</v>
      </c>
      <c r="I141" s="32">
        <v>14.661341999999999</v>
      </c>
      <c r="J141" s="32">
        <v>15.194910999999999</v>
      </c>
      <c r="K141" s="32">
        <v>15.760797</v>
      </c>
      <c r="L141" s="32">
        <v>16.559521</v>
      </c>
      <c r="M141" s="32">
        <v>17.186556</v>
      </c>
      <c r="N141" s="32">
        <v>17.727492999999999</v>
      </c>
      <c r="O141" s="32">
        <v>18.288788</v>
      </c>
      <c r="P141" s="32">
        <v>18.997254999999999</v>
      </c>
      <c r="Q141" s="32">
        <v>19.558371999999999</v>
      </c>
      <c r="R141" s="32">
        <v>20.162931</v>
      </c>
      <c r="S141" s="32">
        <v>20.632057</v>
      </c>
      <c r="T141" s="32">
        <v>21.135794000000001</v>
      </c>
      <c r="U141" s="38">
        <v>21.582094000000001</v>
      </c>
      <c r="V141" s="32">
        <v>22.108855999999999</v>
      </c>
      <c r="W141" s="32">
        <v>22.878723000000001</v>
      </c>
      <c r="X141" s="32">
        <v>23.307366999999999</v>
      </c>
      <c r="Y141" s="32">
        <v>24.337975</v>
      </c>
      <c r="Z141" s="32">
        <v>25.095728000000001</v>
      </c>
      <c r="AA141" s="32">
        <v>25.804514000000001</v>
      </c>
      <c r="AB141" s="32">
        <v>26.898869000000001</v>
      </c>
      <c r="AC141" s="32">
        <v>27.877486999999999</v>
      </c>
      <c r="AD141" s="32">
        <v>28.674365999999999</v>
      </c>
      <c r="AE141" s="32">
        <v>29.592096000000002</v>
      </c>
      <c r="AF141" s="32">
        <v>30.364156999999999</v>
      </c>
      <c r="AG141" s="32">
        <v>31.004999000000002</v>
      </c>
      <c r="AH141" s="32">
        <v>31.779109999999999</v>
      </c>
      <c r="AI141" s="32">
        <v>32.433025000000001</v>
      </c>
      <c r="AJ141" s="36">
        <v>3.4000000000000002E-2</v>
      </c>
    </row>
    <row r="142" spans="1:36">
      <c r="A142" s="113" t="s">
        <v>97</v>
      </c>
      <c r="B142" s="113" t="s">
        <v>1132</v>
      </c>
      <c r="C142" s="113" t="s">
        <v>1133</v>
      </c>
      <c r="D142" s="113" t="s">
        <v>323</v>
      </c>
      <c r="F142" s="32">
        <v>14.643957</v>
      </c>
      <c r="G142" s="32">
        <v>14.980418999999999</v>
      </c>
      <c r="H142" s="32">
        <v>14.500601</v>
      </c>
      <c r="I142" s="32">
        <v>14.249805</v>
      </c>
      <c r="J142" s="32">
        <v>14.148581999999999</v>
      </c>
      <c r="K142" s="32">
        <v>14.163821</v>
      </c>
      <c r="L142" s="32">
        <v>14.277957000000001</v>
      </c>
      <c r="M142" s="32">
        <v>14.477740000000001</v>
      </c>
      <c r="N142" s="32">
        <v>14.671865</v>
      </c>
      <c r="O142" s="32">
        <v>14.818662</v>
      </c>
      <c r="P142" s="32">
        <v>15.988823999999999</v>
      </c>
      <c r="Q142" s="32">
        <v>16.109753000000001</v>
      </c>
      <c r="R142" s="32">
        <v>16.465042</v>
      </c>
      <c r="S142" s="32">
        <v>16.630462999999999</v>
      </c>
      <c r="T142" s="32">
        <v>16.757871999999999</v>
      </c>
      <c r="U142" s="38">
        <v>16.966201999999999</v>
      </c>
      <c r="V142" s="32">
        <v>17.194476999999999</v>
      </c>
      <c r="W142" s="32">
        <v>17.442927999999998</v>
      </c>
      <c r="X142" s="32">
        <v>17.689232000000001</v>
      </c>
      <c r="Y142" s="32">
        <v>18.046989</v>
      </c>
      <c r="Z142" s="32">
        <v>18.386621000000002</v>
      </c>
      <c r="AA142" s="32">
        <v>18.675523999999999</v>
      </c>
      <c r="AB142" s="32">
        <v>19.048964000000002</v>
      </c>
      <c r="AC142" s="32">
        <v>19.389071000000001</v>
      </c>
      <c r="AD142" s="32">
        <v>19.754519999999999</v>
      </c>
      <c r="AE142" s="32">
        <v>20.152256000000001</v>
      </c>
      <c r="AF142" s="32">
        <v>20.559598999999999</v>
      </c>
      <c r="AG142" s="32">
        <v>20.944855</v>
      </c>
      <c r="AH142" s="32">
        <v>21.352035999999998</v>
      </c>
      <c r="AI142" s="32">
        <v>21.758521999999999</v>
      </c>
      <c r="AJ142" s="36">
        <v>1.4E-2</v>
      </c>
    </row>
    <row r="143" spans="1:36">
      <c r="A143" s="113" t="s">
        <v>130</v>
      </c>
      <c r="B143" s="113" t="s">
        <v>1134</v>
      </c>
      <c r="C143" s="113" t="s">
        <v>1135</v>
      </c>
      <c r="D143" s="113" t="s">
        <v>323</v>
      </c>
      <c r="F143" s="32">
        <v>38.968001999999998</v>
      </c>
      <c r="G143" s="32">
        <v>40.594608000000001</v>
      </c>
      <c r="H143" s="32">
        <v>39.879086000000001</v>
      </c>
      <c r="I143" s="32">
        <v>39.632289999999998</v>
      </c>
      <c r="J143" s="32">
        <v>40.610897000000001</v>
      </c>
      <c r="K143" s="32">
        <v>41.951397</v>
      </c>
      <c r="L143" s="32">
        <v>43.136710999999998</v>
      </c>
      <c r="M143" s="32">
        <v>44.314509999999999</v>
      </c>
      <c r="N143" s="32">
        <v>45.435577000000002</v>
      </c>
      <c r="O143" s="32">
        <v>46.288277000000001</v>
      </c>
      <c r="P143" s="32">
        <v>47.476753000000002</v>
      </c>
      <c r="Q143" s="32">
        <v>48.648167000000001</v>
      </c>
      <c r="R143" s="32">
        <v>49.863818999999999</v>
      </c>
      <c r="S143" s="32">
        <v>50.919105999999999</v>
      </c>
      <c r="T143" s="32">
        <v>51.607914000000001</v>
      </c>
      <c r="U143" s="38">
        <v>52.363822999999996</v>
      </c>
      <c r="V143" s="32">
        <v>53.207638000000003</v>
      </c>
      <c r="W143" s="32">
        <v>54.069462000000001</v>
      </c>
      <c r="X143" s="32">
        <v>54.961468000000004</v>
      </c>
      <c r="Y143" s="32">
        <v>55.954433000000002</v>
      </c>
      <c r="Z143" s="32">
        <v>56.915714000000001</v>
      </c>
      <c r="AA143" s="32">
        <v>57.924885000000003</v>
      </c>
      <c r="AB143" s="32">
        <v>58.831890000000001</v>
      </c>
      <c r="AC143" s="32">
        <v>59.756126000000002</v>
      </c>
      <c r="AD143" s="32">
        <v>60.851680999999999</v>
      </c>
      <c r="AE143" s="32">
        <v>61.931538000000003</v>
      </c>
      <c r="AF143" s="32">
        <v>62.955235000000002</v>
      </c>
      <c r="AG143" s="32">
        <v>64.088181000000006</v>
      </c>
      <c r="AH143" s="32">
        <v>65.222069000000005</v>
      </c>
      <c r="AI143" s="32">
        <v>66.289719000000005</v>
      </c>
      <c r="AJ143" s="36">
        <v>1.7999999999999999E-2</v>
      </c>
    </row>
    <row r="144" spans="1:36">
      <c r="A144" s="113" t="s">
        <v>315</v>
      </c>
      <c r="B144" s="113"/>
      <c r="C144" s="113" t="s">
        <v>1136</v>
      </c>
      <c r="D144" s="113"/>
      <c r="U144" s="38"/>
    </row>
    <row r="145" spans="1:36">
      <c r="A145" s="113" t="s">
        <v>305</v>
      </c>
      <c r="B145" s="113" t="s">
        <v>1137</v>
      </c>
      <c r="C145" s="113" t="s">
        <v>1138</v>
      </c>
      <c r="D145" s="113" t="s">
        <v>323</v>
      </c>
      <c r="F145" s="32">
        <v>21.714523</v>
      </c>
      <c r="G145" s="32">
        <v>22.561377</v>
      </c>
      <c r="H145" s="32">
        <v>21.257321999999998</v>
      </c>
      <c r="I145" s="32">
        <v>22.243842999999998</v>
      </c>
      <c r="J145" s="32">
        <v>22.046334999999999</v>
      </c>
      <c r="K145" s="32">
        <v>21.870823000000001</v>
      </c>
      <c r="L145" s="32">
        <v>21.887105999999999</v>
      </c>
      <c r="M145" s="32">
        <v>22.683128</v>
      </c>
      <c r="N145" s="32">
        <v>23.405909000000001</v>
      </c>
      <c r="O145" s="32">
        <v>23.963944999999999</v>
      </c>
      <c r="P145" s="32">
        <v>24.753965000000001</v>
      </c>
      <c r="Q145" s="32">
        <v>25.473471</v>
      </c>
      <c r="R145" s="32">
        <v>26.089749999999999</v>
      </c>
      <c r="S145" s="32">
        <v>26.838135000000001</v>
      </c>
      <c r="T145" s="32">
        <v>27.567629</v>
      </c>
      <c r="U145" s="38">
        <v>28.437875999999999</v>
      </c>
      <c r="V145" s="32">
        <v>29.365234000000001</v>
      </c>
      <c r="W145" s="32">
        <v>30.166359</v>
      </c>
      <c r="X145" s="32">
        <v>30.935541000000001</v>
      </c>
      <c r="Y145" s="32">
        <v>31.969131000000001</v>
      </c>
      <c r="Z145" s="32">
        <v>32.835921999999997</v>
      </c>
      <c r="AA145" s="32">
        <v>33.642344999999999</v>
      </c>
      <c r="AB145" s="32">
        <v>34.795284000000002</v>
      </c>
      <c r="AC145" s="32">
        <v>36.043427000000001</v>
      </c>
      <c r="AD145" s="32">
        <v>37.038795</v>
      </c>
      <c r="AE145" s="32">
        <v>38.309024999999998</v>
      </c>
      <c r="AF145" s="32">
        <v>39.302478999999998</v>
      </c>
      <c r="AG145" s="32">
        <v>40.103634</v>
      </c>
      <c r="AH145" s="32">
        <v>41.011313999999999</v>
      </c>
      <c r="AI145" s="32">
        <v>41.844185000000003</v>
      </c>
      <c r="AJ145" s="36">
        <v>2.3E-2</v>
      </c>
    </row>
    <row r="146" spans="1:36">
      <c r="A146" s="113" t="s">
        <v>307</v>
      </c>
      <c r="B146" s="113" t="s">
        <v>1139</v>
      </c>
      <c r="C146" s="113" t="s">
        <v>1140</v>
      </c>
      <c r="D146" s="113" t="s">
        <v>323</v>
      </c>
      <c r="F146" s="32">
        <v>12.984576000000001</v>
      </c>
      <c r="G146" s="32">
        <v>13.659781000000001</v>
      </c>
      <c r="H146" s="32">
        <v>13.354027</v>
      </c>
      <c r="I146" s="32">
        <v>14.633819000000001</v>
      </c>
      <c r="J146" s="32">
        <v>15.198003999999999</v>
      </c>
      <c r="K146" s="32">
        <v>15.768628</v>
      </c>
      <c r="L146" s="32">
        <v>16.651994999999999</v>
      </c>
      <c r="M146" s="32">
        <v>17.263632000000001</v>
      </c>
      <c r="N146" s="32">
        <v>17.801155000000001</v>
      </c>
      <c r="O146" s="32">
        <v>18.328420999999999</v>
      </c>
      <c r="P146" s="32">
        <v>19.105263000000001</v>
      </c>
      <c r="Q146" s="32">
        <v>19.649632</v>
      </c>
      <c r="R146" s="32">
        <v>20.263002</v>
      </c>
      <c r="S146" s="32">
        <v>20.751069999999999</v>
      </c>
      <c r="T146" s="32">
        <v>21.264869999999998</v>
      </c>
      <c r="U146" s="38">
        <v>21.709292999999999</v>
      </c>
      <c r="V146" s="32">
        <v>22.257158</v>
      </c>
      <c r="W146" s="32">
        <v>23.002699</v>
      </c>
      <c r="X146" s="32">
        <v>23.486324</v>
      </c>
      <c r="Y146" s="32">
        <v>24.352485999999999</v>
      </c>
      <c r="Z146" s="32">
        <v>24.964276999999999</v>
      </c>
      <c r="AA146" s="32">
        <v>25.443667999999999</v>
      </c>
      <c r="AB146" s="32">
        <v>26.253325</v>
      </c>
      <c r="AC146" s="32">
        <v>26.872534000000002</v>
      </c>
      <c r="AD146" s="32">
        <v>27.16844</v>
      </c>
      <c r="AE146" s="32">
        <v>28.181767000000001</v>
      </c>
      <c r="AF146" s="32">
        <v>28.978007999999999</v>
      </c>
      <c r="AG146" s="32">
        <v>29.710591999999998</v>
      </c>
      <c r="AH146" s="32">
        <v>30.498549000000001</v>
      </c>
      <c r="AI146" s="32">
        <v>31.186319000000001</v>
      </c>
      <c r="AJ146" s="36">
        <v>3.1E-2</v>
      </c>
    </row>
    <row r="147" spans="1:36">
      <c r="A147" s="113" t="s">
        <v>97</v>
      </c>
      <c r="B147" s="113" t="s">
        <v>1141</v>
      </c>
      <c r="C147" s="113" t="s">
        <v>1142</v>
      </c>
      <c r="D147" s="113" t="s">
        <v>323</v>
      </c>
      <c r="F147" s="32">
        <v>5.1494070000000001</v>
      </c>
      <c r="G147" s="32">
        <v>4.1386919999999998</v>
      </c>
      <c r="H147" s="32">
        <v>3.9437709999999999</v>
      </c>
      <c r="I147" s="32">
        <v>3.7141220000000001</v>
      </c>
      <c r="J147" s="32">
        <v>3.6173790000000001</v>
      </c>
      <c r="K147" s="32">
        <v>3.701848</v>
      </c>
      <c r="L147" s="32">
        <v>3.8982290000000002</v>
      </c>
      <c r="M147" s="32">
        <v>4.1704220000000003</v>
      </c>
      <c r="N147" s="32">
        <v>4.3753929999999999</v>
      </c>
      <c r="O147" s="32">
        <v>4.5724280000000004</v>
      </c>
      <c r="P147" s="32">
        <v>4.7417389999999999</v>
      </c>
      <c r="Q147" s="32">
        <v>4.8741890000000003</v>
      </c>
      <c r="R147" s="32">
        <v>5.0549720000000002</v>
      </c>
      <c r="S147" s="32">
        <v>5.1291609999999999</v>
      </c>
      <c r="T147" s="32">
        <v>5.2013290000000003</v>
      </c>
      <c r="U147" s="38">
        <v>5.3055859999999999</v>
      </c>
      <c r="V147" s="32">
        <v>5.4273629999999997</v>
      </c>
      <c r="W147" s="32">
        <v>5.5707560000000003</v>
      </c>
      <c r="X147" s="32">
        <v>5.6911420000000001</v>
      </c>
      <c r="Y147" s="32">
        <v>5.8698399999999999</v>
      </c>
      <c r="Z147" s="32">
        <v>5.9949409999999999</v>
      </c>
      <c r="AA147" s="32">
        <v>6.097003</v>
      </c>
      <c r="AB147" s="32">
        <v>6.220631</v>
      </c>
      <c r="AC147" s="32">
        <v>6.2801609999999997</v>
      </c>
      <c r="AD147" s="32">
        <v>6.3996740000000001</v>
      </c>
      <c r="AE147" s="32">
        <v>6.5364690000000003</v>
      </c>
      <c r="AF147" s="32">
        <v>6.665673</v>
      </c>
      <c r="AG147" s="32">
        <v>6.8439860000000001</v>
      </c>
      <c r="AH147" s="32">
        <v>6.9645710000000003</v>
      </c>
      <c r="AI147" s="32">
        <v>7.1068150000000001</v>
      </c>
      <c r="AJ147" s="36">
        <v>1.0999999999999999E-2</v>
      </c>
    </row>
    <row r="148" spans="1:36">
      <c r="A148" s="113" t="s">
        <v>316</v>
      </c>
      <c r="B148" s="113" t="s">
        <v>1143</v>
      </c>
      <c r="C148" s="113" t="s">
        <v>1144</v>
      </c>
      <c r="D148" s="113" t="s">
        <v>323</v>
      </c>
      <c r="F148" s="32">
        <v>2.0572599999999999</v>
      </c>
      <c r="G148" s="32">
        <v>2.0783670000000001</v>
      </c>
      <c r="H148" s="32">
        <v>2.097407</v>
      </c>
      <c r="I148" s="32">
        <v>2.1439349999999999</v>
      </c>
      <c r="J148" s="32">
        <v>2.1407660000000002</v>
      </c>
      <c r="K148" s="32">
        <v>2.1570260000000001</v>
      </c>
      <c r="L148" s="32">
        <v>2.210102</v>
      </c>
      <c r="M148" s="32">
        <v>2.2536779999999998</v>
      </c>
      <c r="N148" s="32">
        <v>2.3172190000000001</v>
      </c>
      <c r="O148" s="32">
        <v>2.3676409999999999</v>
      </c>
      <c r="P148" s="32">
        <v>2.4206819999999998</v>
      </c>
      <c r="Q148" s="32">
        <v>2.4600759999999999</v>
      </c>
      <c r="R148" s="32">
        <v>2.5099079999999998</v>
      </c>
      <c r="S148" s="32">
        <v>2.5566460000000002</v>
      </c>
      <c r="T148" s="32">
        <v>2.5944929999999999</v>
      </c>
      <c r="U148" s="38">
        <v>2.6303939999999999</v>
      </c>
      <c r="V148" s="32">
        <v>2.6840579999999998</v>
      </c>
      <c r="W148" s="32">
        <v>2.742861</v>
      </c>
      <c r="X148" s="32">
        <v>2.7995589999999999</v>
      </c>
      <c r="Y148" s="32">
        <v>2.8707180000000001</v>
      </c>
      <c r="Z148" s="32">
        <v>2.9292899999999999</v>
      </c>
      <c r="AA148" s="32">
        <v>2.9788790000000001</v>
      </c>
      <c r="AB148" s="32">
        <v>3.0285739999999999</v>
      </c>
      <c r="AC148" s="32">
        <v>3.088838</v>
      </c>
      <c r="AD148" s="32">
        <v>3.153721</v>
      </c>
      <c r="AE148" s="32">
        <v>3.220818</v>
      </c>
      <c r="AF148" s="32">
        <v>3.2843019999999998</v>
      </c>
      <c r="AG148" s="32">
        <v>3.3435030000000001</v>
      </c>
      <c r="AH148" s="32">
        <v>3.4226719999999999</v>
      </c>
      <c r="AI148" s="32">
        <v>3.4958179999999999</v>
      </c>
      <c r="AJ148" s="36">
        <v>1.7999999999999999E-2</v>
      </c>
    </row>
    <row r="149" spans="1:36">
      <c r="A149" s="113" t="s">
        <v>317</v>
      </c>
      <c r="B149" s="113" t="s">
        <v>1145</v>
      </c>
      <c r="C149" s="113" t="s">
        <v>1146</v>
      </c>
      <c r="D149" s="113" t="s">
        <v>323</v>
      </c>
      <c r="F149" s="32">
        <v>0.71666399999999997</v>
      </c>
      <c r="G149" s="32">
        <v>0.73504000000000003</v>
      </c>
      <c r="H149" s="32">
        <v>0.75029400000000002</v>
      </c>
      <c r="I149" s="32">
        <v>0.76839900000000005</v>
      </c>
      <c r="J149" s="32">
        <v>0.788937</v>
      </c>
      <c r="K149" s="32">
        <v>0.80945999999999996</v>
      </c>
      <c r="L149" s="32">
        <v>0.83239399999999997</v>
      </c>
      <c r="M149" s="32">
        <v>0.85455099999999995</v>
      </c>
      <c r="N149" s="32">
        <v>0.87787400000000004</v>
      </c>
      <c r="O149" s="32">
        <v>0.90090700000000001</v>
      </c>
      <c r="P149" s="32">
        <v>0.92300800000000005</v>
      </c>
      <c r="Q149" s="32">
        <v>0.946218</v>
      </c>
      <c r="R149" s="32">
        <v>0.96992599999999995</v>
      </c>
      <c r="S149" s="32">
        <v>0.99299499999999996</v>
      </c>
      <c r="T149" s="32">
        <v>1.0178720000000001</v>
      </c>
      <c r="U149" s="38">
        <v>1.0433110000000001</v>
      </c>
      <c r="V149" s="32">
        <v>1.06792</v>
      </c>
      <c r="W149" s="32">
        <v>1.094794</v>
      </c>
      <c r="X149" s="32">
        <v>1.1221639999999999</v>
      </c>
      <c r="Y149" s="32">
        <v>1.150844</v>
      </c>
      <c r="Z149" s="32">
        <v>1.1802429999999999</v>
      </c>
      <c r="AA149" s="32">
        <v>1.2105250000000001</v>
      </c>
      <c r="AB149" s="32">
        <v>1.2417180000000001</v>
      </c>
      <c r="AC149" s="32">
        <v>1.273598</v>
      </c>
      <c r="AD149" s="32">
        <v>1.306138</v>
      </c>
      <c r="AE149" s="32">
        <v>1.3396779999999999</v>
      </c>
      <c r="AF149" s="32">
        <v>1.373974</v>
      </c>
      <c r="AG149" s="32">
        <v>1.4092260000000001</v>
      </c>
      <c r="AH149" s="32">
        <v>1.4454959999999999</v>
      </c>
      <c r="AI149" s="32">
        <v>1.482631</v>
      </c>
      <c r="AJ149" s="36">
        <v>2.5000000000000001E-2</v>
      </c>
    </row>
    <row r="150" spans="1:36">
      <c r="A150" s="113" t="s">
        <v>318</v>
      </c>
      <c r="B150" s="113"/>
      <c r="C150" s="113" t="s">
        <v>1147</v>
      </c>
      <c r="D150" s="113"/>
      <c r="U150" s="38"/>
    </row>
    <row r="151" spans="1:36">
      <c r="A151" s="113" t="s">
        <v>304</v>
      </c>
      <c r="B151" s="113" t="s">
        <v>1148</v>
      </c>
      <c r="C151" s="113" t="s">
        <v>1149</v>
      </c>
      <c r="D151" s="113" t="s">
        <v>323</v>
      </c>
      <c r="F151" s="32">
        <v>19.489792000000001</v>
      </c>
      <c r="G151" s="32">
        <v>21.882176999999999</v>
      </c>
      <c r="H151" s="32">
        <v>21.038895</v>
      </c>
      <c r="I151" s="32">
        <v>21.513981000000001</v>
      </c>
      <c r="J151" s="32">
        <v>21.920898000000001</v>
      </c>
      <c r="K151" s="32">
        <v>22.564674</v>
      </c>
      <c r="L151" s="32">
        <v>23.513065000000001</v>
      </c>
      <c r="M151" s="32">
        <v>24.709696000000001</v>
      </c>
      <c r="N151" s="32">
        <v>25.813897999999998</v>
      </c>
      <c r="O151" s="32">
        <v>26.949466999999999</v>
      </c>
      <c r="P151" s="32">
        <v>28.290825000000002</v>
      </c>
      <c r="Q151" s="32">
        <v>29.357288</v>
      </c>
      <c r="R151" s="32">
        <v>30.465374000000001</v>
      </c>
      <c r="S151" s="32">
        <v>31.451861999999998</v>
      </c>
      <c r="T151" s="32">
        <v>32.369880999999999</v>
      </c>
      <c r="U151" s="38">
        <v>33.327412000000002</v>
      </c>
      <c r="V151" s="32">
        <v>34.351162000000002</v>
      </c>
      <c r="W151" s="32">
        <v>35.395015999999998</v>
      </c>
      <c r="X151" s="32">
        <v>36.350257999999997</v>
      </c>
      <c r="Y151" s="32">
        <v>37.587746000000003</v>
      </c>
      <c r="Z151" s="32">
        <v>38.751227999999998</v>
      </c>
      <c r="AA151" s="32">
        <v>39.734715000000001</v>
      </c>
      <c r="AB151" s="32">
        <v>40.925120999999997</v>
      </c>
      <c r="AC151" s="32">
        <v>42.216320000000003</v>
      </c>
      <c r="AD151" s="32">
        <v>43.295077999999997</v>
      </c>
      <c r="AE151" s="32">
        <v>44.474280999999998</v>
      </c>
      <c r="AF151" s="32">
        <v>45.630074</v>
      </c>
      <c r="AG151" s="32">
        <v>46.753692999999998</v>
      </c>
      <c r="AH151" s="32">
        <v>47.799995000000003</v>
      </c>
      <c r="AI151" s="32">
        <v>48.83305</v>
      </c>
      <c r="AJ151" s="36">
        <v>3.2000000000000001E-2</v>
      </c>
    </row>
    <row r="152" spans="1:36">
      <c r="A152" s="113" t="s">
        <v>312</v>
      </c>
      <c r="B152" s="113" t="s">
        <v>1150</v>
      </c>
      <c r="C152" s="113" t="s">
        <v>1151</v>
      </c>
      <c r="D152" s="113" t="s">
        <v>323</v>
      </c>
      <c r="F152" s="32">
        <v>25.695416999999999</v>
      </c>
      <c r="G152" s="32">
        <v>26.308959999999999</v>
      </c>
      <c r="H152" s="32">
        <v>26.930523000000001</v>
      </c>
      <c r="I152" s="32">
        <v>27.301365000000001</v>
      </c>
      <c r="J152" s="32">
        <v>27.616278000000001</v>
      </c>
      <c r="K152" s="32">
        <v>28.610430000000001</v>
      </c>
      <c r="L152" s="32">
        <v>29.713726000000001</v>
      </c>
      <c r="M152" s="32">
        <v>30.835906999999999</v>
      </c>
      <c r="N152" s="32">
        <v>31.865234000000001</v>
      </c>
      <c r="O152" s="32">
        <v>33.457504</v>
      </c>
      <c r="P152" s="32">
        <v>35.15757</v>
      </c>
      <c r="Q152" s="32">
        <v>36.404007</v>
      </c>
      <c r="R152" s="32">
        <v>37.429240999999998</v>
      </c>
      <c r="S152" s="32">
        <v>38.908175999999997</v>
      </c>
      <c r="T152" s="32">
        <v>40.006335999999997</v>
      </c>
      <c r="U152" s="38">
        <v>40.948658000000002</v>
      </c>
      <c r="V152" s="32">
        <v>42.048450000000003</v>
      </c>
      <c r="W152" s="32">
        <v>43.538193</v>
      </c>
      <c r="X152" s="32">
        <v>44.485416000000001</v>
      </c>
      <c r="Y152" s="32">
        <v>45.852508999999998</v>
      </c>
      <c r="Z152" s="32">
        <v>47.228591999999999</v>
      </c>
      <c r="AA152" s="32">
        <v>48.336624</v>
      </c>
      <c r="AB152" s="32">
        <v>49.926281000000003</v>
      </c>
      <c r="AC152" s="32">
        <v>51.563236000000003</v>
      </c>
      <c r="AD152" s="32">
        <v>52.912421999999999</v>
      </c>
      <c r="AE152" s="32">
        <v>54.585278000000002</v>
      </c>
      <c r="AF152" s="32">
        <v>56.020256000000003</v>
      </c>
      <c r="AG152" s="32">
        <v>57.158130999999997</v>
      </c>
      <c r="AH152" s="32">
        <v>58.525562000000001</v>
      </c>
      <c r="AI152" s="32">
        <v>59.859585000000003</v>
      </c>
      <c r="AJ152" s="36">
        <v>0.03</v>
      </c>
    </row>
    <row r="153" spans="1:36">
      <c r="A153" s="113" t="s">
        <v>313</v>
      </c>
      <c r="B153" s="113" t="s">
        <v>1152</v>
      </c>
      <c r="C153" s="113" t="s">
        <v>1153</v>
      </c>
      <c r="D153" s="113" t="s">
        <v>323</v>
      </c>
      <c r="F153" s="32">
        <v>25.834620999999999</v>
      </c>
      <c r="G153" s="32">
        <v>25.374689</v>
      </c>
      <c r="H153" s="32">
        <v>23.140045000000001</v>
      </c>
      <c r="I153" s="32">
        <v>23.520002000000002</v>
      </c>
      <c r="J153" s="32">
        <v>23.833424000000001</v>
      </c>
      <c r="K153" s="32">
        <v>24.663691</v>
      </c>
      <c r="L153" s="32">
        <v>25.574255000000001</v>
      </c>
      <c r="M153" s="32">
        <v>26.500551000000002</v>
      </c>
      <c r="N153" s="32">
        <v>27.349276</v>
      </c>
      <c r="O153" s="32">
        <v>28.677558999999999</v>
      </c>
      <c r="P153" s="32">
        <v>30.27524</v>
      </c>
      <c r="Q153" s="32">
        <v>31.261913</v>
      </c>
      <c r="R153" s="32">
        <v>32.218173999999998</v>
      </c>
      <c r="S153" s="32">
        <v>33.192824999999999</v>
      </c>
      <c r="T153" s="32">
        <v>34.055714000000002</v>
      </c>
      <c r="U153" s="38">
        <v>35.055560999999997</v>
      </c>
      <c r="V153" s="32">
        <v>36.056358000000003</v>
      </c>
      <c r="W153" s="32">
        <v>37.263939000000001</v>
      </c>
      <c r="X153" s="32">
        <v>38.108607999999997</v>
      </c>
      <c r="Y153" s="32">
        <v>39.279288999999999</v>
      </c>
      <c r="Z153" s="32">
        <v>40.424843000000003</v>
      </c>
      <c r="AA153" s="32">
        <v>41.412663000000002</v>
      </c>
      <c r="AB153" s="32">
        <v>42.782356</v>
      </c>
      <c r="AC153" s="32">
        <v>44.172997000000002</v>
      </c>
      <c r="AD153" s="32">
        <v>45.321545</v>
      </c>
      <c r="AE153" s="32">
        <v>46.728549999999998</v>
      </c>
      <c r="AF153" s="32">
        <v>47.940548</v>
      </c>
      <c r="AG153" s="32">
        <v>48.904311999999997</v>
      </c>
      <c r="AH153" s="32">
        <v>50.055655999999999</v>
      </c>
      <c r="AI153" s="32">
        <v>51.192059</v>
      </c>
      <c r="AJ153" s="36">
        <v>2.4E-2</v>
      </c>
    </row>
    <row r="154" spans="1:36">
      <c r="A154" s="113" t="s">
        <v>95</v>
      </c>
      <c r="B154" s="113" t="s">
        <v>1154</v>
      </c>
      <c r="C154" s="113" t="s">
        <v>1155</v>
      </c>
      <c r="D154" s="113" t="s">
        <v>323</v>
      </c>
      <c r="F154" s="32">
        <v>14.697266000000001</v>
      </c>
      <c r="G154" s="32">
        <v>15.734508999999999</v>
      </c>
      <c r="H154" s="32">
        <v>14.949004</v>
      </c>
      <c r="I154" s="32">
        <v>16.537255999999999</v>
      </c>
      <c r="J154" s="32">
        <v>16.996722999999999</v>
      </c>
      <c r="K154" s="32">
        <v>17.578077</v>
      </c>
      <c r="L154" s="32">
        <v>18.347017000000001</v>
      </c>
      <c r="M154" s="32">
        <v>19.134594</v>
      </c>
      <c r="N154" s="32">
        <v>19.803878999999998</v>
      </c>
      <c r="O154" s="32">
        <v>20.194859999999998</v>
      </c>
      <c r="P154" s="32">
        <v>21.272349999999999</v>
      </c>
      <c r="Q154" s="32">
        <v>21.982144999999999</v>
      </c>
      <c r="R154" s="32">
        <v>22.615096999999999</v>
      </c>
      <c r="S154" s="32">
        <v>23.347526999999999</v>
      </c>
      <c r="T154" s="32">
        <v>24.019000999999999</v>
      </c>
      <c r="U154" s="38">
        <v>24.826756</v>
      </c>
      <c r="V154" s="32">
        <v>25.745712000000001</v>
      </c>
      <c r="W154" s="32">
        <v>26.582815</v>
      </c>
      <c r="X154" s="32">
        <v>27.326975000000001</v>
      </c>
      <c r="Y154" s="32">
        <v>28.234632000000001</v>
      </c>
      <c r="Z154" s="32">
        <v>29.098369999999999</v>
      </c>
      <c r="AA154" s="32">
        <v>29.827629000000002</v>
      </c>
      <c r="AB154" s="32">
        <v>30.990594999999999</v>
      </c>
      <c r="AC154" s="32">
        <v>32.221457999999998</v>
      </c>
      <c r="AD154" s="32">
        <v>33.140506999999999</v>
      </c>
      <c r="AE154" s="32">
        <v>34.266182000000001</v>
      </c>
      <c r="AF154" s="32">
        <v>35.211314999999999</v>
      </c>
      <c r="AG154" s="32">
        <v>35.964252000000002</v>
      </c>
      <c r="AH154" s="32">
        <v>36.867260000000002</v>
      </c>
      <c r="AI154" s="32">
        <v>37.599421999999997</v>
      </c>
      <c r="AJ154" s="36">
        <v>3.3000000000000002E-2</v>
      </c>
    </row>
    <row r="155" spans="1:36">
      <c r="A155" s="113" t="s">
        <v>305</v>
      </c>
      <c r="B155" s="113" t="s">
        <v>1156</v>
      </c>
      <c r="C155" s="113" t="s">
        <v>1157</v>
      </c>
      <c r="D155" s="113" t="s">
        <v>323</v>
      </c>
      <c r="F155" s="32">
        <v>23.239584000000001</v>
      </c>
      <c r="G155" s="32">
        <v>23.164829000000001</v>
      </c>
      <c r="H155" s="32">
        <v>22.644846000000001</v>
      </c>
      <c r="I155" s="32">
        <v>23.938997000000001</v>
      </c>
      <c r="J155" s="32">
        <v>24.386374</v>
      </c>
      <c r="K155" s="32">
        <v>24.871693</v>
      </c>
      <c r="L155" s="32">
        <v>25.488479999999999</v>
      </c>
      <c r="M155" s="32">
        <v>26.341660999999998</v>
      </c>
      <c r="N155" s="32">
        <v>27.126272</v>
      </c>
      <c r="O155" s="32">
        <v>27.708763000000001</v>
      </c>
      <c r="P155" s="32">
        <v>29.014953999999999</v>
      </c>
      <c r="Q155" s="32">
        <v>29.775953000000001</v>
      </c>
      <c r="R155" s="32">
        <v>30.584291</v>
      </c>
      <c r="S155" s="32">
        <v>31.313175000000001</v>
      </c>
      <c r="T155" s="32">
        <v>32.133198</v>
      </c>
      <c r="U155" s="38">
        <v>33.076819999999998</v>
      </c>
      <c r="V155" s="32">
        <v>34.119953000000002</v>
      </c>
      <c r="W155" s="32">
        <v>35.068652999999998</v>
      </c>
      <c r="X155" s="32">
        <v>35.952002999999998</v>
      </c>
      <c r="Y155" s="32">
        <v>37.071465000000003</v>
      </c>
      <c r="Z155" s="32">
        <v>38.080447999999997</v>
      </c>
      <c r="AA155" s="32">
        <v>38.968570999999997</v>
      </c>
      <c r="AB155" s="32">
        <v>40.282406000000002</v>
      </c>
      <c r="AC155" s="32">
        <v>41.665806000000003</v>
      </c>
      <c r="AD155" s="32">
        <v>42.793480000000002</v>
      </c>
      <c r="AE155" s="32">
        <v>44.089336000000003</v>
      </c>
      <c r="AF155" s="32">
        <v>45.180489000000001</v>
      </c>
      <c r="AG155" s="32">
        <v>46.116871000000003</v>
      </c>
      <c r="AH155" s="32">
        <v>47.127524999999999</v>
      </c>
      <c r="AI155" s="32">
        <v>48.060661000000003</v>
      </c>
      <c r="AJ155" s="36">
        <v>2.5000000000000001E-2</v>
      </c>
    </row>
    <row r="156" spans="1:36">
      <c r="A156" s="113" t="s">
        <v>307</v>
      </c>
      <c r="B156" s="113" t="s">
        <v>1158</v>
      </c>
      <c r="C156" s="113" t="s">
        <v>1159</v>
      </c>
      <c r="D156" s="113" t="s">
        <v>323</v>
      </c>
      <c r="F156" s="32">
        <v>12.013578000000001</v>
      </c>
      <c r="G156" s="32">
        <v>10.711199000000001</v>
      </c>
      <c r="H156" s="32">
        <v>13.111525</v>
      </c>
      <c r="I156" s="32">
        <v>14.420871999999999</v>
      </c>
      <c r="J156" s="32">
        <v>14.991304</v>
      </c>
      <c r="K156" s="32">
        <v>15.588189</v>
      </c>
      <c r="L156" s="32">
        <v>16.426817</v>
      </c>
      <c r="M156" s="32">
        <v>17.045929000000001</v>
      </c>
      <c r="N156" s="32">
        <v>17.577954999999999</v>
      </c>
      <c r="O156" s="32">
        <v>18.131346000000001</v>
      </c>
      <c r="P156" s="32">
        <v>18.83493</v>
      </c>
      <c r="Q156" s="32">
        <v>19.390612000000001</v>
      </c>
      <c r="R156" s="32">
        <v>19.986488000000001</v>
      </c>
      <c r="S156" s="32">
        <v>20.449728</v>
      </c>
      <c r="T156" s="32">
        <v>20.947158999999999</v>
      </c>
      <c r="U156" s="38">
        <v>21.381837999999998</v>
      </c>
      <c r="V156" s="32">
        <v>21.892192999999999</v>
      </c>
      <c r="W156" s="32">
        <v>22.658173000000001</v>
      </c>
      <c r="X156" s="32">
        <v>23.067655999999999</v>
      </c>
      <c r="Y156" s="32">
        <v>24.107140000000001</v>
      </c>
      <c r="Z156" s="32">
        <v>24.855139000000001</v>
      </c>
      <c r="AA156" s="32">
        <v>25.554290999999999</v>
      </c>
      <c r="AB156" s="32">
        <v>26.638961999999999</v>
      </c>
      <c r="AC156" s="32">
        <v>27.605753</v>
      </c>
      <c r="AD156" s="32">
        <v>28.380806</v>
      </c>
      <c r="AE156" s="32">
        <v>29.296219000000001</v>
      </c>
      <c r="AF156" s="32">
        <v>30.064723999999998</v>
      </c>
      <c r="AG156" s="32">
        <v>30.698937999999998</v>
      </c>
      <c r="AH156" s="32">
        <v>31.464458</v>
      </c>
      <c r="AI156" s="32">
        <v>32.107470999999997</v>
      </c>
      <c r="AJ156" s="36">
        <v>3.4000000000000002E-2</v>
      </c>
    </row>
    <row r="157" spans="1:36">
      <c r="A157" s="113" t="s">
        <v>97</v>
      </c>
      <c r="B157" s="113" t="s">
        <v>1160</v>
      </c>
      <c r="C157" s="113" t="s">
        <v>1161</v>
      </c>
      <c r="D157" s="113" t="s">
        <v>323</v>
      </c>
      <c r="F157" s="32">
        <v>6.7148839999999996</v>
      </c>
      <c r="G157" s="32">
        <v>6.5152419999999998</v>
      </c>
      <c r="H157" s="32">
        <v>6.2548729999999999</v>
      </c>
      <c r="I157" s="32">
        <v>6.0366970000000002</v>
      </c>
      <c r="J157" s="32">
        <v>6.0098890000000003</v>
      </c>
      <c r="K157" s="32">
        <v>6.1200739999999998</v>
      </c>
      <c r="L157" s="32">
        <v>6.339232</v>
      </c>
      <c r="M157" s="32">
        <v>6.6465300000000003</v>
      </c>
      <c r="N157" s="32">
        <v>6.9717190000000002</v>
      </c>
      <c r="O157" s="32">
        <v>7.2456719999999999</v>
      </c>
      <c r="P157" s="32">
        <v>7.5899960000000002</v>
      </c>
      <c r="Q157" s="32">
        <v>7.7840930000000004</v>
      </c>
      <c r="R157" s="32">
        <v>8.0660229999999995</v>
      </c>
      <c r="S157" s="32">
        <v>8.2437559999999994</v>
      </c>
      <c r="T157" s="32">
        <v>8.3941949999999999</v>
      </c>
      <c r="U157" s="38">
        <v>8.5761079999999996</v>
      </c>
      <c r="V157" s="32">
        <v>8.7776490000000003</v>
      </c>
      <c r="W157" s="32">
        <v>8.9758239999999994</v>
      </c>
      <c r="X157" s="32">
        <v>9.1765039999999996</v>
      </c>
      <c r="Y157" s="32">
        <v>9.4051410000000004</v>
      </c>
      <c r="Z157" s="32">
        <v>9.6027430000000003</v>
      </c>
      <c r="AA157" s="32">
        <v>9.773263</v>
      </c>
      <c r="AB157" s="32">
        <v>9.9754389999999997</v>
      </c>
      <c r="AC157" s="32">
        <v>10.109999</v>
      </c>
      <c r="AD157" s="32">
        <v>10.307829</v>
      </c>
      <c r="AE157" s="32">
        <v>10.523292</v>
      </c>
      <c r="AF157" s="32">
        <v>10.743744</v>
      </c>
      <c r="AG157" s="32">
        <v>10.980556999999999</v>
      </c>
      <c r="AH157" s="32">
        <v>11.211596</v>
      </c>
      <c r="AI157" s="32">
        <v>11.437503</v>
      </c>
      <c r="AJ157" s="36">
        <v>1.9E-2</v>
      </c>
    </row>
    <row r="158" spans="1:36">
      <c r="A158" s="113" t="s">
        <v>309</v>
      </c>
      <c r="B158" s="113" t="s">
        <v>1162</v>
      </c>
      <c r="C158" s="113" t="s">
        <v>1163</v>
      </c>
      <c r="D158" s="113" t="s">
        <v>323</v>
      </c>
      <c r="F158" s="32">
        <v>3.9200170000000001</v>
      </c>
      <c r="G158" s="32">
        <v>3.6054369999999998</v>
      </c>
      <c r="H158" s="32">
        <v>3.4913690000000002</v>
      </c>
      <c r="I158" s="32">
        <v>3.3983819999999998</v>
      </c>
      <c r="J158" s="32">
        <v>3.3789889999999998</v>
      </c>
      <c r="K158" s="32">
        <v>3.3908390000000002</v>
      </c>
      <c r="L158" s="32">
        <v>3.445567</v>
      </c>
      <c r="M158" s="32">
        <v>3.533506</v>
      </c>
      <c r="N158" s="32">
        <v>3.6329379999999998</v>
      </c>
      <c r="O158" s="32">
        <v>3.7527650000000001</v>
      </c>
      <c r="P158" s="32">
        <v>3.866501</v>
      </c>
      <c r="Q158" s="32">
        <v>3.9937640000000001</v>
      </c>
      <c r="R158" s="32">
        <v>4.1150979999999997</v>
      </c>
      <c r="S158" s="32">
        <v>4.2374179999999999</v>
      </c>
      <c r="T158" s="32">
        <v>4.3664909999999999</v>
      </c>
      <c r="U158" s="38">
        <v>4.5016809999999996</v>
      </c>
      <c r="V158" s="32">
        <v>4.6472639999999998</v>
      </c>
      <c r="W158" s="32">
        <v>4.7897720000000001</v>
      </c>
      <c r="X158" s="32">
        <v>4.9332200000000004</v>
      </c>
      <c r="Y158" s="32">
        <v>5.0880960000000002</v>
      </c>
      <c r="Z158" s="32">
        <v>5.2426050000000002</v>
      </c>
      <c r="AA158" s="32">
        <v>5.3983359999999996</v>
      </c>
      <c r="AB158" s="32">
        <v>5.5599360000000004</v>
      </c>
      <c r="AC158" s="32">
        <v>5.7329210000000002</v>
      </c>
      <c r="AD158" s="32">
        <v>5.9108970000000003</v>
      </c>
      <c r="AE158" s="32">
        <v>6.0977940000000004</v>
      </c>
      <c r="AF158" s="32">
        <v>6.284459</v>
      </c>
      <c r="AG158" s="32">
        <v>6.4651100000000001</v>
      </c>
      <c r="AH158" s="32">
        <v>6.6547159999999996</v>
      </c>
      <c r="AI158" s="32">
        <v>6.8627050000000001</v>
      </c>
      <c r="AJ158" s="32">
        <v>1.9E-2</v>
      </c>
    </row>
    <row r="159" spans="1:36">
      <c r="A159" s="113" t="s">
        <v>319</v>
      </c>
      <c r="B159" s="113" t="s">
        <v>1164</v>
      </c>
      <c r="C159" s="113" t="s">
        <v>1165</v>
      </c>
      <c r="D159" s="113" t="s">
        <v>323</v>
      </c>
      <c r="F159" s="32">
        <v>2.092638</v>
      </c>
      <c r="G159" s="32">
        <v>2.1172270000000002</v>
      </c>
      <c r="H159" s="32">
        <v>2.1386210000000001</v>
      </c>
      <c r="I159" s="32">
        <v>2.19346</v>
      </c>
      <c r="J159" s="32">
        <v>2.1963949999999999</v>
      </c>
      <c r="K159" s="32">
        <v>2.21658</v>
      </c>
      <c r="L159" s="32">
        <v>2.2709800000000002</v>
      </c>
      <c r="M159" s="32">
        <v>2.3175560000000002</v>
      </c>
      <c r="N159" s="32">
        <v>2.3840710000000001</v>
      </c>
      <c r="O159" s="32">
        <v>2.43743</v>
      </c>
      <c r="P159" s="32">
        <v>2.4933290000000001</v>
      </c>
      <c r="Q159" s="32">
        <v>2.5370089999999998</v>
      </c>
      <c r="R159" s="32">
        <v>2.5885760000000002</v>
      </c>
      <c r="S159" s="32">
        <v>2.6421009999999998</v>
      </c>
      <c r="T159" s="32">
        <v>2.6850019999999999</v>
      </c>
      <c r="U159" s="38">
        <v>2.7282139999999999</v>
      </c>
      <c r="V159" s="32">
        <v>2.786699</v>
      </c>
      <c r="W159" s="32">
        <v>2.8497979999999998</v>
      </c>
      <c r="X159" s="32">
        <v>2.9108179999999999</v>
      </c>
      <c r="Y159" s="32">
        <v>2.9877199999999999</v>
      </c>
      <c r="Z159" s="32">
        <v>3.051393</v>
      </c>
      <c r="AA159" s="32">
        <v>3.1057329999999999</v>
      </c>
      <c r="AB159" s="32">
        <v>3.1620149999999998</v>
      </c>
      <c r="AC159" s="32">
        <v>3.2285529999999998</v>
      </c>
      <c r="AD159" s="32">
        <v>3.2993199999999998</v>
      </c>
      <c r="AE159" s="32">
        <v>3.3713150000000001</v>
      </c>
      <c r="AF159" s="32">
        <v>3.44021</v>
      </c>
      <c r="AG159" s="32">
        <v>3.504696</v>
      </c>
      <c r="AH159" s="32">
        <v>3.5878350000000001</v>
      </c>
      <c r="AI159" s="32">
        <v>3.6654499999999999</v>
      </c>
      <c r="AJ159" s="36">
        <v>0.02</v>
      </c>
    </row>
    <row r="160" spans="1:36">
      <c r="A160" s="113" t="s">
        <v>311</v>
      </c>
      <c r="B160" s="113" t="s">
        <v>1166</v>
      </c>
      <c r="C160" s="113" t="s">
        <v>1167</v>
      </c>
      <c r="D160" s="113" t="s">
        <v>323</v>
      </c>
      <c r="F160" s="32">
        <v>0</v>
      </c>
      <c r="G160" s="32">
        <v>0</v>
      </c>
      <c r="H160" s="32">
        <v>0</v>
      </c>
      <c r="I160" s="32">
        <v>0</v>
      </c>
      <c r="J160" s="32">
        <v>0</v>
      </c>
      <c r="K160" s="32">
        <v>0</v>
      </c>
      <c r="L160" s="32">
        <v>0</v>
      </c>
      <c r="M160" s="32">
        <v>0</v>
      </c>
      <c r="N160" s="32">
        <v>0</v>
      </c>
      <c r="O160" s="32">
        <v>0</v>
      </c>
      <c r="P160" s="32">
        <v>0</v>
      </c>
      <c r="Q160" s="32">
        <v>0</v>
      </c>
      <c r="R160" s="32">
        <v>0</v>
      </c>
      <c r="S160" s="32">
        <v>0</v>
      </c>
      <c r="T160" s="32">
        <v>0</v>
      </c>
      <c r="U160" s="38">
        <v>0</v>
      </c>
      <c r="V160" s="32">
        <v>0</v>
      </c>
      <c r="W160" s="32">
        <v>0</v>
      </c>
      <c r="X160" s="32">
        <v>0</v>
      </c>
      <c r="Y160" s="32">
        <v>0</v>
      </c>
      <c r="Z160" s="32">
        <v>0</v>
      </c>
      <c r="AA160" s="32">
        <v>0</v>
      </c>
      <c r="AB160" s="32">
        <v>0</v>
      </c>
      <c r="AC160" s="32">
        <v>0</v>
      </c>
      <c r="AD160" s="32">
        <v>0</v>
      </c>
      <c r="AE160" s="32">
        <v>0</v>
      </c>
      <c r="AF160" s="32">
        <v>0</v>
      </c>
      <c r="AG160" s="32">
        <v>0</v>
      </c>
      <c r="AH160" s="32">
        <v>0</v>
      </c>
      <c r="AI160" s="32">
        <v>0</v>
      </c>
      <c r="AJ160" s="32" t="s">
        <v>86</v>
      </c>
    </row>
    <row r="161" spans="1:36">
      <c r="A161" s="113" t="s">
        <v>130</v>
      </c>
      <c r="B161" s="113" t="s">
        <v>1168</v>
      </c>
      <c r="C161" s="113" t="s">
        <v>1169</v>
      </c>
      <c r="D161" s="113" t="s">
        <v>323</v>
      </c>
      <c r="F161" s="32">
        <v>32.461033</v>
      </c>
      <c r="G161" s="32">
        <v>33.04562</v>
      </c>
      <c r="H161" s="32">
        <v>33.004742</v>
      </c>
      <c r="I161" s="32">
        <v>32.914279999999998</v>
      </c>
      <c r="J161" s="32">
        <v>33.510502000000002</v>
      </c>
      <c r="K161" s="32">
        <v>34.228614999999998</v>
      </c>
      <c r="L161" s="32">
        <v>35.170924999999997</v>
      </c>
      <c r="M161" s="32">
        <v>36.187804999999997</v>
      </c>
      <c r="N161" s="32">
        <v>37.176769</v>
      </c>
      <c r="O161" s="32">
        <v>38.099013999999997</v>
      </c>
      <c r="P161" s="32">
        <v>39.110560999999997</v>
      </c>
      <c r="Q161" s="32">
        <v>40.050980000000003</v>
      </c>
      <c r="R161" s="32">
        <v>41.163466999999997</v>
      </c>
      <c r="S161" s="32">
        <v>42.225441000000004</v>
      </c>
      <c r="T161" s="32">
        <v>42.904305000000001</v>
      </c>
      <c r="U161" s="38">
        <v>43.757179000000001</v>
      </c>
      <c r="V161" s="32">
        <v>44.491202999999999</v>
      </c>
      <c r="W161" s="32">
        <v>45.244118</v>
      </c>
      <c r="X161" s="32">
        <v>46.261253000000004</v>
      </c>
      <c r="Y161" s="32">
        <v>47.281002000000001</v>
      </c>
      <c r="Z161" s="32">
        <v>48.16328</v>
      </c>
      <c r="AA161" s="32">
        <v>49.21022</v>
      </c>
      <c r="AB161" s="32">
        <v>50.200352000000002</v>
      </c>
      <c r="AC161" s="32">
        <v>50.977482000000002</v>
      </c>
      <c r="AD161" s="32">
        <v>52.126575000000003</v>
      </c>
      <c r="AE161" s="32">
        <v>53.222785999999999</v>
      </c>
      <c r="AF161" s="32">
        <v>54.273021999999997</v>
      </c>
      <c r="AG161" s="32">
        <v>55.583485000000003</v>
      </c>
      <c r="AH161" s="32">
        <v>56.726512999999997</v>
      </c>
      <c r="AI161" s="32">
        <v>57.605263000000001</v>
      </c>
      <c r="AJ161" s="36">
        <v>0.02</v>
      </c>
    </row>
    <row r="162" spans="1:36">
      <c r="A162" s="113" t="s">
        <v>92</v>
      </c>
      <c r="B162" s="113"/>
      <c r="C162" s="113" t="s">
        <v>1170</v>
      </c>
      <c r="D162" s="113"/>
      <c r="U162" s="38"/>
    </row>
    <row r="163" spans="1:36">
      <c r="A163" s="113" t="s">
        <v>94</v>
      </c>
      <c r="B163" s="113"/>
      <c r="C163" s="113" t="s">
        <v>1171</v>
      </c>
      <c r="D163" s="113"/>
      <c r="U163" s="38"/>
    </row>
    <row r="164" spans="1:36">
      <c r="A164" s="113" t="s">
        <v>303</v>
      </c>
      <c r="B164" s="113" t="s">
        <v>1172</v>
      </c>
      <c r="C164" s="113" t="s">
        <v>1173</v>
      </c>
      <c r="D164" s="113" t="s">
        <v>324</v>
      </c>
      <c r="F164" s="32">
        <v>274.75665300000003</v>
      </c>
      <c r="G164" s="32">
        <v>282.02075200000002</v>
      </c>
      <c r="H164" s="32">
        <v>286.20111100000003</v>
      </c>
      <c r="I164" s="32">
        <v>288.20675699999998</v>
      </c>
      <c r="J164" s="32">
        <v>294.44158900000002</v>
      </c>
      <c r="K164" s="32">
        <v>302.19567899999998</v>
      </c>
      <c r="L164" s="32">
        <v>311.29156499999999</v>
      </c>
      <c r="M164" s="32">
        <v>321.77432299999998</v>
      </c>
      <c r="N164" s="32">
        <v>332.630402</v>
      </c>
      <c r="O164" s="32">
        <v>342.45663500000001</v>
      </c>
      <c r="P164" s="32">
        <v>355.06091300000003</v>
      </c>
      <c r="Q164" s="32">
        <v>365.27722199999999</v>
      </c>
      <c r="R164" s="32">
        <v>377.34936499999998</v>
      </c>
      <c r="S164" s="32">
        <v>388.63220200000001</v>
      </c>
      <c r="T164" s="32">
        <v>397.51559400000002</v>
      </c>
      <c r="U164" s="38">
        <v>408.180115</v>
      </c>
      <c r="V164" s="32">
        <v>418.84121699999997</v>
      </c>
      <c r="W164" s="32">
        <v>429.648865</v>
      </c>
      <c r="X164" s="32">
        <v>442.12435900000003</v>
      </c>
      <c r="Y164" s="32">
        <v>454.80560300000002</v>
      </c>
      <c r="Z164" s="32">
        <v>466.88235500000002</v>
      </c>
      <c r="AA164" s="32">
        <v>480.18594400000001</v>
      </c>
      <c r="AB164" s="32">
        <v>493.36175500000002</v>
      </c>
      <c r="AC164" s="32">
        <v>505.55471799999998</v>
      </c>
      <c r="AD164" s="32">
        <v>520.60107400000004</v>
      </c>
      <c r="AE164" s="32">
        <v>535.42602499999998</v>
      </c>
      <c r="AF164" s="32">
        <v>550.24298099999999</v>
      </c>
      <c r="AG164" s="32">
        <v>566.61499000000003</v>
      </c>
      <c r="AH164" s="32">
        <v>582.39544699999999</v>
      </c>
      <c r="AI164" s="32">
        <v>596.77319299999999</v>
      </c>
      <c r="AJ164" s="36">
        <v>2.7E-2</v>
      </c>
    </row>
    <row r="165" spans="1:36">
      <c r="A165" s="113" t="s">
        <v>306</v>
      </c>
      <c r="B165" s="113" t="s">
        <v>1174</v>
      </c>
      <c r="C165" s="113" t="s">
        <v>1175</v>
      </c>
      <c r="D165" s="113" t="s">
        <v>324</v>
      </c>
      <c r="F165" s="32">
        <v>197.94026199999999</v>
      </c>
      <c r="G165" s="32">
        <v>206.52299500000001</v>
      </c>
      <c r="H165" s="32">
        <v>204.484253</v>
      </c>
      <c r="I165" s="32">
        <v>203.79495199999999</v>
      </c>
      <c r="J165" s="32">
        <v>207.09669500000001</v>
      </c>
      <c r="K165" s="32">
        <v>211.095474</v>
      </c>
      <c r="L165" s="32">
        <v>217.16265899999999</v>
      </c>
      <c r="M165" s="32">
        <v>223.97851600000001</v>
      </c>
      <c r="N165" s="32">
        <v>230.93884299999999</v>
      </c>
      <c r="O165" s="32">
        <v>237.02470400000001</v>
      </c>
      <c r="P165" s="32">
        <v>245.28102100000001</v>
      </c>
      <c r="Q165" s="32">
        <v>251.525589</v>
      </c>
      <c r="R165" s="32">
        <v>259.56954999999999</v>
      </c>
      <c r="S165" s="32">
        <v>266.95376599999997</v>
      </c>
      <c r="T165" s="32">
        <v>272.41683999999998</v>
      </c>
      <c r="U165" s="38">
        <v>279.12619000000001</v>
      </c>
      <c r="V165" s="32">
        <v>285.69381700000002</v>
      </c>
      <c r="W165" s="32">
        <v>292.35488900000001</v>
      </c>
      <c r="X165" s="32">
        <v>300.53656000000001</v>
      </c>
      <c r="Y165" s="32">
        <v>308.674713</v>
      </c>
      <c r="Z165" s="32">
        <v>316.274902</v>
      </c>
      <c r="AA165" s="32">
        <v>324.93261699999999</v>
      </c>
      <c r="AB165" s="32">
        <v>333.95410199999998</v>
      </c>
      <c r="AC165" s="32">
        <v>341.54922499999998</v>
      </c>
      <c r="AD165" s="32">
        <v>351.54641700000002</v>
      </c>
      <c r="AE165" s="32">
        <v>361.37936400000001</v>
      </c>
      <c r="AF165" s="32">
        <v>370.90063500000002</v>
      </c>
      <c r="AG165" s="32">
        <v>382.05593900000002</v>
      </c>
      <c r="AH165" s="32">
        <v>392.81509399999999</v>
      </c>
      <c r="AI165" s="32">
        <v>402.17343099999999</v>
      </c>
      <c r="AJ165" s="36">
        <v>2.5000000000000001E-2</v>
      </c>
    </row>
    <row r="166" spans="1:36">
      <c r="A166" s="113" t="s">
        <v>308</v>
      </c>
      <c r="B166" s="113" t="s">
        <v>1176</v>
      </c>
      <c r="C166" s="113" t="s">
        <v>1177</v>
      </c>
      <c r="D166" s="113" t="s">
        <v>324</v>
      </c>
      <c r="F166" s="32">
        <v>207.87148999999999</v>
      </c>
      <c r="G166" s="32">
        <v>222.101822</v>
      </c>
      <c r="H166" s="32">
        <v>216.77546699999999</v>
      </c>
      <c r="I166" s="32">
        <v>219.22020000000001</v>
      </c>
      <c r="J166" s="32">
        <v>223.70854199999999</v>
      </c>
      <c r="K166" s="32">
        <v>231.34451300000001</v>
      </c>
      <c r="L166" s="32">
        <v>241.03848300000001</v>
      </c>
      <c r="M166" s="32">
        <v>254.377747</v>
      </c>
      <c r="N166" s="32">
        <v>266.31781000000001</v>
      </c>
      <c r="O166" s="32">
        <v>278.11086999999998</v>
      </c>
      <c r="P166" s="32">
        <v>290.352081</v>
      </c>
      <c r="Q166" s="32">
        <v>302.45700099999999</v>
      </c>
      <c r="R166" s="32">
        <v>314.93847699999998</v>
      </c>
      <c r="S166" s="32">
        <v>325.372772</v>
      </c>
      <c r="T166" s="32">
        <v>335.25311299999998</v>
      </c>
      <c r="U166" s="38">
        <v>346.38146999999998</v>
      </c>
      <c r="V166" s="32">
        <v>359.34768700000001</v>
      </c>
      <c r="W166" s="32">
        <v>372.17266799999999</v>
      </c>
      <c r="X166" s="32">
        <v>383.170593</v>
      </c>
      <c r="Y166" s="32">
        <v>397.90978999999999</v>
      </c>
      <c r="Z166" s="32">
        <v>412.68615699999998</v>
      </c>
      <c r="AA166" s="32">
        <v>425.94271900000001</v>
      </c>
      <c r="AB166" s="32">
        <v>440.55062900000001</v>
      </c>
      <c r="AC166" s="32">
        <v>455.16085800000002</v>
      </c>
      <c r="AD166" s="32">
        <v>469.07247899999999</v>
      </c>
      <c r="AE166" s="32">
        <v>485.45648199999999</v>
      </c>
      <c r="AF166" s="32">
        <v>499.61651599999999</v>
      </c>
      <c r="AG166" s="32">
        <v>512.55181900000002</v>
      </c>
      <c r="AH166" s="32">
        <v>527.263733</v>
      </c>
      <c r="AI166" s="32">
        <v>545.07385299999999</v>
      </c>
      <c r="AJ166" s="36">
        <v>3.4000000000000002E-2</v>
      </c>
    </row>
    <row r="167" spans="1:36">
      <c r="A167" s="113" t="s">
        <v>132</v>
      </c>
      <c r="B167" s="113" t="s">
        <v>1178</v>
      </c>
      <c r="C167" s="113" t="s">
        <v>1179</v>
      </c>
      <c r="D167" s="113" t="s">
        <v>324</v>
      </c>
      <c r="F167" s="32">
        <v>608.60992399999998</v>
      </c>
      <c r="G167" s="32">
        <v>617.48187299999995</v>
      </c>
      <c r="H167" s="32">
        <v>586.63934300000005</v>
      </c>
      <c r="I167" s="32">
        <v>608.144409</v>
      </c>
      <c r="J167" s="32">
        <v>619.56567399999994</v>
      </c>
      <c r="K167" s="32">
        <v>638.83477800000003</v>
      </c>
      <c r="L167" s="32">
        <v>659.09545900000001</v>
      </c>
      <c r="M167" s="32">
        <v>680.03027299999997</v>
      </c>
      <c r="N167" s="32">
        <v>699.07324200000005</v>
      </c>
      <c r="O167" s="32">
        <v>723.95440699999995</v>
      </c>
      <c r="P167" s="32">
        <v>761.15173300000004</v>
      </c>
      <c r="Q167" s="32">
        <v>782.38348399999995</v>
      </c>
      <c r="R167" s="32">
        <v>804.76629600000001</v>
      </c>
      <c r="S167" s="32">
        <v>827.06945800000005</v>
      </c>
      <c r="T167" s="32">
        <v>848.08575399999995</v>
      </c>
      <c r="U167" s="38">
        <v>872.93933100000004</v>
      </c>
      <c r="V167" s="32">
        <v>900.212402</v>
      </c>
      <c r="W167" s="32">
        <v>930.22808799999996</v>
      </c>
      <c r="X167" s="32">
        <v>954.62152100000003</v>
      </c>
      <c r="Y167" s="32">
        <v>987.11413600000003</v>
      </c>
      <c r="Z167" s="32">
        <v>1018.673767</v>
      </c>
      <c r="AA167" s="32">
        <v>1047.360596</v>
      </c>
      <c r="AB167" s="32">
        <v>1087.0263669999999</v>
      </c>
      <c r="AC167" s="32">
        <v>1128.3382570000001</v>
      </c>
      <c r="AD167" s="32">
        <v>1164.267456</v>
      </c>
      <c r="AE167" s="32">
        <v>1207.455688</v>
      </c>
      <c r="AF167" s="32">
        <v>1245.2613530000001</v>
      </c>
      <c r="AG167" s="32">
        <v>1277.421875</v>
      </c>
      <c r="AH167" s="32">
        <v>1315.5474850000001</v>
      </c>
      <c r="AI167" s="32">
        <v>1354.25647</v>
      </c>
      <c r="AJ167" s="36">
        <v>2.8000000000000001E-2</v>
      </c>
    </row>
    <row r="168" spans="1:36">
      <c r="A168" s="113" t="s">
        <v>320</v>
      </c>
      <c r="B168" s="113" t="s">
        <v>1180</v>
      </c>
      <c r="C168" s="113" t="s">
        <v>1181</v>
      </c>
      <c r="D168" s="113" t="s">
        <v>324</v>
      </c>
      <c r="F168" s="32">
        <v>1289.1782229999999</v>
      </c>
      <c r="G168" s="32">
        <v>1328.127563</v>
      </c>
      <c r="H168" s="32">
        <v>1294.10022</v>
      </c>
      <c r="I168" s="32">
        <v>1319.3664550000001</v>
      </c>
      <c r="J168" s="32">
        <v>1344.8123780000001</v>
      </c>
      <c r="K168" s="32">
        <v>1383.4704589999999</v>
      </c>
      <c r="L168" s="32">
        <v>1428.588135</v>
      </c>
      <c r="M168" s="32">
        <v>1480.160889</v>
      </c>
      <c r="N168" s="32">
        <v>1528.960327</v>
      </c>
      <c r="O168" s="32">
        <v>1581.5466309999999</v>
      </c>
      <c r="P168" s="32">
        <v>1651.8458250000001</v>
      </c>
      <c r="Q168" s="32">
        <v>1701.643311</v>
      </c>
      <c r="R168" s="32">
        <v>1756.6236570000001</v>
      </c>
      <c r="S168" s="32">
        <v>1808.0280760000001</v>
      </c>
      <c r="T168" s="32">
        <v>1853.271362</v>
      </c>
      <c r="U168" s="38">
        <v>1906.6270750000001</v>
      </c>
      <c r="V168" s="32">
        <v>1964.0952150000001</v>
      </c>
      <c r="W168" s="32">
        <v>2024.4045410000001</v>
      </c>
      <c r="X168" s="32">
        <v>2080.453125</v>
      </c>
      <c r="Y168" s="32">
        <v>2148.5041500000002</v>
      </c>
      <c r="Z168" s="32">
        <v>2214.5173340000001</v>
      </c>
      <c r="AA168" s="32">
        <v>2278.4216310000002</v>
      </c>
      <c r="AB168" s="32">
        <v>2354.8928219999998</v>
      </c>
      <c r="AC168" s="32">
        <v>2430.6030270000001</v>
      </c>
      <c r="AD168" s="32">
        <v>2505.4873050000001</v>
      </c>
      <c r="AE168" s="32">
        <v>2589.717529</v>
      </c>
      <c r="AF168" s="32">
        <v>2666.0214839999999</v>
      </c>
      <c r="AG168" s="32">
        <v>2738.6447750000002</v>
      </c>
      <c r="AH168" s="32">
        <v>2818.0217290000001</v>
      </c>
      <c r="AI168" s="32">
        <v>2898.2766109999998</v>
      </c>
      <c r="AJ168" s="36">
        <v>2.8000000000000001E-2</v>
      </c>
    </row>
    <row r="169" spans="1:36">
      <c r="A169" s="113" t="s">
        <v>321</v>
      </c>
      <c r="B169" s="113" t="s">
        <v>1182</v>
      </c>
      <c r="C169" s="113" t="s">
        <v>1183</v>
      </c>
      <c r="D169" s="113" t="s">
        <v>324</v>
      </c>
      <c r="F169" s="32">
        <v>0.92960200000000004</v>
      </c>
      <c r="G169" s="32">
        <v>0.97737099999999999</v>
      </c>
      <c r="H169" s="32">
        <v>0.93283300000000002</v>
      </c>
      <c r="I169" s="32">
        <v>0.93543799999999999</v>
      </c>
      <c r="J169" s="32">
        <v>0.93598300000000001</v>
      </c>
      <c r="K169" s="32">
        <v>0.94391400000000003</v>
      </c>
      <c r="L169" s="32">
        <v>0.94850400000000001</v>
      </c>
      <c r="M169" s="32">
        <v>0.94725099999999995</v>
      </c>
      <c r="N169" s="32">
        <v>0.94460500000000003</v>
      </c>
      <c r="O169" s="32">
        <v>0.95249200000000001</v>
      </c>
      <c r="P169" s="32">
        <v>0.95626599999999995</v>
      </c>
      <c r="Q169" s="32">
        <v>0.94968200000000003</v>
      </c>
      <c r="R169" s="32">
        <v>0.95227200000000001</v>
      </c>
      <c r="S169" s="32">
        <v>0.936442</v>
      </c>
      <c r="T169" s="32">
        <v>0.93252599999999997</v>
      </c>
      <c r="U169" s="38">
        <v>0.95257700000000001</v>
      </c>
      <c r="V169" s="32">
        <v>0.97111999999999998</v>
      </c>
      <c r="W169" s="32">
        <v>0.98984899999999998</v>
      </c>
      <c r="X169" s="32">
        <v>1.013503</v>
      </c>
      <c r="Y169" s="32">
        <v>1.0477449999999999</v>
      </c>
      <c r="Z169" s="32">
        <v>1.081852</v>
      </c>
      <c r="AA169" s="32">
        <v>1.119707</v>
      </c>
      <c r="AB169" s="32">
        <v>1.1661490000000001</v>
      </c>
      <c r="AC169" s="32">
        <v>1.214553</v>
      </c>
      <c r="AD169" s="32">
        <v>1.2608250000000001</v>
      </c>
      <c r="AE169" s="32">
        <v>1.315426</v>
      </c>
      <c r="AF169" s="32">
        <v>1.3691610000000001</v>
      </c>
      <c r="AG169" s="32">
        <v>1.419259</v>
      </c>
      <c r="AH169" s="32">
        <v>1.476709</v>
      </c>
      <c r="AI169" s="32">
        <v>1.536724</v>
      </c>
      <c r="AJ169" s="36">
        <v>1.7000000000000001E-2</v>
      </c>
    </row>
    <row r="170" spans="1:36">
      <c r="A170" s="113" t="s">
        <v>322</v>
      </c>
      <c r="B170" s="113" t="s">
        <v>1184</v>
      </c>
      <c r="C170" s="113" t="s">
        <v>1185</v>
      </c>
      <c r="D170" s="113" t="s">
        <v>324</v>
      </c>
      <c r="F170" s="32">
        <v>1290.107788</v>
      </c>
      <c r="G170" s="32">
        <v>1329.1048579999999</v>
      </c>
      <c r="H170" s="32">
        <v>1295.0329589999999</v>
      </c>
      <c r="I170" s="32">
        <v>1320.3017580000001</v>
      </c>
      <c r="J170" s="32">
        <v>1345.7482910000001</v>
      </c>
      <c r="K170" s="32">
        <v>1384.414307</v>
      </c>
      <c r="L170" s="32">
        <v>1429.536499</v>
      </c>
      <c r="M170" s="32">
        <v>1481.108154</v>
      </c>
      <c r="N170" s="32">
        <v>1529.9047849999999</v>
      </c>
      <c r="O170" s="32">
        <v>1582.4990230000001</v>
      </c>
      <c r="P170" s="32">
        <v>1652.802246</v>
      </c>
      <c r="Q170" s="32">
        <v>1702.593018</v>
      </c>
      <c r="R170" s="32">
        <v>1757.5758060000001</v>
      </c>
      <c r="S170" s="32">
        <v>1808.9646</v>
      </c>
      <c r="T170" s="32">
        <v>1854.203857</v>
      </c>
      <c r="U170" s="38">
        <v>1907.5798339999999</v>
      </c>
      <c r="V170" s="32">
        <v>1965.0661620000001</v>
      </c>
      <c r="W170" s="32">
        <v>2025.394409</v>
      </c>
      <c r="X170" s="32">
        <v>2081.466797</v>
      </c>
      <c r="Y170" s="32">
        <v>2149.5520019999999</v>
      </c>
      <c r="Z170" s="32">
        <v>2215.5991210000002</v>
      </c>
      <c r="AA170" s="32">
        <v>2279.5415039999998</v>
      </c>
      <c r="AB170" s="32">
        <v>2356.0588379999999</v>
      </c>
      <c r="AC170" s="32">
        <v>2431.8176269999999</v>
      </c>
      <c r="AD170" s="32">
        <v>2506.7482909999999</v>
      </c>
      <c r="AE170" s="32">
        <v>2591.0329590000001</v>
      </c>
      <c r="AF170" s="32">
        <v>2667.390625</v>
      </c>
      <c r="AG170" s="32">
        <v>2740.0642090000001</v>
      </c>
      <c r="AH170" s="32">
        <v>2819.4982909999999</v>
      </c>
      <c r="AI170" s="32">
        <v>2899.813232</v>
      </c>
      <c r="AJ170" s="36">
        <v>2.8000000000000001E-2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0E539-8638-4E17-9BD4-0604CC5C2EBD}">
  <sheetPr>
    <tabColor theme="0" tint="-0.14999847407452621"/>
  </sheetPr>
  <dimension ref="A1:I107"/>
  <sheetViews>
    <sheetView topLeftCell="A24" workbookViewId="0">
      <selection activeCell="D36" sqref="D36"/>
    </sheetView>
  </sheetViews>
  <sheetFormatPr defaultRowHeight="14.5"/>
  <cols>
    <col min="1" max="9" width="20" style="138" customWidth="1"/>
    <col min="10" max="16384" width="8.7265625" style="138"/>
  </cols>
  <sheetData>
    <row r="1" spans="1:9" ht="18.5">
      <c r="A1" s="231" t="s">
        <v>957</v>
      </c>
      <c r="B1" s="232"/>
      <c r="C1" s="232"/>
      <c r="D1" s="232"/>
      <c r="E1" s="232"/>
      <c r="F1" s="232"/>
      <c r="G1" s="232"/>
      <c r="H1" s="232"/>
      <c r="I1" s="232"/>
    </row>
    <row r="2" spans="1:9" ht="15.5">
      <c r="A2" s="233" t="s">
        <v>942</v>
      </c>
      <c r="B2" s="232"/>
      <c r="C2" s="232"/>
      <c r="D2" s="232"/>
      <c r="E2" s="232"/>
      <c r="F2" s="232"/>
      <c r="G2" s="232"/>
      <c r="H2" s="232"/>
      <c r="I2" s="232"/>
    </row>
    <row r="3" spans="1:9" ht="15.5">
      <c r="A3" s="233" t="s">
        <v>956</v>
      </c>
      <c r="B3" s="232"/>
      <c r="C3" s="232"/>
      <c r="D3" s="232"/>
      <c r="E3" s="232"/>
      <c r="F3" s="232"/>
      <c r="G3" s="232"/>
      <c r="H3" s="232"/>
      <c r="I3" s="232"/>
    </row>
    <row r="5" spans="1:9" ht="15" thickBot="1">
      <c r="A5" s="139" t="s">
        <v>940</v>
      </c>
      <c r="B5" s="139" t="s">
        <v>303</v>
      </c>
      <c r="C5" s="139" t="s">
        <v>306</v>
      </c>
      <c r="D5" s="139" t="s">
        <v>308</v>
      </c>
      <c r="E5" s="139" t="s">
        <v>955</v>
      </c>
      <c r="F5" s="139" t="s">
        <v>954</v>
      </c>
      <c r="G5" s="139" t="s">
        <v>953</v>
      </c>
      <c r="H5" s="139" t="s">
        <v>952</v>
      </c>
      <c r="I5" s="139" t="s">
        <v>951</v>
      </c>
    </row>
    <row r="6" spans="1:9" ht="15" thickTop="1">
      <c r="A6" s="140">
        <v>1990</v>
      </c>
      <c r="B6" s="150">
        <v>5206.3401269999995</v>
      </c>
      <c r="C6" s="150">
        <v>1660.6914613603849</v>
      </c>
      <c r="D6" s="150">
        <v>3100.9556972707301</v>
      </c>
      <c r="E6" s="150">
        <v>2506.2320560773987</v>
      </c>
      <c r="F6" s="150">
        <v>124.92991591887559</v>
      </c>
      <c r="G6" s="150">
        <v>124.981570484645</v>
      </c>
      <c r="H6" s="150">
        <v>0</v>
      </c>
      <c r="I6" s="149">
        <v>12724.130828112035</v>
      </c>
    </row>
    <row r="7" spans="1:9">
      <c r="A7" s="140">
        <v>1991</v>
      </c>
      <c r="B7" s="150">
        <v>5270.3129550000003</v>
      </c>
      <c r="C7" s="150">
        <v>1666.1263531828911</v>
      </c>
      <c r="D7" s="150">
        <v>2845.6849024397802</v>
      </c>
      <c r="E7" s="150">
        <v>2420.1137440013322</v>
      </c>
      <c r="F7" s="150">
        <v>118.04237745571361</v>
      </c>
      <c r="G7" s="150">
        <v>166.8073868011534</v>
      </c>
      <c r="H7" s="150">
        <v>0</v>
      </c>
      <c r="I7" s="149">
        <v>12487.08771888087</v>
      </c>
    </row>
    <row r="8" spans="1:9">
      <c r="A8" s="140">
        <v>1992</v>
      </c>
      <c r="B8" s="150">
        <v>4982.0363429999998</v>
      </c>
      <c r="C8" s="150">
        <v>1567.8696754865539</v>
      </c>
      <c r="D8" s="150">
        <v>2642.1094892695901</v>
      </c>
      <c r="E8" s="150">
        <v>2275.5777641937721</v>
      </c>
      <c r="F8" s="150">
        <v>110.7951310429922</v>
      </c>
      <c r="G8" s="150">
        <v>131.54139630810059</v>
      </c>
      <c r="H8" s="150">
        <v>0</v>
      </c>
      <c r="I8" s="149">
        <v>11709.929799301008</v>
      </c>
    </row>
    <row r="9" spans="1:9">
      <c r="A9" s="140">
        <v>1993</v>
      </c>
      <c r="B9" s="150">
        <v>5140.3145749896303</v>
      </c>
      <c r="C9" s="150">
        <v>1606.2738709107209</v>
      </c>
      <c r="D9" s="150">
        <v>2672.6678264540501</v>
      </c>
      <c r="E9" s="150">
        <v>2161.4747530326144</v>
      </c>
      <c r="F9" s="150">
        <v>115.79757939217789</v>
      </c>
      <c r="G9" s="150">
        <v>123.64082799727009</v>
      </c>
      <c r="H9" s="150">
        <v>0</v>
      </c>
      <c r="I9" s="149">
        <v>11820.169432776464</v>
      </c>
    </row>
    <row r="10" spans="1:9">
      <c r="A10" s="140">
        <v>1994</v>
      </c>
      <c r="B10" s="150">
        <v>5257.1796311225198</v>
      </c>
      <c r="C10" s="150">
        <v>1695.243127609039</v>
      </c>
      <c r="D10" s="150">
        <v>2774.3009145739102</v>
      </c>
      <c r="E10" s="150">
        <v>2111.8299372785054</v>
      </c>
      <c r="F10" s="150">
        <v>117.4646845983716</v>
      </c>
      <c r="G10" s="150">
        <v>123.7639194339297</v>
      </c>
      <c r="H10" s="150">
        <v>0</v>
      </c>
      <c r="I10" s="149">
        <v>12079.782214616276</v>
      </c>
    </row>
    <row r="11" spans="1:9">
      <c r="A11" s="140">
        <v>1995</v>
      </c>
      <c r="B11" s="150">
        <v>4800.1247670005396</v>
      </c>
      <c r="C11" s="150">
        <v>1600.0778440024419</v>
      </c>
      <c r="D11" s="150">
        <v>2869.15359076802</v>
      </c>
      <c r="E11" s="150">
        <v>2061.7822694328479</v>
      </c>
      <c r="F11" s="150">
        <v>106.7288763955719</v>
      </c>
      <c r="G11" s="150">
        <v>149.28370272200158</v>
      </c>
      <c r="H11" s="150">
        <v>0</v>
      </c>
      <c r="I11" s="149">
        <v>11587.151050321423</v>
      </c>
    </row>
    <row r="12" spans="1:9">
      <c r="A12" s="140">
        <v>1996</v>
      </c>
      <c r="B12" s="150">
        <v>4839.6378648956706</v>
      </c>
      <c r="C12" s="150">
        <v>1645.118263102006</v>
      </c>
      <c r="D12" s="150">
        <v>3446.4751058811298</v>
      </c>
      <c r="E12" s="150">
        <v>2157.180079602801</v>
      </c>
      <c r="F12" s="150">
        <v>123.088038</v>
      </c>
      <c r="G12" s="150">
        <v>177.14408036022471</v>
      </c>
      <c r="H12" s="150">
        <v>0</v>
      </c>
      <c r="I12" s="149">
        <v>12388.643431841832</v>
      </c>
    </row>
    <row r="13" spans="1:9">
      <c r="A13" s="140">
        <v>1997</v>
      </c>
      <c r="B13" s="150">
        <v>4797.0890039999995</v>
      </c>
      <c r="C13" s="150">
        <v>1645.3826699003869</v>
      </c>
      <c r="D13" s="150">
        <v>3481.3197789354699</v>
      </c>
      <c r="E13" s="150">
        <v>2465.1120624781229</v>
      </c>
      <c r="F13" s="150">
        <v>136.1487779567573</v>
      </c>
      <c r="G13" s="150">
        <v>161.72423143934179</v>
      </c>
      <c r="H13" s="150">
        <v>0</v>
      </c>
      <c r="I13" s="149">
        <v>12686.776524710078</v>
      </c>
    </row>
    <row r="14" spans="1:9">
      <c r="A14" s="140">
        <v>1998</v>
      </c>
      <c r="B14" s="150">
        <v>5463.9439240612901</v>
      </c>
      <c r="C14" s="150">
        <v>1850.0733765736529</v>
      </c>
      <c r="D14" s="150">
        <v>3564.4821998321499</v>
      </c>
      <c r="E14" s="150">
        <v>2741.553631422229</v>
      </c>
      <c r="F14" s="150">
        <v>148.4396327085723</v>
      </c>
      <c r="G14" s="150">
        <v>138.35208944791981</v>
      </c>
      <c r="H14" s="150">
        <v>0</v>
      </c>
      <c r="I14" s="149">
        <v>13906.844854045814</v>
      </c>
    </row>
    <row r="15" spans="1:9">
      <c r="A15" s="140">
        <v>1999</v>
      </c>
      <c r="B15" s="150">
        <v>5695.9255910000002</v>
      </c>
      <c r="C15" s="150">
        <v>1929.628642908692</v>
      </c>
      <c r="D15" s="150">
        <v>3421.60859850622</v>
      </c>
      <c r="E15" s="150">
        <v>2723.3760628955647</v>
      </c>
      <c r="F15" s="150">
        <v>167.17740139228161</v>
      </c>
      <c r="G15" s="150">
        <v>143.25627630334509</v>
      </c>
      <c r="H15" s="150">
        <v>0</v>
      </c>
      <c r="I15" s="149">
        <v>14080.972573006104</v>
      </c>
    </row>
    <row r="16" spans="1:9">
      <c r="A16" s="140">
        <v>2000</v>
      </c>
      <c r="B16" s="150">
        <v>5249.8971360000005</v>
      </c>
      <c r="C16" s="150">
        <v>1894.5469072871078</v>
      </c>
      <c r="D16" s="150">
        <v>3507.7498152755802</v>
      </c>
      <c r="E16" s="150">
        <v>2766.1840436143302</v>
      </c>
      <c r="F16" s="150">
        <v>158.85678079402371</v>
      </c>
      <c r="G16" s="150">
        <v>134.73424258475461</v>
      </c>
      <c r="H16" s="150">
        <v>0</v>
      </c>
      <c r="I16" s="149">
        <v>13711.968925555797</v>
      </c>
    </row>
    <row r="17" spans="1:9">
      <c r="A17" s="140">
        <v>2001</v>
      </c>
      <c r="B17" s="150">
        <v>5108.3979156613705</v>
      </c>
      <c r="C17" s="150">
        <v>1803.9763092100102</v>
      </c>
      <c r="D17" s="150">
        <v>3348.9128170060499</v>
      </c>
      <c r="E17" s="150">
        <v>2765.9368808094046</v>
      </c>
      <c r="F17" s="150">
        <v>136.7911737871633</v>
      </c>
      <c r="G17" s="150">
        <v>167.75537532806609</v>
      </c>
      <c r="H17" s="150">
        <v>0</v>
      </c>
      <c r="I17" s="149">
        <v>13331.770471802065</v>
      </c>
    </row>
    <row r="18" spans="1:9">
      <c r="A18" s="140">
        <v>2002</v>
      </c>
      <c r="B18" s="150">
        <v>5189.5016120086102</v>
      </c>
      <c r="C18" s="150">
        <v>1915.5619134213741</v>
      </c>
      <c r="D18" s="150">
        <v>3064.9622105523399</v>
      </c>
      <c r="E18" s="150">
        <v>2691.0480431188385</v>
      </c>
      <c r="F18" s="150">
        <v>147.09541997632519</v>
      </c>
      <c r="G18" s="150">
        <v>147.2968763892014</v>
      </c>
      <c r="H18" s="150">
        <v>0</v>
      </c>
      <c r="I18" s="149">
        <v>13155.466075466689</v>
      </c>
    </row>
    <row r="19" spans="1:9">
      <c r="A19" s="140">
        <v>2003</v>
      </c>
      <c r="B19" s="150">
        <v>4982.1500042552598</v>
      </c>
      <c r="C19" s="150">
        <v>1968.2883274543301</v>
      </c>
      <c r="D19" s="150">
        <v>2985.8740636858802</v>
      </c>
      <c r="E19" s="150">
        <v>2521.6403284060707</v>
      </c>
      <c r="F19" s="150">
        <v>179.0841925913237</v>
      </c>
      <c r="G19" s="150">
        <v>147.60643286283869</v>
      </c>
      <c r="H19" s="150">
        <v>0</v>
      </c>
      <c r="I19" s="149">
        <v>12784.643349255703</v>
      </c>
    </row>
    <row r="20" spans="1:9">
      <c r="A20" s="140">
        <v>2004</v>
      </c>
      <c r="B20" s="150">
        <v>5191.9541919170697</v>
      </c>
      <c r="C20" s="150">
        <v>2102.4201527863902</v>
      </c>
      <c r="D20" s="150">
        <v>3548.8691732924799</v>
      </c>
      <c r="E20" s="150">
        <v>2584.99150450566</v>
      </c>
      <c r="F20" s="150">
        <v>173.543395134462</v>
      </c>
      <c r="G20" s="150">
        <v>160.4647331608075</v>
      </c>
      <c r="H20" s="150">
        <v>0</v>
      </c>
      <c r="I20" s="149">
        <v>13762.243150796869</v>
      </c>
    </row>
    <row r="21" spans="1:9">
      <c r="A21" s="140">
        <v>2005</v>
      </c>
      <c r="B21" s="150">
        <v>4889.7152446565005</v>
      </c>
      <c r="C21" s="150">
        <v>2031.9136677867111</v>
      </c>
      <c r="D21" s="150">
        <v>3246.0155761605101</v>
      </c>
      <c r="E21" s="150">
        <v>2502.1657674993294</v>
      </c>
      <c r="F21" s="150">
        <v>131.4159188598463</v>
      </c>
      <c r="G21" s="150">
        <v>161.3081332668815</v>
      </c>
      <c r="H21" s="150">
        <v>0</v>
      </c>
      <c r="I21" s="149">
        <v>12962.534308229779</v>
      </c>
    </row>
    <row r="22" spans="1:9">
      <c r="A22" s="140">
        <v>2006</v>
      </c>
      <c r="B22" s="150">
        <v>5003.95088480904</v>
      </c>
      <c r="C22" s="150">
        <v>2052.471534977306</v>
      </c>
      <c r="D22" s="150">
        <v>3273.8716550095101</v>
      </c>
      <c r="E22" s="150">
        <v>2447.0189632569791</v>
      </c>
      <c r="F22" s="150">
        <v>131.9535731174833</v>
      </c>
      <c r="G22" s="150">
        <v>166.81642720193659</v>
      </c>
      <c r="H22" s="150">
        <v>0</v>
      </c>
      <c r="I22" s="149">
        <v>13076.083038372255</v>
      </c>
    </row>
    <row r="23" spans="1:9">
      <c r="A23" s="140">
        <v>2007</v>
      </c>
      <c r="B23" s="150">
        <v>5031.8339985760404</v>
      </c>
      <c r="C23" s="150">
        <v>2022.0000983648861</v>
      </c>
      <c r="D23" s="150">
        <v>3060.3545376808402</v>
      </c>
      <c r="E23" s="150">
        <v>2563.5997193421576</v>
      </c>
      <c r="F23" s="150">
        <v>137.06500700510381</v>
      </c>
      <c r="G23" s="150">
        <v>192.65693905223961</v>
      </c>
      <c r="H23" s="150">
        <v>0</v>
      </c>
      <c r="I23" s="149">
        <v>13007.510300021268</v>
      </c>
    </row>
    <row r="24" spans="1:9">
      <c r="A24" s="140">
        <v>2008</v>
      </c>
      <c r="B24" s="150">
        <v>5017.0964100000001</v>
      </c>
      <c r="C24" s="150">
        <v>2016.223886275463</v>
      </c>
      <c r="D24" s="150">
        <v>3163.1992447214202</v>
      </c>
      <c r="E24" s="150">
        <v>2455.8679419999999</v>
      </c>
      <c r="F24" s="150">
        <v>130.34137100000001</v>
      </c>
      <c r="G24" s="150">
        <v>148.3735873221701</v>
      </c>
      <c r="H24" s="150">
        <v>0</v>
      </c>
      <c r="I24" s="149">
        <v>12931.102441319053</v>
      </c>
    </row>
    <row r="25" spans="1:9">
      <c r="A25" s="140">
        <v>2009</v>
      </c>
      <c r="B25" s="150">
        <v>4957.1017671999998</v>
      </c>
      <c r="C25" s="150">
        <v>1976.8491675206419</v>
      </c>
      <c r="D25" s="150">
        <v>2993.7276698135001</v>
      </c>
      <c r="E25" s="150">
        <v>2353.9695805299998</v>
      </c>
      <c r="F25" s="150">
        <v>119.85256246</v>
      </c>
      <c r="G25" s="150">
        <v>135.31952924872371</v>
      </c>
      <c r="H25" s="150">
        <v>0</v>
      </c>
      <c r="I25" s="149">
        <v>12536.820276772865</v>
      </c>
    </row>
    <row r="26" spans="1:9">
      <c r="A26" s="140">
        <v>2010</v>
      </c>
      <c r="B26" s="150">
        <v>5085.4784420300002</v>
      </c>
      <c r="C26" s="150">
        <v>2014.082636754775</v>
      </c>
      <c r="D26" s="150">
        <v>3160.59928344439</v>
      </c>
      <c r="E26" s="150">
        <v>2192.93751195</v>
      </c>
      <c r="F26" s="150">
        <v>105.04263036</v>
      </c>
      <c r="G26" s="150">
        <v>129.92087255021761</v>
      </c>
      <c r="H26" s="150">
        <v>0</v>
      </c>
      <c r="I26" s="149">
        <v>12688.061377089383</v>
      </c>
    </row>
    <row r="27" spans="1:9">
      <c r="A27" s="140">
        <v>2011</v>
      </c>
      <c r="B27" s="150">
        <v>5185.0576798900001</v>
      </c>
      <c r="C27" s="150">
        <v>2047.907753237891</v>
      </c>
      <c r="D27" s="150">
        <v>3215.9684484540398</v>
      </c>
      <c r="E27" s="150">
        <v>2231.4302944999999</v>
      </c>
      <c r="F27" s="150">
        <v>104.66443643000001</v>
      </c>
      <c r="G27" s="150">
        <v>129.18113979250651</v>
      </c>
      <c r="H27" s="150">
        <v>0</v>
      </c>
      <c r="I27" s="149">
        <v>12914.209752304438</v>
      </c>
    </row>
    <row r="28" spans="1:9">
      <c r="A28" s="140">
        <v>2012</v>
      </c>
      <c r="B28" s="150">
        <v>4854.2003787499998</v>
      </c>
      <c r="C28" s="150">
        <v>2041.902211556612</v>
      </c>
      <c r="D28" s="150">
        <v>3340.4836811544401</v>
      </c>
      <c r="E28" s="150">
        <v>2170.1665202899999</v>
      </c>
      <c r="F28" s="150">
        <v>112.70044335999999</v>
      </c>
      <c r="G28" s="150">
        <v>131.00237772190999</v>
      </c>
      <c r="H28" s="150">
        <v>0</v>
      </c>
      <c r="I28" s="149">
        <v>12650.455612832962</v>
      </c>
    </row>
    <row r="29" spans="1:9">
      <c r="A29" s="140">
        <v>2013</v>
      </c>
      <c r="B29" s="150">
        <v>4994.4970015500003</v>
      </c>
      <c r="C29" s="150">
        <v>2057.7914573374228</v>
      </c>
      <c r="D29" s="150">
        <v>3393.34171023209</v>
      </c>
      <c r="E29" s="150">
        <v>2544.7175189499999</v>
      </c>
      <c r="F29" s="150">
        <v>116.1196492</v>
      </c>
      <c r="G29" s="150">
        <v>128.65876762027611</v>
      </c>
      <c r="H29" s="150">
        <v>0</v>
      </c>
      <c r="I29" s="149">
        <v>13235.126104889789</v>
      </c>
    </row>
    <row r="30" spans="1:9">
      <c r="A30" s="140">
        <v>2014</v>
      </c>
      <c r="B30" s="150">
        <v>4069.5368235600004</v>
      </c>
      <c r="C30" s="150">
        <v>1886.008061368098</v>
      </c>
      <c r="D30" s="150">
        <v>3468.4407419978202</v>
      </c>
      <c r="E30" s="150">
        <v>2606.7867789100001</v>
      </c>
      <c r="F30" s="150">
        <v>108.783033</v>
      </c>
      <c r="G30" s="150">
        <v>123.4511860731542</v>
      </c>
      <c r="H30" s="150">
        <v>0</v>
      </c>
      <c r="I30" s="149">
        <v>12263.006624909072</v>
      </c>
    </row>
    <row r="31" spans="1:9">
      <c r="A31" s="140">
        <v>2015</v>
      </c>
      <c r="B31" s="150">
        <v>4128.4603846969994</v>
      </c>
      <c r="C31" s="150">
        <v>1900.283943773805</v>
      </c>
      <c r="D31" s="150">
        <v>3407.6833546647499</v>
      </c>
      <c r="E31" s="150">
        <v>2640.7609052100001</v>
      </c>
      <c r="F31" s="150">
        <v>110.60290261999999</v>
      </c>
      <c r="G31" s="150">
        <v>127.99382061257779</v>
      </c>
      <c r="H31" s="150">
        <v>0</v>
      </c>
      <c r="I31" s="149">
        <v>12315.785311578133</v>
      </c>
    </row>
    <row r="32" spans="1:9">
      <c r="A32" s="140">
        <v>2016</v>
      </c>
      <c r="B32" s="150">
        <v>4299.5098801680006</v>
      </c>
      <c r="C32" s="150">
        <v>1980.8027717572149</v>
      </c>
      <c r="D32" s="150">
        <v>3566.2067867925202</v>
      </c>
      <c r="E32" s="150">
        <v>2357.2896049400001</v>
      </c>
      <c r="F32" s="150">
        <v>116.51627434000001</v>
      </c>
      <c r="G32" s="150">
        <v>141.96680717580369</v>
      </c>
      <c r="H32" s="150">
        <v>0</v>
      </c>
      <c r="I32" s="149">
        <v>12462.292125173539</v>
      </c>
    </row>
    <row r="33" spans="1:9">
      <c r="A33" s="140">
        <v>2017</v>
      </c>
      <c r="B33" s="150">
        <v>4457.9114100469997</v>
      </c>
      <c r="C33" s="150">
        <v>2024.1423992899529</v>
      </c>
      <c r="D33" s="150">
        <v>3488.6415674710402</v>
      </c>
      <c r="E33" s="150">
        <v>2328.86880894981</v>
      </c>
      <c r="F33" s="150">
        <v>109.22559504</v>
      </c>
      <c r="G33" s="150">
        <v>161.51736120482141</v>
      </c>
      <c r="H33" s="150">
        <v>0</v>
      </c>
      <c r="I33" s="149">
        <v>12570.307142002624</v>
      </c>
    </row>
    <row r="34" spans="1:9">
      <c r="A34" s="140">
        <v>2018</v>
      </c>
      <c r="B34" s="150">
        <v>4394.4022804079996</v>
      </c>
      <c r="C34" s="150">
        <v>2049.0153463572815</v>
      </c>
      <c r="D34" s="150">
        <v>3557.891623400365</v>
      </c>
      <c r="E34" s="150">
        <v>2375.1392993700001</v>
      </c>
      <c r="F34" s="150">
        <v>118.92844907000001</v>
      </c>
      <c r="G34" s="150">
        <v>168.54274431717494</v>
      </c>
      <c r="H34" s="150">
        <v>0</v>
      </c>
      <c r="I34" s="149">
        <v>12663.919742922821</v>
      </c>
    </row>
    <row r="35" spans="1:9">
      <c r="A35" s="140">
        <v>2019</v>
      </c>
      <c r="B35" s="150">
        <v>4793.7898484000007</v>
      </c>
      <c r="C35" s="150">
        <v>2125.7259737769164</v>
      </c>
      <c r="D35" s="150">
        <v>3600.5788426970435</v>
      </c>
      <c r="E35" s="150">
        <v>2373.4148892999997</v>
      </c>
      <c r="F35" s="150">
        <v>111.953062</v>
      </c>
      <c r="G35" s="150">
        <v>179.87620956455928</v>
      </c>
      <c r="H35" s="150">
        <v>0</v>
      </c>
      <c r="I35" s="149">
        <v>13185.33882573852</v>
      </c>
    </row>
    <row r="36" spans="1:9">
      <c r="A36" s="140">
        <v>2020</v>
      </c>
      <c r="B36" s="150">
        <v>4781.9156318599998</v>
      </c>
      <c r="C36" s="150">
        <v>1815.4180731022536</v>
      </c>
      <c r="D36" s="150">
        <v>3271.1102264694082</v>
      </c>
      <c r="E36" s="150">
        <v>2354.6754775499999</v>
      </c>
      <c r="F36" s="150">
        <v>123.31120199999999</v>
      </c>
      <c r="G36" s="150">
        <v>171.21453970070999</v>
      </c>
      <c r="H36" s="150">
        <v>0</v>
      </c>
      <c r="I36" s="149">
        <v>12517.645150682372</v>
      </c>
    </row>
    <row r="37" spans="1:9">
      <c r="A37" s="140">
        <v>2021</v>
      </c>
      <c r="B37" s="150">
        <v>4942.6671036806774</v>
      </c>
      <c r="C37" s="150">
        <v>1839.6159937865336</v>
      </c>
      <c r="D37" s="150">
        <v>3357.9122153790181</v>
      </c>
      <c r="E37" s="150">
        <v>2494.2314605701686</v>
      </c>
      <c r="F37" s="150">
        <v>12.755177450195804</v>
      </c>
      <c r="G37" s="150">
        <v>169.47373802499999</v>
      </c>
      <c r="H37" s="150">
        <v>7.0450927782957864</v>
      </c>
      <c r="I37" s="149">
        <v>12823.70078166989</v>
      </c>
    </row>
    <row r="38" spans="1:9">
      <c r="A38" s="140">
        <v>2022</v>
      </c>
      <c r="B38" s="150">
        <v>4951.7521632958151</v>
      </c>
      <c r="C38" s="150">
        <v>1911.6355817264989</v>
      </c>
      <c r="D38" s="150">
        <v>3374.1311110661654</v>
      </c>
      <c r="E38" s="150">
        <v>2711.5120322837665</v>
      </c>
      <c r="F38" s="150">
        <v>12.755177450195804</v>
      </c>
      <c r="G38" s="150">
        <v>174.13211598699999</v>
      </c>
      <c r="H38" s="150">
        <v>17.491396498145996</v>
      </c>
      <c r="I38" s="149">
        <v>13153.409578307588</v>
      </c>
    </row>
    <row r="39" spans="1:9">
      <c r="A39" s="140">
        <v>2023</v>
      </c>
      <c r="B39" s="150">
        <v>4960.3456513811989</v>
      </c>
      <c r="C39" s="150">
        <v>1951.4430743840935</v>
      </c>
      <c r="D39" s="150">
        <v>3377.3748087845206</v>
      </c>
      <c r="E39" s="150">
        <v>2741.6727652244649</v>
      </c>
      <c r="F39" s="150">
        <v>12.755177450195804</v>
      </c>
      <c r="G39" s="150">
        <v>174.673055183</v>
      </c>
      <c r="H39" s="150">
        <v>25.081392599211426</v>
      </c>
      <c r="I39" s="149">
        <v>13243.345925006684</v>
      </c>
    </row>
    <row r="40" spans="1:9">
      <c r="A40" s="140">
        <v>2024</v>
      </c>
      <c r="B40" s="150">
        <v>4970.55821830286</v>
      </c>
      <c r="C40" s="150">
        <v>1975.5177645261199</v>
      </c>
      <c r="D40" s="150">
        <v>3395.1648938279254</v>
      </c>
      <c r="E40" s="150">
        <v>2724.8829336661565</v>
      </c>
      <c r="F40" s="150">
        <v>12.755177450195804</v>
      </c>
      <c r="G40" s="150">
        <v>174.591111278</v>
      </c>
      <c r="H40" s="150">
        <v>28.955795694493403</v>
      </c>
      <c r="I40" s="149">
        <v>13282.425894745751</v>
      </c>
    </row>
    <row r="41" spans="1:9">
      <c r="A41" s="140">
        <v>2025</v>
      </c>
      <c r="B41" s="150">
        <v>4982.4389120774176</v>
      </c>
      <c r="C41" s="150">
        <v>1990.6100013236571</v>
      </c>
      <c r="D41" s="150">
        <v>3408.070337921215</v>
      </c>
      <c r="E41" s="150">
        <v>2697.8325257656943</v>
      </c>
      <c r="F41" s="150">
        <v>12.755177450195804</v>
      </c>
      <c r="G41" s="150">
        <v>174.888261906</v>
      </c>
      <c r="H41" s="150">
        <v>29.037694043730735</v>
      </c>
      <c r="I41" s="149">
        <v>13295.632910487911</v>
      </c>
    </row>
    <row r="42" spans="1:9">
      <c r="A42" s="140">
        <v>2026</v>
      </c>
      <c r="B42" s="150">
        <v>4992.8699197329706</v>
      </c>
      <c r="C42" s="150">
        <v>2000.5629127905258</v>
      </c>
      <c r="D42" s="150">
        <v>3417.4006440474454</v>
      </c>
      <c r="E42" s="150">
        <v>2674.2034662250712</v>
      </c>
      <c r="F42" s="150">
        <v>12.755177450195804</v>
      </c>
      <c r="G42" s="150">
        <v>175.20117587199999</v>
      </c>
      <c r="H42" s="150">
        <v>24.952378956466401</v>
      </c>
      <c r="I42" s="149">
        <v>13297.945675074676</v>
      </c>
    </row>
    <row r="43" spans="1:9">
      <c r="A43" s="140">
        <v>2027</v>
      </c>
      <c r="B43" s="150">
        <v>5003.4000708185713</v>
      </c>
      <c r="C43" s="150">
        <v>2009.8179054835803</v>
      </c>
      <c r="D43" s="150">
        <v>3422.2438418587758</v>
      </c>
      <c r="E43" s="150">
        <v>2651.7569898177385</v>
      </c>
      <c r="F43" s="150">
        <v>12.755177450195804</v>
      </c>
      <c r="G43" s="150">
        <v>175.461380875</v>
      </c>
      <c r="H43" s="150">
        <v>20.301525603300327</v>
      </c>
      <c r="I43" s="149">
        <v>13295.736891907161</v>
      </c>
    </row>
    <row r="44" spans="1:9">
      <c r="A44" s="140">
        <v>2028</v>
      </c>
      <c r="B44" s="150">
        <v>5013.5327776958802</v>
      </c>
      <c r="C44" s="150">
        <v>2018.2996709072088</v>
      </c>
      <c r="D44" s="150">
        <v>3423.0115525824403</v>
      </c>
      <c r="E44" s="150">
        <v>2620.6969500213818</v>
      </c>
      <c r="F44" s="150">
        <v>12.755177450195804</v>
      </c>
      <c r="G44" s="150">
        <v>175.58656504699999</v>
      </c>
      <c r="H44" s="150">
        <v>13.778998995362205</v>
      </c>
      <c r="I44" s="149">
        <v>13277.661692699468</v>
      </c>
    </row>
    <row r="45" spans="1:9">
      <c r="A45" s="140">
        <v>2029</v>
      </c>
      <c r="B45" s="150">
        <v>5024.2562723309456</v>
      </c>
      <c r="C45" s="150">
        <v>2033.687751413896</v>
      </c>
      <c r="D45" s="150">
        <v>3426.2939249243941</v>
      </c>
      <c r="E45" s="150">
        <v>2598.8579787630783</v>
      </c>
      <c r="F45" s="150">
        <v>12.755177450195804</v>
      </c>
      <c r="G45" s="150">
        <v>175.70848755099999</v>
      </c>
      <c r="H45" s="150">
        <v>11.664311697880416</v>
      </c>
      <c r="I45" s="149">
        <v>13283.22390413139</v>
      </c>
    </row>
    <row r="46" spans="1:9">
      <c r="A46" s="140">
        <v>2030</v>
      </c>
      <c r="B46" s="150">
        <v>5034.76951521516</v>
      </c>
      <c r="C46" s="150">
        <v>2045.1574629733993</v>
      </c>
      <c r="D46" s="150">
        <v>3427.4896248245809</v>
      </c>
      <c r="E46" s="150">
        <v>2573.3566975529502</v>
      </c>
      <c r="F46" s="150">
        <v>12.755177450195804</v>
      </c>
      <c r="G46" s="150">
        <v>175.81642977199999</v>
      </c>
      <c r="H46" s="150">
        <v>4.7362500568328887</v>
      </c>
      <c r="I46" s="149">
        <v>13274.081157845119</v>
      </c>
    </row>
    <row r="47" spans="1:9">
      <c r="A47" s="140">
        <v>2031</v>
      </c>
      <c r="B47" s="150">
        <v>5046.6556966958869</v>
      </c>
      <c r="C47" s="150">
        <v>2059.291093324789</v>
      </c>
      <c r="D47" s="150">
        <v>3434.0648719392166</v>
      </c>
      <c r="E47" s="150">
        <v>2557.6332772122155</v>
      </c>
      <c r="F47" s="150">
        <v>12.755177450195804</v>
      </c>
      <c r="G47" s="150">
        <v>175.97085633399999</v>
      </c>
      <c r="H47" s="150">
        <v>-0.21347332128453894</v>
      </c>
      <c r="I47" s="149">
        <v>13286.157499635019</v>
      </c>
    </row>
    <row r="48" spans="1:9">
      <c r="A48" s="140">
        <v>2032</v>
      </c>
      <c r="B48" s="150">
        <v>5055.5598086890841</v>
      </c>
      <c r="C48" s="150">
        <v>2070.0229868029082</v>
      </c>
      <c r="D48" s="150">
        <v>3438.5377420669624</v>
      </c>
      <c r="E48" s="150">
        <v>2542.2733191220977</v>
      </c>
      <c r="F48" s="150">
        <v>12.755177450195804</v>
      </c>
      <c r="G48" s="150">
        <v>176.11494123700001</v>
      </c>
      <c r="H48" s="150">
        <v>-7.383553144894166</v>
      </c>
      <c r="I48" s="149">
        <v>13287.880422223354</v>
      </c>
    </row>
    <row r="49" spans="1:9">
      <c r="A49" s="140">
        <v>2033</v>
      </c>
      <c r="B49" s="150">
        <v>5061.7215939071029</v>
      </c>
      <c r="C49" s="150">
        <v>2084.5769339079748</v>
      </c>
      <c r="D49" s="150">
        <v>3443.5796776342527</v>
      </c>
      <c r="E49" s="150">
        <v>2525.1075523671243</v>
      </c>
      <c r="F49" s="150">
        <v>12.755177450195804</v>
      </c>
      <c r="G49" s="150">
        <v>176.37376157200001</v>
      </c>
      <c r="H49" s="150">
        <v>-10.716046853277875</v>
      </c>
      <c r="I49" s="149">
        <v>13293.398649985373</v>
      </c>
    </row>
    <row r="50" spans="1:9">
      <c r="A50" s="140">
        <v>2034</v>
      </c>
      <c r="B50" s="150">
        <v>5064.4707925839266</v>
      </c>
      <c r="C50" s="150">
        <v>2089.6005072187022</v>
      </c>
      <c r="D50" s="150">
        <v>3448.8555800385552</v>
      </c>
      <c r="E50" s="150">
        <v>2503.1608180024787</v>
      </c>
      <c r="F50" s="150">
        <v>12.755177450195804</v>
      </c>
      <c r="G50" s="150">
        <v>176.60132989299998</v>
      </c>
      <c r="H50" s="150">
        <v>-22.288198646312036</v>
      </c>
      <c r="I50" s="149">
        <v>13273.156006540547</v>
      </c>
    </row>
    <row r="51" spans="1:9">
      <c r="A51" s="140">
        <v>2035</v>
      </c>
      <c r="B51" s="150">
        <v>5063.8753569488426</v>
      </c>
      <c r="C51" s="150">
        <v>2097.7281801091372</v>
      </c>
      <c r="D51" s="150">
        <v>3454.5693208209273</v>
      </c>
      <c r="E51" s="150">
        <v>2477.4064789284944</v>
      </c>
      <c r="F51" s="150">
        <v>12.755177450195804</v>
      </c>
      <c r="G51" s="150">
        <v>176.756781437</v>
      </c>
      <c r="H51" s="150">
        <v>-29.04397524164056</v>
      </c>
      <c r="I51" s="149">
        <v>13254.047320452957</v>
      </c>
    </row>
    <row r="52" spans="1:9">
      <c r="A52" s="144" t="s">
        <v>930</v>
      </c>
    </row>
    <row r="53" spans="1:9">
      <c r="A53" s="144" t="s">
        <v>950</v>
      </c>
    </row>
    <row r="55" spans="1:9" ht="18.5">
      <c r="A55" s="231" t="s">
        <v>959</v>
      </c>
      <c r="B55" s="232"/>
      <c r="C55" s="232"/>
      <c r="D55" s="232"/>
      <c r="E55" s="232"/>
      <c r="F55" s="232"/>
      <c r="G55" s="232"/>
      <c r="H55" s="232"/>
      <c r="I55" s="232"/>
    </row>
    <row r="56" spans="1:9" ht="15.5">
      <c r="A56" s="233" t="s">
        <v>942</v>
      </c>
      <c r="B56" s="232"/>
      <c r="C56" s="232"/>
      <c r="D56" s="232"/>
      <c r="E56" s="232"/>
      <c r="F56" s="232"/>
      <c r="G56" s="232"/>
      <c r="H56" s="232"/>
      <c r="I56" s="232"/>
    </row>
    <row r="57" spans="1:9" ht="15.5">
      <c r="A57" s="233" t="s">
        <v>956</v>
      </c>
      <c r="B57" s="232"/>
      <c r="C57" s="232"/>
      <c r="D57" s="232"/>
      <c r="E57" s="232"/>
      <c r="F57" s="232"/>
      <c r="G57" s="232"/>
      <c r="H57" s="232"/>
      <c r="I57" s="232"/>
    </row>
    <row r="59" spans="1:9" ht="15" thickBot="1">
      <c r="A59" s="139" t="s">
        <v>940</v>
      </c>
      <c r="B59" s="139" t="s">
        <v>303</v>
      </c>
      <c r="C59" s="139" t="s">
        <v>306</v>
      </c>
      <c r="D59" s="139" t="s">
        <v>308</v>
      </c>
      <c r="E59" s="139" t="s">
        <v>955</v>
      </c>
      <c r="F59" s="139" t="s">
        <v>954</v>
      </c>
      <c r="G59" s="139" t="s">
        <v>953</v>
      </c>
      <c r="H59" s="139" t="s">
        <v>952</v>
      </c>
      <c r="I59" s="139" t="s">
        <v>951</v>
      </c>
    </row>
    <row r="60" spans="1:9" ht="15" thickTop="1">
      <c r="A60" s="140">
        <v>1990</v>
      </c>
      <c r="B60" s="150">
        <v>2687.2938859999999</v>
      </c>
      <c r="C60" s="150">
        <v>783.30064038297803</v>
      </c>
      <c r="D60" s="150">
        <v>1253.82155788819</v>
      </c>
      <c r="E60" s="150">
        <v>2412.9036102458699</v>
      </c>
      <c r="F60" s="150">
        <v>56.3359204627086</v>
      </c>
      <c r="G60" s="150">
        <v>58.0341820279506</v>
      </c>
      <c r="H60" s="150">
        <v>0</v>
      </c>
      <c r="I60" s="149">
        <v>7251.6897970076971</v>
      </c>
    </row>
    <row r="61" spans="1:9">
      <c r="A61" s="140">
        <v>1991</v>
      </c>
      <c r="B61" s="150">
        <v>2704.6404680000001</v>
      </c>
      <c r="C61" s="150">
        <v>767.82450655809203</v>
      </c>
      <c r="D61" s="150">
        <v>1151.16629696837</v>
      </c>
      <c r="E61" s="150">
        <v>2322.0638315599899</v>
      </c>
      <c r="F61" s="150">
        <v>52.136208000000003</v>
      </c>
      <c r="G61" s="150">
        <v>100.267295883863</v>
      </c>
      <c r="H61" s="150">
        <v>0</v>
      </c>
      <c r="I61" s="149">
        <v>7098.0986069703149</v>
      </c>
    </row>
    <row r="62" spans="1:9">
      <c r="A62" s="140">
        <v>1992</v>
      </c>
      <c r="B62" s="150">
        <v>2640.436592</v>
      </c>
      <c r="C62" s="150">
        <v>739.10219701348899</v>
      </c>
      <c r="D62" s="150">
        <v>1047.7517318514899</v>
      </c>
      <c r="E62" s="150">
        <v>2197.5634689049298</v>
      </c>
      <c r="F62" s="150">
        <v>51.573213042992201</v>
      </c>
      <c r="G62" s="150">
        <v>67.943791944674402</v>
      </c>
      <c r="H62" s="150">
        <v>0</v>
      </c>
      <c r="I62" s="149">
        <v>6744.3709947575753</v>
      </c>
    </row>
    <row r="63" spans="1:9">
      <c r="A63" s="140">
        <v>1993</v>
      </c>
      <c r="B63" s="150">
        <v>2616.98299</v>
      </c>
      <c r="C63" s="150">
        <v>763.52389409537102</v>
      </c>
      <c r="D63" s="150">
        <v>1059.4384410770399</v>
      </c>
      <c r="E63" s="150">
        <v>2071.8109259737298</v>
      </c>
      <c r="F63" s="150">
        <v>47.878413999999999</v>
      </c>
      <c r="G63" s="150">
        <v>56.471388508989698</v>
      </c>
      <c r="H63" s="150">
        <v>0</v>
      </c>
      <c r="I63" s="149">
        <v>6616.1060536551304</v>
      </c>
    </row>
    <row r="64" spans="1:9">
      <c r="A64" s="140">
        <v>1994</v>
      </c>
      <c r="B64" s="150">
        <v>2665.848332</v>
      </c>
      <c r="C64" s="150">
        <v>759.78162219211504</v>
      </c>
      <c r="D64" s="150">
        <v>1108.80791502181</v>
      </c>
      <c r="E64" s="150">
        <v>2030.5959328659201</v>
      </c>
      <c r="F64" s="150">
        <v>56.457169</v>
      </c>
      <c r="G64" s="150">
        <v>55.322625808261897</v>
      </c>
      <c r="H64" s="150">
        <v>0</v>
      </c>
      <c r="I64" s="149">
        <v>6676.813596888107</v>
      </c>
    </row>
    <row r="65" spans="1:9">
      <c r="A65" s="140">
        <v>1995</v>
      </c>
      <c r="B65" s="150">
        <v>2459.1444809999998</v>
      </c>
      <c r="C65" s="150">
        <v>717.69662740339697</v>
      </c>
      <c r="D65" s="150">
        <v>1065.0255632214401</v>
      </c>
      <c r="E65" s="150">
        <v>1972.4095112366499</v>
      </c>
      <c r="F65" s="150">
        <v>52.0605763955719</v>
      </c>
      <c r="G65" s="150">
        <v>88.121124662459295</v>
      </c>
      <c r="H65" s="150">
        <v>0</v>
      </c>
      <c r="I65" s="149">
        <v>6354.4578839195183</v>
      </c>
    </row>
    <row r="66" spans="1:9">
      <c r="A66" s="140">
        <v>1996</v>
      </c>
      <c r="B66" s="150">
        <v>2481.6906720000002</v>
      </c>
      <c r="C66" s="150">
        <v>761.76524330253301</v>
      </c>
      <c r="D66" s="150">
        <v>1540.55948555139</v>
      </c>
      <c r="E66" s="150">
        <v>2099.7408462189701</v>
      </c>
      <c r="F66" s="150">
        <v>60.458120999999998</v>
      </c>
      <c r="G66" s="150">
        <v>111.674238856</v>
      </c>
      <c r="H66" s="150">
        <v>0</v>
      </c>
      <c r="I66" s="149">
        <v>7055.8886069288938</v>
      </c>
    </row>
    <row r="67" spans="1:9">
      <c r="A67" s="140">
        <v>1997</v>
      </c>
      <c r="B67" s="150">
        <v>2441.0490559999998</v>
      </c>
      <c r="C67" s="150">
        <v>754.13891773795399</v>
      </c>
      <c r="D67" s="150">
        <v>1504.2224532099599</v>
      </c>
      <c r="E67" s="150">
        <v>2383.8519218420502</v>
      </c>
      <c r="F67" s="150">
        <v>68.665004999999994</v>
      </c>
      <c r="G67" s="150">
        <v>93.663553009473901</v>
      </c>
      <c r="H67" s="150">
        <v>0</v>
      </c>
      <c r="I67" s="149">
        <v>7245.590906799438</v>
      </c>
    </row>
    <row r="68" spans="1:9">
      <c r="A68" s="140">
        <v>1998</v>
      </c>
      <c r="B68" s="150">
        <v>2811.9379880000001</v>
      </c>
      <c r="C68" s="150">
        <v>850.918297081726</v>
      </c>
      <c r="D68" s="150">
        <v>1714.47851605708</v>
      </c>
      <c r="E68" s="150">
        <v>2586.11836260066</v>
      </c>
      <c r="F68" s="150">
        <v>72.322462000000002</v>
      </c>
      <c r="G68" s="150">
        <v>70.124580716170499</v>
      </c>
      <c r="H68" s="150">
        <v>0</v>
      </c>
      <c r="I68" s="149">
        <v>8105.9002064556371</v>
      </c>
    </row>
    <row r="69" spans="1:9">
      <c r="A69" s="140">
        <v>1999</v>
      </c>
      <c r="B69" s="150">
        <v>2870.3598910000001</v>
      </c>
      <c r="C69" s="150">
        <v>892.12535736032601</v>
      </c>
      <c r="D69" s="150">
        <v>1706.03610785354</v>
      </c>
      <c r="E69" s="150">
        <v>2615.9047110220499</v>
      </c>
      <c r="F69" s="150">
        <v>85.733078000000006</v>
      </c>
      <c r="G69" s="150">
        <v>71.434351280901097</v>
      </c>
      <c r="H69" s="150">
        <v>0</v>
      </c>
      <c r="I69" s="149">
        <v>8241.5934965168162</v>
      </c>
    </row>
    <row r="70" spans="1:9">
      <c r="A70" s="140">
        <v>2000</v>
      </c>
      <c r="B70" s="150">
        <v>2642.3552500000001</v>
      </c>
      <c r="C70" s="150">
        <v>852.713560712495</v>
      </c>
      <c r="D70" s="150">
        <v>1672.7352877133401</v>
      </c>
      <c r="E70" s="150">
        <v>2659.0210016143301</v>
      </c>
      <c r="F70" s="150">
        <v>89.610827999999998</v>
      </c>
      <c r="G70" s="150">
        <v>62.684500309242402</v>
      </c>
      <c r="H70" s="150">
        <v>0</v>
      </c>
      <c r="I70" s="149">
        <v>7979.120428349408</v>
      </c>
    </row>
    <row r="71" spans="1:9">
      <c r="A71" s="140">
        <v>2001</v>
      </c>
      <c r="B71" s="150">
        <v>2707.3622332966202</v>
      </c>
      <c r="C71" s="150">
        <v>877.03293070079803</v>
      </c>
      <c r="D71" s="150">
        <v>1505.04262199957</v>
      </c>
      <c r="E71" s="150">
        <v>2725.72777968829</v>
      </c>
      <c r="F71" s="150">
        <v>74.128167619985703</v>
      </c>
      <c r="G71" s="150">
        <v>64.944030693353099</v>
      </c>
      <c r="H71" s="150">
        <v>0</v>
      </c>
      <c r="I71" s="149">
        <v>7954.2377639986171</v>
      </c>
    </row>
    <row r="72" spans="1:9">
      <c r="A72" s="140">
        <v>2002</v>
      </c>
      <c r="B72" s="150">
        <v>2672.8969546969201</v>
      </c>
      <c r="C72" s="150">
        <v>895.78465776970904</v>
      </c>
      <c r="D72" s="150">
        <v>1620.0217752614201</v>
      </c>
      <c r="E72" s="150">
        <v>2669.6309612826999</v>
      </c>
      <c r="F72" s="150">
        <v>84.223249876793403</v>
      </c>
      <c r="G72" s="150">
        <v>94.893768814576106</v>
      </c>
      <c r="H72" s="150">
        <v>0</v>
      </c>
      <c r="I72" s="149">
        <v>8037.4513677021187</v>
      </c>
    </row>
    <row r="73" spans="1:9">
      <c r="A73" s="140">
        <v>2003</v>
      </c>
      <c r="B73" s="150">
        <v>2513.9176383946801</v>
      </c>
      <c r="C73" s="150">
        <v>908.38395488545996</v>
      </c>
      <c r="D73" s="150">
        <v>1488.4835268878601</v>
      </c>
      <c r="E73" s="150">
        <v>2499.3153629052799</v>
      </c>
      <c r="F73" s="150">
        <v>99.072136218017306</v>
      </c>
      <c r="G73" s="150">
        <v>77.148865478538099</v>
      </c>
      <c r="H73" s="150">
        <v>0</v>
      </c>
      <c r="I73" s="149">
        <v>7586.3214847698355</v>
      </c>
    </row>
    <row r="74" spans="1:9">
      <c r="A74" s="140">
        <v>2004</v>
      </c>
      <c r="B74" s="150">
        <v>2664.3349953544498</v>
      </c>
      <c r="C74" s="150">
        <v>965.51464257145801</v>
      </c>
      <c r="D74" s="150">
        <v>1499.71758108526</v>
      </c>
      <c r="E74" s="150">
        <v>2529.1200189983801</v>
      </c>
      <c r="F74" s="150">
        <v>101.44361423827</v>
      </c>
      <c r="G74" s="150">
        <v>76.213599345059095</v>
      </c>
      <c r="H74" s="150">
        <v>0</v>
      </c>
      <c r="I74" s="149">
        <v>7836.3444515928768</v>
      </c>
    </row>
    <row r="75" spans="1:9">
      <c r="A75" s="140">
        <v>2005</v>
      </c>
      <c r="B75" s="150">
        <v>2481.0614924748502</v>
      </c>
      <c r="C75" s="150">
        <v>957.54640111752803</v>
      </c>
      <c r="D75" s="150">
        <v>1497.69509255706</v>
      </c>
      <c r="E75" s="150">
        <v>2416.6618963338001</v>
      </c>
      <c r="F75" s="150">
        <v>84.906180235464902</v>
      </c>
      <c r="G75" s="150">
        <v>76.593847321597707</v>
      </c>
      <c r="H75" s="150">
        <v>0</v>
      </c>
      <c r="I75" s="149">
        <v>7514.4649100403012</v>
      </c>
    </row>
    <row r="76" spans="1:9">
      <c r="A76" s="140">
        <v>2006</v>
      </c>
      <c r="B76" s="150">
        <v>2544.0016056480699</v>
      </c>
      <c r="C76" s="150">
        <v>948.037443763228</v>
      </c>
      <c r="D76" s="150">
        <v>1461.5786782410901</v>
      </c>
      <c r="E76" s="150">
        <v>2411.5556935330901</v>
      </c>
      <c r="F76" s="150">
        <v>85.9769971856132</v>
      </c>
      <c r="G76" s="150">
        <v>71.234249973526104</v>
      </c>
      <c r="H76" s="150">
        <v>0</v>
      </c>
      <c r="I76" s="149">
        <v>7522.3846683446172</v>
      </c>
    </row>
    <row r="77" spans="1:9">
      <c r="A77" s="140">
        <v>2007</v>
      </c>
      <c r="B77" s="150">
        <v>2568.27175275324</v>
      </c>
      <c r="C77" s="150">
        <v>949.77151108991802</v>
      </c>
      <c r="D77" s="150">
        <v>1524.8994418467901</v>
      </c>
      <c r="E77" s="150">
        <v>2520.5668651446899</v>
      </c>
      <c r="F77" s="150">
        <v>86.314789764430799</v>
      </c>
      <c r="G77" s="150">
        <v>106.53364128325801</v>
      </c>
      <c r="H77" s="150">
        <v>0</v>
      </c>
      <c r="I77" s="149">
        <v>7756.3580018823268</v>
      </c>
    </row>
    <row r="78" spans="1:9">
      <c r="A78" s="140">
        <v>2008</v>
      </c>
      <c r="B78" s="150">
        <v>2532.6992089999999</v>
      </c>
      <c r="C78" s="150">
        <v>905.97807696954897</v>
      </c>
      <c r="D78" s="150">
        <v>1564.62111885945</v>
      </c>
      <c r="E78" s="150">
        <v>2405.6852589999999</v>
      </c>
      <c r="F78" s="150">
        <v>82.608196000000007</v>
      </c>
      <c r="G78" s="150">
        <v>54.851712490052797</v>
      </c>
      <c r="H78" s="150">
        <v>0</v>
      </c>
      <c r="I78" s="149">
        <v>7546.4435723190518</v>
      </c>
    </row>
    <row r="79" spans="1:9">
      <c r="A79" s="140">
        <v>2009</v>
      </c>
      <c r="B79" s="150">
        <v>2500.354765</v>
      </c>
      <c r="C79" s="150">
        <v>896.41714602181298</v>
      </c>
      <c r="D79" s="150">
        <v>1448.97373170947</v>
      </c>
      <c r="E79" s="150">
        <v>2308.750055</v>
      </c>
      <c r="F79" s="150">
        <v>78.693472</v>
      </c>
      <c r="G79" s="150">
        <v>52.480815741584202</v>
      </c>
      <c r="H79" s="150">
        <v>0</v>
      </c>
      <c r="I79" s="149">
        <v>7285.6699854728677</v>
      </c>
    </row>
    <row r="80" spans="1:9">
      <c r="A80" s="140">
        <v>2010</v>
      </c>
      <c r="B80" s="150">
        <v>2585.7743919999998</v>
      </c>
      <c r="C80" s="150">
        <v>924.628743837706</v>
      </c>
      <c r="D80" s="150">
        <v>1585.54613060111</v>
      </c>
      <c r="E80" s="150">
        <v>2134.5781750000001</v>
      </c>
      <c r="F80" s="150">
        <v>66.138509999999997</v>
      </c>
      <c r="G80" s="150">
        <v>51.1341925805676</v>
      </c>
      <c r="H80" s="150">
        <v>0</v>
      </c>
      <c r="I80" s="149">
        <v>7347.8001440193839</v>
      </c>
    </row>
    <row r="81" spans="1:9">
      <c r="A81" s="140">
        <v>2011</v>
      </c>
      <c r="B81" s="150">
        <v>2620.1108650000001</v>
      </c>
      <c r="C81" s="150">
        <v>936.24909495354302</v>
      </c>
      <c r="D81" s="150">
        <v>1585.0812059339501</v>
      </c>
      <c r="E81" s="150">
        <v>2177.0606899999998</v>
      </c>
      <c r="F81" s="150">
        <v>62.911546000000001</v>
      </c>
      <c r="G81" s="150">
        <v>50.949591886947097</v>
      </c>
      <c r="H81" s="150">
        <v>0</v>
      </c>
      <c r="I81" s="149">
        <v>7432.3629937744399</v>
      </c>
    </row>
    <row r="82" spans="1:9">
      <c r="A82" s="140">
        <v>2012</v>
      </c>
      <c r="B82" s="150">
        <v>2436.453861</v>
      </c>
      <c r="C82" s="150">
        <v>951.00611796540102</v>
      </c>
      <c r="D82" s="150">
        <v>1591.1941239314399</v>
      </c>
      <c r="E82" s="150">
        <v>2140.51175655</v>
      </c>
      <c r="F82" s="150">
        <v>70.698425999999998</v>
      </c>
      <c r="G82" s="150">
        <v>51.266324817684499</v>
      </c>
      <c r="H82" s="150">
        <v>0</v>
      </c>
      <c r="I82" s="149">
        <v>7241.1306102645258</v>
      </c>
    </row>
    <row r="83" spans="1:9">
      <c r="A83" s="140">
        <v>2013</v>
      </c>
      <c r="B83" s="150">
        <v>2524.0080883000001</v>
      </c>
      <c r="C83" s="150">
        <v>946.92045261554699</v>
      </c>
      <c r="D83" s="150">
        <v>1651.0108308624699</v>
      </c>
      <c r="E83" s="150">
        <v>2520.3145417000001</v>
      </c>
      <c r="F83" s="150">
        <v>72.990532000000002</v>
      </c>
      <c r="G83" s="150">
        <v>50.9187699557991</v>
      </c>
      <c r="H83" s="150">
        <v>0</v>
      </c>
      <c r="I83" s="149">
        <v>7766.1632154338158</v>
      </c>
    </row>
    <row r="84" spans="1:9">
      <c r="A84" s="140">
        <v>2014</v>
      </c>
      <c r="B84" s="150">
        <v>2053.0940500000002</v>
      </c>
      <c r="C84" s="150">
        <v>867.55086087822804</v>
      </c>
      <c r="D84" s="150">
        <v>1668.4566679123</v>
      </c>
      <c r="E84" s="150">
        <v>2546.2221923000002</v>
      </c>
      <c r="F84" s="150">
        <v>72.147740999999996</v>
      </c>
      <c r="G84" s="150">
        <v>51.264663965308799</v>
      </c>
      <c r="H84" s="150">
        <v>0</v>
      </c>
      <c r="I84" s="149">
        <v>7258.7361760558369</v>
      </c>
    </row>
    <row r="85" spans="1:9">
      <c r="A85" s="140">
        <v>2015</v>
      </c>
      <c r="B85" s="150">
        <v>2082.3915744999999</v>
      </c>
      <c r="C85" s="150">
        <v>876.71142821771696</v>
      </c>
      <c r="D85" s="150">
        <v>1620.1122860362</v>
      </c>
      <c r="E85" s="150">
        <v>2580.2691788000002</v>
      </c>
      <c r="F85" s="150">
        <v>73.605654000000001</v>
      </c>
      <c r="G85" s="150">
        <v>52.530992154219597</v>
      </c>
      <c r="H85" s="150">
        <v>0</v>
      </c>
      <c r="I85" s="149">
        <v>7285.6211137081364</v>
      </c>
    </row>
    <row r="86" spans="1:9">
      <c r="A86" s="140">
        <v>2016</v>
      </c>
      <c r="B86" s="150">
        <v>2181.0281218</v>
      </c>
      <c r="C86" s="150">
        <v>920.53183008690496</v>
      </c>
      <c r="D86" s="150">
        <v>1734.577557261</v>
      </c>
      <c r="E86" s="150">
        <v>2283.6878601799999</v>
      </c>
      <c r="F86" s="150">
        <v>77.169324000000003</v>
      </c>
      <c r="G86" s="150">
        <v>61.124297565635899</v>
      </c>
      <c r="H86" s="150">
        <v>0</v>
      </c>
      <c r="I86" s="149">
        <v>7258.1189908935412</v>
      </c>
    </row>
    <row r="87" spans="1:9">
      <c r="A87" s="140">
        <v>2017</v>
      </c>
      <c r="B87" s="150">
        <v>2202.5824265000001</v>
      </c>
      <c r="C87" s="150">
        <v>923.80872889923296</v>
      </c>
      <c r="D87" s="150">
        <v>1775.6354345353</v>
      </c>
      <c r="E87" s="150">
        <v>2153.9645521898101</v>
      </c>
      <c r="F87" s="150">
        <v>69.547082000000003</v>
      </c>
      <c r="G87" s="150">
        <v>80.015150098278397</v>
      </c>
      <c r="H87" s="150">
        <v>0</v>
      </c>
      <c r="I87" s="149">
        <v>7205.5533742226216</v>
      </c>
    </row>
    <row r="88" spans="1:9">
      <c r="A88" s="140">
        <v>2018</v>
      </c>
      <c r="B88" s="150">
        <v>2192.8535729999999</v>
      </c>
      <c r="C88" s="150">
        <v>937.87666248211099</v>
      </c>
      <c r="D88" s="150">
        <v>1755.12487194355</v>
      </c>
      <c r="E88" s="150">
        <v>2180.5512797199999</v>
      </c>
      <c r="F88" s="150">
        <v>77.731789000000006</v>
      </c>
      <c r="G88" s="150">
        <v>80.048445045048098</v>
      </c>
      <c r="H88" s="150">
        <v>0</v>
      </c>
      <c r="I88" s="149">
        <v>7224.186621190709</v>
      </c>
    </row>
    <row r="89" spans="1:9">
      <c r="A89" s="140">
        <v>2019</v>
      </c>
      <c r="B89" s="150">
        <v>2467.2664490000002</v>
      </c>
      <c r="C89" s="150">
        <v>974.83956715805004</v>
      </c>
      <c r="D89" s="150">
        <v>1724.7783723366799</v>
      </c>
      <c r="E89" s="150">
        <v>2199.0967762999999</v>
      </c>
      <c r="F89" s="150">
        <v>72.646164999999996</v>
      </c>
      <c r="G89" s="150">
        <v>88.289928970997494</v>
      </c>
      <c r="H89" s="150">
        <v>0</v>
      </c>
      <c r="I89" s="149">
        <v>7526.9172587657276</v>
      </c>
    </row>
    <row r="90" spans="1:9">
      <c r="A90" s="140">
        <v>2020</v>
      </c>
      <c r="B90" s="150">
        <v>2474.1959765000001</v>
      </c>
      <c r="C90" s="150">
        <v>826.85335400728798</v>
      </c>
      <c r="D90" s="150">
        <v>1655.5653745464499</v>
      </c>
      <c r="E90" s="150">
        <v>2209.74620099</v>
      </c>
      <c r="F90" s="150">
        <v>74.548666999999995</v>
      </c>
      <c r="G90" s="150">
        <v>92.011906148631695</v>
      </c>
      <c r="H90" s="150">
        <v>0</v>
      </c>
      <c r="I90" s="149">
        <v>7332.9214791923696</v>
      </c>
    </row>
    <row r="91" spans="1:9">
      <c r="A91" s="140">
        <v>2021</v>
      </c>
      <c r="B91" s="150">
        <v>2505.7604202777702</v>
      </c>
      <c r="C91" s="150">
        <v>828.73824896123995</v>
      </c>
      <c r="D91" s="150">
        <v>1699.7370724884199</v>
      </c>
      <c r="E91" s="150">
        <v>2344.85703784006</v>
      </c>
      <c r="F91" s="150">
        <v>5.5692071230769198</v>
      </c>
      <c r="G91" s="150">
        <v>85.317310669999998</v>
      </c>
      <c r="H91" s="150">
        <v>3.1737807632541299</v>
      </c>
      <c r="I91" s="149">
        <v>7473.1530781238207</v>
      </c>
    </row>
    <row r="92" spans="1:9">
      <c r="A92" s="140">
        <v>2022</v>
      </c>
      <c r="B92" s="150">
        <v>2507.44375976225</v>
      </c>
      <c r="C92" s="150">
        <v>862.85788308672898</v>
      </c>
      <c r="D92" s="150">
        <v>1708.3477914339301</v>
      </c>
      <c r="E92" s="150">
        <v>2553.0200184973901</v>
      </c>
      <c r="F92" s="150">
        <v>5.5692071230769198</v>
      </c>
      <c r="G92" s="150">
        <v>87.92856587</v>
      </c>
      <c r="H92" s="150">
        <v>7.8951184519122402</v>
      </c>
      <c r="I92" s="149">
        <v>7733.0623442252881</v>
      </c>
    </row>
    <row r="93" spans="1:9">
      <c r="A93" s="140">
        <v>2023</v>
      </c>
      <c r="B93" s="150">
        <v>2508.9701825439201</v>
      </c>
      <c r="C93" s="150">
        <v>882.85569552222</v>
      </c>
      <c r="D93" s="150">
        <v>1709.6083699071401</v>
      </c>
      <c r="E93" s="150">
        <v>2581.8583113996401</v>
      </c>
      <c r="F93" s="150">
        <v>5.5692071230769198</v>
      </c>
      <c r="G93" s="150">
        <v>88.291749890000006</v>
      </c>
      <c r="H93" s="150">
        <v>11.3471156799342</v>
      </c>
      <c r="I93" s="149">
        <v>7788.5006320659313</v>
      </c>
    </row>
    <row r="94" spans="1:9">
      <c r="A94" s="140">
        <v>2024</v>
      </c>
      <c r="B94" s="150">
        <v>2510.9495798172002</v>
      </c>
      <c r="C94" s="150">
        <v>895.75666131963601</v>
      </c>
      <c r="D94" s="150">
        <v>1719.1963241442099</v>
      </c>
      <c r="E94" s="150">
        <v>2565.7551448119002</v>
      </c>
      <c r="F94" s="150">
        <v>5.5692071230769198</v>
      </c>
      <c r="G94" s="150">
        <v>88.319078110000007</v>
      </c>
      <c r="H94" s="150">
        <v>13.129391870274899</v>
      </c>
      <c r="I94" s="149">
        <v>7798.6753871962983</v>
      </c>
    </row>
    <row r="95" spans="1:9">
      <c r="A95" s="140">
        <v>2025</v>
      </c>
      <c r="B95" s="150">
        <v>2513.0427152909201</v>
      </c>
      <c r="C95" s="150">
        <v>904.46044134387296</v>
      </c>
      <c r="D95" s="150">
        <v>1726.5366817817001</v>
      </c>
      <c r="E95" s="150">
        <v>2539.8509322161499</v>
      </c>
      <c r="F95" s="150">
        <v>5.5692071230769198</v>
      </c>
      <c r="G95" s="150">
        <v>88.560141900000005</v>
      </c>
      <c r="H95" s="150">
        <v>13.1936670432366</v>
      </c>
      <c r="I95" s="149">
        <v>7791.2137866989569</v>
      </c>
    </row>
    <row r="96" spans="1:9">
      <c r="A96" s="140">
        <v>2026</v>
      </c>
      <c r="B96" s="150">
        <v>2513.8648355300602</v>
      </c>
      <c r="C96" s="150">
        <v>910.80547860138802</v>
      </c>
      <c r="D96" s="150">
        <v>1732.0940047786</v>
      </c>
      <c r="E96" s="150">
        <v>2517.3115449258498</v>
      </c>
      <c r="F96" s="150">
        <v>5.5692071230769198</v>
      </c>
      <c r="G96" s="150">
        <v>88.81126166</v>
      </c>
      <c r="H96" s="150">
        <v>11.3601843323121</v>
      </c>
      <c r="I96" s="149">
        <v>7779.8165169512868</v>
      </c>
    </row>
    <row r="97" spans="1:9">
      <c r="A97" s="140">
        <v>2027</v>
      </c>
      <c r="B97" s="150">
        <v>2514.3479051051299</v>
      </c>
      <c r="C97" s="150">
        <v>917.08438519044103</v>
      </c>
      <c r="D97" s="150">
        <v>1735.9552788450601</v>
      </c>
      <c r="E97" s="150">
        <v>2496.0367656284102</v>
      </c>
      <c r="F97" s="150">
        <v>5.5692071230769198</v>
      </c>
      <c r="G97" s="150">
        <v>89.028662510000004</v>
      </c>
      <c r="H97" s="150">
        <v>9.2636313347257992</v>
      </c>
      <c r="I97" s="149">
        <v>7767.2858357368441</v>
      </c>
    </row>
    <row r="98" spans="1:9">
      <c r="A98" s="140">
        <v>2028</v>
      </c>
      <c r="B98" s="150">
        <v>2514.6789796377502</v>
      </c>
      <c r="C98" s="150">
        <v>923.39192716776904</v>
      </c>
      <c r="D98" s="150">
        <v>1736.6725319644599</v>
      </c>
      <c r="E98" s="150">
        <v>2466.4327683152801</v>
      </c>
      <c r="F98" s="150">
        <v>5.5692071230769198</v>
      </c>
      <c r="G98" s="150">
        <v>89.167891639999993</v>
      </c>
      <c r="H98" s="150">
        <v>6.3040274049349598</v>
      </c>
      <c r="I98" s="149">
        <v>7742.2173332532711</v>
      </c>
    </row>
    <row r="99" spans="1:9">
      <c r="A99" s="140">
        <v>2029</v>
      </c>
      <c r="B99" s="150">
        <v>2516.37221185727</v>
      </c>
      <c r="C99" s="150">
        <v>933.68615840303403</v>
      </c>
      <c r="D99" s="150">
        <v>1739.87644245869</v>
      </c>
      <c r="E99" s="150">
        <v>2445.8027803873501</v>
      </c>
      <c r="F99" s="150">
        <v>5.5692071230769198</v>
      </c>
      <c r="G99" s="150">
        <v>89.299440649999994</v>
      </c>
      <c r="H99" s="150">
        <v>5.3552008522634997</v>
      </c>
      <c r="I99" s="149">
        <v>7735.9614417316843</v>
      </c>
    </row>
    <row r="100" spans="1:9">
      <c r="A100" s="140">
        <v>2030</v>
      </c>
      <c r="B100" s="150">
        <v>2518.64025292006</v>
      </c>
      <c r="C100" s="150">
        <v>942.611659664988</v>
      </c>
      <c r="D100" s="150">
        <v>1741.7481607872501</v>
      </c>
      <c r="E100" s="150">
        <v>2421.6076632066802</v>
      </c>
      <c r="F100" s="150">
        <v>5.5692071230769198</v>
      </c>
      <c r="G100" s="150">
        <v>89.411242079999994</v>
      </c>
      <c r="H100" s="150">
        <v>2.1829343742407499</v>
      </c>
      <c r="I100" s="149">
        <v>7721.7711201562961</v>
      </c>
    </row>
    <row r="101" spans="1:9">
      <c r="A101" s="140">
        <v>2031</v>
      </c>
      <c r="B101" s="150">
        <v>2522.3119493250201</v>
      </c>
      <c r="C101" s="150">
        <v>952.51781008741602</v>
      </c>
      <c r="D101" s="150">
        <v>1746.32194603676</v>
      </c>
      <c r="E101" s="150">
        <v>2406.6547059364402</v>
      </c>
      <c r="F101" s="150">
        <v>5.5692071230769198</v>
      </c>
      <c r="G101" s="150">
        <v>89.544488569999999</v>
      </c>
      <c r="H101" s="150">
        <v>-9.8741329558096794E-2</v>
      </c>
      <c r="I101" s="149">
        <v>7722.8213657491551</v>
      </c>
    </row>
    <row r="102" spans="1:9">
      <c r="A102" s="140">
        <v>2032</v>
      </c>
      <c r="B102" s="150">
        <v>2524.9303698979202</v>
      </c>
      <c r="C102" s="150">
        <v>960.31082912076704</v>
      </c>
      <c r="D102" s="150">
        <v>1749.68489593971</v>
      </c>
      <c r="E102" s="150">
        <v>2392.1317359099298</v>
      </c>
      <c r="F102" s="150">
        <v>5.5692071230769198</v>
      </c>
      <c r="G102" s="150">
        <v>89.673434319999998</v>
      </c>
      <c r="H102" s="150">
        <v>-3.4253272005359001</v>
      </c>
      <c r="I102" s="149">
        <v>7718.8751451108683</v>
      </c>
    </row>
    <row r="103" spans="1:9">
      <c r="A103" s="140">
        <v>2033</v>
      </c>
      <c r="B103" s="150">
        <v>2526.19466968912</v>
      </c>
      <c r="C103" s="150">
        <v>968.84309463359796</v>
      </c>
      <c r="D103" s="150">
        <v>1753.2923776654</v>
      </c>
      <c r="E103" s="150">
        <v>2375.85966177313</v>
      </c>
      <c r="F103" s="150">
        <v>5.5692071230769198</v>
      </c>
      <c r="G103" s="150">
        <v>89.862650849999994</v>
      </c>
      <c r="H103" s="150">
        <v>-4.9804676559021601</v>
      </c>
      <c r="I103" s="149">
        <v>7714.6411940784228</v>
      </c>
    </row>
    <row r="104" spans="1:9">
      <c r="A104" s="140">
        <v>2034</v>
      </c>
      <c r="B104" s="150">
        <v>2525.3892378200399</v>
      </c>
      <c r="C104" s="150">
        <v>971.96170381913203</v>
      </c>
      <c r="D104" s="150">
        <v>1757.04827309949</v>
      </c>
      <c r="E104" s="150">
        <v>2354.9864128193799</v>
      </c>
      <c r="F104" s="150">
        <v>5.5692071230769198</v>
      </c>
      <c r="G104" s="150">
        <v>90.026294609999994</v>
      </c>
      <c r="H104" s="150">
        <v>-10.367185237796001</v>
      </c>
      <c r="I104" s="149">
        <v>7694.6139440533225</v>
      </c>
    </row>
    <row r="105" spans="1:9">
      <c r="A105" s="140">
        <v>2035</v>
      </c>
      <c r="B105" s="150">
        <v>2522.1033578382799</v>
      </c>
      <c r="C105" s="150">
        <v>975.85870848814398</v>
      </c>
      <c r="D105" s="150">
        <v>1761.04956518628</v>
      </c>
      <c r="E105" s="150">
        <v>2330.4632081914801</v>
      </c>
      <c r="F105" s="150">
        <v>5.5692071230769198</v>
      </c>
      <c r="G105" s="150">
        <v>90.151680049999996</v>
      </c>
      <c r="H105" s="150">
        <v>-13.5111957962039</v>
      </c>
      <c r="I105" s="149">
        <v>7671.6845310810568</v>
      </c>
    </row>
    <row r="106" spans="1:9">
      <c r="A106" s="144" t="s">
        <v>930</v>
      </c>
    </row>
    <row r="107" spans="1:9">
      <c r="A107" s="144" t="s">
        <v>950</v>
      </c>
    </row>
  </sheetData>
  <mergeCells count="6">
    <mergeCell ref="A57:I57"/>
    <mergeCell ref="A1:I1"/>
    <mergeCell ref="A2:I2"/>
    <mergeCell ref="A3:I3"/>
    <mergeCell ref="A55:I55"/>
    <mergeCell ref="A56:I56"/>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4593C-AED8-4363-9A0C-95DE3395E9F8}">
  <sheetPr>
    <tabColor theme="0" tint="-0.14999847407452621"/>
  </sheetPr>
  <dimension ref="A1:I182"/>
  <sheetViews>
    <sheetView topLeftCell="A158" workbookViewId="0">
      <selection activeCell="E168" sqref="E168"/>
    </sheetView>
  </sheetViews>
  <sheetFormatPr defaultRowHeight="14.5"/>
  <cols>
    <col min="1" max="9" width="20" style="138" customWidth="1"/>
    <col min="10" max="16384" width="8.7265625" style="138"/>
  </cols>
  <sheetData>
    <row r="1" spans="1:9" ht="18.5">
      <c r="A1" s="231" t="s">
        <v>958</v>
      </c>
      <c r="B1" s="232"/>
      <c r="C1" s="232"/>
      <c r="D1" s="232"/>
      <c r="E1" s="232"/>
      <c r="F1" s="232"/>
      <c r="G1" s="232"/>
      <c r="H1" s="232"/>
      <c r="I1" s="232"/>
    </row>
    <row r="2" spans="1:9" ht="15.5">
      <c r="A2" s="233" t="s">
        <v>942</v>
      </c>
      <c r="B2" s="232"/>
      <c r="C2" s="232"/>
      <c r="D2" s="232"/>
      <c r="E2" s="232"/>
      <c r="F2" s="232"/>
      <c r="G2" s="232"/>
      <c r="H2" s="232"/>
      <c r="I2" s="232"/>
    </row>
    <row r="3" spans="1:9" ht="15.5">
      <c r="A3" s="233" t="s">
        <v>956</v>
      </c>
      <c r="B3" s="232"/>
      <c r="C3" s="232"/>
      <c r="D3" s="232"/>
      <c r="E3" s="232"/>
      <c r="F3" s="232"/>
      <c r="G3" s="232"/>
      <c r="H3" s="232"/>
      <c r="I3" s="232"/>
    </row>
    <row r="5" spans="1:9" ht="15" thickBot="1">
      <c r="A5" s="139" t="s">
        <v>940</v>
      </c>
      <c r="B5" s="139" t="s">
        <v>303</v>
      </c>
      <c r="C5" s="139" t="s">
        <v>306</v>
      </c>
      <c r="D5" s="139" t="s">
        <v>308</v>
      </c>
      <c r="E5" s="139" t="s">
        <v>955</v>
      </c>
      <c r="F5" s="139" t="s">
        <v>954</v>
      </c>
      <c r="G5" s="139" t="s">
        <v>953</v>
      </c>
      <c r="H5" s="139" t="s">
        <v>952</v>
      </c>
      <c r="I5" s="139" t="s">
        <v>951</v>
      </c>
    </row>
    <row r="6" spans="1:9" ht="15" thickTop="1">
      <c r="A6" s="140">
        <v>1990</v>
      </c>
      <c r="B6" s="150">
        <v>2108.7760149999999</v>
      </c>
      <c r="C6" s="150">
        <v>742.54922597740597</v>
      </c>
      <c r="D6" s="150">
        <v>1813.0723843825399</v>
      </c>
      <c r="E6" s="150">
        <v>87.444766831528995</v>
      </c>
      <c r="F6" s="150">
        <v>61.496117456166999</v>
      </c>
      <c r="G6" s="150">
        <v>45.970561456694398</v>
      </c>
      <c r="H6" s="150">
        <v>0</v>
      </c>
      <c r="I6" s="149">
        <v>4859.309071104336</v>
      </c>
    </row>
    <row r="7" spans="1:9">
      <c r="A7" s="140">
        <v>1991</v>
      </c>
      <c r="B7" s="150">
        <v>2169.4555479999999</v>
      </c>
      <c r="C7" s="150">
        <v>766.03937662479905</v>
      </c>
      <c r="D7" s="150">
        <v>1660.69334447141</v>
      </c>
      <c r="E7" s="150">
        <v>91.043930441342397</v>
      </c>
      <c r="F7" s="150">
        <v>59.581164455713598</v>
      </c>
      <c r="G7" s="150">
        <v>48.053883917290399</v>
      </c>
      <c r="H7" s="150">
        <v>0</v>
      </c>
      <c r="I7" s="149">
        <v>4794.8672479105553</v>
      </c>
    </row>
    <row r="8" spans="1:9">
      <c r="A8" s="140">
        <v>1992</v>
      </c>
      <c r="B8" s="150">
        <v>1961.107387</v>
      </c>
      <c r="C8" s="150">
        <v>694.65604425346498</v>
      </c>
      <c r="D8" s="150">
        <v>1549.1409764181001</v>
      </c>
      <c r="E8" s="150">
        <v>72.046642288842094</v>
      </c>
      <c r="F8" s="150">
        <v>51.613571999999998</v>
      </c>
      <c r="G8" s="150">
        <v>45.118157363426199</v>
      </c>
      <c r="H8" s="150">
        <v>0</v>
      </c>
      <c r="I8" s="149">
        <v>4373.6827793238335</v>
      </c>
    </row>
    <row r="9" spans="1:9">
      <c r="A9" s="140">
        <v>1993</v>
      </c>
      <c r="B9" s="150">
        <v>2124.1224389896302</v>
      </c>
      <c r="C9" s="150">
        <v>716.63850681534996</v>
      </c>
      <c r="D9" s="150">
        <v>1570.4490403770101</v>
      </c>
      <c r="E9" s="150">
        <v>85.421202058884603</v>
      </c>
      <c r="F9" s="150">
        <v>59.210503392177898</v>
      </c>
      <c r="G9" s="150">
        <v>45.959475488280397</v>
      </c>
      <c r="H9" s="150">
        <v>0</v>
      </c>
      <c r="I9" s="149">
        <v>4601.8011671213335</v>
      </c>
    </row>
    <row r="10" spans="1:9">
      <c r="A10" s="140">
        <v>1994</v>
      </c>
      <c r="B10" s="150">
        <v>2172.6163641225198</v>
      </c>
      <c r="C10" s="150">
        <v>787.32209741692395</v>
      </c>
      <c r="D10" s="150">
        <v>1620.7905175521</v>
      </c>
      <c r="E10" s="150">
        <v>74.328784412585193</v>
      </c>
      <c r="F10" s="150">
        <v>54.475810598371602</v>
      </c>
      <c r="G10" s="150">
        <v>45.542593625667799</v>
      </c>
      <c r="H10" s="150">
        <v>0</v>
      </c>
      <c r="I10" s="149">
        <v>4755.076167728168</v>
      </c>
    </row>
    <row r="11" spans="1:9">
      <c r="A11" s="140">
        <v>1995</v>
      </c>
      <c r="B11" s="150">
        <v>1958.8324230005401</v>
      </c>
      <c r="C11" s="150">
        <v>737.45561359904502</v>
      </c>
      <c r="D11" s="150">
        <v>1756.44070054658</v>
      </c>
      <c r="E11" s="150">
        <v>81.763347196197998</v>
      </c>
      <c r="F11" s="150">
        <v>48.094011999999999</v>
      </c>
      <c r="G11" s="150">
        <v>37.744235059542298</v>
      </c>
      <c r="H11" s="150">
        <v>0</v>
      </c>
      <c r="I11" s="149">
        <v>4620.3303314019058</v>
      </c>
    </row>
    <row r="12" spans="1:9">
      <c r="A12" s="140">
        <v>1996</v>
      </c>
      <c r="B12" s="150">
        <v>1973.48943089567</v>
      </c>
      <c r="C12" s="150">
        <v>737.010544799473</v>
      </c>
      <c r="D12" s="150">
        <v>1854.9318803297399</v>
      </c>
      <c r="E12" s="150">
        <v>51.364722383830703</v>
      </c>
      <c r="F12" s="150">
        <v>54.346682000000001</v>
      </c>
      <c r="G12" s="150">
        <v>43.031023504224699</v>
      </c>
      <c r="H12" s="150">
        <v>0</v>
      </c>
      <c r="I12" s="149">
        <v>4714.1742839129383</v>
      </c>
    </row>
    <row r="13" spans="1:9">
      <c r="A13" s="140">
        <v>1997</v>
      </c>
      <c r="B13" s="150">
        <v>1976.0811610000001</v>
      </c>
      <c r="C13" s="150">
        <v>741.26947916243296</v>
      </c>
      <c r="D13" s="150">
        <v>1922.69719972551</v>
      </c>
      <c r="E13" s="150">
        <v>75.968640636072493</v>
      </c>
      <c r="F13" s="150">
        <v>58.701857956757301</v>
      </c>
      <c r="G13" s="150">
        <v>47.508353429867903</v>
      </c>
      <c r="H13" s="150">
        <v>0</v>
      </c>
      <c r="I13" s="149">
        <v>4822.2266919106405</v>
      </c>
    </row>
    <row r="14" spans="1:9">
      <c r="A14" s="140">
        <v>1998</v>
      </c>
      <c r="B14" s="150">
        <v>2257.47151206129</v>
      </c>
      <c r="C14" s="150">
        <v>843.83083849192701</v>
      </c>
      <c r="D14" s="150">
        <v>1797.4704327750701</v>
      </c>
      <c r="E14" s="150">
        <v>151.057733821569</v>
      </c>
      <c r="F14" s="150">
        <v>68.413098708572306</v>
      </c>
      <c r="G14" s="150">
        <v>46.597813731749298</v>
      </c>
      <c r="H14" s="150">
        <v>0</v>
      </c>
      <c r="I14" s="149">
        <v>5164.8414295901775</v>
      </c>
    </row>
    <row r="15" spans="1:9">
      <c r="A15" s="140">
        <v>1999</v>
      </c>
      <c r="B15" s="150">
        <v>2419.6598720000002</v>
      </c>
      <c r="C15" s="150">
        <v>880.847518548366</v>
      </c>
      <c r="D15" s="150">
        <v>1658.4834746526799</v>
      </c>
      <c r="E15" s="150">
        <v>101.422356873515</v>
      </c>
      <c r="F15" s="150">
        <v>72.897292392281599</v>
      </c>
      <c r="G15" s="150">
        <v>50.062273022444003</v>
      </c>
      <c r="H15" s="150">
        <v>0</v>
      </c>
      <c r="I15" s="149">
        <v>5183.3727874892866</v>
      </c>
    </row>
    <row r="16" spans="1:9">
      <c r="A16" s="140">
        <v>2000</v>
      </c>
      <c r="B16" s="150">
        <v>2178.0820570000001</v>
      </c>
      <c r="C16" s="150">
        <v>887.88440757461296</v>
      </c>
      <c r="D16" s="150">
        <v>1778.7316265622401</v>
      </c>
      <c r="E16" s="150">
        <v>101.650229</v>
      </c>
      <c r="F16" s="150">
        <v>62.846629794023698</v>
      </c>
      <c r="G16" s="150">
        <v>53.804152275512202</v>
      </c>
      <c r="H16" s="150">
        <v>0</v>
      </c>
      <c r="I16" s="149">
        <v>5062.9991022063887</v>
      </c>
    </row>
    <row r="17" spans="1:9">
      <c r="A17" s="140">
        <v>2001</v>
      </c>
      <c r="B17" s="150">
        <v>1965.0242053647501</v>
      </c>
      <c r="C17" s="150">
        <v>760.24092650921204</v>
      </c>
      <c r="D17" s="150">
        <v>1790.4794720064799</v>
      </c>
      <c r="E17" s="150">
        <v>35.597054121114702</v>
      </c>
      <c r="F17" s="150">
        <v>54.926809167177602</v>
      </c>
      <c r="G17" s="150">
        <v>81.155521634712997</v>
      </c>
      <c r="H17" s="150">
        <v>0</v>
      </c>
      <c r="I17" s="149">
        <v>4687.4239888034472</v>
      </c>
    </row>
    <row r="18" spans="1:9">
      <c r="A18" s="140">
        <v>2002</v>
      </c>
      <c r="B18" s="150">
        <v>2079.0887213116898</v>
      </c>
      <c r="C18" s="150">
        <v>848.069390651665</v>
      </c>
      <c r="D18" s="150">
        <v>1387.68520029092</v>
      </c>
      <c r="E18" s="150">
        <v>15.7168278361384</v>
      </c>
      <c r="F18" s="150">
        <v>54.188653099531798</v>
      </c>
      <c r="G18" s="150">
        <v>32.451163574625298</v>
      </c>
      <c r="H18" s="150">
        <v>0</v>
      </c>
      <c r="I18" s="149">
        <v>4417.1999567645707</v>
      </c>
    </row>
    <row r="19" spans="1:9">
      <c r="A19" s="140">
        <v>2003</v>
      </c>
      <c r="B19" s="150">
        <v>2044.2041978605801</v>
      </c>
      <c r="C19" s="150">
        <v>878.44714556887004</v>
      </c>
      <c r="D19" s="150">
        <v>1447.0606387980199</v>
      </c>
      <c r="E19" s="150">
        <v>15.794539500790799</v>
      </c>
      <c r="F19" s="150">
        <v>72.872334373306401</v>
      </c>
      <c r="G19" s="150">
        <v>45.0128583843006</v>
      </c>
      <c r="H19" s="150">
        <v>0</v>
      </c>
      <c r="I19" s="149">
        <v>4503.3917144858679</v>
      </c>
    </row>
    <row r="20" spans="1:9">
      <c r="A20" s="140">
        <v>2004</v>
      </c>
      <c r="B20" s="150">
        <v>2071.1599015626198</v>
      </c>
      <c r="C20" s="150">
        <v>951.19744821493202</v>
      </c>
      <c r="D20" s="150">
        <v>2008.3721952072201</v>
      </c>
      <c r="E20" s="150">
        <v>47.450328507279899</v>
      </c>
      <c r="F20" s="150">
        <v>65.073215896191996</v>
      </c>
      <c r="G20" s="150">
        <v>60.715447815748398</v>
      </c>
      <c r="H20" s="150">
        <v>0</v>
      </c>
      <c r="I20" s="149">
        <v>5203.9685372039921</v>
      </c>
    </row>
    <row r="21" spans="1:9">
      <c r="A21" s="140">
        <v>2005</v>
      </c>
      <c r="B21" s="150">
        <v>1980.62899118165</v>
      </c>
      <c r="C21" s="150">
        <v>890.517747669183</v>
      </c>
      <c r="D21" s="150">
        <v>1717.07348460345</v>
      </c>
      <c r="E21" s="150">
        <v>79.096261165529498</v>
      </c>
      <c r="F21" s="150">
        <v>40.957472624381403</v>
      </c>
      <c r="G21" s="150">
        <v>60.5869549452838</v>
      </c>
      <c r="H21" s="150">
        <v>0</v>
      </c>
      <c r="I21" s="149">
        <v>4768.8609121894779</v>
      </c>
    </row>
    <row r="22" spans="1:9">
      <c r="A22" s="140">
        <v>2006</v>
      </c>
      <c r="B22" s="150">
        <v>2020.6286551609701</v>
      </c>
      <c r="C22" s="150">
        <v>917.69808721407799</v>
      </c>
      <c r="D22" s="150">
        <v>1775.2252297684199</v>
      </c>
      <c r="E22" s="150">
        <v>28.991010723888799</v>
      </c>
      <c r="F22" s="150">
        <v>40.994291931870102</v>
      </c>
      <c r="G22" s="150">
        <v>57.648559228410498</v>
      </c>
      <c r="H22" s="150">
        <v>0</v>
      </c>
      <c r="I22" s="149">
        <v>4841.1858340276376</v>
      </c>
    </row>
    <row r="23" spans="1:9">
      <c r="A23" s="140">
        <v>2007</v>
      </c>
      <c r="B23" s="150">
        <v>2038.4762318227999</v>
      </c>
      <c r="C23" s="150">
        <v>883.57348927496798</v>
      </c>
      <c r="D23" s="150">
        <v>1506.56370083405</v>
      </c>
      <c r="E23" s="150">
        <v>38.561014197467898</v>
      </c>
      <c r="F23" s="150">
        <v>46.189316240673001</v>
      </c>
      <c r="G23" s="150">
        <v>49.064911768981602</v>
      </c>
      <c r="H23" s="150">
        <v>0</v>
      </c>
      <c r="I23" s="149">
        <v>4562.4286641389408</v>
      </c>
    </row>
    <row r="24" spans="1:9">
      <c r="A24" s="140">
        <v>2008</v>
      </c>
      <c r="B24" s="150">
        <v>2066.8219559999998</v>
      </c>
      <c r="C24" s="150">
        <v>924.75731030591396</v>
      </c>
      <c r="D24" s="150">
        <v>1565.73225286197</v>
      </c>
      <c r="E24" s="150">
        <v>44.893030000000003</v>
      </c>
      <c r="F24" s="150">
        <v>43.792586</v>
      </c>
      <c r="G24" s="150">
        <v>62.714888832117303</v>
      </c>
      <c r="H24" s="150">
        <v>0</v>
      </c>
      <c r="I24" s="149">
        <v>4708.7120240000013</v>
      </c>
    </row>
    <row r="25" spans="1:9">
      <c r="A25" s="140">
        <v>2009</v>
      </c>
      <c r="B25" s="150">
        <v>2053.1552102000001</v>
      </c>
      <c r="C25" s="150">
        <v>897.60582949882905</v>
      </c>
      <c r="D25" s="150">
        <v>1514.8907521040301</v>
      </c>
      <c r="E25" s="150">
        <v>40.823871529999998</v>
      </c>
      <c r="F25" s="150">
        <v>36.913361459999997</v>
      </c>
      <c r="G25" s="150">
        <v>54.900188507139497</v>
      </c>
      <c r="H25" s="150">
        <v>0</v>
      </c>
      <c r="I25" s="149">
        <v>4598.2892132999987</v>
      </c>
    </row>
    <row r="26" spans="1:9">
      <c r="A26" s="140">
        <v>2010</v>
      </c>
      <c r="B26" s="150">
        <v>2063.1214540300002</v>
      </c>
      <c r="C26" s="150">
        <v>894.80358891706896</v>
      </c>
      <c r="D26" s="150">
        <v>1547.9365088432801</v>
      </c>
      <c r="E26" s="150">
        <v>53.605525950000001</v>
      </c>
      <c r="F26" s="150">
        <v>34.802965360000002</v>
      </c>
      <c r="G26" s="150">
        <v>50.231074969650003</v>
      </c>
      <c r="H26" s="150">
        <v>0</v>
      </c>
      <c r="I26" s="149">
        <v>4644.5011180699994</v>
      </c>
    </row>
    <row r="27" spans="1:9">
      <c r="A27" s="140">
        <v>2011</v>
      </c>
      <c r="B27" s="150">
        <v>2137.4395438900001</v>
      </c>
      <c r="C27" s="150">
        <v>923.51690828434801</v>
      </c>
      <c r="D27" s="150">
        <v>1605.66340552009</v>
      </c>
      <c r="E27" s="150">
        <v>50.035146500000003</v>
      </c>
      <c r="F27" s="150">
        <v>37.228197430000002</v>
      </c>
      <c r="G27" s="150">
        <v>53.705022905559403</v>
      </c>
      <c r="H27" s="150">
        <v>0</v>
      </c>
      <c r="I27" s="149">
        <v>4807.5882245299972</v>
      </c>
    </row>
    <row r="28" spans="1:9">
      <c r="A28" s="140">
        <v>2012</v>
      </c>
      <c r="B28" s="150">
        <v>2012.89857975</v>
      </c>
      <c r="C28" s="150">
        <v>905.37134059121104</v>
      </c>
      <c r="D28" s="150">
        <v>1723.045814223</v>
      </c>
      <c r="E28" s="150">
        <v>25.275366739999999</v>
      </c>
      <c r="F28" s="150">
        <v>37.101840359999997</v>
      </c>
      <c r="G28" s="150">
        <v>57.210760145786303</v>
      </c>
      <c r="H28" s="150">
        <v>0</v>
      </c>
      <c r="I28" s="149">
        <v>4760.9037018099971</v>
      </c>
    </row>
    <row r="29" spans="1:9">
      <c r="A29" s="140">
        <v>2013</v>
      </c>
      <c r="B29" s="150">
        <v>2053.5807822500001</v>
      </c>
      <c r="C29" s="150">
        <v>917.67416772187596</v>
      </c>
      <c r="D29" s="150">
        <v>1715.28045836962</v>
      </c>
      <c r="E29" s="150">
        <v>19.834507250000001</v>
      </c>
      <c r="F29" s="150">
        <v>39.018143199999997</v>
      </c>
      <c r="G29" s="150">
        <v>56.229075728498898</v>
      </c>
      <c r="H29" s="150">
        <v>0</v>
      </c>
      <c r="I29" s="149">
        <v>4801.6171345199946</v>
      </c>
    </row>
    <row r="30" spans="1:9">
      <c r="A30" s="140">
        <v>2014</v>
      </c>
      <c r="B30" s="150">
        <v>1677.3874475600001</v>
      </c>
      <c r="C30" s="150">
        <v>836.54678448986999</v>
      </c>
      <c r="D30" s="150">
        <v>1774.30161408552</v>
      </c>
      <c r="E30" s="150">
        <v>56.609401609999999</v>
      </c>
      <c r="F30" s="150">
        <v>34.146880000000003</v>
      </c>
      <c r="G30" s="150">
        <v>52.8677050246066</v>
      </c>
      <c r="H30" s="150">
        <v>0</v>
      </c>
      <c r="I30" s="149">
        <v>4431.8598327699965</v>
      </c>
    </row>
    <row r="31" spans="1:9">
      <c r="A31" s="140">
        <v>2015</v>
      </c>
      <c r="B31" s="150">
        <v>1701.4570171969999</v>
      </c>
      <c r="C31" s="150">
        <v>839.56637195608801</v>
      </c>
      <c r="D31" s="150">
        <v>1761.29426652855</v>
      </c>
      <c r="E31" s="150">
        <v>56.40258841</v>
      </c>
      <c r="F31" s="150">
        <v>34.508374619999998</v>
      </c>
      <c r="G31" s="150">
        <v>53.527933458358198</v>
      </c>
      <c r="H31" s="150">
        <v>0</v>
      </c>
      <c r="I31" s="149">
        <v>4446.7565521699962</v>
      </c>
    </row>
    <row r="32" spans="1:9">
      <c r="A32" s="140">
        <v>2016</v>
      </c>
      <c r="B32" s="150">
        <v>1756.4614923680001</v>
      </c>
      <c r="C32" s="150">
        <v>870.50348627030996</v>
      </c>
      <c r="D32" s="150">
        <v>1803.96068653152</v>
      </c>
      <c r="E32" s="150">
        <v>69.841256759999993</v>
      </c>
      <c r="F32" s="150">
        <v>36.143900340000002</v>
      </c>
      <c r="G32" s="150">
        <v>57.278395610167799</v>
      </c>
      <c r="H32" s="150">
        <v>0</v>
      </c>
      <c r="I32" s="149">
        <v>4594.1892178799981</v>
      </c>
    </row>
    <row r="33" spans="1:9">
      <c r="A33" s="140">
        <v>2017</v>
      </c>
      <c r="B33" s="150">
        <v>1885.0660905469999</v>
      </c>
      <c r="C33" s="150">
        <v>904.51248739072003</v>
      </c>
      <c r="D33" s="150">
        <v>1686.35084893574</v>
      </c>
      <c r="E33" s="150">
        <v>170.94350376</v>
      </c>
      <c r="F33" s="150">
        <v>36.414220039999996</v>
      </c>
      <c r="G33" s="150">
        <v>59.677395286543003</v>
      </c>
      <c r="H33" s="150">
        <v>0</v>
      </c>
      <c r="I33" s="149">
        <v>4742.9645459600033</v>
      </c>
    </row>
    <row r="34" spans="1:9">
      <c r="A34" s="140">
        <v>2018</v>
      </c>
      <c r="B34" s="150">
        <v>1844.347127408</v>
      </c>
      <c r="C34" s="150">
        <v>913.09829257357796</v>
      </c>
      <c r="D34" s="150">
        <v>1775.89244140952</v>
      </c>
      <c r="E34" s="150">
        <v>190.37710565</v>
      </c>
      <c r="F34" s="150">
        <v>37.250503070000001</v>
      </c>
      <c r="G34" s="150">
        <v>59.798429078896703</v>
      </c>
      <c r="H34" s="150">
        <v>0</v>
      </c>
      <c r="I34" s="149">
        <v>4820.7638991899948</v>
      </c>
    </row>
    <row r="35" spans="1:9">
      <c r="A35" s="140">
        <v>2019</v>
      </c>
      <c r="B35" s="150">
        <v>1914.7712564000001</v>
      </c>
      <c r="C35" s="150">
        <v>940.53341966086703</v>
      </c>
      <c r="D35" s="150">
        <v>1847.94478416535</v>
      </c>
      <c r="E35" s="150">
        <v>169.76440700000001</v>
      </c>
      <c r="F35" s="150">
        <v>34.330385</v>
      </c>
      <c r="G35" s="150">
        <v>61.907772773785197</v>
      </c>
      <c r="H35" s="150">
        <v>0</v>
      </c>
      <c r="I35" s="149">
        <v>4969.2520250000025</v>
      </c>
    </row>
    <row r="36" spans="1:9">
      <c r="A36" s="140">
        <v>2020</v>
      </c>
      <c r="B36" s="150">
        <v>1902.62850136</v>
      </c>
      <c r="C36" s="150">
        <v>809.29483656381103</v>
      </c>
      <c r="D36" s="150">
        <v>1587.0284008897399</v>
      </c>
      <c r="E36" s="150">
        <v>140.07735656</v>
      </c>
      <c r="F36" s="150">
        <v>44.042631999999998</v>
      </c>
      <c r="G36" s="150">
        <v>51.024087116451398</v>
      </c>
      <c r="H36" s="150">
        <v>0</v>
      </c>
      <c r="I36" s="149">
        <v>4534.0958144900023</v>
      </c>
    </row>
    <row r="37" spans="1:9">
      <c r="A37" s="140">
        <v>2021</v>
      </c>
      <c r="B37" s="150">
        <v>2027.3989903726699</v>
      </c>
      <c r="C37" s="150">
        <v>829.98496157218995</v>
      </c>
      <c r="D37" s="150">
        <v>1628.7233243241301</v>
      </c>
      <c r="E37" s="150">
        <v>144.08073512016699</v>
      </c>
      <c r="F37" s="150">
        <v>3.3653188732727299</v>
      </c>
      <c r="G37" s="150">
        <v>55.196027999999998</v>
      </c>
      <c r="H37" s="150">
        <v>3.1785552412113098</v>
      </c>
      <c r="I37" s="149">
        <v>4691.9279135036413</v>
      </c>
    </row>
    <row r="38" spans="1:9">
      <c r="A38" s="140">
        <v>2022</v>
      </c>
      <c r="B38" s="150">
        <v>2034.30714015426</v>
      </c>
      <c r="C38" s="150">
        <v>860.78639056874601</v>
      </c>
      <c r="D38" s="150">
        <v>1636.20637323251</v>
      </c>
      <c r="E38" s="150">
        <v>152.703491538912</v>
      </c>
      <c r="F38" s="150">
        <v>3.3653188732727299</v>
      </c>
      <c r="G38" s="150">
        <v>56.669164700000003</v>
      </c>
      <c r="H38" s="150">
        <v>7.8761643702235897</v>
      </c>
      <c r="I38" s="149">
        <v>4751.9140434379242</v>
      </c>
    </row>
    <row r="39" spans="1:9">
      <c r="A39" s="140">
        <v>2023</v>
      </c>
      <c r="B39" s="150">
        <v>2041.1218562460299</v>
      </c>
      <c r="C39" s="150">
        <v>876.60672253930602</v>
      </c>
      <c r="D39" s="150">
        <v>1638.12865685524</v>
      </c>
      <c r="E39" s="150">
        <v>153.932116691489</v>
      </c>
      <c r="F39" s="150">
        <v>3.3653188732727299</v>
      </c>
      <c r="G39" s="150">
        <v>56.804152389999999</v>
      </c>
      <c r="H39" s="150">
        <v>11.266799248067001</v>
      </c>
      <c r="I39" s="149">
        <v>4781.2256228434044</v>
      </c>
    </row>
    <row r="40" spans="1:9">
      <c r="A40" s="140">
        <v>2024</v>
      </c>
      <c r="B40" s="150">
        <v>2049.0749242956199</v>
      </c>
      <c r="C40" s="150">
        <v>885.35838680856398</v>
      </c>
      <c r="D40" s="150">
        <v>1646.0901627072501</v>
      </c>
      <c r="E40" s="150">
        <v>153.281624415582</v>
      </c>
      <c r="F40" s="150">
        <v>3.3653188732727299</v>
      </c>
      <c r="G40" s="150">
        <v>56.595460000000003</v>
      </c>
      <c r="H40" s="150">
        <v>12.976981035138699</v>
      </c>
      <c r="I40" s="149">
        <v>4806.742858135427</v>
      </c>
    </row>
    <row r="41" spans="1:9">
      <c r="A41" s="140">
        <v>2025</v>
      </c>
      <c r="B41" s="150">
        <v>2058.4011731288902</v>
      </c>
      <c r="C41" s="150">
        <v>890.183178350145</v>
      </c>
      <c r="D41" s="150">
        <v>1651.5058384981501</v>
      </c>
      <c r="E41" s="150">
        <v>152.20235264764</v>
      </c>
      <c r="F41" s="150">
        <v>3.3653188732727299</v>
      </c>
      <c r="G41" s="150">
        <v>56.450465129999998</v>
      </c>
      <c r="H41" s="150">
        <v>12.9853998315185</v>
      </c>
      <c r="I41" s="149">
        <v>4825.0937264596168</v>
      </c>
    </row>
    <row r="42" spans="1:9">
      <c r="A42" s="140">
        <v>2026</v>
      </c>
      <c r="B42" s="150">
        <v>2067.5775036209898</v>
      </c>
      <c r="C42" s="150">
        <v>892.67505761527798</v>
      </c>
      <c r="D42" s="150">
        <v>1655.1954589263801</v>
      </c>
      <c r="E42" s="150">
        <v>151.169275423355</v>
      </c>
      <c r="F42" s="150">
        <v>3.3653188732727299</v>
      </c>
      <c r="G42" s="150">
        <v>56.338787840000002</v>
      </c>
      <c r="H42" s="150">
        <v>11.1340494118888</v>
      </c>
      <c r="I42" s="149">
        <v>4837.4554517111646</v>
      </c>
    </row>
    <row r="43" spans="1:9">
      <c r="A43" s="140">
        <v>2027</v>
      </c>
      <c r="B43" s="150">
        <v>2076.9898702847699</v>
      </c>
      <c r="C43" s="150">
        <v>894.57441397185403</v>
      </c>
      <c r="D43" s="150">
        <v>1656.1500177164</v>
      </c>
      <c r="E43" s="150">
        <v>150.05374713394801</v>
      </c>
      <c r="F43" s="150">
        <v>3.3653188732727299</v>
      </c>
      <c r="G43" s="150">
        <v>56.229503119999997</v>
      </c>
      <c r="H43" s="150">
        <v>9.0362541401168492</v>
      </c>
      <c r="I43" s="149">
        <v>4846.3991252403612</v>
      </c>
    </row>
    <row r="44" spans="1:9">
      <c r="A44" s="140">
        <v>2028</v>
      </c>
      <c r="B44" s="150">
        <v>2086.1430410678299</v>
      </c>
      <c r="C44" s="150">
        <v>895.82325629426805</v>
      </c>
      <c r="D44" s="150">
        <v>1656.2103580297601</v>
      </c>
      <c r="E44" s="150">
        <v>148.67290365384801</v>
      </c>
      <c r="F44" s="150">
        <v>3.3653188732727299</v>
      </c>
      <c r="G44" s="150">
        <v>56.094176589999996</v>
      </c>
      <c r="H44" s="150">
        <v>6.11581517176411</v>
      </c>
      <c r="I44" s="149">
        <v>4852.4248696807426</v>
      </c>
    </row>
    <row r="45" spans="1:9">
      <c r="A45" s="140">
        <v>2029</v>
      </c>
      <c r="B45" s="150">
        <v>2094.7954253642802</v>
      </c>
      <c r="C45" s="150">
        <v>899.45529571507495</v>
      </c>
      <c r="D45" s="150">
        <v>1656.2428128791601</v>
      </c>
      <c r="E45" s="150">
        <v>147.51704240292901</v>
      </c>
      <c r="F45" s="150">
        <v>3.3653188732727299</v>
      </c>
      <c r="G45" s="150">
        <v>55.970220560000001</v>
      </c>
      <c r="H45" s="150">
        <v>5.1588681301914399</v>
      </c>
      <c r="I45" s="149">
        <v>4862.5049839249086</v>
      </c>
    </row>
    <row r="46" spans="1:9">
      <c r="A46" s="140">
        <v>2030</v>
      </c>
      <c r="B46" s="150">
        <v>2102.9763901219299</v>
      </c>
      <c r="C46" s="150">
        <v>901.03729931781004</v>
      </c>
      <c r="D46" s="150">
        <v>1655.5276917792901</v>
      </c>
      <c r="E46" s="150">
        <v>146.27128726245101</v>
      </c>
      <c r="F46" s="150">
        <v>3.3653188732727299</v>
      </c>
      <c r="G46" s="150">
        <v>55.845747600000003</v>
      </c>
      <c r="H46" s="150">
        <v>2.08665495804811</v>
      </c>
      <c r="I46" s="149">
        <v>4867.110389912802</v>
      </c>
    </row>
    <row r="47" spans="1:9">
      <c r="A47" s="140">
        <v>2031</v>
      </c>
      <c r="B47" s="150">
        <v>2111.4105811658801</v>
      </c>
      <c r="C47" s="150">
        <v>904.14073631717395</v>
      </c>
      <c r="D47" s="150">
        <v>1657.5540528899101</v>
      </c>
      <c r="E47" s="150">
        <v>145.53633460403199</v>
      </c>
      <c r="F47" s="150">
        <v>3.3653188732727299</v>
      </c>
      <c r="G47" s="150">
        <v>55.732318489999997</v>
      </c>
      <c r="H47" s="150">
        <v>-9.3726392794063501E-2</v>
      </c>
      <c r="I47" s="149">
        <v>4877.6456159474747</v>
      </c>
    </row>
    <row r="48" spans="1:9">
      <c r="A48" s="140">
        <v>2032</v>
      </c>
      <c r="B48" s="150">
        <v>2118.31239095414</v>
      </c>
      <c r="C48" s="150">
        <v>906.40360916658096</v>
      </c>
      <c r="D48" s="150">
        <v>1658.57958485991</v>
      </c>
      <c r="E48" s="150">
        <v>144.73380995118501</v>
      </c>
      <c r="F48" s="150">
        <v>3.3653188732727299</v>
      </c>
      <c r="G48" s="150">
        <v>55.610872880000002</v>
      </c>
      <c r="H48" s="150">
        <v>-3.2330458461921099</v>
      </c>
      <c r="I48" s="149">
        <v>4883.7725408388969</v>
      </c>
    </row>
    <row r="49" spans="1:9">
      <c r="A49" s="140">
        <v>2033</v>
      </c>
      <c r="B49" s="150">
        <v>2123.9241370159102</v>
      </c>
      <c r="C49" s="150">
        <v>911.44943444652097</v>
      </c>
      <c r="D49" s="150">
        <v>1659.9220296108799</v>
      </c>
      <c r="E49" s="150">
        <v>143.879220982211</v>
      </c>
      <c r="F49" s="150">
        <v>3.3653188732727299</v>
      </c>
      <c r="G49" s="150">
        <v>55.52422773</v>
      </c>
      <c r="H49" s="150">
        <v>-4.6854278607084101</v>
      </c>
      <c r="I49" s="149">
        <v>4893.3789407980867</v>
      </c>
    </row>
    <row r="50" spans="1:9">
      <c r="A50" s="140">
        <v>2034</v>
      </c>
      <c r="B50" s="150">
        <v>2128.2851231167801</v>
      </c>
      <c r="C50" s="150">
        <v>913.33126912652097</v>
      </c>
      <c r="D50" s="150">
        <v>1661.34505199862</v>
      </c>
      <c r="E50" s="150">
        <v>142.85585037742101</v>
      </c>
      <c r="F50" s="150">
        <v>3.3653188732727299</v>
      </c>
      <c r="G50" s="150">
        <v>55.431917779999999</v>
      </c>
      <c r="H50" s="150">
        <v>-9.7418184413034208</v>
      </c>
      <c r="I50" s="149">
        <v>4894.8727128313112</v>
      </c>
    </row>
    <row r="51" spans="1:9">
      <c r="A51" s="140">
        <v>2035</v>
      </c>
      <c r="B51" s="150">
        <v>2131.8751482200701</v>
      </c>
      <c r="C51" s="150">
        <v>917.20821991096398</v>
      </c>
      <c r="D51" s="150">
        <v>1662.9545728678299</v>
      </c>
      <c r="E51" s="150">
        <v>141.68460255923</v>
      </c>
      <c r="F51" s="150">
        <v>3.3653188732727299</v>
      </c>
      <c r="G51" s="150">
        <v>55.32272923</v>
      </c>
      <c r="H51" s="150">
        <v>-12.699153819413</v>
      </c>
      <c r="I51" s="149">
        <v>4899.7114378419537</v>
      </c>
    </row>
    <row r="52" spans="1:9">
      <c r="A52" s="144" t="s">
        <v>930</v>
      </c>
    </row>
    <row r="53" spans="1:9">
      <c r="A53" s="144" t="s">
        <v>950</v>
      </c>
    </row>
    <row r="55" spans="1:9" ht="18.5">
      <c r="A55" s="231" t="s">
        <v>960</v>
      </c>
      <c r="B55" s="232"/>
      <c r="C55" s="232"/>
      <c r="D55" s="232"/>
      <c r="E55" s="232"/>
      <c r="F55" s="232"/>
      <c r="G55" s="232"/>
      <c r="H55" s="232"/>
      <c r="I55" s="232"/>
    </row>
    <row r="56" spans="1:9" ht="15.5">
      <c r="A56" s="233" t="s">
        <v>942</v>
      </c>
      <c r="B56" s="232"/>
      <c r="C56" s="232"/>
      <c r="D56" s="232"/>
      <c r="E56" s="232"/>
      <c r="F56" s="232"/>
      <c r="G56" s="232"/>
      <c r="H56" s="232"/>
      <c r="I56" s="232"/>
    </row>
    <row r="57" spans="1:9" ht="15.5">
      <c r="A57" s="233" t="s">
        <v>956</v>
      </c>
      <c r="B57" s="232"/>
      <c r="C57" s="232"/>
      <c r="D57" s="232"/>
      <c r="E57" s="232"/>
      <c r="F57" s="232"/>
      <c r="G57" s="232"/>
      <c r="H57" s="232"/>
      <c r="I57" s="232"/>
    </row>
    <row r="59" spans="1:9" ht="15" thickBot="1">
      <c r="A59" s="139" t="s">
        <v>940</v>
      </c>
      <c r="B59" s="139" t="s">
        <v>303</v>
      </c>
      <c r="C59" s="139" t="s">
        <v>306</v>
      </c>
      <c r="D59" s="139" t="s">
        <v>308</v>
      </c>
      <c r="E59" s="139" t="s">
        <v>955</v>
      </c>
      <c r="F59" s="139" t="s">
        <v>954</v>
      </c>
      <c r="G59" s="139" t="s">
        <v>953</v>
      </c>
      <c r="H59" s="139" t="s">
        <v>952</v>
      </c>
      <c r="I59" s="139" t="s">
        <v>951</v>
      </c>
    </row>
    <row r="60" spans="1:9" ht="15" thickTop="1">
      <c r="A60" s="140">
        <v>1990</v>
      </c>
      <c r="B60" s="150">
        <v>337.91490399999998</v>
      </c>
      <c r="C60" s="150">
        <v>115.689617</v>
      </c>
      <c r="D60" s="150">
        <v>33.377237000000001</v>
      </c>
      <c r="E60" s="150">
        <v>5.2758060000000002</v>
      </c>
      <c r="F60" s="150">
        <v>6.4655009999999997</v>
      </c>
      <c r="G60" s="150">
        <v>19.782419000000001</v>
      </c>
      <c r="H60" s="150">
        <v>0</v>
      </c>
      <c r="I60" s="149">
        <v>518.50548400000002</v>
      </c>
    </row>
    <row r="61" spans="1:9">
      <c r="A61" s="140">
        <v>1991</v>
      </c>
      <c r="B61" s="150">
        <v>335.28209500000003</v>
      </c>
      <c r="C61" s="150">
        <v>108.585916</v>
      </c>
      <c r="D61" s="150">
        <v>32.895564</v>
      </c>
      <c r="E61" s="150">
        <v>6.2523200000000001</v>
      </c>
      <c r="F61" s="150">
        <v>5.508229</v>
      </c>
      <c r="G61" s="150">
        <v>17.540253</v>
      </c>
      <c r="H61" s="150">
        <v>0</v>
      </c>
      <c r="I61" s="149">
        <v>506.06437700000004</v>
      </c>
    </row>
    <row r="62" spans="1:9">
      <c r="A62" s="140">
        <v>1992</v>
      </c>
      <c r="B62" s="150">
        <v>313.66293100000001</v>
      </c>
      <c r="C62" s="150">
        <v>120.222353</v>
      </c>
      <c r="D62" s="150">
        <v>37.402030000000003</v>
      </c>
      <c r="E62" s="150">
        <v>5.3482719999999997</v>
      </c>
      <c r="F62" s="150">
        <v>7.1525259999999999</v>
      </c>
      <c r="G62" s="150">
        <v>16.089960999999999</v>
      </c>
      <c r="H62" s="150">
        <v>0</v>
      </c>
      <c r="I62" s="149">
        <v>499.87807300000003</v>
      </c>
    </row>
    <row r="63" spans="1:9">
      <c r="A63" s="140">
        <v>1993</v>
      </c>
      <c r="B63" s="150">
        <v>327.05325199999999</v>
      </c>
      <c r="C63" s="150">
        <v>109.24943500000001</v>
      </c>
      <c r="D63" s="150">
        <v>32.881846000000003</v>
      </c>
      <c r="E63" s="150">
        <v>3.6648100000000001</v>
      </c>
      <c r="F63" s="150">
        <v>8.3182770000000001</v>
      </c>
      <c r="G63" s="150">
        <v>18.627407999999999</v>
      </c>
      <c r="H63" s="150">
        <v>0</v>
      </c>
      <c r="I63" s="149">
        <v>499.795028</v>
      </c>
    </row>
    <row r="64" spans="1:9">
      <c r="A64" s="140">
        <v>1994</v>
      </c>
      <c r="B64" s="150">
        <v>343.816395</v>
      </c>
      <c r="C64" s="150">
        <v>129.57669899999999</v>
      </c>
      <c r="D64" s="150">
        <v>36.180987000000002</v>
      </c>
      <c r="E64" s="150">
        <v>3.6461139999999999</v>
      </c>
      <c r="F64" s="150">
        <v>6.1489349999999998</v>
      </c>
      <c r="G64" s="150">
        <v>19.990824</v>
      </c>
      <c r="H64" s="150">
        <v>0</v>
      </c>
      <c r="I64" s="149">
        <v>539.35995400000002</v>
      </c>
    </row>
    <row r="65" spans="1:9">
      <c r="A65" s="140">
        <v>1995</v>
      </c>
      <c r="B65" s="150">
        <v>316.19314900000001</v>
      </c>
      <c r="C65" s="150">
        <v>130.62473700000001</v>
      </c>
      <c r="D65" s="150">
        <v>36.995587999999998</v>
      </c>
      <c r="E65" s="150">
        <v>3.2117629999999999</v>
      </c>
      <c r="F65" s="150">
        <v>6.4269800000000004</v>
      </c>
      <c r="G65" s="150">
        <v>21.225959</v>
      </c>
      <c r="H65" s="150">
        <v>0</v>
      </c>
      <c r="I65" s="149">
        <v>514.67817600000001</v>
      </c>
    </row>
    <row r="66" spans="1:9">
      <c r="A66" s="140">
        <v>1996</v>
      </c>
      <c r="B66" s="150">
        <v>317.043317</v>
      </c>
      <c r="C66" s="150">
        <v>126.66143</v>
      </c>
      <c r="D66" s="150">
        <v>35.462285000000001</v>
      </c>
      <c r="E66" s="150">
        <v>2.4120720000000002</v>
      </c>
      <c r="F66" s="150">
        <v>8.0248899999999992</v>
      </c>
      <c r="G66" s="150">
        <v>19.167657999999999</v>
      </c>
      <c r="H66" s="150">
        <v>0</v>
      </c>
      <c r="I66" s="149">
        <v>508.77165200000002</v>
      </c>
    </row>
    <row r="67" spans="1:9">
      <c r="A67" s="140">
        <v>1997</v>
      </c>
      <c r="B67" s="150">
        <v>311.53760999999997</v>
      </c>
      <c r="C67" s="150">
        <v>129.33404200000001</v>
      </c>
      <c r="D67" s="150">
        <v>36.964056999999997</v>
      </c>
      <c r="E67" s="150">
        <v>1.74718</v>
      </c>
      <c r="F67" s="150">
        <v>8.5344320000000007</v>
      </c>
      <c r="G67" s="150">
        <v>17.573042000000001</v>
      </c>
      <c r="H67" s="150">
        <v>0</v>
      </c>
      <c r="I67" s="149">
        <v>505.69036299999999</v>
      </c>
    </row>
    <row r="68" spans="1:9">
      <c r="A68" s="140">
        <v>1998</v>
      </c>
      <c r="B68" s="150">
        <v>323.96717599999999</v>
      </c>
      <c r="C68" s="150">
        <v>132.006643</v>
      </c>
      <c r="D68" s="150">
        <v>38.509520999999999</v>
      </c>
      <c r="E68" s="150">
        <v>1.488415</v>
      </c>
      <c r="F68" s="150">
        <v>7.5246420000000001</v>
      </c>
      <c r="G68" s="150">
        <v>18.357059</v>
      </c>
      <c r="H68" s="150">
        <v>0</v>
      </c>
      <c r="I68" s="149">
        <v>521.85345599999994</v>
      </c>
    </row>
    <row r="69" spans="1:9">
      <c r="A69" s="140">
        <v>1999</v>
      </c>
      <c r="B69" s="150">
        <v>336.39674200000002</v>
      </c>
      <c r="C69" s="150">
        <v>134.679134</v>
      </c>
      <c r="D69" s="150">
        <v>39.877398999999997</v>
      </c>
      <c r="E69" s="150">
        <v>1.733074</v>
      </c>
      <c r="F69" s="150">
        <v>8.3335570000000008</v>
      </c>
      <c r="G69" s="150">
        <v>18.845980999999998</v>
      </c>
      <c r="H69" s="150">
        <v>0</v>
      </c>
      <c r="I69" s="149">
        <v>539.86588700000004</v>
      </c>
    </row>
    <row r="70" spans="1:9">
      <c r="A70" s="140">
        <v>2000</v>
      </c>
      <c r="B70" s="150">
        <v>340.24</v>
      </c>
      <c r="C70" s="150">
        <v>137.35737499999999</v>
      </c>
      <c r="D70" s="150">
        <v>40.023935000000002</v>
      </c>
      <c r="E70" s="150">
        <v>1.88</v>
      </c>
      <c r="F70" s="150">
        <v>6.227875</v>
      </c>
      <c r="G70" s="150">
        <v>15.445713</v>
      </c>
      <c r="H70" s="150">
        <v>0</v>
      </c>
      <c r="I70" s="149">
        <v>541.17489799999998</v>
      </c>
    </row>
    <row r="71" spans="1:9">
      <c r="A71" s="140">
        <v>2001</v>
      </c>
      <c r="B71" s="150">
        <v>358.45147800000001</v>
      </c>
      <c r="C71" s="150">
        <v>146.943196</v>
      </c>
      <c r="D71" s="150">
        <v>38.499741</v>
      </c>
      <c r="E71" s="150">
        <v>2.2569149999999998</v>
      </c>
      <c r="F71" s="150">
        <v>7.5819349999999996</v>
      </c>
      <c r="G71" s="150">
        <v>19.551157</v>
      </c>
      <c r="H71" s="150">
        <v>0</v>
      </c>
      <c r="I71" s="149">
        <v>573.28442200000006</v>
      </c>
    </row>
    <row r="72" spans="1:9">
      <c r="A72" s="140">
        <v>2002</v>
      </c>
      <c r="B72" s="150">
        <v>357.085936</v>
      </c>
      <c r="C72" s="150">
        <v>151.44607099999999</v>
      </c>
      <c r="D72" s="150">
        <v>40.292065000000001</v>
      </c>
      <c r="E72" s="150">
        <v>2.5797340000000002</v>
      </c>
      <c r="F72" s="150">
        <v>8.5107060000000008</v>
      </c>
      <c r="G72" s="150">
        <v>16.668415</v>
      </c>
      <c r="H72" s="150">
        <v>0</v>
      </c>
      <c r="I72" s="149">
        <v>576.58292700000004</v>
      </c>
    </row>
    <row r="73" spans="1:9">
      <c r="A73" s="140">
        <v>2003</v>
      </c>
      <c r="B73" s="150">
        <v>339.75816900000001</v>
      </c>
      <c r="C73" s="150">
        <v>158.469537</v>
      </c>
      <c r="D73" s="150">
        <v>34.552888000000003</v>
      </c>
      <c r="E73" s="150">
        <v>2.6400480000000002</v>
      </c>
      <c r="F73" s="150">
        <v>6.9860699999999998</v>
      </c>
      <c r="G73" s="150">
        <v>22.70543</v>
      </c>
      <c r="H73" s="150">
        <v>0</v>
      </c>
      <c r="I73" s="149">
        <v>565.11214200000006</v>
      </c>
    </row>
    <row r="74" spans="1:9">
      <c r="A74" s="140">
        <v>2004</v>
      </c>
      <c r="B74" s="150">
        <v>357.52929499999999</v>
      </c>
      <c r="C74" s="150">
        <v>159.938061</v>
      </c>
      <c r="D74" s="150">
        <v>32.595644999999998</v>
      </c>
      <c r="E74" s="150">
        <v>5.280627</v>
      </c>
      <c r="F74" s="150">
        <v>6.4796690000000003</v>
      </c>
      <c r="G74" s="150">
        <v>20.46913</v>
      </c>
      <c r="H74" s="150">
        <v>0</v>
      </c>
      <c r="I74" s="149">
        <v>582.29242699999998</v>
      </c>
    </row>
    <row r="75" spans="1:9">
      <c r="A75" s="140">
        <v>2005</v>
      </c>
      <c r="B75" s="150">
        <v>335.13476100000003</v>
      </c>
      <c r="C75" s="150">
        <v>158.77951999999999</v>
      </c>
      <c r="D75" s="150">
        <v>29.463840999999999</v>
      </c>
      <c r="E75" s="150">
        <v>5.2671609999999998</v>
      </c>
      <c r="F75" s="150">
        <v>5.2680239999999996</v>
      </c>
      <c r="G75" s="150">
        <v>20.887146000000001</v>
      </c>
      <c r="H75" s="150">
        <v>0</v>
      </c>
      <c r="I75" s="149">
        <v>554.80045300000006</v>
      </c>
    </row>
    <row r="76" spans="1:9">
      <c r="A76" s="140">
        <v>2006</v>
      </c>
      <c r="B76" s="150">
        <v>345.37649199999998</v>
      </c>
      <c r="C76" s="150">
        <v>153.667565</v>
      </c>
      <c r="D76" s="150">
        <v>30.306846</v>
      </c>
      <c r="E76" s="150">
        <v>4.8124149999999997</v>
      </c>
      <c r="F76" s="150">
        <v>4.896827</v>
      </c>
      <c r="G76" s="150">
        <v>24.987423</v>
      </c>
      <c r="H76" s="150">
        <v>0</v>
      </c>
      <c r="I76" s="149">
        <v>564.04756799999996</v>
      </c>
    </row>
    <row r="77" spans="1:9">
      <c r="A77" s="140">
        <v>2007</v>
      </c>
      <c r="B77" s="150">
        <v>331.90169200000003</v>
      </c>
      <c r="C77" s="150">
        <v>155.353126</v>
      </c>
      <c r="D77" s="150">
        <v>27.240794999999999</v>
      </c>
      <c r="E77" s="150">
        <v>4.3970359999999999</v>
      </c>
      <c r="F77" s="150">
        <v>4.4480820000000003</v>
      </c>
      <c r="G77" s="150">
        <v>23.66658</v>
      </c>
      <c r="H77" s="150">
        <v>0</v>
      </c>
      <c r="I77" s="149">
        <v>547.00731100000007</v>
      </c>
    </row>
    <row r="78" spans="1:9">
      <c r="A78" s="140">
        <v>2008</v>
      </c>
      <c r="B78" s="150">
        <v>324.69276600000001</v>
      </c>
      <c r="C78" s="150">
        <v>155.221689</v>
      </c>
      <c r="D78" s="150">
        <v>29.010871999999999</v>
      </c>
      <c r="E78" s="150">
        <v>4.333882</v>
      </c>
      <c r="F78" s="150">
        <v>3.8563339999999999</v>
      </c>
      <c r="G78" s="150">
        <v>24.250212999999999</v>
      </c>
      <c r="H78" s="150">
        <v>0</v>
      </c>
      <c r="I78" s="149">
        <v>541.36575600000003</v>
      </c>
    </row>
    <row r="79" spans="1:9">
      <c r="A79" s="140">
        <v>2009</v>
      </c>
      <c r="B79" s="150">
        <v>308.73400900000001</v>
      </c>
      <c r="C79" s="150">
        <v>149.92445499999999</v>
      </c>
      <c r="D79" s="150">
        <v>27.533102</v>
      </c>
      <c r="E79" s="150">
        <v>3.4097230000000001</v>
      </c>
      <c r="F79" s="150">
        <v>4.1398210000000004</v>
      </c>
      <c r="G79" s="150">
        <v>21.128579999999999</v>
      </c>
      <c r="H79" s="150">
        <v>0</v>
      </c>
      <c r="I79" s="149">
        <v>514.86968999999999</v>
      </c>
    </row>
    <row r="80" spans="1:9">
      <c r="A80" s="140">
        <v>2010</v>
      </c>
      <c r="B80" s="150">
        <v>337.88181800000001</v>
      </c>
      <c r="C80" s="150">
        <v>163.45973699999999</v>
      </c>
      <c r="D80" s="150">
        <v>24.673348000000001</v>
      </c>
      <c r="E80" s="150">
        <v>3.7009949999999998</v>
      </c>
      <c r="F80" s="150">
        <v>4.0137669999999996</v>
      </c>
      <c r="G80" s="150">
        <v>22.499815999999999</v>
      </c>
      <c r="H80" s="150">
        <v>0</v>
      </c>
      <c r="I80" s="149">
        <v>556.22948099999996</v>
      </c>
    </row>
    <row r="81" spans="1:9">
      <c r="A81" s="140">
        <v>2011</v>
      </c>
      <c r="B81" s="150">
        <v>326.910505</v>
      </c>
      <c r="C81" s="150">
        <v>156.33653899999999</v>
      </c>
      <c r="D81" s="150">
        <v>21.169589999999999</v>
      </c>
      <c r="E81" s="150">
        <v>3.4027210000000001</v>
      </c>
      <c r="F81" s="150">
        <v>4.4438219999999999</v>
      </c>
      <c r="G81" s="150">
        <v>16.556732</v>
      </c>
      <c r="H81" s="150">
        <v>0</v>
      </c>
      <c r="I81" s="149">
        <v>528.81990899999994</v>
      </c>
    </row>
    <row r="82" spans="1:9">
      <c r="A82" s="140">
        <v>2012</v>
      </c>
      <c r="B82" s="150">
        <v>311.14353899999998</v>
      </c>
      <c r="C82" s="150">
        <v>155.822779</v>
      </c>
      <c r="D82" s="150">
        <v>22.155963</v>
      </c>
      <c r="E82" s="150">
        <v>3.7823349999999998</v>
      </c>
      <c r="F82" s="150">
        <v>4.8318060000000003</v>
      </c>
      <c r="G82" s="150">
        <v>16.928551758439198</v>
      </c>
      <c r="H82" s="150">
        <v>0</v>
      </c>
      <c r="I82" s="149">
        <v>514.66497375843915</v>
      </c>
    </row>
    <row r="83" spans="1:9">
      <c r="A83" s="140">
        <v>2013</v>
      </c>
      <c r="B83" s="150">
        <v>318.26924600000001</v>
      </c>
      <c r="C83" s="150">
        <v>162.28184899999999</v>
      </c>
      <c r="D83" s="150">
        <v>21.736173999999998</v>
      </c>
      <c r="E83" s="150">
        <v>3.9256500000000001</v>
      </c>
      <c r="F83" s="150">
        <v>4.0418729999999998</v>
      </c>
      <c r="G83" s="150">
        <v>17.351107935978099</v>
      </c>
      <c r="H83" s="150">
        <v>0</v>
      </c>
      <c r="I83" s="149">
        <v>527.60589993597807</v>
      </c>
    </row>
    <row r="84" spans="1:9">
      <c r="A84" s="140">
        <v>2014</v>
      </c>
      <c r="B84" s="150">
        <v>256.54871600000001</v>
      </c>
      <c r="C84" s="150">
        <v>153.116827</v>
      </c>
      <c r="D84" s="150">
        <v>20.460825</v>
      </c>
      <c r="E84" s="150">
        <v>3.4335</v>
      </c>
      <c r="F84" s="150">
        <v>2.425122</v>
      </c>
      <c r="G84" s="150">
        <v>15.0075700832388</v>
      </c>
      <c r="H84" s="150">
        <v>0</v>
      </c>
      <c r="I84" s="149">
        <v>450.9925600832388</v>
      </c>
    </row>
    <row r="85" spans="1:9">
      <c r="A85" s="140">
        <v>2015</v>
      </c>
      <c r="B85" s="150">
        <v>255.613587</v>
      </c>
      <c r="C85" s="150">
        <v>153.19383999999999</v>
      </c>
      <c r="D85" s="150">
        <v>20.832650999999998</v>
      </c>
      <c r="E85" s="150">
        <v>3.5194480000000001</v>
      </c>
      <c r="F85" s="150">
        <v>2.4151259999999999</v>
      </c>
      <c r="G85" s="150">
        <v>17.164971000000001</v>
      </c>
      <c r="H85" s="150">
        <v>0</v>
      </c>
      <c r="I85" s="149">
        <v>452.73962299999999</v>
      </c>
    </row>
    <row r="86" spans="1:9">
      <c r="A86" s="140">
        <v>2016</v>
      </c>
      <c r="B86" s="150">
        <v>268.964313</v>
      </c>
      <c r="C86" s="150">
        <v>158.536517</v>
      </c>
      <c r="D86" s="150">
        <v>21.347452000000001</v>
      </c>
      <c r="E86" s="150">
        <v>3.1499950000000001</v>
      </c>
      <c r="F86" s="150">
        <v>3.1344430000000001</v>
      </c>
      <c r="G86" s="150">
        <v>17.631785000000001</v>
      </c>
      <c r="H86" s="150">
        <v>0</v>
      </c>
      <c r="I86" s="149">
        <v>472.76450499999999</v>
      </c>
    </row>
    <row r="87" spans="1:9">
      <c r="A87" s="140">
        <v>2017</v>
      </c>
      <c r="B87" s="150">
        <v>272.77965699999999</v>
      </c>
      <c r="C87" s="150">
        <v>163.24338399999999</v>
      </c>
      <c r="D87" s="150">
        <v>20.101223999999998</v>
      </c>
      <c r="E87" s="150">
        <v>3.3499490000000001</v>
      </c>
      <c r="F87" s="150">
        <v>3.195573</v>
      </c>
      <c r="G87" s="150">
        <v>17.149300820000001</v>
      </c>
      <c r="H87" s="150">
        <v>0</v>
      </c>
      <c r="I87" s="149">
        <v>479.81908781999999</v>
      </c>
    </row>
    <row r="88" spans="1:9">
      <c r="A88" s="140">
        <v>2018</v>
      </c>
      <c r="B88" s="150">
        <v>264.49946399999999</v>
      </c>
      <c r="C88" s="150">
        <v>166.69145399999999</v>
      </c>
      <c r="D88" s="150">
        <v>20.348161999999999</v>
      </c>
      <c r="E88" s="150">
        <v>3.636736</v>
      </c>
      <c r="F88" s="150">
        <v>3.8884110000000001</v>
      </c>
      <c r="G88" s="150">
        <v>23.432983542117501</v>
      </c>
      <c r="H88" s="150">
        <v>0</v>
      </c>
      <c r="I88" s="149">
        <v>482.4972105421175</v>
      </c>
    </row>
    <row r="89" spans="1:9">
      <c r="A89" s="140">
        <v>2019</v>
      </c>
      <c r="B89" s="150">
        <v>303.73914600000001</v>
      </c>
      <c r="C89" s="150">
        <v>175.93214399999999</v>
      </c>
      <c r="D89" s="150">
        <v>21.263997</v>
      </c>
      <c r="E89" s="150">
        <v>3.835372</v>
      </c>
      <c r="F89" s="150">
        <v>4.9106329999999998</v>
      </c>
      <c r="G89" s="150">
        <v>24.1984739727895</v>
      </c>
      <c r="H89" s="150">
        <v>0</v>
      </c>
      <c r="I89" s="149">
        <v>533.87976597278953</v>
      </c>
    </row>
    <row r="90" spans="1:9">
      <c r="A90" s="140">
        <v>2020</v>
      </c>
      <c r="B90" s="150">
        <v>302.81684100000001</v>
      </c>
      <c r="C90" s="150">
        <v>147.831695</v>
      </c>
      <c r="D90" s="150">
        <v>22.067634000000002</v>
      </c>
      <c r="E90" s="150">
        <v>3.5846079999999998</v>
      </c>
      <c r="F90" s="150">
        <v>4.6593739999999997</v>
      </c>
      <c r="G90" s="150">
        <v>24.223292000000001</v>
      </c>
      <c r="H90" s="150">
        <v>0</v>
      </c>
      <c r="I90" s="149">
        <v>505.18344400000001</v>
      </c>
    </row>
    <row r="91" spans="1:9">
      <c r="A91" s="140">
        <v>2021</v>
      </c>
      <c r="B91" s="150">
        <v>303.795271203168</v>
      </c>
      <c r="C91" s="150">
        <v>149.035552428502</v>
      </c>
      <c r="D91" s="150">
        <v>22.831789772457999</v>
      </c>
      <c r="E91" s="150">
        <v>3.9554679135150801</v>
      </c>
      <c r="F91" s="150">
        <v>3.7946183000000002</v>
      </c>
      <c r="G91" s="150">
        <v>24.09896685</v>
      </c>
      <c r="H91" s="150">
        <v>0.57075460186784999</v>
      </c>
      <c r="I91" s="149">
        <v>508.08242106951093</v>
      </c>
    </row>
    <row r="92" spans="1:9">
      <c r="A92" s="140">
        <v>2022</v>
      </c>
      <c r="B92" s="150">
        <v>304.094532764245</v>
      </c>
      <c r="C92" s="150">
        <v>154.88689052666899</v>
      </c>
      <c r="D92" s="150">
        <v>22.924972987175899</v>
      </c>
      <c r="E92" s="150">
        <v>4.3307817877829802</v>
      </c>
      <c r="F92" s="150">
        <v>3.7946183000000002</v>
      </c>
      <c r="G92" s="150">
        <v>24.614370480000002</v>
      </c>
      <c r="H92" s="150">
        <v>1.4172094516676099</v>
      </c>
      <c r="I92" s="149">
        <v>516.06337629754046</v>
      </c>
    </row>
    <row r="93" spans="1:9">
      <c r="A93" s="140">
        <v>2023</v>
      </c>
      <c r="B93" s="150">
        <v>304.16308678658902</v>
      </c>
      <c r="C93" s="150">
        <v>158.18687943016101</v>
      </c>
      <c r="D93" s="150">
        <v>22.979375854693799</v>
      </c>
      <c r="E93" s="150">
        <v>4.4086074162819999</v>
      </c>
      <c r="F93" s="150">
        <v>3.7946183000000002</v>
      </c>
      <c r="G93" s="150">
        <v>24.67108713</v>
      </c>
      <c r="H93" s="150">
        <v>2.0331350061462601</v>
      </c>
      <c r="I93" s="149">
        <v>520.23678992387204</v>
      </c>
    </row>
    <row r="94" spans="1:9">
      <c r="A94" s="140">
        <v>2024</v>
      </c>
      <c r="B94" s="150">
        <v>304.22476477729299</v>
      </c>
      <c r="C94" s="150">
        <v>160.192030235603</v>
      </c>
      <c r="D94" s="150">
        <v>23.1849118634041</v>
      </c>
      <c r="E94" s="150">
        <v>4.3815731412695502</v>
      </c>
      <c r="F94" s="150">
        <v>3.7946183000000002</v>
      </c>
      <c r="G94" s="150">
        <v>24.782517070000001</v>
      </c>
      <c r="H94" s="150">
        <v>2.3479858205683599</v>
      </c>
      <c r="I94" s="149">
        <v>522.908401208138</v>
      </c>
    </row>
    <row r="95" spans="1:9">
      <c r="A95" s="140">
        <v>2025</v>
      </c>
      <c r="B95" s="150">
        <v>304.43197319262498</v>
      </c>
      <c r="C95" s="150">
        <v>161.494338274874</v>
      </c>
      <c r="D95" s="150">
        <v>23.308902068395401</v>
      </c>
      <c r="E95" s="150">
        <v>4.3286101164557502</v>
      </c>
      <c r="F95" s="150">
        <v>3.7946183000000002</v>
      </c>
      <c r="G95" s="150">
        <v>24.98378099</v>
      </c>
      <c r="H95" s="150">
        <v>2.3557719400094999</v>
      </c>
      <c r="I95" s="149">
        <v>524.69799488235958</v>
      </c>
    </row>
    <row r="96" spans="1:9">
      <c r="A96" s="140">
        <v>2026</v>
      </c>
      <c r="B96" s="150">
        <v>304.64143455775297</v>
      </c>
      <c r="C96" s="150">
        <v>162.437975401459</v>
      </c>
      <c r="D96" s="150">
        <v>23.3739131900826</v>
      </c>
      <c r="E96" s="150">
        <v>4.2834295356863201</v>
      </c>
      <c r="F96" s="150">
        <v>3.7946183000000002</v>
      </c>
      <c r="G96" s="150">
        <v>25.158795380000001</v>
      </c>
      <c r="H96" s="150">
        <v>2.0260367185777</v>
      </c>
      <c r="I96" s="149">
        <v>525.71620308355864</v>
      </c>
    </row>
    <row r="97" spans="1:9">
      <c r="A97" s="140">
        <v>2027</v>
      </c>
      <c r="B97" s="150">
        <v>305.050933392557</v>
      </c>
      <c r="C97" s="150">
        <v>163.354433418535</v>
      </c>
      <c r="D97" s="150">
        <v>23.391812111636401</v>
      </c>
      <c r="E97" s="150">
        <v>4.2379439090098803</v>
      </c>
      <c r="F97" s="150">
        <v>3.7946183000000002</v>
      </c>
      <c r="G97" s="150">
        <v>25.31297687</v>
      </c>
      <c r="H97" s="150">
        <v>1.65007198085494</v>
      </c>
      <c r="I97" s="149">
        <v>526.79278998259326</v>
      </c>
    </row>
    <row r="98" spans="1:9">
      <c r="A98" s="140">
        <v>2028</v>
      </c>
      <c r="B98" s="150">
        <v>305.48267937104202</v>
      </c>
      <c r="C98" s="150">
        <v>164.13293304116601</v>
      </c>
      <c r="D98" s="150">
        <v>23.380442291282002</v>
      </c>
      <c r="E98" s="150">
        <v>4.1781084531538903</v>
      </c>
      <c r="F98" s="150">
        <v>3.7946183000000002</v>
      </c>
      <c r="G98" s="150">
        <v>25.438672619999998</v>
      </c>
      <c r="H98" s="150">
        <v>1.1205409940256901</v>
      </c>
      <c r="I98" s="149">
        <v>527.52799507066959</v>
      </c>
    </row>
    <row r="99" spans="1:9">
      <c r="A99" s="140">
        <v>2029</v>
      </c>
      <c r="B99" s="150">
        <v>305.63120629885901</v>
      </c>
      <c r="C99" s="150">
        <v>165.328262477225</v>
      </c>
      <c r="D99" s="150">
        <v>23.4200494342989</v>
      </c>
      <c r="E99" s="150">
        <v>4.1355161405075398</v>
      </c>
      <c r="F99" s="150">
        <v>3.7946183000000002</v>
      </c>
      <c r="G99" s="150">
        <v>25.55744412</v>
      </c>
      <c r="H99" s="150">
        <v>0.94824802119332896</v>
      </c>
      <c r="I99" s="149">
        <v>528.81534479208381</v>
      </c>
    </row>
    <row r="100" spans="1:9">
      <c r="A100" s="140">
        <v>2030</v>
      </c>
      <c r="B100" s="150">
        <v>305.47058897870801</v>
      </c>
      <c r="C100" s="150">
        <v>166.091844431943</v>
      </c>
      <c r="D100" s="150">
        <v>23.4568453060641</v>
      </c>
      <c r="E100" s="150">
        <v>4.08746060161352</v>
      </c>
      <c r="F100" s="150">
        <v>3.7946183000000002</v>
      </c>
      <c r="G100" s="150">
        <v>25.680308459999999</v>
      </c>
      <c r="H100" s="150">
        <v>0.38464153585835598</v>
      </c>
      <c r="I100" s="149">
        <v>528.96630761418703</v>
      </c>
    </row>
    <row r="101" spans="1:9">
      <c r="A101" s="140">
        <v>2031</v>
      </c>
      <c r="B101" s="150">
        <v>304.99666458872002</v>
      </c>
      <c r="C101" s="150">
        <v>166.97113066991901</v>
      </c>
      <c r="D101" s="150">
        <v>23.419094076152099</v>
      </c>
      <c r="E101" s="150">
        <v>4.0591343192198899</v>
      </c>
      <c r="F101" s="150">
        <v>3.7946183000000002</v>
      </c>
      <c r="G101" s="150">
        <v>25.814840220000001</v>
      </c>
      <c r="H101" s="150">
        <v>-1.7308811725686699E-2</v>
      </c>
      <c r="I101" s="149">
        <v>529.03817336228531</v>
      </c>
    </row>
    <row r="102" spans="1:9">
      <c r="A102" s="140">
        <v>2032</v>
      </c>
      <c r="B102" s="150">
        <v>304.190107491368</v>
      </c>
      <c r="C102" s="150">
        <v>167.46128456180699</v>
      </c>
      <c r="D102" s="150">
        <v>23.494696747841498</v>
      </c>
      <c r="E102" s="150">
        <v>4.0316805425304096</v>
      </c>
      <c r="F102" s="150">
        <v>3.7946183000000002</v>
      </c>
      <c r="G102" s="150">
        <v>25.951324929999998</v>
      </c>
      <c r="H102" s="150">
        <v>-0.597316697523259</v>
      </c>
      <c r="I102" s="149">
        <v>528.32639587602364</v>
      </c>
    </row>
    <row r="103" spans="1:9">
      <c r="A103" s="140">
        <v>2033</v>
      </c>
      <c r="B103" s="150">
        <v>303.344060267413</v>
      </c>
      <c r="C103" s="150">
        <v>168.185105420018</v>
      </c>
      <c r="D103" s="150">
        <v>23.576794624142799</v>
      </c>
      <c r="E103" s="150">
        <v>4.00072659783494</v>
      </c>
      <c r="F103" s="150">
        <v>3.7946183000000002</v>
      </c>
      <c r="G103" s="150">
        <v>26.104571060000001</v>
      </c>
      <c r="H103" s="150">
        <v>-0.86457805437079605</v>
      </c>
      <c r="I103" s="149">
        <v>528.14129821503798</v>
      </c>
    </row>
    <row r="104" spans="1:9">
      <c r="A104" s="140">
        <v>2034</v>
      </c>
      <c r="B104" s="150">
        <v>302.47890559769502</v>
      </c>
      <c r="C104" s="150">
        <v>168.121240005923</v>
      </c>
      <c r="D104" s="150">
        <v>23.6634066854478</v>
      </c>
      <c r="E104" s="150">
        <v>3.9614883134047498</v>
      </c>
      <c r="F104" s="150">
        <v>3.7946183000000002</v>
      </c>
      <c r="G104" s="150">
        <v>26.25717285</v>
      </c>
      <c r="H104" s="150">
        <v>-1.7932229538476701</v>
      </c>
      <c r="I104" s="149">
        <v>526.48360879862287</v>
      </c>
    </row>
    <row r="105" spans="1:9">
      <c r="A105" s="140">
        <v>2035</v>
      </c>
      <c r="B105" s="150">
        <v>301.592059856753</v>
      </c>
      <c r="C105" s="150">
        <v>168.33420787766099</v>
      </c>
      <c r="D105" s="150">
        <v>23.7550988854548</v>
      </c>
      <c r="E105" s="150">
        <v>3.91449387055959</v>
      </c>
      <c r="F105" s="150">
        <v>3.7946183000000002</v>
      </c>
      <c r="G105" s="150">
        <v>26.39488613</v>
      </c>
      <c r="H105" s="150">
        <v>-2.33066162350242</v>
      </c>
      <c r="I105" s="149">
        <v>525.45470329692591</v>
      </c>
    </row>
    <row r="106" spans="1:9">
      <c r="A106" s="144" t="s">
        <v>930</v>
      </c>
    </row>
    <row r="107" spans="1:9">
      <c r="A107" s="144" t="s">
        <v>950</v>
      </c>
    </row>
    <row r="109" spans="1:9" ht="18.5">
      <c r="A109" s="231" t="s">
        <v>961</v>
      </c>
      <c r="B109" s="232"/>
      <c r="C109" s="232"/>
      <c r="D109" s="232"/>
      <c r="E109" s="232"/>
      <c r="F109" s="232"/>
      <c r="G109" s="232"/>
      <c r="H109" s="232"/>
      <c r="I109" s="232"/>
    </row>
    <row r="110" spans="1:9" ht="15.5">
      <c r="A110" s="233" t="s">
        <v>942</v>
      </c>
      <c r="B110" s="232"/>
      <c r="C110" s="232"/>
      <c r="D110" s="232"/>
      <c r="E110" s="232"/>
      <c r="F110" s="232"/>
      <c r="G110" s="232"/>
      <c r="H110" s="232"/>
      <c r="I110" s="232"/>
    </row>
    <row r="111" spans="1:9" ht="15.5">
      <c r="A111" s="233" t="s">
        <v>956</v>
      </c>
      <c r="B111" s="232"/>
      <c r="C111" s="232"/>
      <c r="D111" s="232"/>
      <c r="E111" s="232"/>
      <c r="F111" s="232"/>
      <c r="G111" s="232"/>
      <c r="H111" s="232"/>
      <c r="I111" s="232"/>
    </row>
    <row r="113" spans="1:9" ht="15" thickBot="1">
      <c r="A113" s="139" t="s">
        <v>940</v>
      </c>
      <c r="B113" s="139" t="s">
        <v>303</v>
      </c>
      <c r="C113" s="139" t="s">
        <v>306</v>
      </c>
      <c r="D113" s="139" t="s">
        <v>308</v>
      </c>
      <c r="E113" s="139" t="s">
        <v>955</v>
      </c>
      <c r="F113" s="139" t="s">
        <v>954</v>
      </c>
      <c r="G113" s="139" t="s">
        <v>953</v>
      </c>
      <c r="H113" s="139" t="s">
        <v>952</v>
      </c>
      <c r="I113" s="139" t="s">
        <v>951</v>
      </c>
    </row>
    <row r="114" spans="1:9" ht="15" thickTop="1">
      <c r="A114" s="140">
        <v>1990</v>
      </c>
      <c r="B114" s="150">
        <v>72.355322000000001</v>
      </c>
      <c r="C114" s="150">
        <v>19.151978000000899</v>
      </c>
      <c r="D114" s="150">
        <v>0.68451799999999996</v>
      </c>
      <c r="E114" s="150">
        <v>0.607873</v>
      </c>
      <c r="F114" s="150">
        <v>0.63237699999999997</v>
      </c>
      <c r="G114" s="150">
        <v>1.1944079999999999</v>
      </c>
      <c r="H114" s="150">
        <v>0</v>
      </c>
      <c r="I114" s="149">
        <v>94.626476000000906</v>
      </c>
    </row>
    <row r="115" spans="1:9">
      <c r="A115" s="140">
        <v>1991</v>
      </c>
      <c r="B115" s="150">
        <v>60.934843999999998</v>
      </c>
      <c r="C115" s="150">
        <v>23.676553999999999</v>
      </c>
      <c r="D115" s="150">
        <v>0.929697</v>
      </c>
      <c r="E115" s="150">
        <v>0.75366200000000005</v>
      </c>
      <c r="F115" s="150">
        <v>0.81677599999999995</v>
      </c>
      <c r="G115" s="150">
        <v>0.94595399999999996</v>
      </c>
      <c r="H115" s="150">
        <v>0</v>
      </c>
      <c r="I115" s="149">
        <v>88.057486999999995</v>
      </c>
    </row>
    <row r="116" spans="1:9">
      <c r="A116" s="140">
        <v>1992</v>
      </c>
      <c r="B116" s="150">
        <v>66.829432999999995</v>
      </c>
      <c r="C116" s="150">
        <v>13.8890812196</v>
      </c>
      <c r="D116" s="150">
        <v>7.8147510000000002</v>
      </c>
      <c r="E116" s="150">
        <v>0.61938099999999996</v>
      </c>
      <c r="F116" s="150">
        <v>0.45582</v>
      </c>
      <c r="G116" s="150">
        <v>2.3894860000000002</v>
      </c>
      <c r="H116" s="150">
        <v>0</v>
      </c>
      <c r="I116" s="149">
        <v>91.997952219599995</v>
      </c>
    </row>
    <row r="117" spans="1:9">
      <c r="A117" s="140">
        <v>1993</v>
      </c>
      <c r="B117" s="150">
        <v>72.155894000000004</v>
      </c>
      <c r="C117" s="150">
        <v>16.862034999999999</v>
      </c>
      <c r="D117" s="150">
        <v>9.8984989999999993</v>
      </c>
      <c r="E117" s="150">
        <v>0.57781499999999997</v>
      </c>
      <c r="F117" s="150">
        <v>0.39038499999999998</v>
      </c>
      <c r="G117" s="150">
        <v>2.5825559999999999</v>
      </c>
      <c r="H117" s="150">
        <v>0</v>
      </c>
      <c r="I117" s="149">
        <v>102.467184</v>
      </c>
    </row>
    <row r="118" spans="1:9">
      <c r="A118" s="140">
        <v>1994</v>
      </c>
      <c r="B118" s="150">
        <v>74.898539999999997</v>
      </c>
      <c r="C118" s="150">
        <v>18.562709000000002</v>
      </c>
      <c r="D118" s="150">
        <v>8.5214949999999998</v>
      </c>
      <c r="E118" s="150">
        <v>3.2591060000000001</v>
      </c>
      <c r="F118" s="150">
        <v>0.38277</v>
      </c>
      <c r="G118" s="150">
        <v>2.9078759999999999</v>
      </c>
      <c r="H118" s="150">
        <v>0</v>
      </c>
      <c r="I118" s="149">
        <v>108.53249599999999</v>
      </c>
    </row>
    <row r="119" spans="1:9">
      <c r="A119" s="140">
        <v>1995</v>
      </c>
      <c r="B119" s="150">
        <v>65.954713999999996</v>
      </c>
      <c r="C119" s="150">
        <v>14.300865999999999</v>
      </c>
      <c r="D119" s="150">
        <v>10.691739</v>
      </c>
      <c r="E119" s="150">
        <v>4.3976480000000002</v>
      </c>
      <c r="F119" s="150">
        <v>0.14730799999999999</v>
      </c>
      <c r="G119" s="150">
        <v>2.1923840000000001</v>
      </c>
      <c r="H119" s="150">
        <v>0</v>
      </c>
      <c r="I119" s="149">
        <v>97.684658999999996</v>
      </c>
    </row>
    <row r="120" spans="1:9">
      <c r="A120" s="140">
        <v>1996</v>
      </c>
      <c r="B120" s="150">
        <v>67.414445000000001</v>
      </c>
      <c r="C120" s="150">
        <v>19.681045000000001</v>
      </c>
      <c r="D120" s="150">
        <v>15.521455</v>
      </c>
      <c r="E120" s="150">
        <v>3.662439</v>
      </c>
      <c r="F120" s="150">
        <v>0.25834499999999999</v>
      </c>
      <c r="G120" s="150">
        <v>3.2711600000000001</v>
      </c>
      <c r="H120" s="150">
        <v>0</v>
      </c>
      <c r="I120" s="149">
        <v>109.80888900000001</v>
      </c>
    </row>
    <row r="121" spans="1:9">
      <c r="A121" s="140">
        <v>1997</v>
      </c>
      <c r="B121" s="150">
        <v>68.421177</v>
      </c>
      <c r="C121" s="150">
        <v>20.640231</v>
      </c>
      <c r="D121" s="150">
        <v>17.436069</v>
      </c>
      <c r="E121" s="150">
        <v>3.5443199999999999</v>
      </c>
      <c r="F121" s="150">
        <v>0.24748300000000001</v>
      </c>
      <c r="G121" s="150">
        <v>2.9792830000000001</v>
      </c>
      <c r="H121" s="150">
        <v>0</v>
      </c>
      <c r="I121" s="149">
        <v>113.268563</v>
      </c>
    </row>
    <row r="122" spans="1:9">
      <c r="A122" s="140">
        <v>1998</v>
      </c>
      <c r="B122" s="150">
        <v>70.567248000000006</v>
      </c>
      <c r="C122" s="150">
        <v>23.317598</v>
      </c>
      <c r="D122" s="150">
        <v>14.02373</v>
      </c>
      <c r="E122" s="150">
        <v>2.8891200000000001</v>
      </c>
      <c r="F122" s="150">
        <v>0.17943000000000001</v>
      </c>
      <c r="G122" s="150">
        <v>3.2726359999999999</v>
      </c>
      <c r="H122" s="150">
        <v>0</v>
      </c>
      <c r="I122" s="149">
        <v>114.249762</v>
      </c>
    </row>
    <row r="123" spans="1:9">
      <c r="A123" s="140">
        <v>1999</v>
      </c>
      <c r="B123" s="150">
        <v>69.509085999999996</v>
      </c>
      <c r="C123" s="150">
        <v>21.976633</v>
      </c>
      <c r="D123" s="150">
        <v>17.211617</v>
      </c>
      <c r="E123" s="150">
        <v>4.3159210000000003</v>
      </c>
      <c r="F123" s="150">
        <v>0.213474</v>
      </c>
      <c r="G123" s="150">
        <v>2.9136709999999999</v>
      </c>
      <c r="H123" s="150">
        <v>0</v>
      </c>
      <c r="I123" s="149">
        <v>116.14040199999999</v>
      </c>
    </row>
    <row r="124" spans="1:9">
      <c r="A124" s="140">
        <v>2000</v>
      </c>
      <c r="B124" s="150">
        <v>89.219829000000004</v>
      </c>
      <c r="C124" s="150">
        <v>16.591564000000002</v>
      </c>
      <c r="D124" s="150">
        <v>16.258966000000001</v>
      </c>
      <c r="E124" s="150">
        <v>3.6328130000000001</v>
      </c>
      <c r="F124" s="150">
        <v>0.17144799999999999</v>
      </c>
      <c r="G124" s="150">
        <v>2.7998769999999999</v>
      </c>
      <c r="H124" s="150">
        <v>0</v>
      </c>
      <c r="I124" s="149">
        <v>128.674497</v>
      </c>
    </row>
    <row r="125" spans="1:9">
      <c r="A125" s="140">
        <v>2001</v>
      </c>
      <c r="B125" s="150">
        <v>77.559999000000005</v>
      </c>
      <c r="C125" s="150">
        <v>19.759256000000001</v>
      </c>
      <c r="D125" s="150">
        <v>14.890981999999999</v>
      </c>
      <c r="E125" s="150">
        <v>2.3551319999999998</v>
      </c>
      <c r="F125" s="150">
        <v>0.15426200000000001</v>
      </c>
      <c r="G125" s="150">
        <v>2.1046659999999999</v>
      </c>
      <c r="H125" s="150">
        <v>0</v>
      </c>
      <c r="I125" s="149">
        <v>116.824297</v>
      </c>
    </row>
    <row r="126" spans="1:9">
      <c r="A126" s="140">
        <v>2002</v>
      </c>
      <c r="B126" s="150">
        <v>80.430000000000007</v>
      </c>
      <c r="C126" s="150">
        <v>20.261793999999998</v>
      </c>
      <c r="D126" s="150">
        <v>16.963170000000002</v>
      </c>
      <c r="E126" s="150">
        <v>3.12052</v>
      </c>
      <c r="F126" s="150">
        <v>0.17281099999999999</v>
      </c>
      <c r="G126" s="150">
        <v>3.2835290000000001</v>
      </c>
      <c r="H126" s="150">
        <v>0</v>
      </c>
      <c r="I126" s="149">
        <v>124.231824</v>
      </c>
    </row>
    <row r="127" spans="1:9">
      <c r="A127" s="140">
        <v>2003</v>
      </c>
      <c r="B127" s="150">
        <v>84.269998999999999</v>
      </c>
      <c r="C127" s="150">
        <v>22.987690000000001</v>
      </c>
      <c r="D127" s="150">
        <v>15.777010000000001</v>
      </c>
      <c r="E127" s="150">
        <v>3.8903780000000001</v>
      </c>
      <c r="F127" s="150">
        <v>0.15365200000000001</v>
      </c>
      <c r="G127" s="150">
        <v>2.7392789999999998</v>
      </c>
      <c r="H127" s="150">
        <v>0</v>
      </c>
      <c r="I127" s="149">
        <v>129.81800799999999</v>
      </c>
    </row>
    <row r="128" spans="1:9">
      <c r="A128" s="140">
        <v>2004</v>
      </c>
      <c r="B128" s="150">
        <v>98.93</v>
      </c>
      <c r="C128" s="150">
        <v>25.770001000000001</v>
      </c>
      <c r="D128" s="150">
        <v>8.1837520000000001</v>
      </c>
      <c r="E128" s="150">
        <v>3.14053</v>
      </c>
      <c r="F128" s="150">
        <v>0.54689600000000005</v>
      </c>
      <c r="G128" s="150">
        <v>3.0665559999999998</v>
      </c>
      <c r="H128" s="150">
        <v>0</v>
      </c>
      <c r="I128" s="149">
        <v>139.63773500000002</v>
      </c>
    </row>
    <row r="129" spans="1:9">
      <c r="A129" s="140">
        <v>2005</v>
      </c>
      <c r="B129" s="150">
        <v>92.89</v>
      </c>
      <c r="C129" s="150">
        <v>25.069998999999999</v>
      </c>
      <c r="D129" s="150">
        <v>1.783158</v>
      </c>
      <c r="E129" s="150">
        <v>1.140449</v>
      </c>
      <c r="F129" s="150">
        <v>0.28424199999999999</v>
      </c>
      <c r="G129" s="150">
        <v>3.2401849999999999</v>
      </c>
      <c r="H129" s="150">
        <v>0</v>
      </c>
      <c r="I129" s="149">
        <v>124.408033</v>
      </c>
    </row>
    <row r="130" spans="1:9">
      <c r="A130" s="140">
        <v>2006</v>
      </c>
      <c r="B130" s="150">
        <v>93.944131999999996</v>
      </c>
      <c r="C130" s="150">
        <v>33.068438999999998</v>
      </c>
      <c r="D130" s="150">
        <v>6.7609009999999996</v>
      </c>
      <c r="E130" s="150">
        <v>1.6598440000000001</v>
      </c>
      <c r="F130" s="150">
        <v>8.5457000000000005E-2</v>
      </c>
      <c r="G130" s="150">
        <v>12.946194999999999</v>
      </c>
      <c r="H130" s="150">
        <v>0</v>
      </c>
      <c r="I130" s="149">
        <v>148.464968</v>
      </c>
    </row>
    <row r="131" spans="1:9">
      <c r="A131" s="140">
        <v>2007</v>
      </c>
      <c r="B131" s="150">
        <v>93.184321999999995</v>
      </c>
      <c r="C131" s="150">
        <v>33.301971999999999</v>
      </c>
      <c r="D131" s="150">
        <v>1.6506000000000001</v>
      </c>
      <c r="E131" s="150">
        <v>7.4803999999999995E-2</v>
      </c>
      <c r="F131" s="150">
        <v>0.112819</v>
      </c>
      <c r="G131" s="150">
        <v>13.391806000000001</v>
      </c>
      <c r="H131" s="150">
        <v>0</v>
      </c>
      <c r="I131" s="149">
        <v>141.71632299999999</v>
      </c>
    </row>
    <row r="132" spans="1:9">
      <c r="A132" s="140">
        <v>2008</v>
      </c>
      <c r="B132" s="150">
        <v>92.882479000000004</v>
      </c>
      <c r="C132" s="150">
        <v>30.26681</v>
      </c>
      <c r="D132" s="150">
        <v>3.8350010000000001</v>
      </c>
      <c r="E132" s="150">
        <v>0.95577100000000004</v>
      </c>
      <c r="F132" s="150">
        <v>8.4254999999999997E-2</v>
      </c>
      <c r="G132" s="150">
        <v>6.5567729999999997</v>
      </c>
      <c r="H132" s="150">
        <v>0</v>
      </c>
      <c r="I132" s="149">
        <v>134.58108899999999</v>
      </c>
    </row>
    <row r="133" spans="1:9">
      <c r="A133" s="140">
        <v>2009</v>
      </c>
      <c r="B133" s="150">
        <v>94.857782999999998</v>
      </c>
      <c r="C133" s="150">
        <v>32.901736999999997</v>
      </c>
      <c r="D133" s="150">
        <v>2.3300839999999998</v>
      </c>
      <c r="E133" s="150">
        <v>0.985931</v>
      </c>
      <c r="F133" s="150">
        <v>0.105908</v>
      </c>
      <c r="G133" s="150">
        <v>6.8099449999999999</v>
      </c>
      <c r="H133" s="150">
        <v>0</v>
      </c>
      <c r="I133" s="149">
        <v>137.991388</v>
      </c>
    </row>
    <row r="134" spans="1:9">
      <c r="A134" s="140">
        <v>2010</v>
      </c>
      <c r="B134" s="150">
        <v>98.700778</v>
      </c>
      <c r="C134" s="150">
        <v>31.190567000000001</v>
      </c>
      <c r="D134" s="150">
        <v>2.4432960000000001</v>
      </c>
      <c r="E134" s="150">
        <v>1.052816</v>
      </c>
      <c r="F134" s="150">
        <v>8.7387999999999993E-2</v>
      </c>
      <c r="G134" s="150">
        <v>6.0557889999999999</v>
      </c>
      <c r="H134" s="150">
        <v>0</v>
      </c>
      <c r="I134" s="149">
        <v>139.53063399999999</v>
      </c>
    </row>
    <row r="135" spans="1:9">
      <c r="A135" s="140">
        <v>2011</v>
      </c>
      <c r="B135" s="150">
        <v>100.596766</v>
      </c>
      <c r="C135" s="150">
        <v>31.805211</v>
      </c>
      <c r="D135" s="150">
        <v>4.0542470000000002</v>
      </c>
      <c r="E135" s="150">
        <v>0.93173700000000004</v>
      </c>
      <c r="F135" s="150">
        <v>8.0870999999999998E-2</v>
      </c>
      <c r="G135" s="150">
        <v>7.9697930000000001</v>
      </c>
      <c r="H135" s="150">
        <v>0</v>
      </c>
      <c r="I135" s="149">
        <v>145.438625</v>
      </c>
    </row>
    <row r="136" spans="1:9">
      <c r="A136" s="140">
        <v>2012</v>
      </c>
      <c r="B136" s="150">
        <v>93.704398999999995</v>
      </c>
      <c r="C136" s="150">
        <v>29.701974</v>
      </c>
      <c r="D136" s="150">
        <v>4.0877800000000004</v>
      </c>
      <c r="E136" s="150">
        <v>0.59706199999999998</v>
      </c>
      <c r="F136" s="150">
        <v>6.8371000000000001E-2</v>
      </c>
      <c r="G136" s="150">
        <v>5.5967409999999997</v>
      </c>
      <c r="H136" s="150">
        <v>0</v>
      </c>
      <c r="I136" s="149">
        <v>133.756327</v>
      </c>
    </row>
    <row r="137" spans="1:9">
      <c r="A137" s="140">
        <v>2013</v>
      </c>
      <c r="B137" s="150">
        <v>98.638885000000002</v>
      </c>
      <c r="C137" s="150">
        <v>30.914988000000001</v>
      </c>
      <c r="D137" s="150">
        <v>5.3142469999999999</v>
      </c>
      <c r="E137" s="150">
        <v>0.64281999999999995</v>
      </c>
      <c r="F137" s="150">
        <v>6.9100999999999996E-2</v>
      </c>
      <c r="G137" s="150">
        <v>4.1598139999999999</v>
      </c>
      <c r="H137" s="150">
        <v>0</v>
      </c>
      <c r="I137" s="149">
        <v>139.73985500000001</v>
      </c>
    </row>
    <row r="138" spans="1:9">
      <c r="A138" s="140">
        <v>2014</v>
      </c>
      <c r="B138" s="150">
        <v>82.506609999999995</v>
      </c>
      <c r="C138" s="150">
        <v>28.793589000000001</v>
      </c>
      <c r="D138" s="150">
        <v>5.221635</v>
      </c>
      <c r="E138" s="150">
        <v>0.52168499999999995</v>
      </c>
      <c r="F138" s="150">
        <v>6.3289999999999999E-2</v>
      </c>
      <c r="G138" s="150">
        <v>4.3112469999999998</v>
      </c>
      <c r="H138" s="150">
        <v>0</v>
      </c>
      <c r="I138" s="149">
        <v>121.41805599999999</v>
      </c>
    </row>
    <row r="139" spans="1:9">
      <c r="A139" s="140">
        <v>2015</v>
      </c>
      <c r="B139" s="150">
        <v>88.998205999999996</v>
      </c>
      <c r="C139" s="150">
        <v>30.8123036</v>
      </c>
      <c r="D139" s="150">
        <v>5.4441511</v>
      </c>
      <c r="E139" s="150">
        <v>0.56969000000000003</v>
      </c>
      <c r="F139" s="150">
        <v>7.3747999999999994E-2</v>
      </c>
      <c r="G139" s="150">
        <v>4.7699239999999996</v>
      </c>
      <c r="H139" s="150">
        <v>0</v>
      </c>
      <c r="I139" s="149">
        <v>130.66802269999999</v>
      </c>
    </row>
    <row r="140" spans="1:9">
      <c r="A140" s="140">
        <v>2016</v>
      </c>
      <c r="B140" s="150">
        <v>93.055953000000002</v>
      </c>
      <c r="C140" s="150">
        <v>31.230938399999999</v>
      </c>
      <c r="D140" s="150">
        <v>6.321091</v>
      </c>
      <c r="E140" s="150">
        <v>0.61049299999999995</v>
      </c>
      <c r="F140" s="150">
        <v>6.8607000000000001E-2</v>
      </c>
      <c r="G140" s="150">
        <v>5.9323290000000002</v>
      </c>
      <c r="H140" s="150">
        <v>0</v>
      </c>
      <c r="I140" s="149">
        <v>137.21941140000001</v>
      </c>
    </row>
    <row r="141" spans="1:9">
      <c r="A141" s="140">
        <v>2017</v>
      </c>
      <c r="B141" s="150">
        <v>97.483236000000005</v>
      </c>
      <c r="C141" s="150">
        <v>32.577798999999999</v>
      </c>
      <c r="D141" s="150">
        <v>6.5540599999999998</v>
      </c>
      <c r="E141" s="150">
        <v>0.61080400000000001</v>
      </c>
      <c r="F141" s="150">
        <v>6.8720000000000003E-2</v>
      </c>
      <c r="G141" s="150">
        <v>4.6755149999999999</v>
      </c>
      <c r="H141" s="150">
        <v>0</v>
      </c>
      <c r="I141" s="149">
        <v>141.970134</v>
      </c>
    </row>
    <row r="142" spans="1:9">
      <c r="A142" s="140">
        <v>2018</v>
      </c>
      <c r="B142" s="150">
        <v>92.702116000000004</v>
      </c>
      <c r="C142" s="150">
        <v>31.348937301592599</v>
      </c>
      <c r="D142" s="150">
        <v>6.5261480472948099</v>
      </c>
      <c r="E142" s="150">
        <v>0.57417799999999997</v>
      </c>
      <c r="F142" s="150">
        <v>5.7745999999999999E-2</v>
      </c>
      <c r="G142" s="150">
        <v>5.2628866511126304</v>
      </c>
      <c r="H142" s="150">
        <v>0</v>
      </c>
      <c r="I142" s="149">
        <v>136.47201200000003</v>
      </c>
    </row>
    <row r="143" spans="1:9">
      <c r="A143" s="140">
        <v>2019</v>
      </c>
      <c r="B143" s="150">
        <v>108.012997</v>
      </c>
      <c r="C143" s="150">
        <v>34.420842957999497</v>
      </c>
      <c r="D143" s="150">
        <v>6.59168919501339</v>
      </c>
      <c r="E143" s="150">
        <v>0.71833400000000003</v>
      </c>
      <c r="F143" s="150">
        <v>6.5878999999999993E-2</v>
      </c>
      <c r="G143" s="150">
        <v>5.4800338469870704</v>
      </c>
      <c r="H143" s="150">
        <v>0</v>
      </c>
      <c r="I143" s="149">
        <v>155.28977599999996</v>
      </c>
    </row>
    <row r="144" spans="1:9">
      <c r="A144" s="140">
        <v>2020</v>
      </c>
      <c r="B144" s="150">
        <v>102.27431300000001</v>
      </c>
      <c r="C144" s="150">
        <v>31.4381875311546</v>
      </c>
      <c r="D144" s="150">
        <v>6.4488170332185204</v>
      </c>
      <c r="E144" s="150">
        <v>1.267312</v>
      </c>
      <c r="F144" s="150">
        <v>6.0528999999999999E-2</v>
      </c>
      <c r="G144" s="150">
        <v>3.9552544356268999</v>
      </c>
      <c r="H144" s="150">
        <v>0</v>
      </c>
      <c r="I144" s="149">
        <v>145.44441300000003</v>
      </c>
    </row>
    <row r="145" spans="1:9">
      <c r="A145" s="140">
        <v>2021</v>
      </c>
      <c r="B145" s="150">
        <v>105.71242182706899</v>
      </c>
      <c r="C145" s="150">
        <v>31.8572308246018</v>
      </c>
      <c r="D145" s="150">
        <v>6.62002879401025</v>
      </c>
      <c r="E145" s="150">
        <v>1.33821969642632</v>
      </c>
      <c r="F145" s="150">
        <v>2.60331538461538E-2</v>
      </c>
      <c r="G145" s="150">
        <v>4.8614325049999998</v>
      </c>
      <c r="H145" s="150">
        <v>0.12200217196249701</v>
      </c>
      <c r="I145" s="149">
        <v>150.53736897291603</v>
      </c>
    </row>
    <row r="146" spans="1:9">
      <c r="A146" s="140">
        <v>2022</v>
      </c>
      <c r="B146" s="150">
        <v>105.90673061506</v>
      </c>
      <c r="C146" s="150">
        <v>33.104417544355002</v>
      </c>
      <c r="D146" s="150">
        <v>6.6519734125492596</v>
      </c>
      <c r="E146" s="150">
        <v>1.45774045968128</v>
      </c>
      <c r="F146" s="150">
        <v>2.60331538461538E-2</v>
      </c>
      <c r="G146" s="150">
        <v>4.9200149370000004</v>
      </c>
      <c r="H146" s="150">
        <v>0.30290422434255498</v>
      </c>
      <c r="I146" s="149">
        <v>152.36981434683426</v>
      </c>
    </row>
    <row r="147" spans="1:9">
      <c r="A147" s="140">
        <v>2023</v>
      </c>
      <c r="B147" s="150">
        <v>106.09052580466</v>
      </c>
      <c r="C147" s="150">
        <v>33.793776892406399</v>
      </c>
      <c r="D147" s="150">
        <v>6.6584061674469401</v>
      </c>
      <c r="E147" s="150">
        <v>1.4737297170538699</v>
      </c>
      <c r="F147" s="150">
        <v>2.60331538461538E-2</v>
      </c>
      <c r="G147" s="150">
        <v>4.9060657729999999</v>
      </c>
      <c r="H147" s="150">
        <v>0.43434266506396502</v>
      </c>
      <c r="I147" s="149">
        <v>153.38288017347733</v>
      </c>
    </row>
    <row r="148" spans="1:9">
      <c r="A148" s="140">
        <v>2024</v>
      </c>
      <c r="B148" s="150">
        <v>106.308949412747</v>
      </c>
      <c r="C148" s="150">
        <v>34.210686162317003</v>
      </c>
      <c r="D148" s="150">
        <v>6.6934951130612701</v>
      </c>
      <c r="E148" s="150">
        <v>1.46459129740487</v>
      </c>
      <c r="F148" s="150">
        <v>2.60331538461538E-2</v>
      </c>
      <c r="G148" s="150">
        <v>4.8940560980000001</v>
      </c>
      <c r="H148" s="150">
        <v>0.50143696851144404</v>
      </c>
      <c r="I148" s="149">
        <v>154.09924820588773</v>
      </c>
    </row>
    <row r="149" spans="1:9">
      <c r="A149" s="140">
        <v>2025</v>
      </c>
      <c r="B149" s="150">
        <v>106.563050464982</v>
      </c>
      <c r="C149" s="150">
        <v>34.472043354765098</v>
      </c>
      <c r="D149" s="150">
        <v>6.7189155729695802</v>
      </c>
      <c r="E149" s="150">
        <v>1.45063078544858</v>
      </c>
      <c r="F149" s="150">
        <v>2.60331538461538E-2</v>
      </c>
      <c r="G149" s="150">
        <v>4.8938738859999997</v>
      </c>
      <c r="H149" s="150">
        <v>0.50285522896613599</v>
      </c>
      <c r="I149" s="149">
        <v>154.62740244697756</v>
      </c>
    </row>
    <row r="150" spans="1:9">
      <c r="A150" s="140">
        <v>2026</v>
      </c>
      <c r="B150" s="150">
        <v>106.786146024168</v>
      </c>
      <c r="C150" s="150">
        <v>34.644401172400798</v>
      </c>
      <c r="D150" s="150">
        <v>6.7372671523828096</v>
      </c>
      <c r="E150" s="150">
        <v>1.4392163401801701</v>
      </c>
      <c r="F150" s="150">
        <v>2.60331538461538E-2</v>
      </c>
      <c r="G150" s="150">
        <v>4.8923309919999998</v>
      </c>
      <c r="H150" s="150">
        <v>0.43210849368780102</v>
      </c>
      <c r="I150" s="149">
        <v>154.95750332866572</v>
      </c>
    </row>
    <row r="151" spans="1:9">
      <c r="A151" s="140">
        <v>2027</v>
      </c>
      <c r="B151" s="150">
        <v>107.01136203611399</v>
      </c>
      <c r="C151" s="150">
        <v>34.804672902750298</v>
      </c>
      <c r="D151" s="150">
        <v>6.7467331856793198</v>
      </c>
      <c r="E151" s="150">
        <v>1.42853314637018</v>
      </c>
      <c r="F151" s="150">
        <v>2.60331538461538E-2</v>
      </c>
      <c r="G151" s="150">
        <v>4.890238375</v>
      </c>
      <c r="H151" s="150">
        <v>0.35156814760273802</v>
      </c>
      <c r="I151" s="149">
        <v>155.25914094736268</v>
      </c>
    </row>
    <row r="152" spans="1:9">
      <c r="A152" s="140">
        <v>2028</v>
      </c>
      <c r="B152" s="150">
        <v>107.228077619258</v>
      </c>
      <c r="C152" s="150">
        <v>34.951554404005599</v>
      </c>
      <c r="D152" s="150">
        <v>6.7482202969383103</v>
      </c>
      <c r="E152" s="150">
        <v>1.4131695990997</v>
      </c>
      <c r="F152" s="150">
        <v>2.60331538461538E-2</v>
      </c>
      <c r="G152" s="150">
        <v>4.8858241969999998</v>
      </c>
      <c r="H152" s="150">
        <v>0.23861542463744501</v>
      </c>
      <c r="I152" s="149">
        <v>155.49149469478522</v>
      </c>
    </row>
    <row r="153" spans="1:9">
      <c r="A153" s="140">
        <v>2029</v>
      </c>
      <c r="B153" s="150">
        <v>107.457428810536</v>
      </c>
      <c r="C153" s="150">
        <v>35.218034818562103</v>
      </c>
      <c r="D153" s="150">
        <v>6.7546201522449296</v>
      </c>
      <c r="E153" s="150">
        <v>1.4026398322917899</v>
      </c>
      <c r="F153" s="150">
        <v>2.60331538461538E-2</v>
      </c>
      <c r="G153" s="150">
        <v>4.881382221</v>
      </c>
      <c r="H153" s="150">
        <v>0.201994694232148</v>
      </c>
      <c r="I153" s="149">
        <v>155.94213368271312</v>
      </c>
    </row>
    <row r="154" spans="1:9">
      <c r="A154" s="140">
        <v>2030</v>
      </c>
      <c r="B154" s="150">
        <v>107.682283194462</v>
      </c>
      <c r="C154" s="150">
        <v>35.416659558658303</v>
      </c>
      <c r="D154" s="150">
        <v>6.7569269519764799</v>
      </c>
      <c r="E154" s="150">
        <v>1.3902864822055201</v>
      </c>
      <c r="F154" s="150">
        <v>2.60331538461538E-2</v>
      </c>
      <c r="G154" s="150">
        <v>4.879131632</v>
      </c>
      <c r="H154" s="150">
        <v>8.2019188685672498E-2</v>
      </c>
      <c r="I154" s="149">
        <v>156.23334016183412</v>
      </c>
    </row>
    <row r="155" spans="1:9">
      <c r="A155" s="140">
        <v>2031</v>
      </c>
      <c r="B155" s="150">
        <v>107.93650161626699</v>
      </c>
      <c r="C155" s="150">
        <v>35.661416250280197</v>
      </c>
      <c r="D155" s="150">
        <v>6.7697789363946503</v>
      </c>
      <c r="E155" s="150">
        <v>1.3831023525232899</v>
      </c>
      <c r="F155" s="150">
        <v>2.60331538461538E-2</v>
      </c>
      <c r="G155" s="150">
        <v>4.8792090540000004</v>
      </c>
      <c r="H155" s="150">
        <v>-3.69678720669194E-3</v>
      </c>
      <c r="I155" s="149">
        <v>156.65234457610458</v>
      </c>
    </row>
    <row r="156" spans="1:9">
      <c r="A156" s="140">
        <v>2032</v>
      </c>
      <c r="B156" s="150">
        <v>108.126940345656</v>
      </c>
      <c r="C156" s="150">
        <v>35.847263953753199</v>
      </c>
      <c r="D156" s="150">
        <v>6.7785645195010398</v>
      </c>
      <c r="E156" s="150">
        <v>1.3760927184524101</v>
      </c>
      <c r="F156" s="150">
        <v>2.60331538461538E-2</v>
      </c>
      <c r="G156" s="150">
        <v>4.8793091070000001</v>
      </c>
      <c r="H156" s="150">
        <v>-0.127863400642897</v>
      </c>
      <c r="I156" s="149">
        <v>156.90634039756591</v>
      </c>
    </row>
    <row r="157" spans="1:9">
      <c r="A157" s="140">
        <v>2033</v>
      </c>
      <c r="B157" s="150">
        <v>108.25872693466</v>
      </c>
      <c r="C157" s="150">
        <v>36.099299407837698</v>
      </c>
      <c r="D157" s="150">
        <v>6.7884757338300599</v>
      </c>
      <c r="E157" s="150">
        <v>1.36794301394831</v>
      </c>
      <c r="F157" s="150">
        <v>2.60331538461538E-2</v>
      </c>
      <c r="G157" s="150">
        <v>4.8823119320000004</v>
      </c>
      <c r="H157" s="150">
        <v>-0.18557328229650899</v>
      </c>
      <c r="I157" s="149">
        <v>157.23721689382572</v>
      </c>
    </row>
    <row r="158" spans="1:9">
      <c r="A158" s="140">
        <v>2034</v>
      </c>
      <c r="B158" s="150">
        <v>108.317526049412</v>
      </c>
      <c r="C158" s="150">
        <v>36.186294267126101</v>
      </c>
      <c r="D158" s="150">
        <v>6.7988482549973597</v>
      </c>
      <c r="E158" s="150">
        <v>1.3570664922729001</v>
      </c>
      <c r="F158" s="150">
        <v>2.60331538461538E-2</v>
      </c>
      <c r="G158" s="150">
        <v>4.8859446530000001</v>
      </c>
      <c r="H158" s="150">
        <v>-0.38597201336494302</v>
      </c>
      <c r="I158" s="149">
        <v>157.18574085728957</v>
      </c>
    </row>
    <row r="159" spans="1:9">
      <c r="A159" s="140">
        <v>2035</v>
      </c>
      <c r="B159" s="150">
        <v>108.30479103374</v>
      </c>
      <c r="C159" s="150">
        <v>36.327043832367998</v>
      </c>
      <c r="D159" s="150">
        <v>6.8100838813623596</v>
      </c>
      <c r="E159" s="150">
        <v>1.34417430722487</v>
      </c>
      <c r="F159" s="150">
        <v>2.60331538461538E-2</v>
      </c>
      <c r="G159" s="150">
        <v>4.8874860269999996</v>
      </c>
      <c r="H159" s="150">
        <v>-0.50296400252123896</v>
      </c>
      <c r="I159" s="149">
        <v>157.19664823302014</v>
      </c>
    </row>
    <row r="160" spans="1:9">
      <c r="A160" s="144" t="s">
        <v>930</v>
      </c>
    </row>
    <row r="161" spans="1:9">
      <c r="A161" s="144" t="s">
        <v>950</v>
      </c>
    </row>
    <row r="163" spans="1:9" ht="18.5">
      <c r="A163" s="231" t="s">
        <v>962</v>
      </c>
      <c r="B163" s="232"/>
      <c r="C163" s="232"/>
      <c r="D163" s="232"/>
      <c r="E163" s="232"/>
      <c r="F163" s="232"/>
      <c r="G163" s="232"/>
      <c r="H163" s="232"/>
      <c r="I163" s="232"/>
    </row>
    <row r="164" spans="1:9" ht="15.5">
      <c r="A164" s="233" t="s">
        <v>942</v>
      </c>
      <c r="B164" s="232"/>
      <c r="C164" s="232"/>
      <c r="D164" s="232"/>
      <c r="E164" s="232"/>
      <c r="F164" s="232"/>
      <c r="G164" s="232"/>
      <c r="H164" s="232"/>
      <c r="I164" s="232"/>
    </row>
    <row r="165" spans="1:9" ht="15.5">
      <c r="A165" s="233" t="s">
        <v>956</v>
      </c>
      <c r="B165" s="232"/>
      <c r="C165" s="232"/>
      <c r="D165" s="232"/>
      <c r="E165" s="232"/>
      <c r="F165" s="232"/>
      <c r="G165" s="232"/>
      <c r="H165" s="232"/>
      <c r="I165" s="232"/>
    </row>
    <row r="167" spans="1:9" ht="15" thickBot="1">
      <c r="A167" s="139" t="s">
        <v>940</v>
      </c>
      <c r="B167" s="139" t="s">
        <v>303</v>
      </c>
      <c r="C167" s="139" t="s">
        <v>306</v>
      </c>
      <c r="D167" s="139" t="s">
        <v>308</v>
      </c>
      <c r="E167" s="139" t="s">
        <v>955</v>
      </c>
      <c r="F167" s="139" t="s">
        <v>954</v>
      </c>
      <c r="G167" s="139" t="s">
        <v>953</v>
      </c>
      <c r="H167" s="139" t="s">
        <v>952</v>
      </c>
      <c r="I167" s="139" t="s">
        <v>951</v>
      </c>
    </row>
    <row r="168" spans="1:9" ht="15" thickTop="1">
      <c r="A168" s="140">
        <v>2021</v>
      </c>
      <c r="B168" s="150">
        <v>0</v>
      </c>
      <c r="C168" s="150">
        <v>0</v>
      </c>
      <c r="D168" s="150">
        <v>0</v>
      </c>
      <c r="E168" s="150">
        <v>2087.1420672791101</v>
      </c>
      <c r="F168" s="150">
        <v>0</v>
      </c>
      <c r="G168" s="150">
        <v>0</v>
      </c>
      <c r="H168" s="150">
        <v>0</v>
      </c>
      <c r="I168" s="149">
        <v>2087.1420672791101</v>
      </c>
    </row>
    <row r="169" spans="1:9">
      <c r="A169" s="140">
        <v>2022</v>
      </c>
      <c r="B169" s="150">
        <v>0</v>
      </c>
      <c r="C169" s="150">
        <v>0</v>
      </c>
      <c r="D169" s="150">
        <v>0</v>
      </c>
      <c r="E169" s="150">
        <v>2278.3172454190399</v>
      </c>
      <c r="F169" s="150">
        <v>0</v>
      </c>
      <c r="G169" s="150">
        <v>0</v>
      </c>
      <c r="H169" s="150">
        <v>0</v>
      </c>
      <c r="I169" s="149">
        <v>2278.3172454190399</v>
      </c>
    </row>
    <row r="170" spans="1:9">
      <c r="A170" s="140">
        <v>2023</v>
      </c>
      <c r="B170" s="150">
        <v>0</v>
      </c>
      <c r="C170" s="150">
        <v>0</v>
      </c>
      <c r="D170" s="150">
        <v>0</v>
      </c>
      <c r="E170" s="150">
        <v>2303.6806878995299</v>
      </c>
      <c r="F170" s="150">
        <v>0</v>
      </c>
      <c r="G170" s="150">
        <v>0</v>
      </c>
      <c r="H170" s="150">
        <v>0</v>
      </c>
      <c r="I170" s="149">
        <v>2303.6806878995299</v>
      </c>
    </row>
    <row r="171" spans="1:9">
      <c r="A171" s="140">
        <v>2024</v>
      </c>
      <c r="B171" s="150">
        <v>0</v>
      </c>
      <c r="C171" s="150">
        <v>0</v>
      </c>
      <c r="D171" s="150">
        <v>0</v>
      </c>
      <c r="E171" s="150">
        <v>2289.07114402977</v>
      </c>
      <c r="F171" s="150">
        <v>0</v>
      </c>
      <c r="G171" s="150">
        <v>0</v>
      </c>
      <c r="H171" s="150">
        <v>0</v>
      </c>
      <c r="I171" s="149">
        <v>2289.07114402977</v>
      </c>
    </row>
    <row r="172" spans="1:9">
      <c r="A172" s="140">
        <v>2025</v>
      </c>
      <c r="B172" s="150">
        <v>0</v>
      </c>
      <c r="C172" s="150">
        <v>0</v>
      </c>
      <c r="D172" s="150">
        <v>0</v>
      </c>
      <c r="E172" s="150">
        <v>2266.9903739818401</v>
      </c>
      <c r="F172" s="150">
        <v>0</v>
      </c>
      <c r="G172" s="150">
        <v>0</v>
      </c>
      <c r="H172" s="150">
        <v>0</v>
      </c>
      <c r="I172" s="149">
        <v>2266.9903739818401</v>
      </c>
    </row>
    <row r="173" spans="1:9">
      <c r="A173" s="140">
        <v>2026</v>
      </c>
      <c r="B173" s="150">
        <v>0</v>
      </c>
      <c r="C173" s="150">
        <v>0</v>
      </c>
      <c r="D173" s="150">
        <v>0</v>
      </c>
      <c r="E173" s="150">
        <v>2249.2412017759498</v>
      </c>
      <c r="F173" s="150">
        <v>0</v>
      </c>
      <c r="G173" s="150">
        <v>0</v>
      </c>
      <c r="H173" s="150">
        <v>0</v>
      </c>
      <c r="I173" s="149">
        <v>2249.2412017759498</v>
      </c>
    </row>
    <row r="174" spans="1:9">
      <c r="A174" s="140">
        <v>2027</v>
      </c>
      <c r="B174" s="150">
        <v>0</v>
      </c>
      <c r="C174" s="150">
        <v>0</v>
      </c>
      <c r="D174" s="150">
        <v>0</v>
      </c>
      <c r="E174" s="150">
        <v>2232.8137816141402</v>
      </c>
      <c r="F174" s="150">
        <v>0</v>
      </c>
      <c r="G174" s="150">
        <v>0</v>
      </c>
      <c r="H174" s="150">
        <v>0</v>
      </c>
      <c r="I174" s="149">
        <v>2232.8137816141402</v>
      </c>
    </row>
    <row r="175" spans="1:9">
      <c r="A175" s="140">
        <v>2028</v>
      </c>
      <c r="B175" s="150">
        <v>0</v>
      </c>
      <c r="C175" s="150">
        <v>0</v>
      </c>
      <c r="D175" s="150">
        <v>0</v>
      </c>
      <c r="E175" s="150">
        <v>2208.8382034811402</v>
      </c>
      <c r="F175" s="150">
        <v>0</v>
      </c>
      <c r="G175" s="150">
        <v>0</v>
      </c>
      <c r="H175" s="150">
        <v>0</v>
      </c>
      <c r="I175" s="149">
        <v>2208.8382034811402</v>
      </c>
    </row>
    <row r="176" spans="1:9">
      <c r="A176" s="140">
        <v>2029</v>
      </c>
      <c r="B176" s="150">
        <v>0</v>
      </c>
      <c r="C176" s="150">
        <v>0</v>
      </c>
      <c r="D176" s="150">
        <v>0</v>
      </c>
      <c r="E176" s="150">
        <v>2192.67197337058</v>
      </c>
      <c r="F176" s="150">
        <v>0</v>
      </c>
      <c r="G176" s="150">
        <v>0</v>
      </c>
      <c r="H176" s="150">
        <v>0</v>
      </c>
      <c r="I176" s="149">
        <v>2192.67197337058</v>
      </c>
    </row>
    <row r="177" spans="1:9">
      <c r="A177" s="140">
        <v>2030</v>
      </c>
      <c r="B177" s="150">
        <v>0</v>
      </c>
      <c r="C177" s="150">
        <v>0</v>
      </c>
      <c r="D177" s="150">
        <v>0</v>
      </c>
      <c r="E177" s="150">
        <v>2173.5821388383602</v>
      </c>
      <c r="F177" s="150">
        <v>0</v>
      </c>
      <c r="G177" s="150">
        <v>0</v>
      </c>
      <c r="H177" s="150">
        <v>0</v>
      </c>
      <c r="I177" s="149">
        <v>2173.5821388383602</v>
      </c>
    </row>
    <row r="178" spans="1:9">
      <c r="A178" s="140">
        <v>2031</v>
      </c>
      <c r="B178" s="150">
        <v>0</v>
      </c>
      <c r="C178" s="150">
        <v>0</v>
      </c>
      <c r="D178" s="150">
        <v>0</v>
      </c>
      <c r="E178" s="150">
        <v>2162.5813325153299</v>
      </c>
      <c r="F178" s="150">
        <v>0</v>
      </c>
      <c r="G178" s="150">
        <v>0</v>
      </c>
      <c r="H178" s="150">
        <v>0</v>
      </c>
      <c r="I178" s="149">
        <v>2162.5813325153299</v>
      </c>
    </row>
    <row r="179" spans="1:9">
      <c r="A179" s="140">
        <v>2032</v>
      </c>
      <c r="B179" s="150">
        <v>0</v>
      </c>
      <c r="C179" s="150">
        <v>0</v>
      </c>
      <c r="D179" s="150">
        <v>0</v>
      </c>
      <c r="E179" s="150">
        <v>2151.93457987894</v>
      </c>
      <c r="F179" s="150">
        <v>0</v>
      </c>
      <c r="G179" s="150">
        <v>0</v>
      </c>
      <c r="H179" s="150">
        <v>0</v>
      </c>
      <c r="I179" s="149">
        <v>2151.93457987894</v>
      </c>
    </row>
    <row r="180" spans="1:9">
      <c r="A180" s="140">
        <v>2033</v>
      </c>
      <c r="B180" s="150">
        <v>0</v>
      </c>
      <c r="C180" s="150">
        <v>0</v>
      </c>
      <c r="D180" s="150">
        <v>0</v>
      </c>
      <c r="E180" s="150">
        <v>2139.40717250752</v>
      </c>
      <c r="F180" s="150">
        <v>0</v>
      </c>
      <c r="G180" s="150">
        <v>0</v>
      </c>
      <c r="H180" s="150">
        <v>0</v>
      </c>
      <c r="I180" s="149">
        <v>2139.40717250752</v>
      </c>
    </row>
    <row r="181" spans="1:9">
      <c r="A181" s="140">
        <v>2034</v>
      </c>
      <c r="B181" s="150">
        <v>0</v>
      </c>
      <c r="C181" s="150">
        <v>0</v>
      </c>
      <c r="D181" s="150">
        <v>0</v>
      </c>
      <c r="E181" s="150">
        <v>2122.4722725417</v>
      </c>
      <c r="F181" s="150">
        <v>0</v>
      </c>
      <c r="G181" s="150">
        <v>0</v>
      </c>
      <c r="H181" s="150">
        <v>0</v>
      </c>
      <c r="I181" s="149">
        <v>2122.4722725417</v>
      </c>
    </row>
    <row r="182" spans="1:9">
      <c r="A182" s="140">
        <v>2035</v>
      </c>
      <c r="B182" s="150">
        <v>0</v>
      </c>
      <c r="C182" s="150">
        <v>0</v>
      </c>
      <c r="D182" s="150">
        <v>0</v>
      </c>
      <c r="E182" s="150">
        <v>2102.3315638828699</v>
      </c>
      <c r="F182" s="150">
        <v>0</v>
      </c>
      <c r="G182" s="150">
        <v>0</v>
      </c>
      <c r="H182" s="150">
        <v>0</v>
      </c>
      <c r="I182" s="149">
        <v>2102.3315638828699</v>
      </c>
    </row>
  </sheetData>
  <mergeCells count="12">
    <mergeCell ref="A164:I164"/>
    <mergeCell ref="A165:I165"/>
    <mergeCell ref="A57:I57"/>
    <mergeCell ref="A109:I109"/>
    <mergeCell ref="A110:I110"/>
    <mergeCell ref="A111:I111"/>
    <mergeCell ref="A163:I163"/>
    <mergeCell ref="A1:I1"/>
    <mergeCell ref="A2:I2"/>
    <mergeCell ref="A3:I3"/>
    <mergeCell ref="A55:I55"/>
    <mergeCell ref="A56:I5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0AD99-D2A5-4ED2-BB7C-2DB4C287B229}">
  <sheetPr>
    <tabColor theme="9" tint="0.79998168889431442"/>
  </sheetPr>
  <dimension ref="A1:AI49"/>
  <sheetViews>
    <sheetView topLeftCell="A37" zoomScale="130" zoomScaleNormal="130" workbookViewId="0">
      <selection activeCell="D5" sqref="D5"/>
    </sheetView>
  </sheetViews>
  <sheetFormatPr defaultRowHeight="14.5"/>
  <cols>
    <col min="5" max="5" width="11.81640625" bestFit="1" customWidth="1"/>
  </cols>
  <sheetData>
    <row r="1" spans="1:4" s="113" customFormat="1">
      <c r="A1" s="113" t="s">
        <v>1258</v>
      </c>
    </row>
    <row r="2" spans="1:4">
      <c r="A2" t="s">
        <v>266</v>
      </c>
      <c r="B2" t="s">
        <v>583</v>
      </c>
    </row>
    <row r="3" spans="1:4">
      <c r="A3" t="s">
        <v>268</v>
      </c>
      <c r="B3" t="s">
        <v>584</v>
      </c>
      <c r="C3" t="s">
        <v>585</v>
      </c>
    </row>
    <row r="4" spans="1:4">
      <c r="A4" t="s">
        <v>279</v>
      </c>
      <c r="B4" t="s">
        <v>586</v>
      </c>
      <c r="C4" t="s">
        <v>587</v>
      </c>
      <c r="D4" t="s">
        <v>1259</v>
      </c>
    </row>
    <row r="5" spans="1:4">
      <c r="A5">
        <v>1986</v>
      </c>
      <c r="B5">
        <v>15.05</v>
      </c>
    </row>
    <row r="6" spans="1:4">
      <c r="A6">
        <v>1987</v>
      </c>
      <c r="B6">
        <v>19.2</v>
      </c>
      <c r="C6">
        <v>18.53</v>
      </c>
    </row>
    <row r="7" spans="1:4">
      <c r="A7">
        <v>1988</v>
      </c>
      <c r="B7">
        <v>15.97</v>
      </c>
      <c r="C7">
        <v>14.91</v>
      </c>
    </row>
    <row r="8" spans="1:4">
      <c r="A8">
        <v>1989</v>
      </c>
      <c r="B8">
        <v>19.64</v>
      </c>
      <c r="C8">
        <v>18.23</v>
      </c>
    </row>
    <row r="9" spans="1:4">
      <c r="A9">
        <v>1990</v>
      </c>
      <c r="B9">
        <v>24.53</v>
      </c>
      <c r="C9">
        <v>23.76</v>
      </c>
    </row>
    <row r="10" spans="1:4">
      <c r="A10">
        <v>1991</v>
      </c>
      <c r="B10">
        <v>21.54</v>
      </c>
      <c r="C10">
        <v>20.04</v>
      </c>
    </row>
    <row r="11" spans="1:4">
      <c r="A11">
        <v>1992</v>
      </c>
      <c r="B11">
        <v>20.58</v>
      </c>
      <c r="C11">
        <v>19.32</v>
      </c>
    </row>
    <row r="12" spans="1:4">
      <c r="A12">
        <v>1993</v>
      </c>
      <c r="B12">
        <v>18.43</v>
      </c>
      <c r="C12">
        <v>17.010000000000002</v>
      </c>
    </row>
    <row r="13" spans="1:4">
      <c r="A13">
        <v>1994</v>
      </c>
      <c r="B13">
        <v>17.2</v>
      </c>
      <c r="C13">
        <v>15.86</v>
      </c>
    </row>
    <row r="14" spans="1:4">
      <c r="A14">
        <v>1995</v>
      </c>
      <c r="B14">
        <v>18.43</v>
      </c>
      <c r="C14">
        <v>17.02</v>
      </c>
    </row>
    <row r="15" spans="1:4">
      <c r="A15">
        <v>1996</v>
      </c>
      <c r="B15">
        <v>22.12</v>
      </c>
      <c r="C15">
        <v>20.64</v>
      </c>
    </row>
    <row r="16" spans="1:4">
      <c r="A16">
        <v>1997</v>
      </c>
      <c r="B16">
        <v>20.61</v>
      </c>
      <c r="C16">
        <v>19.11</v>
      </c>
    </row>
    <row r="17" spans="1:3">
      <c r="A17">
        <v>1998</v>
      </c>
      <c r="B17">
        <v>14.42</v>
      </c>
      <c r="C17">
        <v>12.76</v>
      </c>
    </row>
    <row r="18" spans="1:3">
      <c r="A18">
        <v>1999</v>
      </c>
      <c r="B18">
        <v>19.34</v>
      </c>
      <c r="C18">
        <v>17.899999999999999</v>
      </c>
    </row>
    <row r="19" spans="1:3">
      <c r="A19">
        <v>2000</v>
      </c>
      <c r="B19">
        <v>30.38</v>
      </c>
      <c r="C19">
        <v>28.66</v>
      </c>
    </row>
    <row r="20" spans="1:3">
      <c r="A20">
        <v>2001</v>
      </c>
      <c r="B20">
        <v>25.98</v>
      </c>
      <c r="C20">
        <v>24.46</v>
      </c>
    </row>
    <row r="21" spans="1:3">
      <c r="A21">
        <v>2002</v>
      </c>
      <c r="B21">
        <v>26.18</v>
      </c>
      <c r="C21">
        <v>24.99</v>
      </c>
    </row>
    <row r="22" spans="1:3">
      <c r="A22">
        <v>2003</v>
      </c>
      <c r="B22">
        <v>31.08</v>
      </c>
      <c r="C22">
        <v>28.85</v>
      </c>
    </row>
    <row r="23" spans="1:3">
      <c r="A23">
        <v>2004</v>
      </c>
      <c r="B23">
        <v>41.51</v>
      </c>
      <c r="C23">
        <v>38.26</v>
      </c>
    </row>
    <row r="24" spans="1:3">
      <c r="A24">
        <v>2005</v>
      </c>
      <c r="B24">
        <v>56.64</v>
      </c>
      <c r="C24">
        <v>54.57</v>
      </c>
    </row>
    <row r="25" spans="1:3">
      <c r="A25">
        <v>2006</v>
      </c>
      <c r="B25">
        <v>66.05</v>
      </c>
      <c r="C25">
        <v>65.16</v>
      </c>
    </row>
    <row r="26" spans="1:3">
      <c r="A26">
        <v>2007</v>
      </c>
      <c r="B26">
        <v>72.34</v>
      </c>
      <c r="C26">
        <v>72.44</v>
      </c>
    </row>
    <row r="27" spans="1:3">
      <c r="A27">
        <v>2008</v>
      </c>
      <c r="B27">
        <v>99.67</v>
      </c>
      <c r="C27">
        <v>96.94</v>
      </c>
    </row>
    <row r="28" spans="1:3">
      <c r="A28">
        <v>2009</v>
      </c>
      <c r="B28">
        <v>61.95</v>
      </c>
      <c r="C28">
        <v>61.74</v>
      </c>
    </row>
    <row r="29" spans="1:3">
      <c r="A29">
        <v>2010</v>
      </c>
      <c r="B29">
        <v>79.48</v>
      </c>
      <c r="C29">
        <v>79.61</v>
      </c>
    </row>
    <row r="30" spans="1:3">
      <c r="A30">
        <v>2011</v>
      </c>
      <c r="B30">
        <v>94.88</v>
      </c>
      <c r="C30">
        <v>111.26</v>
      </c>
    </row>
    <row r="31" spans="1:3">
      <c r="A31">
        <v>2012</v>
      </c>
      <c r="B31">
        <v>94.05</v>
      </c>
      <c r="C31">
        <v>111.63</v>
      </c>
    </row>
    <row r="32" spans="1:3">
      <c r="A32">
        <v>2013</v>
      </c>
      <c r="B32">
        <v>97.98</v>
      </c>
      <c r="C32">
        <v>108.56</v>
      </c>
    </row>
    <row r="33" spans="1:35">
      <c r="A33">
        <v>2014</v>
      </c>
      <c r="B33">
        <v>93.17</v>
      </c>
      <c r="C33">
        <v>98.97</v>
      </c>
    </row>
    <row r="34" spans="1:35">
      <c r="A34">
        <v>2015</v>
      </c>
      <c r="B34">
        <v>48.66</v>
      </c>
      <c r="C34">
        <v>52.32</v>
      </c>
      <c r="E34" s="32"/>
    </row>
    <row r="35" spans="1:35">
      <c r="A35">
        <v>2016</v>
      </c>
      <c r="B35">
        <v>43.29</v>
      </c>
      <c r="C35">
        <v>43.64</v>
      </c>
      <c r="E35" s="32"/>
    </row>
    <row r="36" spans="1:35">
      <c r="A36">
        <v>2017</v>
      </c>
      <c r="B36">
        <v>50.8</v>
      </c>
      <c r="C36">
        <v>54.13</v>
      </c>
      <c r="E36" s="32"/>
    </row>
    <row r="37" spans="1:35">
      <c r="A37">
        <v>2018</v>
      </c>
      <c r="B37">
        <v>65.23</v>
      </c>
      <c r="C37">
        <v>71.34</v>
      </c>
      <c r="E37" s="32">
        <f>B37/About!$B$129</f>
        <v>1.1461957476717626E-5</v>
      </c>
    </row>
    <row r="38" spans="1:35">
      <c r="A38">
        <v>2019</v>
      </c>
      <c r="B38">
        <v>56.99</v>
      </c>
      <c r="C38">
        <v>64.3</v>
      </c>
      <c r="E38" s="32">
        <f>B38/About!$B$129</f>
        <v>1.0014057283429977E-5</v>
      </c>
    </row>
    <row r="39" spans="1:35">
      <c r="A39">
        <v>2020</v>
      </c>
      <c r="B39">
        <v>39.159999999999997</v>
      </c>
      <c r="C39">
        <v>41.96</v>
      </c>
      <c r="D39">
        <f>B39*About!$C$185</f>
        <v>34.739231524657285</v>
      </c>
      <c r="E39" s="32">
        <f>B39/About!$B$129</f>
        <v>6.881040238973818E-6</v>
      </c>
    </row>
    <row r="40" spans="1:35">
      <c r="A40">
        <v>2021</v>
      </c>
      <c r="B40">
        <v>68.13</v>
      </c>
      <c r="C40">
        <v>70.86</v>
      </c>
      <c r="D40" s="113">
        <f>B40*About!$C$185</f>
        <v>60.438811128061822</v>
      </c>
      <c r="E40" s="113">
        <f>B40/About!$B$129</f>
        <v>1.1971534001054295E-5</v>
      </c>
    </row>
    <row r="42" spans="1:35">
      <c r="A42" t="s">
        <v>1229</v>
      </c>
    </row>
    <row r="43" spans="1:35">
      <c r="A43" t="s">
        <v>1230</v>
      </c>
    </row>
    <row r="44" spans="1:35">
      <c r="A44" t="s">
        <v>1231</v>
      </c>
    </row>
    <row r="45" spans="1:35">
      <c r="A45" t="s">
        <v>299</v>
      </c>
    </row>
    <row r="46" spans="1:35">
      <c r="B46" t="s">
        <v>300</v>
      </c>
      <c r="C46" t="s">
        <v>301</v>
      </c>
      <c r="D46" t="s">
        <v>302</v>
      </c>
      <c r="E46">
        <v>2020</v>
      </c>
      <c r="F46">
        <v>2021</v>
      </c>
      <c r="G46">
        <v>2022</v>
      </c>
      <c r="H46">
        <v>2023</v>
      </c>
      <c r="I46">
        <v>2024</v>
      </c>
      <c r="J46">
        <v>2025</v>
      </c>
      <c r="K46">
        <v>2026</v>
      </c>
      <c r="L46">
        <v>2027</v>
      </c>
      <c r="M46">
        <v>2028</v>
      </c>
      <c r="N46">
        <v>2029</v>
      </c>
      <c r="O46">
        <v>2030</v>
      </c>
      <c r="P46">
        <v>2031</v>
      </c>
      <c r="Q46">
        <v>2032</v>
      </c>
      <c r="R46">
        <v>2033</v>
      </c>
      <c r="S46">
        <v>2034</v>
      </c>
      <c r="T46">
        <v>2035</v>
      </c>
      <c r="U46">
        <v>2036</v>
      </c>
      <c r="V46">
        <v>2037</v>
      </c>
      <c r="W46">
        <v>2038</v>
      </c>
      <c r="X46">
        <v>2039</v>
      </c>
      <c r="Y46">
        <v>2040</v>
      </c>
      <c r="Z46">
        <v>2041</v>
      </c>
      <c r="AA46">
        <v>2042</v>
      </c>
      <c r="AB46">
        <v>2043</v>
      </c>
      <c r="AC46">
        <v>2044</v>
      </c>
      <c r="AD46">
        <v>2045</v>
      </c>
      <c r="AE46">
        <v>2046</v>
      </c>
      <c r="AF46">
        <v>2047</v>
      </c>
      <c r="AG46">
        <v>2048</v>
      </c>
      <c r="AH46">
        <v>2049</v>
      </c>
      <c r="AI46">
        <v>2050</v>
      </c>
    </row>
    <row r="47" spans="1:35">
      <c r="A47" t="s">
        <v>1233</v>
      </c>
      <c r="B47" t="s">
        <v>1234</v>
      </c>
      <c r="C47" t="s">
        <v>1235</v>
      </c>
      <c r="D47" t="s">
        <v>1232</v>
      </c>
      <c r="F47">
        <v>1.7044760000000001</v>
      </c>
      <c r="G47">
        <v>1.6717599999999999</v>
      </c>
      <c r="H47">
        <v>1.441792</v>
      </c>
      <c r="I47">
        <v>1.5642419999999999</v>
      </c>
      <c r="J47">
        <v>1.5944339999999999</v>
      </c>
      <c r="K47">
        <v>1.632536</v>
      </c>
      <c r="L47">
        <v>1.674563</v>
      </c>
      <c r="M47">
        <v>1.710642</v>
      </c>
      <c r="N47">
        <v>1.727495</v>
      </c>
      <c r="O47">
        <v>1.7601800000000001</v>
      </c>
      <c r="P47">
        <v>1.7959080000000001</v>
      </c>
      <c r="Q47">
        <v>1.822594</v>
      </c>
      <c r="R47">
        <v>1.8427089999999999</v>
      </c>
      <c r="S47">
        <v>1.859561</v>
      </c>
      <c r="T47">
        <v>1.876824</v>
      </c>
      <c r="U47">
        <v>1.9034759999999999</v>
      </c>
      <c r="V47">
        <v>1.926752</v>
      </c>
      <c r="W47">
        <v>1.95014</v>
      </c>
      <c r="X47">
        <v>1.957381</v>
      </c>
      <c r="Y47">
        <v>1.9981100000000001</v>
      </c>
      <c r="Z47">
        <v>2.0182910000000001</v>
      </c>
      <c r="AA47">
        <v>2.0258609999999999</v>
      </c>
      <c r="AB47">
        <v>2.0592519999999999</v>
      </c>
      <c r="AC47">
        <v>2.0987339999999999</v>
      </c>
      <c r="AD47">
        <v>2.1095860000000002</v>
      </c>
      <c r="AE47">
        <v>2.1391979999999999</v>
      </c>
      <c r="AF47">
        <v>2.1493530000000001</v>
      </c>
      <c r="AG47">
        <v>2.1453690000000001</v>
      </c>
      <c r="AH47">
        <v>2.1483159999999999</v>
      </c>
      <c r="AI47">
        <v>2.1406679999999998</v>
      </c>
    </row>
    <row r="48" spans="1:35">
      <c r="A48" t="s">
        <v>1236</v>
      </c>
      <c r="B48" t="s">
        <v>1237</v>
      </c>
      <c r="C48" t="s">
        <v>1238</v>
      </c>
      <c r="D48" t="s">
        <v>1232</v>
      </c>
      <c r="F48">
        <v>1.643405</v>
      </c>
      <c r="G48">
        <v>1.587415</v>
      </c>
      <c r="H48">
        <v>1.3997379999999999</v>
      </c>
      <c r="I48">
        <v>1.5231300000000001</v>
      </c>
      <c r="J48">
        <v>1.54121</v>
      </c>
      <c r="K48">
        <v>1.571116</v>
      </c>
      <c r="L48">
        <v>1.615761</v>
      </c>
      <c r="M48">
        <v>1.6484019999999999</v>
      </c>
      <c r="N48">
        <v>1.672631</v>
      </c>
      <c r="O48">
        <v>1.698348</v>
      </c>
      <c r="P48">
        <v>1.7338849999999999</v>
      </c>
      <c r="Q48">
        <v>1.761754</v>
      </c>
      <c r="R48">
        <v>1.780597</v>
      </c>
      <c r="S48">
        <v>1.7902020000000001</v>
      </c>
      <c r="T48">
        <v>1.807212</v>
      </c>
      <c r="U48">
        <v>1.8361209999999999</v>
      </c>
      <c r="V48">
        <v>1.8572839999999999</v>
      </c>
      <c r="W48">
        <v>1.881834</v>
      </c>
      <c r="X48">
        <v>1.887977</v>
      </c>
      <c r="Y48">
        <v>1.9239010000000001</v>
      </c>
      <c r="Z48">
        <v>1.9458770000000001</v>
      </c>
      <c r="AA48">
        <v>1.9551510000000001</v>
      </c>
      <c r="AB48">
        <v>1.989082</v>
      </c>
      <c r="AC48">
        <v>2.0299260000000001</v>
      </c>
      <c r="AD48">
        <v>2.0410919999999999</v>
      </c>
      <c r="AE48">
        <v>2.0706989999999998</v>
      </c>
      <c r="AF48">
        <v>2.0694919999999999</v>
      </c>
      <c r="AG48">
        <v>2.0723549999999999</v>
      </c>
      <c r="AH48">
        <v>2.0796399999999999</v>
      </c>
      <c r="AI48">
        <v>2.0730879999999998</v>
      </c>
    </row>
    <row r="49" spans="7:35">
      <c r="G49">
        <f>(G48-F48)/F48</f>
        <v>-3.4069508124899207E-2</v>
      </c>
      <c r="H49" s="113">
        <f t="shared" ref="H49:AI49" si="0">(H48-G48)/G48</f>
        <v>-0.11822806260492694</v>
      </c>
      <c r="I49" s="113">
        <f t="shared" si="0"/>
        <v>8.8153640181234047E-2</v>
      </c>
      <c r="J49" s="113">
        <f t="shared" si="0"/>
        <v>1.1870293408966977E-2</v>
      </c>
      <c r="K49" s="113">
        <f t="shared" si="0"/>
        <v>1.9404234335359871E-2</v>
      </c>
      <c r="L49" s="113">
        <f t="shared" si="0"/>
        <v>2.8416106767418858E-2</v>
      </c>
      <c r="M49" s="113">
        <f t="shared" si="0"/>
        <v>2.020162635439271E-2</v>
      </c>
      <c r="N49" s="113">
        <f t="shared" si="0"/>
        <v>1.469847767716859E-2</v>
      </c>
      <c r="O49" s="113">
        <f t="shared" si="0"/>
        <v>1.5375178386625615E-2</v>
      </c>
      <c r="P49" s="113">
        <f t="shared" si="0"/>
        <v>2.0924451290312663E-2</v>
      </c>
      <c r="Q49" s="113">
        <f t="shared" si="0"/>
        <v>1.6073153640524109E-2</v>
      </c>
      <c r="R49" s="113">
        <f t="shared" si="0"/>
        <v>1.0695590871370205E-2</v>
      </c>
      <c r="S49" s="113">
        <f t="shared" si="0"/>
        <v>5.3942582178898909E-3</v>
      </c>
      <c r="T49" s="113">
        <f t="shared" si="0"/>
        <v>9.5017210348329224E-3</v>
      </c>
      <c r="U49" s="113">
        <f t="shared" si="0"/>
        <v>1.5996463060227496E-2</v>
      </c>
      <c r="V49" s="113">
        <f t="shared" si="0"/>
        <v>1.1525928846737249E-2</v>
      </c>
      <c r="W49" s="113">
        <f t="shared" si="0"/>
        <v>1.3218226184040822E-2</v>
      </c>
      <c r="X49" s="113">
        <f t="shared" si="0"/>
        <v>3.2643686956447858E-3</v>
      </c>
      <c r="Y49" s="113">
        <f t="shared" si="0"/>
        <v>1.9027774173096423E-2</v>
      </c>
      <c r="Z49" s="113">
        <f t="shared" si="0"/>
        <v>1.1422625176659295E-2</v>
      </c>
      <c r="AA49" s="113">
        <f t="shared" si="0"/>
        <v>4.765974416676904E-3</v>
      </c>
      <c r="AB49" s="113">
        <f t="shared" si="0"/>
        <v>1.7354669792767889E-2</v>
      </c>
      <c r="AC49" s="113">
        <f t="shared" si="0"/>
        <v>2.0534095628033485E-2</v>
      </c>
      <c r="AD49" s="113">
        <f t="shared" si="0"/>
        <v>5.500693128714932E-3</v>
      </c>
      <c r="AE49" s="113">
        <f t="shared" si="0"/>
        <v>1.4505470601031183E-2</v>
      </c>
      <c r="AF49" s="113">
        <f t="shared" si="0"/>
        <v>-5.8289495479543773E-4</v>
      </c>
      <c r="AG49" s="113">
        <f t="shared" si="0"/>
        <v>1.3834312961828604E-3</v>
      </c>
      <c r="AH49" s="113">
        <f t="shared" si="0"/>
        <v>3.5153243532116776E-3</v>
      </c>
      <c r="AI49" s="113">
        <f t="shared" si="0"/>
        <v>-3.1505452866842885E-3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9110A-296A-43D5-9334-99D2DFCC83A9}">
  <sheetPr>
    <tabColor theme="9" tint="0.79998168889431442"/>
  </sheetPr>
  <dimension ref="A1:AH85"/>
  <sheetViews>
    <sheetView topLeftCell="A71" workbookViewId="0">
      <selection activeCell="A83" sqref="A83"/>
    </sheetView>
  </sheetViews>
  <sheetFormatPr defaultRowHeight="14.5"/>
  <cols>
    <col min="1" max="1" width="26.453125" customWidth="1"/>
    <col min="2" max="2" width="14.1796875" customWidth="1"/>
    <col min="3" max="5" width="11.81640625" bestFit="1" customWidth="1"/>
    <col min="6" max="6" width="12.453125" bestFit="1" customWidth="1"/>
    <col min="7" max="8" width="11.81640625" bestFit="1" customWidth="1"/>
  </cols>
  <sheetData>
    <row r="1" spans="1:32" s="32" customFormat="1">
      <c r="A1" s="32" t="s">
        <v>732</v>
      </c>
    </row>
    <row r="2" spans="1:32" s="113" customFormat="1"/>
    <row r="3" spans="1:32" s="113" customFormat="1">
      <c r="A3" s="113" t="s">
        <v>739</v>
      </c>
      <c r="B3" s="37" t="s">
        <v>591</v>
      </c>
    </row>
    <row r="4" spans="1:32" s="113" customFormat="1">
      <c r="B4" s="37" t="s">
        <v>645</v>
      </c>
    </row>
    <row r="5" spans="1:32" s="113" customFormat="1">
      <c r="B5" s="37" t="s">
        <v>96</v>
      </c>
    </row>
    <row r="6" spans="1:32">
      <c r="B6" s="37" t="s">
        <v>736</v>
      </c>
    </row>
    <row r="7" spans="1:32" s="32" customFormat="1"/>
    <row r="8" spans="1:32" s="113" customFormat="1">
      <c r="A8" s="37" t="s">
        <v>733</v>
      </c>
      <c r="B8" s="118"/>
      <c r="C8" s="118"/>
      <c r="D8" s="38"/>
      <c r="E8" s="38"/>
    </row>
    <row r="9" spans="1:32" s="113" customFormat="1">
      <c r="A9" s="33" t="s">
        <v>734</v>
      </c>
    </row>
    <row r="10" spans="1:32" s="113" customFormat="1">
      <c r="A10" s="33"/>
      <c r="B10" s="113">
        <v>2020</v>
      </c>
      <c r="C10" s="113">
        <v>2021</v>
      </c>
      <c r="D10" s="113">
        <v>2022</v>
      </c>
      <c r="E10" s="113">
        <v>2023</v>
      </c>
      <c r="F10" s="113">
        <v>2024</v>
      </c>
      <c r="G10" s="113">
        <v>2025</v>
      </c>
      <c r="H10" s="113">
        <v>2026</v>
      </c>
      <c r="I10" s="113">
        <v>2027</v>
      </c>
      <c r="J10" s="113">
        <v>2028</v>
      </c>
      <c r="K10" s="113">
        <v>2029</v>
      </c>
      <c r="L10" s="113">
        <v>2030</v>
      </c>
      <c r="M10" s="113">
        <v>2031</v>
      </c>
      <c r="N10" s="113">
        <v>2032</v>
      </c>
      <c r="O10" s="113">
        <v>2033</v>
      </c>
      <c r="P10" s="113">
        <v>2034</v>
      </c>
      <c r="Q10" s="113">
        <v>2035</v>
      </c>
      <c r="R10" s="113">
        <v>2036</v>
      </c>
      <c r="S10" s="113">
        <v>2037</v>
      </c>
      <c r="T10" s="113">
        <v>2038</v>
      </c>
      <c r="U10" s="113">
        <v>2039</v>
      </c>
      <c r="V10" s="113">
        <v>2040</v>
      </c>
      <c r="W10" s="113">
        <v>2041</v>
      </c>
      <c r="X10" s="113">
        <v>2042</v>
      </c>
      <c r="Y10" s="113">
        <v>2043</v>
      </c>
      <c r="Z10" s="113">
        <v>2044</v>
      </c>
      <c r="AA10" s="113">
        <v>2045</v>
      </c>
      <c r="AB10" s="113">
        <v>2046</v>
      </c>
      <c r="AC10" s="113">
        <v>2047</v>
      </c>
      <c r="AD10" s="113">
        <v>2048</v>
      </c>
      <c r="AE10" s="113">
        <v>2049</v>
      </c>
      <c r="AF10" s="113">
        <v>2050</v>
      </c>
    </row>
    <row r="11" spans="1:32" s="113" customFormat="1">
      <c r="A11" s="33" t="s">
        <v>725</v>
      </c>
    </row>
    <row r="12" spans="1:32" s="113" customFormat="1">
      <c r="A12" s="82" t="s">
        <v>164</v>
      </c>
      <c r="B12" s="113">
        <v>0</v>
      </c>
      <c r="C12" s="113">
        <f>$B$12</f>
        <v>0</v>
      </c>
      <c r="D12" s="113">
        <f t="shared" ref="D12:AF12" si="0">$B$12</f>
        <v>0</v>
      </c>
      <c r="E12" s="113">
        <f t="shared" si="0"/>
        <v>0</v>
      </c>
      <c r="F12" s="113">
        <f t="shared" si="0"/>
        <v>0</v>
      </c>
      <c r="G12" s="113">
        <f t="shared" si="0"/>
        <v>0</v>
      </c>
      <c r="H12" s="113">
        <f t="shared" si="0"/>
        <v>0</v>
      </c>
      <c r="I12" s="113">
        <f t="shared" si="0"/>
        <v>0</v>
      </c>
      <c r="J12" s="113">
        <f t="shared" si="0"/>
        <v>0</v>
      </c>
      <c r="K12" s="113">
        <f t="shared" si="0"/>
        <v>0</v>
      </c>
      <c r="L12" s="113">
        <f t="shared" si="0"/>
        <v>0</v>
      </c>
      <c r="M12" s="113">
        <f t="shared" si="0"/>
        <v>0</v>
      </c>
      <c r="N12" s="113">
        <f t="shared" si="0"/>
        <v>0</v>
      </c>
      <c r="O12" s="113">
        <f t="shared" si="0"/>
        <v>0</v>
      </c>
      <c r="P12" s="113">
        <f t="shared" si="0"/>
        <v>0</v>
      </c>
      <c r="Q12" s="113">
        <f t="shared" si="0"/>
        <v>0</v>
      </c>
      <c r="R12" s="113">
        <f t="shared" si="0"/>
        <v>0</v>
      </c>
      <c r="S12" s="113">
        <f t="shared" si="0"/>
        <v>0</v>
      </c>
      <c r="T12" s="113">
        <f t="shared" si="0"/>
        <v>0</v>
      </c>
      <c r="U12" s="113">
        <f t="shared" si="0"/>
        <v>0</v>
      </c>
      <c r="V12" s="113">
        <f t="shared" si="0"/>
        <v>0</v>
      </c>
      <c r="W12" s="113">
        <f t="shared" si="0"/>
        <v>0</v>
      </c>
      <c r="X12" s="113">
        <f t="shared" si="0"/>
        <v>0</v>
      </c>
      <c r="Y12" s="113">
        <f t="shared" si="0"/>
        <v>0</v>
      </c>
      <c r="Z12" s="113">
        <f t="shared" si="0"/>
        <v>0</v>
      </c>
      <c r="AA12" s="113">
        <f t="shared" si="0"/>
        <v>0</v>
      </c>
      <c r="AB12" s="113">
        <f t="shared" si="0"/>
        <v>0</v>
      </c>
      <c r="AC12" s="113">
        <f t="shared" si="0"/>
        <v>0</v>
      </c>
      <c r="AD12" s="113">
        <f t="shared" si="0"/>
        <v>0</v>
      </c>
      <c r="AE12" s="113">
        <f t="shared" si="0"/>
        <v>0</v>
      </c>
      <c r="AF12" s="113">
        <f t="shared" si="0"/>
        <v>0</v>
      </c>
    </row>
    <row r="13" spans="1:32" s="113" customFormat="1">
      <c r="A13" s="82" t="s">
        <v>165</v>
      </c>
      <c r="B13" s="21">
        <f>(1-'Sales taxes'!$B$1)*C28</f>
        <v>1.914775361604024E-6</v>
      </c>
      <c r="C13" s="113">
        <f t="shared" ref="C13:R23" si="1">B13</f>
        <v>1.914775361604024E-6</v>
      </c>
      <c r="D13" s="113">
        <f t="shared" si="1"/>
        <v>1.914775361604024E-6</v>
      </c>
      <c r="E13" s="113">
        <f t="shared" si="1"/>
        <v>1.914775361604024E-6</v>
      </c>
      <c r="F13" s="113">
        <f t="shared" si="1"/>
        <v>1.914775361604024E-6</v>
      </c>
      <c r="G13" s="113">
        <f t="shared" si="1"/>
        <v>1.914775361604024E-6</v>
      </c>
      <c r="H13" s="113">
        <f t="shared" si="1"/>
        <v>1.914775361604024E-6</v>
      </c>
      <c r="I13" s="113">
        <f t="shared" si="1"/>
        <v>1.914775361604024E-6</v>
      </c>
      <c r="J13" s="113">
        <f t="shared" si="1"/>
        <v>1.914775361604024E-6</v>
      </c>
      <c r="K13" s="113">
        <f t="shared" si="1"/>
        <v>1.914775361604024E-6</v>
      </c>
      <c r="L13" s="113">
        <f t="shared" si="1"/>
        <v>1.914775361604024E-6</v>
      </c>
      <c r="M13" s="113">
        <f t="shared" si="1"/>
        <v>1.914775361604024E-6</v>
      </c>
      <c r="N13" s="113">
        <f t="shared" si="1"/>
        <v>1.914775361604024E-6</v>
      </c>
      <c r="O13" s="113">
        <f t="shared" si="1"/>
        <v>1.914775361604024E-6</v>
      </c>
      <c r="P13" s="113">
        <f t="shared" si="1"/>
        <v>1.914775361604024E-6</v>
      </c>
      <c r="Q13" s="113">
        <f t="shared" si="1"/>
        <v>1.914775361604024E-6</v>
      </c>
      <c r="R13" s="113">
        <f t="shared" si="1"/>
        <v>1.914775361604024E-6</v>
      </c>
      <c r="S13" s="113">
        <f t="shared" ref="D13:AF23" si="2">R13</f>
        <v>1.914775361604024E-6</v>
      </c>
      <c r="T13" s="113">
        <f t="shared" si="2"/>
        <v>1.914775361604024E-6</v>
      </c>
      <c r="U13" s="113">
        <f t="shared" si="2"/>
        <v>1.914775361604024E-6</v>
      </c>
      <c r="V13" s="113">
        <f t="shared" si="2"/>
        <v>1.914775361604024E-6</v>
      </c>
      <c r="W13" s="113">
        <f t="shared" si="2"/>
        <v>1.914775361604024E-6</v>
      </c>
      <c r="X13" s="113">
        <f t="shared" si="2"/>
        <v>1.914775361604024E-6</v>
      </c>
      <c r="Y13" s="113">
        <f t="shared" si="2"/>
        <v>1.914775361604024E-6</v>
      </c>
      <c r="Z13" s="113">
        <f t="shared" si="2"/>
        <v>1.914775361604024E-6</v>
      </c>
      <c r="AA13" s="113">
        <f t="shared" si="2"/>
        <v>1.914775361604024E-6</v>
      </c>
      <c r="AB13" s="113">
        <f t="shared" si="2"/>
        <v>1.914775361604024E-6</v>
      </c>
      <c r="AC13" s="113">
        <f t="shared" si="2"/>
        <v>1.914775361604024E-6</v>
      </c>
      <c r="AD13" s="113">
        <f t="shared" si="2"/>
        <v>1.914775361604024E-6</v>
      </c>
      <c r="AE13" s="113">
        <f t="shared" si="2"/>
        <v>1.914775361604024E-6</v>
      </c>
      <c r="AF13" s="113">
        <f t="shared" si="2"/>
        <v>1.914775361604024E-6</v>
      </c>
    </row>
    <row r="14" spans="1:32" s="113" customFormat="1">
      <c r="A14" s="82" t="s">
        <v>166</v>
      </c>
      <c r="B14" s="21">
        <f>(1-'Sales taxes'!$B$1)*C29</f>
        <v>9.41773632788932E-6</v>
      </c>
      <c r="C14" s="113">
        <f t="shared" si="1"/>
        <v>9.41773632788932E-6</v>
      </c>
      <c r="D14" s="113">
        <f t="shared" si="2"/>
        <v>9.41773632788932E-6</v>
      </c>
      <c r="E14" s="113">
        <f t="shared" si="2"/>
        <v>9.41773632788932E-6</v>
      </c>
      <c r="F14" s="113">
        <f t="shared" si="2"/>
        <v>9.41773632788932E-6</v>
      </c>
      <c r="G14" s="113">
        <f t="shared" si="2"/>
        <v>9.41773632788932E-6</v>
      </c>
      <c r="H14" s="113">
        <f t="shared" si="2"/>
        <v>9.41773632788932E-6</v>
      </c>
      <c r="I14" s="113">
        <f t="shared" si="2"/>
        <v>9.41773632788932E-6</v>
      </c>
      <c r="J14" s="113">
        <f t="shared" si="2"/>
        <v>9.41773632788932E-6</v>
      </c>
      <c r="K14" s="113">
        <f t="shared" si="2"/>
        <v>9.41773632788932E-6</v>
      </c>
      <c r="L14" s="113">
        <f t="shared" si="2"/>
        <v>9.41773632788932E-6</v>
      </c>
      <c r="M14" s="113">
        <f t="shared" si="2"/>
        <v>9.41773632788932E-6</v>
      </c>
      <c r="N14" s="113">
        <f t="shared" si="2"/>
        <v>9.41773632788932E-6</v>
      </c>
      <c r="O14" s="113">
        <f t="shared" si="2"/>
        <v>9.41773632788932E-6</v>
      </c>
      <c r="P14" s="113">
        <f t="shared" si="2"/>
        <v>9.41773632788932E-6</v>
      </c>
      <c r="Q14" s="113">
        <f t="shared" si="2"/>
        <v>9.41773632788932E-6</v>
      </c>
      <c r="R14" s="113">
        <f t="shared" si="2"/>
        <v>9.41773632788932E-6</v>
      </c>
      <c r="S14" s="113">
        <f t="shared" si="2"/>
        <v>9.41773632788932E-6</v>
      </c>
      <c r="T14" s="113">
        <f t="shared" si="2"/>
        <v>9.41773632788932E-6</v>
      </c>
      <c r="U14" s="113">
        <f t="shared" si="2"/>
        <v>9.41773632788932E-6</v>
      </c>
      <c r="V14" s="113">
        <f t="shared" si="2"/>
        <v>9.41773632788932E-6</v>
      </c>
      <c r="W14" s="113">
        <f t="shared" si="2"/>
        <v>9.41773632788932E-6</v>
      </c>
      <c r="X14" s="113">
        <f t="shared" si="2"/>
        <v>9.41773632788932E-6</v>
      </c>
      <c r="Y14" s="113">
        <f t="shared" si="2"/>
        <v>9.41773632788932E-6</v>
      </c>
      <c r="Z14" s="113">
        <f t="shared" si="2"/>
        <v>9.41773632788932E-6</v>
      </c>
      <c r="AA14" s="113">
        <f t="shared" si="2"/>
        <v>9.41773632788932E-6</v>
      </c>
      <c r="AB14" s="113">
        <f t="shared" si="2"/>
        <v>9.41773632788932E-6</v>
      </c>
      <c r="AC14" s="113">
        <f t="shared" si="2"/>
        <v>9.41773632788932E-6</v>
      </c>
      <c r="AD14" s="113">
        <f t="shared" si="2"/>
        <v>9.41773632788932E-6</v>
      </c>
      <c r="AE14" s="113">
        <f t="shared" si="2"/>
        <v>9.41773632788932E-6</v>
      </c>
      <c r="AF14" s="113">
        <f t="shared" si="2"/>
        <v>9.41773632788932E-6</v>
      </c>
    </row>
    <row r="15" spans="1:32" s="113" customFormat="1">
      <c r="A15" s="82" t="s">
        <v>167</v>
      </c>
      <c r="B15" s="21">
        <f>(1-'Sales taxes'!$B$1)*C30</f>
        <v>2.2270563218656246E-6</v>
      </c>
      <c r="C15" s="113">
        <f t="shared" si="1"/>
        <v>2.2270563218656246E-6</v>
      </c>
      <c r="D15" s="113">
        <f t="shared" si="2"/>
        <v>2.2270563218656246E-6</v>
      </c>
      <c r="E15" s="113">
        <f t="shared" si="2"/>
        <v>2.2270563218656246E-6</v>
      </c>
      <c r="F15" s="113">
        <f t="shared" si="2"/>
        <v>2.2270563218656246E-6</v>
      </c>
      <c r="G15" s="113">
        <f t="shared" si="2"/>
        <v>2.2270563218656246E-6</v>
      </c>
      <c r="H15" s="113">
        <f t="shared" si="2"/>
        <v>2.2270563218656246E-6</v>
      </c>
      <c r="I15" s="113">
        <f t="shared" si="2"/>
        <v>2.2270563218656246E-6</v>
      </c>
      <c r="J15" s="113">
        <f t="shared" si="2"/>
        <v>2.2270563218656246E-6</v>
      </c>
      <c r="K15" s="113">
        <f t="shared" si="2"/>
        <v>2.2270563218656246E-6</v>
      </c>
      <c r="L15" s="113">
        <f t="shared" si="2"/>
        <v>2.2270563218656246E-6</v>
      </c>
      <c r="M15" s="113">
        <f t="shared" si="2"/>
        <v>2.2270563218656246E-6</v>
      </c>
      <c r="N15" s="113">
        <f t="shared" si="2"/>
        <v>2.2270563218656246E-6</v>
      </c>
      <c r="O15" s="113">
        <f t="shared" si="2"/>
        <v>2.2270563218656246E-6</v>
      </c>
      <c r="P15" s="113">
        <f t="shared" si="2"/>
        <v>2.2270563218656246E-6</v>
      </c>
      <c r="Q15" s="113">
        <f t="shared" si="2"/>
        <v>2.2270563218656246E-6</v>
      </c>
      <c r="R15" s="113">
        <f t="shared" si="2"/>
        <v>2.2270563218656246E-6</v>
      </c>
      <c r="S15" s="113">
        <f t="shared" si="2"/>
        <v>2.2270563218656246E-6</v>
      </c>
      <c r="T15" s="113">
        <f t="shared" si="2"/>
        <v>2.2270563218656246E-6</v>
      </c>
      <c r="U15" s="113">
        <f t="shared" si="2"/>
        <v>2.2270563218656246E-6</v>
      </c>
      <c r="V15" s="113">
        <f t="shared" si="2"/>
        <v>2.2270563218656246E-6</v>
      </c>
      <c r="W15" s="113">
        <f t="shared" si="2"/>
        <v>2.2270563218656246E-6</v>
      </c>
      <c r="X15" s="113">
        <f t="shared" si="2"/>
        <v>2.2270563218656246E-6</v>
      </c>
      <c r="Y15" s="113">
        <f t="shared" si="2"/>
        <v>2.2270563218656246E-6</v>
      </c>
      <c r="Z15" s="113">
        <f t="shared" si="2"/>
        <v>2.2270563218656246E-6</v>
      </c>
      <c r="AA15" s="113">
        <f t="shared" si="2"/>
        <v>2.2270563218656246E-6</v>
      </c>
      <c r="AB15" s="113">
        <f t="shared" si="2"/>
        <v>2.2270563218656246E-6</v>
      </c>
      <c r="AC15" s="113">
        <f t="shared" si="2"/>
        <v>2.2270563218656246E-6</v>
      </c>
      <c r="AD15" s="113">
        <f t="shared" si="2"/>
        <v>2.2270563218656246E-6</v>
      </c>
      <c r="AE15" s="113">
        <f t="shared" si="2"/>
        <v>2.2270563218656246E-6</v>
      </c>
      <c r="AF15" s="113">
        <f t="shared" si="2"/>
        <v>2.2270563218656246E-6</v>
      </c>
    </row>
    <row r="16" spans="1:32" s="113" customFormat="1">
      <c r="A16" s="82" t="s">
        <v>168</v>
      </c>
      <c r="B16" s="21">
        <f>(1-'Sales taxes'!$B$1)*C31</f>
        <v>2.136659201789898E-6</v>
      </c>
      <c r="C16" s="113">
        <f t="shared" si="1"/>
        <v>2.136659201789898E-6</v>
      </c>
      <c r="D16" s="113">
        <f t="shared" si="2"/>
        <v>2.136659201789898E-6</v>
      </c>
      <c r="E16" s="113">
        <f t="shared" si="2"/>
        <v>2.136659201789898E-6</v>
      </c>
      <c r="F16" s="113">
        <f t="shared" si="2"/>
        <v>2.136659201789898E-6</v>
      </c>
      <c r="G16" s="113">
        <f t="shared" si="2"/>
        <v>2.136659201789898E-6</v>
      </c>
      <c r="H16" s="113">
        <f t="shared" si="2"/>
        <v>2.136659201789898E-6</v>
      </c>
      <c r="I16" s="113">
        <f t="shared" si="2"/>
        <v>2.136659201789898E-6</v>
      </c>
      <c r="J16" s="113">
        <f t="shared" si="2"/>
        <v>2.136659201789898E-6</v>
      </c>
      <c r="K16" s="113">
        <f t="shared" si="2"/>
        <v>2.136659201789898E-6</v>
      </c>
      <c r="L16" s="113">
        <f t="shared" si="2"/>
        <v>2.136659201789898E-6</v>
      </c>
      <c r="M16" s="113">
        <f t="shared" si="2"/>
        <v>2.136659201789898E-6</v>
      </c>
      <c r="N16" s="113">
        <f t="shared" si="2"/>
        <v>2.136659201789898E-6</v>
      </c>
      <c r="O16" s="113">
        <f t="shared" si="2"/>
        <v>2.136659201789898E-6</v>
      </c>
      <c r="P16" s="113">
        <f t="shared" si="2"/>
        <v>2.136659201789898E-6</v>
      </c>
      <c r="Q16" s="113">
        <f t="shared" si="2"/>
        <v>2.136659201789898E-6</v>
      </c>
      <c r="R16" s="113">
        <f t="shared" si="2"/>
        <v>2.136659201789898E-6</v>
      </c>
      <c r="S16" s="113">
        <f t="shared" si="2"/>
        <v>2.136659201789898E-6</v>
      </c>
      <c r="T16" s="113">
        <f t="shared" si="2"/>
        <v>2.136659201789898E-6</v>
      </c>
      <c r="U16" s="113">
        <f t="shared" si="2"/>
        <v>2.136659201789898E-6</v>
      </c>
      <c r="V16" s="113">
        <f t="shared" si="2"/>
        <v>2.136659201789898E-6</v>
      </c>
      <c r="W16" s="113">
        <f t="shared" si="2"/>
        <v>2.136659201789898E-6</v>
      </c>
      <c r="X16" s="113">
        <f t="shared" si="2"/>
        <v>2.136659201789898E-6</v>
      </c>
      <c r="Y16" s="113">
        <f t="shared" si="2"/>
        <v>2.136659201789898E-6</v>
      </c>
      <c r="Z16" s="113">
        <f t="shared" si="2"/>
        <v>2.136659201789898E-6</v>
      </c>
      <c r="AA16" s="113">
        <f t="shared" si="2"/>
        <v>2.136659201789898E-6</v>
      </c>
      <c r="AB16" s="113">
        <f t="shared" si="2"/>
        <v>2.136659201789898E-6</v>
      </c>
      <c r="AC16" s="113">
        <f t="shared" si="2"/>
        <v>2.136659201789898E-6</v>
      </c>
      <c r="AD16" s="113">
        <f t="shared" si="2"/>
        <v>2.136659201789898E-6</v>
      </c>
      <c r="AE16" s="113">
        <f t="shared" si="2"/>
        <v>2.136659201789898E-6</v>
      </c>
      <c r="AF16" s="113">
        <f t="shared" si="2"/>
        <v>2.136659201789898E-6</v>
      </c>
    </row>
    <row r="17" spans="1:32" s="113" customFormat="1">
      <c r="A17" s="33"/>
    </row>
    <row r="18" spans="1:32" s="113" customFormat="1">
      <c r="A18" s="33" t="s">
        <v>726</v>
      </c>
    </row>
    <row r="19" spans="1:32" s="113" customFormat="1">
      <c r="A19" s="82" t="s">
        <v>164</v>
      </c>
      <c r="B19" s="113">
        <v>0</v>
      </c>
      <c r="C19" s="113">
        <f t="shared" si="1"/>
        <v>0</v>
      </c>
      <c r="D19" s="113">
        <f t="shared" si="2"/>
        <v>0</v>
      </c>
      <c r="E19" s="113">
        <f t="shared" si="2"/>
        <v>0</v>
      </c>
      <c r="F19" s="113">
        <f t="shared" si="2"/>
        <v>0</v>
      </c>
      <c r="G19" s="113">
        <f t="shared" si="2"/>
        <v>0</v>
      </c>
      <c r="H19" s="113">
        <f t="shared" si="2"/>
        <v>0</v>
      </c>
      <c r="I19" s="113">
        <f t="shared" si="2"/>
        <v>0</v>
      </c>
      <c r="J19" s="113">
        <f t="shared" si="2"/>
        <v>0</v>
      </c>
      <c r="K19" s="113">
        <f t="shared" si="2"/>
        <v>0</v>
      </c>
      <c r="L19" s="113">
        <f t="shared" si="2"/>
        <v>0</v>
      </c>
      <c r="M19" s="113">
        <f t="shared" si="2"/>
        <v>0</v>
      </c>
      <c r="N19" s="113">
        <f t="shared" si="2"/>
        <v>0</v>
      </c>
      <c r="O19" s="113">
        <f t="shared" si="2"/>
        <v>0</v>
      </c>
      <c r="P19" s="113">
        <f t="shared" si="2"/>
        <v>0</v>
      </c>
      <c r="Q19" s="113">
        <f t="shared" si="2"/>
        <v>0</v>
      </c>
      <c r="R19" s="113">
        <f t="shared" si="2"/>
        <v>0</v>
      </c>
      <c r="S19" s="113">
        <f t="shared" si="2"/>
        <v>0</v>
      </c>
      <c r="T19" s="113">
        <f t="shared" si="2"/>
        <v>0</v>
      </c>
      <c r="U19" s="113">
        <f t="shared" si="2"/>
        <v>0</v>
      </c>
      <c r="V19" s="113">
        <f t="shared" si="2"/>
        <v>0</v>
      </c>
      <c r="W19" s="113">
        <f t="shared" si="2"/>
        <v>0</v>
      </c>
      <c r="X19" s="113">
        <f t="shared" si="2"/>
        <v>0</v>
      </c>
      <c r="Y19" s="113">
        <f t="shared" si="2"/>
        <v>0</v>
      </c>
      <c r="Z19" s="113">
        <f t="shared" si="2"/>
        <v>0</v>
      </c>
      <c r="AA19" s="113">
        <f t="shared" si="2"/>
        <v>0</v>
      </c>
      <c r="AB19" s="113">
        <f t="shared" si="2"/>
        <v>0</v>
      </c>
      <c r="AC19" s="113">
        <f t="shared" si="2"/>
        <v>0</v>
      </c>
      <c r="AD19" s="113">
        <f t="shared" si="2"/>
        <v>0</v>
      </c>
      <c r="AE19" s="113">
        <f t="shared" si="2"/>
        <v>0</v>
      </c>
      <c r="AF19" s="113">
        <f t="shared" si="2"/>
        <v>0</v>
      </c>
    </row>
    <row r="20" spans="1:32" s="113" customFormat="1">
      <c r="A20" s="82" t="s">
        <v>165</v>
      </c>
      <c r="B20" s="21">
        <f>C28-B13</f>
        <v>1.7769235881826054E-7</v>
      </c>
      <c r="C20" s="113">
        <f t="shared" si="1"/>
        <v>1.7769235881826054E-7</v>
      </c>
      <c r="D20" s="113">
        <f t="shared" si="2"/>
        <v>1.7769235881826054E-7</v>
      </c>
      <c r="E20" s="113">
        <f t="shared" si="2"/>
        <v>1.7769235881826054E-7</v>
      </c>
      <c r="F20" s="113">
        <f t="shared" si="2"/>
        <v>1.7769235881826054E-7</v>
      </c>
      <c r="G20" s="113">
        <f t="shared" si="2"/>
        <v>1.7769235881826054E-7</v>
      </c>
      <c r="H20" s="113">
        <f t="shared" si="2"/>
        <v>1.7769235881826054E-7</v>
      </c>
      <c r="I20" s="113">
        <f t="shared" si="2"/>
        <v>1.7769235881826054E-7</v>
      </c>
      <c r="J20" s="113">
        <f t="shared" si="2"/>
        <v>1.7769235881826054E-7</v>
      </c>
      <c r="K20" s="113">
        <f t="shared" si="2"/>
        <v>1.7769235881826054E-7</v>
      </c>
      <c r="L20" s="113">
        <f t="shared" si="2"/>
        <v>1.7769235881826054E-7</v>
      </c>
      <c r="M20" s="113">
        <f t="shared" si="2"/>
        <v>1.7769235881826054E-7</v>
      </c>
      <c r="N20" s="113">
        <f t="shared" si="2"/>
        <v>1.7769235881826054E-7</v>
      </c>
      <c r="O20" s="113">
        <f t="shared" si="2"/>
        <v>1.7769235881826054E-7</v>
      </c>
      <c r="P20" s="113">
        <f t="shared" si="2"/>
        <v>1.7769235881826054E-7</v>
      </c>
      <c r="Q20" s="113">
        <f t="shared" si="2"/>
        <v>1.7769235881826054E-7</v>
      </c>
      <c r="R20" s="113">
        <f t="shared" si="2"/>
        <v>1.7769235881826054E-7</v>
      </c>
      <c r="S20" s="113">
        <f t="shared" si="2"/>
        <v>1.7769235881826054E-7</v>
      </c>
      <c r="T20" s="113">
        <f t="shared" si="2"/>
        <v>1.7769235881826054E-7</v>
      </c>
      <c r="U20" s="113">
        <f t="shared" si="2"/>
        <v>1.7769235881826054E-7</v>
      </c>
      <c r="V20" s="113">
        <f t="shared" si="2"/>
        <v>1.7769235881826054E-7</v>
      </c>
      <c r="W20" s="113">
        <f t="shared" si="2"/>
        <v>1.7769235881826054E-7</v>
      </c>
      <c r="X20" s="113">
        <f t="shared" si="2"/>
        <v>1.7769235881826054E-7</v>
      </c>
      <c r="Y20" s="113">
        <f t="shared" si="2"/>
        <v>1.7769235881826054E-7</v>
      </c>
      <c r="Z20" s="113">
        <f t="shared" si="2"/>
        <v>1.7769235881826054E-7</v>
      </c>
      <c r="AA20" s="113">
        <f t="shared" si="2"/>
        <v>1.7769235881826054E-7</v>
      </c>
      <c r="AB20" s="113">
        <f t="shared" si="2"/>
        <v>1.7769235881826054E-7</v>
      </c>
      <c r="AC20" s="113">
        <f t="shared" si="2"/>
        <v>1.7769235881826054E-7</v>
      </c>
      <c r="AD20" s="113">
        <f t="shared" si="2"/>
        <v>1.7769235881826054E-7</v>
      </c>
      <c r="AE20" s="113">
        <f t="shared" si="2"/>
        <v>1.7769235881826054E-7</v>
      </c>
      <c r="AF20" s="113">
        <f t="shared" si="2"/>
        <v>1.7769235881826054E-7</v>
      </c>
    </row>
    <row r="21" spans="1:32" s="113" customFormat="1">
      <c r="A21" s="82" t="s">
        <v>166</v>
      </c>
      <c r="B21" s="21">
        <f>C29-B14</f>
        <v>8.7397185925204408E-7</v>
      </c>
      <c r="C21" s="113">
        <f t="shared" si="1"/>
        <v>8.7397185925204408E-7</v>
      </c>
      <c r="D21" s="113">
        <f t="shared" si="2"/>
        <v>8.7397185925204408E-7</v>
      </c>
      <c r="E21" s="113">
        <f t="shared" si="2"/>
        <v>8.7397185925204408E-7</v>
      </c>
      <c r="F21" s="113">
        <f t="shared" si="2"/>
        <v>8.7397185925204408E-7</v>
      </c>
      <c r="G21" s="113">
        <f t="shared" si="2"/>
        <v>8.7397185925204408E-7</v>
      </c>
      <c r="H21" s="113">
        <f t="shared" si="2"/>
        <v>8.7397185925204408E-7</v>
      </c>
      <c r="I21" s="113">
        <f t="shared" si="2"/>
        <v>8.7397185925204408E-7</v>
      </c>
      <c r="J21" s="113">
        <f t="shared" si="2"/>
        <v>8.7397185925204408E-7</v>
      </c>
      <c r="K21" s="113">
        <f t="shared" si="2"/>
        <v>8.7397185925204408E-7</v>
      </c>
      <c r="L21" s="113">
        <f t="shared" si="2"/>
        <v>8.7397185925204408E-7</v>
      </c>
      <c r="M21" s="113">
        <f t="shared" si="2"/>
        <v>8.7397185925204408E-7</v>
      </c>
      <c r="N21" s="113">
        <f t="shared" si="2"/>
        <v>8.7397185925204408E-7</v>
      </c>
      <c r="O21" s="113">
        <f t="shared" si="2"/>
        <v>8.7397185925204408E-7</v>
      </c>
      <c r="P21" s="113">
        <f t="shared" si="2"/>
        <v>8.7397185925204408E-7</v>
      </c>
      <c r="Q21" s="113">
        <f t="shared" si="2"/>
        <v>8.7397185925204408E-7</v>
      </c>
      <c r="R21" s="113">
        <f t="shared" si="2"/>
        <v>8.7397185925204408E-7</v>
      </c>
      <c r="S21" s="113">
        <f t="shared" si="2"/>
        <v>8.7397185925204408E-7</v>
      </c>
      <c r="T21" s="113">
        <f t="shared" si="2"/>
        <v>8.7397185925204408E-7</v>
      </c>
      <c r="U21" s="113">
        <f t="shared" si="2"/>
        <v>8.7397185925204408E-7</v>
      </c>
      <c r="V21" s="113">
        <f t="shared" si="2"/>
        <v>8.7397185925204408E-7</v>
      </c>
      <c r="W21" s="113">
        <f t="shared" si="2"/>
        <v>8.7397185925204408E-7</v>
      </c>
      <c r="X21" s="113">
        <f t="shared" si="2"/>
        <v>8.7397185925204408E-7</v>
      </c>
      <c r="Y21" s="113">
        <f t="shared" si="2"/>
        <v>8.7397185925204408E-7</v>
      </c>
      <c r="Z21" s="113">
        <f t="shared" si="2"/>
        <v>8.7397185925204408E-7</v>
      </c>
      <c r="AA21" s="113">
        <f t="shared" si="2"/>
        <v>8.7397185925204408E-7</v>
      </c>
      <c r="AB21" s="113">
        <f t="shared" si="2"/>
        <v>8.7397185925204408E-7</v>
      </c>
      <c r="AC21" s="113">
        <f t="shared" si="2"/>
        <v>8.7397185925204408E-7</v>
      </c>
      <c r="AD21" s="113">
        <f t="shared" si="2"/>
        <v>8.7397185925204408E-7</v>
      </c>
      <c r="AE21" s="113">
        <f t="shared" si="2"/>
        <v>8.7397185925204408E-7</v>
      </c>
      <c r="AF21" s="113">
        <f t="shared" si="2"/>
        <v>8.7397185925204408E-7</v>
      </c>
    </row>
    <row r="22" spans="1:32" s="113" customFormat="1">
      <c r="A22" s="82" t="s">
        <v>167</v>
      </c>
      <c r="B22" s="21">
        <f>C30-B15</f>
        <v>2.0667222849677478E-7</v>
      </c>
      <c r="C22" s="113">
        <f t="shared" si="1"/>
        <v>2.0667222849677478E-7</v>
      </c>
      <c r="D22" s="113">
        <f t="shared" si="2"/>
        <v>2.0667222849677478E-7</v>
      </c>
      <c r="E22" s="113">
        <f t="shared" si="2"/>
        <v>2.0667222849677478E-7</v>
      </c>
      <c r="F22" s="113">
        <f t="shared" si="2"/>
        <v>2.0667222849677478E-7</v>
      </c>
      <c r="G22" s="113">
        <f t="shared" si="2"/>
        <v>2.0667222849677478E-7</v>
      </c>
      <c r="H22" s="113">
        <f t="shared" si="2"/>
        <v>2.0667222849677478E-7</v>
      </c>
      <c r="I22" s="113">
        <f t="shared" si="2"/>
        <v>2.0667222849677478E-7</v>
      </c>
      <c r="J22" s="113">
        <f t="shared" si="2"/>
        <v>2.0667222849677478E-7</v>
      </c>
      <c r="K22" s="113">
        <f t="shared" si="2"/>
        <v>2.0667222849677478E-7</v>
      </c>
      <c r="L22" s="113">
        <f t="shared" si="2"/>
        <v>2.0667222849677478E-7</v>
      </c>
      <c r="M22" s="113">
        <f t="shared" si="2"/>
        <v>2.0667222849677478E-7</v>
      </c>
      <c r="N22" s="113">
        <f t="shared" si="2"/>
        <v>2.0667222849677478E-7</v>
      </c>
      <c r="O22" s="113">
        <f t="shared" si="2"/>
        <v>2.0667222849677478E-7</v>
      </c>
      <c r="P22" s="113">
        <f t="shared" si="2"/>
        <v>2.0667222849677478E-7</v>
      </c>
      <c r="Q22" s="113">
        <f t="shared" si="2"/>
        <v>2.0667222849677478E-7</v>
      </c>
      <c r="R22" s="113">
        <f t="shared" si="2"/>
        <v>2.0667222849677478E-7</v>
      </c>
      <c r="S22" s="113">
        <f t="shared" si="2"/>
        <v>2.0667222849677478E-7</v>
      </c>
      <c r="T22" s="113">
        <f t="shared" si="2"/>
        <v>2.0667222849677478E-7</v>
      </c>
      <c r="U22" s="113">
        <f t="shared" si="2"/>
        <v>2.0667222849677478E-7</v>
      </c>
      <c r="V22" s="113">
        <f t="shared" si="2"/>
        <v>2.0667222849677478E-7</v>
      </c>
      <c r="W22" s="113">
        <f t="shared" si="2"/>
        <v>2.0667222849677478E-7</v>
      </c>
      <c r="X22" s="113">
        <f t="shared" si="2"/>
        <v>2.0667222849677478E-7</v>
      </c>
      <c r="Y22" s="113">
        <f t="shared" si="2"/>
        <v>2.0667222849677478E-7</v>
      </c>
      <c r="Z22" s="113">
        <f t="shared" si="2"/>
        <v>2.0667222849677478E-7</v>
      </c>
      <c r="AA22" s="113">
        <f t="shared" si="2"/>
        <v>2.0667222849677478E-7</v>
      </c>
      <c r="AB22" s="113">
        <f t="shared" si="2"/>
        <v>2.0667222849677478E-7</v>
      </c>
      <c r="AC22" s="113">
        <f t="shared" si="2"/>
        <v>2.0667222849677478E-7</v>
      </c>
      <c r="AD22" s="113">
        <f t="shared" si="2"/>
        <v>2.0667222849677478E-7</v>
      </c>
      <c r="AE22" s="113">
        <f t="shared" si="2"/>
        <v>2.0667222849677478E-7</v>
      </c>
      <c r="AF22" s="113">
        <f t="shared" si="2"/>
        <v>2.0667222849677478E-7</v>
      </c>
    </row>
    <row r="23" spans="1:32" s="113" customFormat="1">
      <c r="A23" s="82" t="s">
        <v>168</v>
      </c>
      <c r="B23" s="21">
        <f>C31-B16</f>
        <v>1.9828331885299449E-7</v>
      </c>
      <c r="C23" s="113">
        <f t="shared" si="1"/>
        <v>1.9828331885299449E-7</v>
      </c>
      <c r="D23" s="113">
        <f t="shared" si="2"/>
        <v>1.9828331885299449E-7</v>
      </c>
      <c r="E23" s="113">
        <f t="shared" si="2"/>
        <v>1.9828331885299449E-7</v>
      </c>
      <c r="F23" s="113">
        <f t="shared" si="2"/>
        <v>1.9828331885299449E-7</v>
      </c>
      <c r="G23" s="113">
        <f t="shared" si="2"/>
        <v>1.9828331885299449E-7</v>
      </c>
      <c r="H23" s="113">
        <f t="shared" si="2"/>
        <v>1.9828331885299449E-7</v>
      </c>
      <c r="I23" s="113">
        <f t="shared" si="2"/>
        <v>1.9828331885299449E-7</v>
      </c>
      <c r="J23" s="113">
        <f t="shared" si="2"/>
        <v>1.9828331885299449E-7</v>
      </c>
      <c r="K23" s="113">
        <f t="shared" si="2"/>
        <v>1.9828331885299449E-7</v>
      </c>
      <c r="L23" s="113">
        <f t="shared" si="2"/>
        <v>1.9828331885299449E-7</v>
      </c>
      <c r="M23" s="113">
        <f t="shared" si="2"/>
        <v>1.9828331885299449E-7</v>
      </c>
      <c r="N23" s="113">
        <f t="shared" si="2"/>
        <v>1.9828331885299449E-7</v>
      </c>
      <c r="O23" s="113">
        <f t="shared" si="2"/>
        <v>1.9828331885299449E-7</v>
      </c>
      <c r="P23" s="113">
        <f t="shared" si="2"/>
        <v>1.9828331885299449E-7</v>
      </c>
      <c r="Q23" s="113">
        <f t="shared" si="2"/>
        <v>1.9828331885299449E-7</v>
      </c>
      <c r="R23" s="113">
        <f t="shared" si="2"/>
        <v>1.9828331885299449E-7</v>
      </c>
      <c r="S23" s="113">
        <f t="shared" si="2"/>
        <v>1.9828331885299449E-7</v>
      </c>
      <c r="T23" s="113">
        <f t="shared" si="2"/>
        <v>1.9828331885299449E-7</v>
      </c>
      <c r="U23" s="113">
        <f t="shared" si="2"/>
        <v>1.9828331885299449E-7</v>
      </c>
      <c r="V23" s="113">
        <f t="shared" si="2"/>
        <v>1.9828331885299449E-7</v>
      </c>
      <c r="W23" s="113">
        <f t="shared" si="2"/>
        <v>1.9828331885299449E-7</v>
      </c>
      <c r="X23" s="113">
        <f t="shared" si="2"/>
        <v>1.9828331885299449E-7</v>
      </c>
      <c r="Y23" s="113">
        <f t="shared" si="2"/>
        <v>1.9828331885299449E-7</v>
      </c>
      <c r="Z23" s="113">
        <f t="shared" si="2"/>
        <v>1.9828331885299449E-7</v>
      </c>
      <c r="AA23" s="113">
        <f t="shared" si="2"/>
        <v>1.9828331885299449E-7</v>
      </c>
      <c r="AB23" s="113">
        <f t="shared" si="2"/>
        <v>1.9828331885299449E-7</v>
      </c>
      <c r="AC23" s="113">
        <f t="shared" si="2"/>
        <v>1.9828331885299449E-7</v>
      </c>
      <c r="AD23" s="113">
        <f t="shared" si="2"/>
        <v>1.9828331885299449E-7</v>
      </c>
      <c r="AE23" s="113">
        <f t="shared" si="2"/>
        <v>1.9828331885299449E-7</v>
      </c>
      <c r="AF23" s="113">
        <f t="shared" si="2"/>
        <v>1.9828331885299449E-7</v>
      </c>
    </row>
    <row r="24" spans="1:32" s="113" customFormat="1">
      <c r="A24" s="33"/>
    </row>
    <row r="25" spans="1:32" s="32" customFormat="1">
      <c r="B25" s="32">
        <v>2019</v>
      </c>
      <c r="C25" s="32">
        <v>2019</v>
      </c>
    </row>
    <row r="26" spans="1:32">
      <c r="A26" s="33" t="str">
        <f>AggregateSEDS!G2</f>
        <v>Wood</v>
      </c>
      <c r="B26" s="21" t="s">
        <v>671</v>
      </c>
      <c r="C26" s="21" t="s">
        <v>376</v>
      </c>
    </row>
    <row r="27" spans="1:32">
      <c r="A27" s="32" t="s">
        <v>132</v>
      </c>
      <c r="B27" s="112">
        <v>0</v>
      </c>
      <c r="C27" s="21">
        <f>B27*About!$G$176</f>
        <v>0</v>
      </c>
    </row>
    <row r="28" spans="1:32">
      <c r="A28" s="32" t="s">
        <v>509</v>
      </c>
      <c r="B28" s="21">
        <f>AggregateSEDS!G4/1000000</f>
        <v>2.3300000000000001E-6</v>
      </c>
      <c r="C28" s="21">
        <f>B28*About!$G$176</f>
        <v>2.0924677204222846E-6</v>
      </c>
    </row>
    <row r="29" spans="1:32">
      <c r="A29" s="32" t="s">
        <v>593</v>
      </c>
      <c r="B29" s="21">
        <f>AggregateSEDS!G5/1000000</f>
        <v>1.146E-5</v>
      </c>
      <c r="C29" s="21">
        <f>B29*About!$G$176</f>
        <v>1.0291708187141364E-5</v>
      </c>
    </row>
    <row r="30" spans="1:32">
      <c r="A30" s="32" t="s">
        <v>306</v>
      </c>
      <c r="B30" s="21">
        <f>AggregateSEDS!G6/1000000</f>
        <v>2.7099999999999999E-6</v>
      </c>
      <c r="C30" s="21">
        <f>B30*About!$G$176</f>
        <v>2.4337285503623993E-6</v>
      </c>
      <c r="E30" s="32"/>
    </row>
    <row r="31" spans="1:32">
      <c r="A31" s="32" t="s">
        <v>308</v>
      </c>
      <c r="B31" s="21">
        <f>AggregateSEDS!G7/1000000</f>
        <v>2.6000000000000001E-6</v>
      </c>
      <c r="C31" s="21">
        <f>B31*About!$G$176</f>
        <v>2.3349425206428925E-6</v>
      </c>
    </row>
    <row r="32" spans="1:32" s="113" customFormat="1">
      <c r="B32" s="21"/>
      <c r="C32" s="21"/>
    </row>
    <row r="33" spans="1:34" s="113" customFormat="1">
      <c r="A33" s="37" t="s">
        <v>645</v>
      </c>
      <c r="B33" s="118"/>
      <c r="C33" s="118"/>
      <c r="D33" s="38"/>
      <c r="E33" s="38"/>
    </row>
    <row r="34" spans="1:34" s="113" customFormat="1">
      <c r="B34" s="21"/>
      <c r="C34" s="21"/>
    </row>
    <row r="35" spans="1:34" s="113" customFormat="1">
      <c r="A35" s="33" t="s">
        <v>725</v>
      </c>
      <c r="B35" s="113">
        <f>D49</f>
        <v>2020</v>
      </c>
      <c r="C35" s="113">
        <f t="shared" ref="C35:AF35" si="3">E49</f>
        <v>2021</v>
      </c>
      <c r="D35" s="113">
        <f t="shared" si="3"/>
        <v>2022</v>
      </c>
      <c r="E35" s="113">
        <f t="shared" si="3"/>
        <v>2023</v>
      </c>
      <c r="F35" s="113">
        <f t="shared" si="3"/>
        <v>2024</v>
      </c>
      <c r="G35" s="113">
        <f t="shared" si="3"/>
        <v>2025</v>
      </c>
      <c r="H35" s="113">
        <f t="shared" si="3"/>
        <v>2026</v>
      </c>
      <c r="I35" s="113">
        <f t="shared" si="3"/>
        <v>2027</v>
      </c>
      <c r="J35" s="113">
        <f t="shared" si="3"/>
        <v>2028</v>
      </c>
      <c r="K35" s="113">
        <f t="shared" si="3"/>
        <v>2029</v>
      </c>
      <c r="L35" s="113">
        <f t="shared" si="3"/>
        <v>2030</v>
      </c>
      <c r="M35" s="113">
        <f t="shared" si="3"/>
        <v>2031</v>
      </c>
      <c r="N35" s="113">
        <f t="shared" si="3"/>
        <v>2032</v>
      </c>
      <c r="O35" s="113">
        <f t="shared" si="3"/>
        <v>2033</v>
      </c>
      <c r="P35" s="113">
        <f t="shared" si="3"/>
        <v>2034</v>
      </c>
      <c r="Q35" s="113">
        <f t="shared" si="3"/>
        <v>2035</v>
      </c>
      <c r="R35" s="113">
        <f t="shared" si="3"/>
        <v>2036</v>
      </c>
      <c r="S35" s="113">
        <f t="shared" si="3"/>
        <v>2037</v>
      </c>
      <c r="T35" s="113">
        <f t="shared" si="3"/>
        <v>2038</v>
      </c>
      <c r="U35" s="113">
        <f t="shared" si="3"/>
        <v>2039</v>
      </c>
      <c r="V35" s="113">
        <f t="shared" si="3"/>
        <v>2040</v>
      </c>
      <c r="W35" s="113">
        <f t="shared" si="3"/>
        <v>2041</v>
      </c>
      <c r="X35" s="113">
        <f t="shared" si="3"/>
        <v>2042</v>
      </c>
      <c r="Y35" s="113">
        <f t="shared" si="3"/>
        <v>2043</v>
      </c>
      <c r="Z35" s="113">
        <f t="shared" si="3"/>
        <v>2044</v>
      </c>
      <c r="AA35" s="113">
        <f t="shared" si="3"/>
        <v>2045</v>
      </c>
      <c r="AB35" s="113">
        <f t="shared" si="3"/>
        <v>2046</v>
      </c>
      <c r="AC35" s="113">
        <f t="shared" si="3"/>
        <v>2047</v>
      </c>
      <c r="AD35" s="113">
        <f t="shared" si="3"/>
        <v>2048</v>
      </c>
      <c r="AE35" s="113">
        <f t="shared" si="3"/>
        <v>2049</v>
      </c>
      <c r="AF35" s="113">
        <f t="shared" si="3"/>
        <v>2050</v>
      </c>
    </row>
    <row r="36" spans="1:34" s="113" customFormat="1">
      <c r="A36" s="82" t="s">
        <v>164</v>
      </c>
      <c r="B36" s="21">
        <f>(1-'Sales taxes'!$B$1)*D51</f>
        <v>8.3050054278526992E-6</v>
      </c>
      <c r="C36" s="21">
        <f>(1-'Sales taxes'!$B$1)*E51</f>
        <v>1.138194186505714E-5</v>
      </c>
      <c r="D36" s="21">
        <f>(1-'Sales taxes'!$B$1)*F51</f>
        <v>1.1490859969028978E-5</v>
      </c>
      <c r="E36" s="21">
        <f>(1-'Sales taxes'!$B$1)*G51</f>
        <v>1.4160945178171346E-5</v>
      </c>
      <c r="F36" s="21">
        <f>(1-'Sales taxes'!$B$1)*H51</f>
        <v>1.5150994384942046E-5</v>
      </c>
      <c r="G36" s="21">
        <f>(1-'Sales taxes'!$B$1)*I51</f>
        <v>1.5338139451299586E-5</v>
      </c>
      <c r="H36" s="21">
        <f>(1-'Sales taxes'!$B$1)*J51</f>
        <v>1.5528490018431733E-5</v>
      </c>
      <c r="I36" s="21">
        <f>(1-'Sales taxes'!$B$1)*K51</f>
        <v>1.5911915277581113E-5</v>
      </c>
      <c r="J36" s="21">
        <f>(1-'Sales taxes'!$B$1)*L51</f>
        <v>1.6109487584602719E-5</v>
      </c>
      <c r="K36" s="21">
        <f>(1-'Sales taxes'!$B$1)*M51</f>
        <v>1.6221734087500232E-5</v>
      </c>
      <c r="L36" s="21">
        <f>(1-'Sales taxes'!$B$1)*N51</f>
        <v>1.6354434108742391E-5</v>
      </c>
      <c r="M36" s="21">
        <f>(1-'Sales taxes'!$B$1)*O51</f>
        <v>1.6604975388357741E-5</v>
      </c>
      <c r="N36" s="21">
        <f>(1-'Sales taxes'!$B$1)*P51</f>
        <v>1.6723877436162531E-5</v>
      </c>
      <c r="O36" s="21">
        <f>(1-'Sales taxes'!$B$1)*Q51</f>
        <v>1.6867470652305062E-5</v>
      </c>
      <c r="P36" s="21">
        <f>(1-'Sales taxes'!$B$1)*R51</f>
        <v>1.688295399212908E-5</v>
      </c>
      <c r="Q36" s="21">
        <f>(1-'Sales taxes'!$B$1)*S51</f>
        <v>1.6920460554285305E-5</v>
      </c>
      <c r="R36" s="21">
        <f>(1-'Sales taxes'!$B$1)*T51</f>
        <v>1.6904274427693524E-5</v>
      </c>
      <c r="S36" s="21">
        <f>(1-'Sales taxes'!$B$1)*U51</f>
        <v>1.6941752349636644E-5</v>
      </c>
      <c r="T36" s="21">
        <f>(1-'Sales taxes'!$B$1)*V51</f>
        <v>1.7149648351936471E-5</v>
      </c>
      <c r="U36" s="21">
        <f>(1-'Sales taxes'!$B$1)*W51</f>
        <v>1.7092851504706384E-5</v>
      </c>
      <c r="V36" s="21">
        <f>(1-'Sales taxes'!$B$1)*X51</f>
        <v>1.7452746625695492E-5</v>
      </c>
      <c r="W36" s="21">
        <f>(1-'Sales taxes'!$B$1)*Y51</f>
        <v>1.7597019496125971E-5</v>
      </c>
      <c r="X36" s="21">
        <f>(1-'Sales taxes'!$B$1)*Z51</f>
        <v>1.7690659774424207E-5</v>
      </c>
      <c r="Y36" s="21">
        <f>(1-'Sales taxes'!$B$1)*AA51</f>
        <v>1.8027735254847409E-5</v>
      </c>
      <c r="Z36" s="21">
        <f>(1-'Sales taxes'!$B$1)*AB51</f>
        <v>1.8266534047089108E-5</v>
      </c>
      <c r="AA36" s="21">
        <f>(1-'Sales taxes'!$B$1)*AC51</f>
        <v>1.8371350617778809E-5</v>
      </c>
      <c r="AB36" s="21">
        <f>(1-'Sales taxes'!$B$1)*AD51</f>
        <v>1.8535727816263371E-5</v>
      </c>
      <c r="AC36" s="21">
        <f>(1-'Sales taxes'!$B$1)*AE51</f>
        <v>1.8595667376108563E-5</v>
      </c>
      <c r="AD36" s="21">
        <f>(1-'Sales taxes'!$B$1)*AF51</f>
        <v>1.8563996808146105E-5</v>
      </c>
      <c r="AE36" s="21">
        <f>(1-'Sales taxes'!$B$1)*AG51</f>
        <v>1.8600886504173887E-5</v>
      </c>
      <c r="AF36" s="21">
        <f>(1-'Sales taxes'!$B$1)*AH51</f>
        <v>1.8558717095014595E-5</v>
      </c>
      <c r="AG36" s="21"/>
      <c r="AH36" s="21"/>
    </row>
    <row r="37" spans="1:34" s="113" customFormat="1">
      <c r="A37" s="82" t="s">
        <v>165</v>
      </c>
      <c r="B37" s="21">
        <v>0</v>
      </c>
      <c r="C37" s="21">
        <v>0</v>
      </c>
      <c r="D37" s="21">
        <v>0</v>
      </c>
      <c r="E37" s="21">
        <v>0</v>
      </c>
      <c r="F37" s="21">
        <v>0</v>
      </c>
      <c r="G37" s="21">
        <v>0</v>
      </c>
      <c r="H37" s="21">
        <v>0</v>
      </c>
      <c r="I37" s="21">
        <v>0</v>
      </c>
      <c r="J37" s="21">
        <v>0</v>
      </c>
      <c r="K37" s="21">
        <v>0</v>
      </c>
      <c r="L37" s="21">
        <v>0</v>
      </c>
      <c r="M37" s="21">
        <v>0</v>
      </c>
      <c r="N37" s="21">
        <v>0</v>
      </c>
      <c r="O37" s="21">
        <v>0</v>
      </c>
      <c r="P37" s="21">
        <v>0</v>
      </c>
      <c r="Q37" s="21">
        <v>0</v>
      </c>
      <c r="R37" s="21">
        <v>0</v>
      </c>
      <c r="S37" s="21">
        <v>0</v>
      </c>
      <c r="T37" s="21">
        <v>0</v>
      </c>
      <c r="U37" s="21">
        <v>0</v>
      </c>
      <c r="V37" s="21">
        <v>0</v>
      </c>
      <c r="W37" s="21">
        <v>0</v>
      </c>
      <c r="X37" s="21">
        <v>0</v>
      </c>
      <c r="Y37" s="21">
        <v>0</v>
      </c>
      <c r="Z37" s="21">
        <v>0</v>
      </c>
      <c r="AA37" s="21">
        <v>0</v>
      </c>
      <c r="AB37" s="21">
        <v>0</v>
      </c>
      <c r="AC37" s="21">
        <v>0</v>
      </c>
      <c r="AD37" s="21">
        <v>0</v>
      </c>
      <c r="AE37" s="21">
        <v>0</v>
      </c>
      <c r="AF37" s="21">
        <v>0</v>
      </c>
      <c r="AG37" s="21"/>
      <c r="AH37" s="21"/>
    </row>
    <row r="38" spans="1:34" s="113" customFormat="1">
      <c r="A38" s="82" t="s">
        <v>166</v>
      </c>
      <c r="B38" s="21">
        <v>0</v>
      </c>
      <c r="C38" s="21">
        <v>0</v>
      </c>
      <c r="D38" s="21">
        <v>0</v>
      </c>
      <c r="E38" s="21">
        <v>0</v>
      </c>
      <c r="F38" s="21">
        <v>0</v>
      </c>
      <c r="G38" s="21">
        <v>0</v>
      </c>
      <c r="H38" s="21">
        <v>0</v>
      </c>
      <c r="I38" s="21">
        <v>0</v>
      </c>
      <c r="J38" s="21">
        <v>0</v>
      </c>
      <c r="K38" s="21">
        <v>0</v>
      </c>
      <c r="L38" s="21">
        <v>0</v>
      </c>
      <c r="M38" s="21">
        <v>0</v>
      </c>
      <c r="N38" s="21">
        <v>0</v>
      </c>
      <c r="O38" s="21">
        <v>0</v>
      </c>
      <c r="P38" s="21">
        <v>0</v>
      </c>
      <c r="Q38" s="21">
        <v>0</v>
      </c>
      <c r="R38" s="21">
        <v>0</v>
      </c>
      <c r="S38" s="21">
        <v>0</v>
      </c>
      <c r="T38" s="21">
        <v>0</v>
      </c>
      <c r="U38" s="21">
        <v>0</v>
      </c>
      <c r="V38" s="21">
        <v>0</v>
      </c>
      <c r="W38" s="21">
        <v>0</v>
      </c>
      <c r="X38" s="21">
        <v>0</v>
      </c>
      <c r="Y38" s="21">
        <v>0</v>
      </c>
      <c r="Z38" s="21">
        <v>0</v>
      </c>
      <c r="AA38" s="21">
        <v>0</v>
      </c>
      <c r="AB38" s="21">
        <v>0</v>
      </c>
      <c r="AC38" s="21">
        <v>0</v>
      </c>
      <c r="AD38" s="21">
        <v>0</v>
      </c>
      <c r="AE38" s="21">
        <v>0</v>
      </c>
      <c r="AF38" s="21">
        <v>0</v>
      </c>
      <c r="AG38" s="21"/>
      <c r="AH38" s="21"/>
    </row>
    <row r="39" spans="1:34" s="113" customFormat="1">
      <c r="A39" s="82" t="s">
        <v>167</v>
      </c>
      <c r="B39" s="21">
        <v>0</v>
      </c>
      <c r="C39" s="21">
        <v>0</v>
      </c>
      <c r="D39" s="21">
        <v>0</v>
      </c>
      <c r="E39" s="21">
        <v>0</v>
      </c>
      <c r="F39" s="21">
        <v>0</v>
      </c>
      <c r="G39" s="21">
        <v>0</v>
      </c>
      <c r="H39" s="21">
        <v>0</v>
      </c>
      <c r="I39" s="21">
        <v>0</v>
      </c>
      <c r="J39" s="21">
        <v>0</v>
      </c>
      <c r="K39" s="21">
        <v>0</v>
      </c>
      <c r="L39" s="21">
        <v>0</v>
      </c>
      <c r="M39" s="21">
        <v>0</v>
      </c>
      <c r="N39" s="21">
        <v>0</v>
      </c>
      <c r="O39" s="21">
        <v>0</v>
      </c>
      <c r="P39" s="21">
        <v>0</v>
      </c>
      <c r="Q39" s="21">
        <v>0</v>
      </c>
      <c r="R39" s="21">
        <v>0</v>
      </c>
      <c r="S39" s="21">
        <v>0</v>
      </c>
      <c r="T39" s="21">
        <v>0</v>
      </c>
      <c r="U39" s="21">
        <v>0</v>
      </c>
      <c r="V39" s="21">
        <v>0</v>
      </c>
      <c r="W39" s="21">
        <v>0</v>
      </c>
      <c r="X39" s="21">
        <v>0</v>
      </c>
      <c r="Y39" s="21">
        <v>0</v>
      </c>
      <c r="Z39" s="21">
        <v>0</v>
      </c>
      <c r="AA39" s="21">
        <v>0</v>
      </c>
      <c r="AB39" s="21">
        <v>0</v>
      </c>
      <c r="AC39" s="21">
        <v>0</v>
      </c>
      <c r="AD39" s="21">
        <v>0</v>
      </c>
      <c r="AE39" s="21">
        <v>0</v>
      </c>
      <c r="AF39" s="21">
        <v>0</v>
      </c>
      <c r="AG39" s="21"/>
      <c r="AH39" s="21"/>
    </row>
    <row r="40" spans="1:34" s="113" customFormat="1">
      <c r="A40" s="82" t="s">
        <v>168</v>
      </c>
      <c r="B40" s="21">
        <f>(1-'Sales taxes'!$B$1)*D55</f>
        <v>9.2615958477585189E-5</v>
      </c>
      <c r="C40" s="21">
        <f>(1-'Sales taxes'!$B$1)*E55</f>
        <v>9.2615958477585189E-5</v>
      </c>
      <c r="D40" s="21">
        <f>(1-'Sales taxes'!$B$1)*F55</f>
        <v>1.08306795106685E-4</v>
      </c>
      <c r="E40" s="21">
        <f>(1-'Sales taxes'!$B$1)*G55</f>
        <v>1.128433608219629E-4</v>
      </c>
      <c r="F40" s="21">
        <f>(1-'Sales taxes'!$B$1)*H55</f>
        <v>1.3302574307306474E-4</v>
      </c>
      <c r="G40" s="21">
        <f>(1-'Sales taxes'!$B$1)*I55</f>
        <v>1.4262377321461807E-4</v>
      </c>
      <c r="H40" s="21">
        <f>(1-'Sales taxes'!$B$1)*J55</f>
        <v>1.5335296916871535E-4</v>
      </c>
      <c r="I40" s="21">
        <f>(1-'Sales taxes'!$B$1)*K55</f>
        <v>1.6620738296585212E-4</v>
      </c>
      <c r="J40" s="21">
        <f>(1-'Sales taxes'!$B$1)*L55</f>
        <v>1.691763940271985E-4</v>
      </c>
      <c r="K40" s="21">
        <f>(1-'Sales taxes'!$B$1)*M55</f>
        <v>1.7074248376234823E-4</v>
      </c>
      <c r="L40" s="21">
        <f>(1-'Sales taxes'!$B$1)*N55</f>
        <v>1.7296863712537895E-4</v>
      </c>
      <c r="M40" s="21">
        <f>(1-'Sales taxes'!$B$1)*O55</f>
        <v>1.7560401293417429E-4</v>
      </c>
      <c r="N40" s="21">
        <f>(1-'Sales taxes'!$B$1)*P55</f>
        <v>1.7762652950690518E-4</v>
      </c>
      <c r="O40" s="21">
        <f>(1-'Sales taxes'!$B$1)*Q55</f>
        <v>1.7938721800665638E-4</v>
      </c>
      <c r="P40" s="21">
        <f>(1-'Sales taxes'!$B$1)*R55</f>
        <v>1.7970264641149099E-4</v>
      </c>
      <c r="Q40" s="21">
        <f>(1-'Sales taxes'!$B$1)*S55</f>
        <v>1.8017177357172498E-4</v>
      </c>
      <c r="R40" s="21">
        <f>(1-'Sales taxes'!$B$1)*T55</f>
        <v>1.7963396526396295E-4</v>
      </c>
      <c r="S40" s="21">
        <f>(1-'Sales taxes'!$B$1)*U55</f>
        <v>1.7920091172873037E-4</v>
      </c>
      <c r="T40" s="21">
        <f>(1-'Sales taxes'!$B$1)*V55</f>
        <v>1.8230486535321651E-4</v>
      </c>
      <c r="U40" s="21">
        <f>(1-'Sales taxes'!$B$1)*W55</f>
        <v>1.8062557140327814E-4</v>
      </c>
      <c r="V40" s="21">
        <f>(1-'Sales taxes'!$B$1)*X55</f>
        <v>1.8734506229789216E-4</v>
      </c>
      <c r="W40" s="21">
        <f>(1-'Sales taxes'!$B$1)*Y55</f>
        <v>1.8969090737317373E-4</v>
      </c>
      <c r="X40" s="21">
        <f>(1-'Sales taxes'!$B$1)*Z55</f>
        <v>1.9157178461119099E-4</v>
      </c>
      <c r="Y40" s="21">
        <f>(1-'Sales taxes'!$B$1)*AA55</f>
        <v>1.9641153619577001E-4</v>
      </c>
      <c r="Z40" s="21">
        <f>(1-'Sales taxes'!$B$1)*AB55</f>
        <v>1.9970927764767485E-4</v>
      </c>
      <c r="AA40" s="21">
        <f>(1-'Sales taxes'!$B$1)*AC55</f>
        <v>2.0084393572195757E-4</v>
      </c>
      <c r="AB40" s="21">
        <f>(1-'Sales taxes'!$B$1)*AD55</f>
        <v>2.0309150044253986E-4</v>
      </c>
      <c r="AC40" s="21">
        <f>(1-'Sales taxes'!$B$1)*AE55</f>
        <v>2.0409731106218557E-4</v>
      </c>
      <c r="AD40" s="21">
        <f>(1-'Sales taxes'!$B$1)*AF55</f>
        <v>2.0367732407930122E-4</v>
      </c>
      <c r="AE40" s="21">
        <f>(1-'Sales taxes'!$B$1)*AG55</f>
        <v>2.0406115895939226E-4</v>
      </c>
      <c r="AF40" s="21">
        <f>(1-'Sales taxes'!$B$1)*AH55</f>
        <v>2.0343349357992624E-4</v>
      </c>
      <c r="AG40" s="21"/>
      <c r="AH40" s="21"/>
    </row>
    <row r="41" spans="1:34" s="113" customFormat="1">
      <c r="A41" s="33"/>
    </row>
    <row r="42" spans="1:34" s="113" customFormat="1">
      <c r="A42" s="33" t="s">
        <v>726</v>
      </c>
    </row>
    <row r="43" spans="1:34" s="113" customFormat="1">
      <c r="A43" s="82" t="s">
        <v>164</v>
      </c>
      <c r="B43" s="21">
        <f>D51-B36</f>
        <v>7.7070973131666149E-7</v>
      </c>
      <c r="C43" s="21">
        <f t="shared" ref="C43:AF43" si="4">E51-C36</f>
        <v>1.0562513694766047E-6</v>
      </c>
      <c r="D43" s="21">
        <f t="shared" si="4"/>
        <v>1.0663590380840379E-6</v>
      </c>
      <c r="E43" s="21">
        <f t="shared" si="4"/>
        <v>1.3141446261860285E-6</v>
      </c>
      <c r="F43" s="21">
        <f t="shared" si="4"/>
        <v>1.4060218157639541E-6</v>
      </c>
      <c r="G43" s="21">
        <f t="shared" si="4"/>
        <v>1.4233889957209866E-6</v>
      </c>
      <c r="H43" s="21">
        <f t="shared" si="4"/>
        <v>1.441053648167616E-6</v>
      </c>
      <c r="I43" s="21">
        <f t="shared" si="4"/>
        <v>1.4766357535649227E-6</v>
      </c>
      <c r="J43" s="21">
        <f t="shared" si="4"/>
        <v>1.4949705880190402E-6</v>
      </c>
      <c r="K43" s="21">
        <f t="shared" si="4"/>
        <v>1.5053871341418451E-6</v>
      </c>
      <c r="L43" s="21">
        <f t="shared" si="4"/>
        <v>1.5177017796415661E-6</v>
      </c>
      <c r="M43" s="21">
        <f t="shared" si="4"/>
        <v>1.540952168093871E-6</v>
      </c>
      <c r="N43" s="21">
        <f t="shared" si="4"/>
        <v>1.5519863529734248E-6</v>
      </c>
      <c r="O43" s="21">
        <f t="shared" si="4"/>
        <v>1.5653118938166574E-6</v>
      </c>
      <c r="P43" s="21">
        <f t="shared" si="4"/>
        <v>1.5667487574983606E-6</v>
      </c>
      <c r="Q43" s="21">
        <f t="shared" si="4"/>
        <v>1.5702293900750843E-6</v>
      </c>
      <c r="R43" s="21">
        <f t="shared" si="4"/>
        <v>1.5687273073389571E-6</v>
      </c>
      <c r="S43" s="21">
        <f t="shared" si="4"/>
        <v>1.5722052820858767E-6</v>
      </c>
      <c r="T43" s="21">
        <f t="shared" si="4"/>
        <v>1.5914981619600969E-6</v>
      </c>
      <c r="U43" s="21">
        <f t="shared" si="4"/>
        <v>1.5862273787861907E-6</v>
      </c>
      <c r="V43" s="21">
        <f t="shared" si="4"/>
        <v>1.6196258725511012E-6</v>
      </c>
      <c r="W43" s="21">
        <f t="shared" si="4"/>
        <v>1.6330144857400639E-6</v>
      </c>
      <c r="X43" s="21">
        <f t="shared" si="4"/>
        <v>1.6417043625083081E-6</v>
      </c>
      <c r="Y43" s="21">
        <f t="shared" si="4"/>
        <v>1.6729851792648109E-6</v>
      </c>
      <c r="Z43" s="21">
        <f t="shared" si="4"/>
        <v>1.6951458574974937E-6</v>
      </c>
      <c r="AA43" s="21">
        <f t="shared" si="4"/>
        <v>1.7048729012346207E-6</v>
      </c>
      <c r="AB43" s="21">
        <f t="shared" si="4"/>
        <v>1.7201272087217333E-6</v>
      </c>
      <c r="AC43" s="21">
        <f t="shared" si="4"/>
        <v>1.7256896376045145E-6</v>
      </c>
      <c r="AD43" s="21">
        <f t="shared" si="4"/>
        <v>1.7227505889624587E-6</v>
      </c>
      <c r="AE43" s="21">
        <f t="shared" si="4"/>
        <v>1.7261739759741741E-6</v>
      </c>
      <c r="AF43" s="21">
        <f t="shared" si="4"/>
        <v>1.7222606282605214E-6</v>
      </c>
      <c r="AG43" s="21"/>
      <c r="AH43" s="21"/>
    </row>
    <row r="44" spans="1:34" s="113" customFormat="1">
      <c r="A44" s="82" t="s">
        <v>165</v>
      </c>
      <c r="B44" s="113">
        <v>0</v>
      </c>
      <c r="C44" s="113">
        <v>0</v>
      </c>
      <c r="D44" s="113">
        <v>0</v>
      </c>
      <c r="E44" s="113">
        <v>0</v>
      </c>
      <c r="F44" s="113">
        <v>0</v>
      </c>
      <c r="G44" s="113">
        <v>0</v>
      </c>
      <c r="H44" s="113">
        <v>0</v>
      </c>
      <c r="I44" s="113">
        <v>0</v>
      </c>
      <c r="J44" s="113">
        <v>0</v>
      </c>
      <c r="K44" s="113">
        <v>0</v>
      </c>
      <c r="L44" s="113">
        <v>0</v>
      </c>
      <c r="M44" s="113">
        <v>0</v>
      </c>
      <c r="N44" s="113">
        <v>0</v>
      </c>
      <c r="O44" s="113">
        <v>0</v>
      </c>
      <c r="P44" s="113">
        <v>0</v>
      </c>
      <c r="Q44" s="113">
        <v>0</v>
      </c>
      <c r="R44" s="113">
        <v>0</v>
      </c>
      <c r="S44" s="113">
        <v>0</v>
      </c>
      <c r="T44" s="113">
        <v>0</v>
      </c>
      <c r="U44" s="113">
        <v>0</v>
      </c>
      <c r="V44" s="113">
        <v>0</v>
      </c>
      <c r="W44" s="113">
        <v>0</v>
      </c>
      <c r="X44" s="113">
        <v>0</v>
      </c>
      <c r="Y44" s="113">
        <v>0</v>
      </c>
      <c r="Z44" s="113">
        <v>0</v>
      </c>
      <c r="AA44" s="113">
        <v>0</v>
      </c>
      <c r="AB44" s="113">
        <v>0</v>
      </c>
      <c r="AC44" s="113">
        <v>0</v>
      </c>
      <c r="AD44" s="113">
        <v>0</v>
      </c>
      <c r="AE44" s="113">
        <v>0</v>
      </c>
      <c r="AF44" s="113">
        <v>0</v>
      </c>
    </row>
    <row r="45" spans="1:34" s="113" customFormat="1">
      <c r="A45" s="82" t="s">
        <v>166</v>
      </c>
      <c r="B45" s="113">
        <v>0</v>
      </c>
      <c r="C45" s="113">
        <v>0</v>
      </c>
      <c r="D45" s="113">
        <v>0</v>
      </c>
      <c r="E45" s="113">
        <v>0</v>
      </c>
      <c r="F45" s="113">
        <v>0</v>
      </c>
      <c r="G45" s="113">
        <v>0</v>
      </c>
      <c r="H45" s="113">
        <v>0</v>
      </c>
      <c r="I45" s="113">
        <v>0</v>
      </c>
      <c r="J45" s="113">
        <v>0</v>
      </c>
      <c r="K45" s="113">
        <v>0</v>
      </c>
      <c r="L45" s="113">
        <v>0</v>
      </c>
      <c r="M45" s="113">
        <v>0</v>
      </c>
      <c r="N45" s="113">
        <v>0</v>
      </c>
      <c r="O45" s="113">
        <v>0</v>
      </c>
      <c r="P45" s="113">
        <v>0</v>
      </c>
      <c r="Q45" s="113">
        <v>0</v>
      </c>
      <c r="R45" s="113">
        <v>0</v>
      </c>
      <c r="S45" s="113">
        <v>0</v>
      </c>
      <c r="T45" s="113">
        <v>0</v>
      </c>
      <c r="U45" s="113">
        <v>0</v>
      </c>
      <c r="V45" s="113">
        <v>0</v>
      </c>
      <c r="W45" s="113">
        <v>0</v>
      </c>
      <c r="X45" s="113">
        <v>0</v>
      </c>
      <c r="Y45" s="113">
        <v>0</v>
      </c>
      <c r="Z45" s="113">
        <v>0</v>
      </c>
      <c r="AA45" s="113">
        <v>0</v>
      </c>
      <c r="AB45" s="113">
        <v>0</v>
      </c>
      <c r="AC45" s="113">
        <v>0</v>
      </c>
      <c r="AD45" s="113">
        <v>0</v>
      </c>
      <c r="AE45" s="113">
        <v>0</v>
      </c>
      <c r="AF45" s="113">
        <v>0</v>
      </c>
    </row>
    <row r="46" spans="1:34" s="113" customFormat="1">
      <c r="A46" s="82" t="s">
        <v>167</v>
      </c>
      <c r="B46" s="113">
        <v>0</v>
      </c>
      <c r="C46" s="113">
        <v>0</v>
      </c>
      <c r="D46" s="113">
        <v>0</v>
      </c>
      <c r="E46" s="113">
        <v>0</v>
      </c>
      <c r="F46" s="113">
        <v>0</v>
      </c>
      <c r="G46" s="113">
        <v>0</v>
      </c>
      <c r="H46" s="113">
        <v>0</v>
      </c>
      <c r="I46" s="113">
        <v>0</v>
      </c>
      <c r="J46" s="113">
        <v>0</v>
      </c>
      <c r="K46" s="113">
        <v>0</v>
      </c>
      <c r="L46" s="113">
        <v>0</v>
      </c>
      <c r="M46" s="113">
        <v>0</v>
      </c>
      <c r="N46" s="113">
        <v>0</v>
      </c>
      <c r="O46" s="113">
        <v>0</v>
      </c>
      <c r="P46" s="113">
        <v>0</v>
      </c>
      <c r="Q46" s="113">
        <v>0</v>
      </c>
      <c r="R46" s="113">
        <v>0</v>
      </c>
      <c r="S46" s="113">
        <v>0</v>
      </c>
      <c r="T46" s="113">
        <v>0</v>
      </c>
      <c r="U46" s="113">
        <v>0</v>
      </c>
      <c r="V46" s="113">
        <v>0</v>
      </c>
      <c r="W46" s="113">
        <v>0</v>
      </c>
      <c r="X46" s="113">
        <v>0</v>
      </c>
      <c r="Y46" s="113">
        <v>0</v>
      </c>
      <c r="Z46" s="113">
        <v>0</v>
      </c>
      <c r="AA46" s="113">
        <v>0</v>
      </c>
      <c r="AB46" s="113">
        <v>0</v>
      </c>
      <c r="AC46" s="113">
        <v>0</v>
      </c>
      <c r="AD46" s="113">
        <v>0</v>
      </c>
      <c r="AE46" s="113">
        <v>0</v>
      </c>
      <c r="AF46" s="113">
        <v>0</v>
      </c>
    </row>
    <row r="47" spans="1:34" s="113" customFormat="1">
      <c r="A47" s="82" t="s">
        <v>168</v>
      </c>
      <c r="B47" s="21">
        <f>D55-B40</f>
        <v>8.5948192441278785E-6</v>
      </c>
      <c r="C47" s="21">
        <f t="shared" ref="C47:AF47" si="5">E55-C40</f>
        <v>8.5948192441278785E-6</v>
      </c>
      <c r="D47" s="21">
        <f t="shared" si="5"/>
        <v>1.005093875995508E-5</v>
      </c>
      <c r="E47" s="21">
        <f t="shared" si="5"/>
        <v>1.0471934913888496E-5</v>
      </c>
      <c r="F47" s="21">
        <f t="shared" si="5"/>
        <v>1.2344872690655081E-5</v>
      </c>
      <c r="G47" s="21">
        <f t="shared" si="5"/>
        <v>1.323557592930165E-5</v>
      </c>
      <c r="H47" s="21">
        <f t="shared" si="5"/>
        <v>1.4231252067368219E-5</v>
      </c>
      <c r="I47" s="21">
        <f t="shared" si="5"/>
        <v>1.5424149758993936E-5</v>
      </c>
      <c r="J47" s="21">
        <f t="shared" si="5"/>
        <v>1.569967585434028E-5</v>
      </c>
      <c r="K47" s="21">
        <f t="shared" si="5"/>
        <v>1.5845009967542316E-5</v>
      </c>
      <c r="L47" s="21">
        <f t="shared" si="5"/>
        <v>1.6051598400890823E-5</v>
      </c>
      <c r="M47" s="21">
        <f t="shared" si="5"/>
        <v>1.6296162934792673E-5</v>
      </c>
      <c r="N47" s="21">
        <f t="shared" si="5"/>
        <v>1.6483853745821568E-5</v>
      </c>
      <c r="O47" s="21">
        <f t="shared" si="5"/>
        <v>1.6647246746869415E-5</v>
      </c>
      <c r="P47" s="21">
        <f t="shared" si="5"/>
        <v>1.6676518701385474E-5</v>
      </c>
      <c r="Q47" s="21">
        <f t="shared" si="5"/>
        <v>1.6720053997148755E-5</v>
      </c>
      <c r="R47" s="21">
        <f t="shared" si="5"/>
        <v>1.6670145047663294E-5</v>
      </c>
      <c r="S47" s="21">
        <f t="shared" si="5"/>
        <v>1.6629957407006803E-5</v>
      </c>
      <c r="T47" s="21">
        <f t="shared" si="5"/>
        <v>1.6918006257152528E-5</v>
      </c>
      <c r="U47" s="21">
        <f t="shared" si="5"/>
        <v>1.6762166721561361E-5</v>
      </c>
      <c r="V47" s="21">
        <f t="shared" si="5"/>
        <v>1.7385739706186356E-5</v>
      </c>
      <c r="W47" s="21">
        <f t="shared" si="5"/>
        <v>1.7603435605772062E-5</v>
      </c>
      <c r="X47" s="21">
        <f t="shared" si="5"/>
        <v>1.7777982197384205E-5</v>
      </c>
      <c r="Y47" s="21">
        <f t="shared" si="5"/>
        <v>1.8227114190830077E-5</v>
      </c>
      <c r="Z47" s="21">
        <f t="shared" si="5"/>
        <v>1.8533146673340649E-5</v>
      </c>
      <c r="AA47" s="21">
        <f t="shared" si="5"/>
        <v>1.8638443656848177E-5</v>
      </c>
      <c r="AB47" s="21">
        <f t="shared" si="5"/>
        <v>1.8847019077654933E-5</v>
      </c>
      <c r="AC47" s="21">
        <f t="shared" si="5"/>
        <v>1.8940358936268733E-5</v>
      </c>
      <c r="AD47" s="21">
        <f t="shared" si="5"/>
        <v>1.8901383879894927E-5</v>
      </c>
      <c r="AE47" s="21">
        <f t="shared" si="5"/>
        <v>1.8937003998373476E-5</v>
      </c>
      <c r="AF47" s="21">
        <f t="shared" si="5"/>
        <v>1.8878756256073069E-5</v>
      </c>
      <c r="AG47" s="21"/>
      <c r="AH47" s="21"/>
    </row>
    <row r="48" spans="1:34" s="113" customFormat="1">
      <c r="A48" s="33"/>
    </row>
    <row r="49" spans="1:34">
      <c r="B49" s="32">
        <v>2019</v>
      </c>
      <c r="C49" s="32">
        <v>2019</v>
      </c>
      <c r="D49">
        <v>2020</v>
      </c>
      <c r="E49">
        <f>D49+1</f>
        <v>2021</v>
      </c>
      <c r="F49" s="32">
        <f t="shared" ref="F49:AH49" si="6">E49+1</f>
        <v>2022</v>
      </c>
      <c r="G49" s="32">
        <f t="shared" si="6"/>
        <v>2023</v>
      </c>
      <c r="H49" s="32">
        <f t="shared" si="6"/>
        <v>2024</v>
      </c>
      <c r="I49" s="32">
        <f t="shared" si="6"/>
        <v>2025</v>
      </c>
      <c r="J49" s="32">
        <f t="shared" si="6"/>
        <v>2026</v>
      </c>
      <c r="K49" s="32">
        <f t="shared" si="6"/>
        <v>2027</v>
      </c>
      <c r="L49" s="32">
        <f t="shared" si="6"/>
        <v>2028</v>
      </c>
      <c r="M49" s="32">
        <f t="shared" si="6"/>
        <v>2029</v>
      </c>
      <c r="N49" s="32">
        <f t="shared" si="6"/>
        <v>2030</v>
      </c>
      <c r="O49" s="32">
        <f t="shared" si="6"/>
        <v>2031</v>
      </c>
      <c r="P49" s="32">
        <f t="shared" si="6"/>
        <v>2032</v>
      </c>
      <c r="Q49" s="32">
        <f t="shared" si="6"/>
        <v>2033</v>
      </c>
      <c r="R49" s="32">
        <f t="shared" si="6"/>
        <v>2034</v>
      </c>
      <c r="S49" s="32">
        <f t="shared" si="6"/>
        <v>2035</v>
      </c>
      <c r="T49" s="32">
        <f t="shared" si="6"/>
        <v>2036</v>
      </c>
      <c r="U49" s="32">
        <f t="shared" si="6"/>
        <v>2037</v>
      </c>
      <c r="V49" s="32">
        <f t="shared" si="6"/>
        <v>2038</v>
      </c>
      <c r="W49" s="32">
        <f t="shared" si="6"/>
        <v>2039</v>
      </c>
      <c r="X49" s="32">
        <f t="shared" si="6"/>
        <v>2040</v>
      </c>
      <c r="Y49" s="32">
        <f t="shared" si="6"/>
        <v>2041</v>
      </c>
      <c r="Z49" s="32">
        <f t="shared" si="6"/>
        <v>2042</v>
      </c>
      <c r="AA49" s="32">
        <f t="shared" si="6"/>
        <v>2043</v>
      </c>
      <c r="AB49" s="32">
        <f t="shared" si="6"/>
        <v>2044</v>
      </c>
      <c r="AC49" s="32">
        <f t="shared" si="6"/>
        <v>2045</v>
      </c>
      <c r="AD49" s="32">
        <f t="shared" si="6"/>
        <v>2046</v>
      </c>
      <c r="AE49" s="32">
        <f t="shared" si="6"/>
        <v>2047</v>
      </c>
      <c r="AF49" s="32">
        <f t="shared" si="6"/>
        <v>2048</v>
      </c>
      <c r="AG49" s="32">
        <f t="shared" si="6"/>
        <v>2049</v>
      </c>
      <c r="AH49" s="32">
        <f t="shared" si="6"/>
        <v>2050</v>
      </c>
    </row>
    <row r="50" spans="1:34">
      <c r="A50" s="33" t="str">
        <f>AggregateSEDS!H2</f>
        <v>Heavy fuel oil</v>
      </c>
      <c r="B50" s="32" t="s">
        <v>671</v>
      </c>
      <c r="C50" s="32" t="s">
        <v>376</v>
      </c>
    </row>
    <row r="51" spans="1:34">
      <c r="A51" s="32" t="s">
        <v>132</v>
      </c>
      <c r="B51" s="21">
        <f>AggregateSEDS!H3/1000000</f>
        <v>1.4060000000000001E-5</v>
      </c>
      <c r="C51" s="21">
        <f>B51*About!$G$176</f>
        <v>1.2626650707784258E-5</v>
      </c>
      <c r="D51" s="21">
        <f>C51*(1+'EIA Short Run'!AD33)</f>
        <v>9.0757151591693607E-6</v>
      </c>
      <c r="E51" s="21">
        <f>D51*(1+'EIA Short Run'!AE33)</f>
        <v>1.2438193234533745E-5</v>
      </c>
      <c r="F51" s="21">
        <f>E51*(1+'EIA Short Run'!AF33)</f>
        <v>1.2557219007113016E-5</v>
      </c>
      <c r="G51">
        <f>F51*(1+'AEO 2022 Pacific region Table 3'!H28)</f>
        <v>1.5475089804357374E-5</v>
      </c>
      <c r="H51" s="32">
        <f>G51*(1+'AEO 2022 Pacific region Table 3'!I28)</f>
        <v>1.6557016200706E-5</v>
      </c>
      <c r="I51" s="32">
        <f>H51*(1+'AEO 2022 Pacific region Table 3'!J28)</f>
        <v>1.6761528447020573E-5</v>
      </c>
      <c r="J51" s="32">
        <f>I51*(1+'AEO 2022 Pacific region Table 3'!K28)</f>
        <v>1.6969543666599349E-5</v>
      </c>
      <c r="K51" s="32">
        <f>J51*(1+'AEO 2022 Pacific region Table 3'!L28)</f>
        <v>1.7388551031146036E-5</v>
      </c>
      <c r="L51" s="32">
        <f>K51*(1+'AEO 2022 Pacific region Table 3'!M28)</f>
        <v>1.760445817262176E-5</v>
      </c>
      <c r="M51" s="32">
        <f>L51*(1+'AEO 2022 Pacific region Table 3'!N28)</f>
        <v>1.7727121221642077E-5</v>
      </c>
      <c r="N51" s="32">
        <f>M51*(1+'AEO 2022 Pacific region Table 3'!O28)</f>
        <v>1.7872135888383958E-5</v>
      </c>
      <c r="O51" s="32">
        <f>N51*(1+'AEO 2022 Pacific region Table 3'!P28)</f>
        <v>1.8145927556451612E-5</v>
      </c>
      <c r="P51" s="32">
        <f>O51*(1+'AEO 2022 Pacific region Table 3'!Q28)</f>
        <v>1.8275863789135956E-5</v>
      </c>
      <c r="Q51" s="32">
        <f>P51*(1+'AEO 2022 Pacific region Table 3'!R28)</f>
        <v>1.8432782546121719E-5</v>
      </c>
      <c r="R51" s="32">
        <f>Q51*(1+'AEO 2022 Pacific region Table 3'!S28)</f>
        <v>1.8449702749627441E-5</v>
      </c>
      <c r="S51" s="32">
        <f>R51*(1+'AEO 2022 Pacific region Table 3'!T28)</f>
        <v>1.8490689944360389E-5</v>
      </c>
      <c r="T51" s="32">
        <f>S51*(1+'AEO 2022 Pacific region Table 3'!U28)</f>
        <v>1.8473001735032481E-5</v>
      </c>
      <c r="U51" s="32">
        <f>T51*(1+'AEO 2022 Pacific region Table 3'!V28)</f>
        <v>1.851395763172252E-5</v>
      </c>
      <c r="V51" s="32">
        <f>U51*(1+'AEO 2022 Pacific region Table 3'!W28)</f>
        <v>1.8741146513896568E-5</v>
      </c>
      <c r="W51" s="32">
        <f>V51*(1+'AEO 2022 Pacific region Table 3'!X28)</f>
        <v>1.8679078883492574E-5</v>
      </c>
      <c r="X51" s="32">
        <f>W51*(1+'AEO 2022 Pacific region Table 3'!Y28)</f>
        <v>1.9072372498246593E-5</v>
      </c>
      <c r="Y51" s="32">
        <f>X51*(1+'AEO 2022 Pacific region Table 3'!Z28)</f>
        <v>1.9230033981866034E-5</v>
      </c>
      <c r="Z51" s="32">
        <f>Y51*(1+'AEO 2022 Pacific region Table 3'!AA28)</f>
        <v>1.9332364136932515E-5</v>
      </c>
      <c r="AA51" s="32">
        <f>Z51*(1+'AEO 2022 Pacific region Table 3'!AB28)</f>
        <v>1.9700720434112219E-5</v>
      </c>
      <c r="AB51" s="32">
        <f>AA51*(1+'AEO 2022 Pacific region Table 3'!AC28)</f>
        <v>1.9961679904586601E-5</v>
      </c>
      <c r="AC51" s="32">
        <f>AB51*(1+'AEO 2022 Pacific region Table 3'!AD28)</f>
        <v>2.007622351901343E-5</v>
      </c>
      <c r="AD51" s="32">
        <f>AC51*(1+'AEO 2022 Pacific region Table 3'!AE28)</f>
        <v>2.0255855024985104E-5</v>
      </c>
      <c r="AE51" s="32">
        <f>AD51*(1+'AEO 2022 Pacific region Table 3'!AF28)</f>
        <v>2.0321357013713078E-5</v>
      </c>
      <c r="AF51" s="32">
        <f>AE51*(1+'AEO 2022 Pacific region Table 3'!AG28)</f>
        <v>2.0286747397108563E-5</v>
      </c>
      <c r="AG51" s="32">
        <f>AF51*(1+'AEO 2022 Pacific region Table 3'!AH28)</f>
        <v>2.0327060480148061E-5</v>
      </c>
      <c r="AH51" s="32">
        <f>AG51*(1+'AEO 2022 Pacific region Table 3'!AI28)</f>
        <v>2.0280977723275116E-5</v>
      </c>
    </row>
    <row r="52" spans="1:34">
      <c r="A52" s="32" t="s">
        <v>509</v>
      </c>
      <c r="B52" t="str">
        <f>AggregateSEDS!H4</f>
        <v>NA</v>
      </c>
      <c r="D52" s="2"/>
    </row>
    <row r="53" spans="1:34">
      <c r="A53" s="32" t="s">
        <v>593</v>
      </c>
      <c r="B53" t="str">
        <f>AggregateSEDS!H5</f>
        <v>NA</v>
      </c>
      <c r="D53" s="2"/>
    </row>
    <row r="54" spans="1:34">
      <c r="A54" s="32" t="s">
        <v>306</v>
      </c>
      <c r="B54" t="str">
        <f>AggregateSEDS!H6</f>
        <v>NA</v>
      </c>
      <c r="D54" s="2"/>
    </row>
    <row r="55" spans="1:34">
      <c r="A55" s="32" t="s">
        <v>308</v>
      </c>
      <c r="B55" s="21">
        <f>AggregateSEDS!H7/100000</f>
        <v>1.127E-4</v>
      </c>
      <c r="C55" s="21">
        <f>B55*About!$G$176</f>
        <v>1.0121077772171307E-4</v>
      </c>
      <c r="D55" s="21">
        <f>C55*(1+'AEO 2022 Pacific region Table 3'!E16)</f>
        <v>1.0121077772171307E-4</v>
      </c>
      <c r="E55" s="21">
        <f>D55*(1+'AEO 2022 Pacific region Table 3'!F16)</f>
        <v>1.0121077772171307E-4</v>
      </c>
      <c r="F55" s="21">
        <f>E55*(1+'AEO 2022 Pacific region Table 3'!G16)</f>
        <v>1.1835773386664008E-4</v>
      </c>
      <c r="G55" s="21">
        <f>F55*(1+'AEO 2022 Pacific region Table 3'!H16)</f>
        <v>1.233152957358514E-4</v>
      </c>
      <c r="H55" s="21">
        <f>G55*(1+'AEO 2022 Pacific region Table 3'!I16)</f>
        <v>1.4537061576371982E-4</v>
      </c>
      <c r="I55" s="21">
        <f>H55*(1+'AEO 2022 Pacific region Table 3'!J16)</f>
        <v>1.5585934914391972E-4</v>
      </c>
      <c r="J55" s="21">
        <f>I55*(1+'AEO 2022 Pacific region Table 3'!K16)</f>
        <v>1.6758422123608357E-4</v>
      </c>
      <c r="K55" s="21">
        <f>J55*(1+'AEO 2022 Pacific region Table 3'!L16)</f>
        <v>1.8163153272484606E-4</v>
      </c>
      <c r="L55" s="21">
        <f>K55*(1+'AEO 2022 Pacific region Table 3'!M16)</f>
        <v>1.8487606988153878E-4</v>
      </c>
      <c r="M55" s="21">
        <f>L55*(1+'AEO 2022 Pacific region Table 3'!N16)</f>
        <v>1.8658749372989054E-4</v>
      </c>
      <c r="N55" s="21">
        <f>M55*(1+'AEO 2022 Pacific region Table 3'!O16)</f>
        <v>1.8902023552626977E-4</v>
      </c>
      <c r="O55" s="21">
        <f>N55*(1+'AEO 2022 Pacific region Table 3'!P16)</f>
        <v>1.9190017586896696E-4</v>
      </c>
      <c r="P55" s="21">
        <f>O55*(1+'AEO 2022 Pacific region Table 3'!Q16)</f>
        <v>1.9411038325272675E-4</v>
      </c>
      <c r="Q55" s="21">
        <f>P55*(1+'AEO 2022 Pacific region Table 3'!R16)</f>
        <v>1.960344647535258E-4</v>
      </c>
      <c r="R55" s="21">
        <f>Q55*(1+'AEO 2022 Pacific region Table 3'!S16)</f>
        <v>1.9637916511287647E-4</v>
      </c>
      <c r="S55" s="21">
        <f>R55*(1+'AEO 2022 Pacific region Table 3'!T16)</f>
        <v>1.9689182756887374E-4</v>
      </c>
      <c r="T55" s="21">
        <f>S55*(1+'AEO 2022 Pacific region Table 3'!U16)</f>
        <v>1.9630411031162624E-4</v>
      </c>
      <c r="U55" s="21">
        <f>T55*(1+'AEO 2022 Pacific region Table 3'!V16)</f>
        <v>1.9583086913573718E-4</v>
      </c>
      <c r="V55" s="21">
        <f>U55*(1+'AEO 2022 Pacific region Table 3'!W16)</f>
        <v>1.9922287161036904E-4</v>
      </c>
      <c r="W55" s="21">
        <f>V55*(1+'AEO 2022 Pacific region Table 3'!X16)</f>
        <v>1.973877381248395E-4</v>
      </c>
      <c r="X55" s="21">
        <f>W55*(1+'AEO 2022 Pacific region Table 3'!Y16)</f>
        <v>2.0473080200407852E-4</v>
      </c>
      <c r="Y55" s="21">
        <f>X55*(1+'AEO 2022 Pacific region Table 3'!Z16)</f>
        <v>2.0729434297894579E-4</v>
      </c>
      <c r="Z55" s="21">
        <f>Y55*(1+'AEO 2022 Pacific region Table 3'!AA16)</f>
        <v>2.0934976680857519E-4</v>
      </c>
      <c r="AA55" s="21">
        <f>Z55*(1+'AEO 2022 Pacific region Table 3'!AB16)</f>
        <v>2.1463865038660009E-4</v>
      </c>
      <c r="AB55" s="21">
        <f>AA55*(1+'AEO 2022 Pacific region Table 3'!AC16)</f>
        <v>2.182424243210155E-4</v>
      </c>
      <c r="AC55" s="21">
        <f>AB55*(1+'AEO 2022 Pacific region Table 3'!AD16)</f>
        <v>2.1948237937880575E-4</v>
      </c>
      <c r="AD55" s="21">
        <f>AC55*(1+'AEO 2022 Pacific region Table 3'!AE16)</f>
        <v>2.219385195201948E-4</v>
      </c>
      <c r="AE55" s="21">
        <f>AD55*(1+'AEO 2022 Pacific region Table 3'!AF16)</f>
        <v>2.230376699984543E-4</v>
      </c>
      <c r="AF55" s="21">
        <f>AE55*(1+'AEO 2022 Pacific region Table 3'!AG16)</f>
        <v>2.2257870795919615E-4</v>
      </c>
      <c r="AG55" s="21">
        <f>AF55*(1+'AEO 2022 Pacific region Table 3'!AH16)</f>
        <v>2.2299816295776574E-4</v>
      </c>
      <c r="AH55" s="21">
        <f>AG55*(1+'AEO 2022 Pacific region Table 3'!AI16)</f>
        <v>2.2231224983599931E-4</v>
      </c>
    </row>
    <row r="56" spans="1:34" s="113" customFormat="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row>
    <row r="57" spans="1:34">
      <c r="A57" s="37" t="s">
        <v>96</v>
      </c>
      <c r="B57" s="118"/>
      <c r="C57" s="118"/>
      <c r="D57" s="38"/>
      <c r="E57" s="38"/>
    </row>
    <row r="58" spans="1:34">
      <c r="A58" s="33"/>
      <c r="B58" s="32">
        <f>D66</f>
        <v>2020</v>
      </c>
      <c r="C58" s="113">
        <f t="shared" ref="C58:AF58" si="7">E66</f>
        <v>2021</v>
      </c>
      <c r="D58" s="113">
        <f t="shared" si="7"/>
        <v>2022</v>
      </c>
      <c r="E58" s="113">
        <f t="shared" si="7"/>
        <v>2023</v>
      </c>
      <c r="F58" s="113">
        <f t="shared" si="7"/>
        <v>2024</v>
      </c>
      <c r="G58" s="113">
        <f t="shared" si="7"/>
        <v>2025</v>
      </c>
      <c r="H58" s="113">
        <f t="shared" si="7"/>
        <v>2026</v>
      </c>
      <c r="I58" s="113">
        <f t="shared" si="7"/>
        <v>2027</v>
      </c>
      <c r="J58" s="113">
        <f t="shared" si="7"/>
        <v>2028</v>
      </c>
      <c r="K58" s="113">
        <f t="shared" si="7"/>
        <v>2029</v>
      </c>
      <c r="L58" s="113">
        <f t="shared" si="7"/>
        <v>2030</v>
      </c>
      <c r="M58" s="113">
        <f t="shared" si="7"/>
        <v>2031</v>
      </c>
      <c r="N58" s="113">
        <f t="shared" si="7"/>
        <v>2032</v>
      </c>
      <c r="O58" s="113">
        <f t="shared" si="7"/>
        <v>2033</v>
      </c>
      <c r="P58" s="113">
        <f t="shared" si="7"/>
        <v>2034</v>
      </c>
      <c r="Q58" s="113">
        <f t="shared" si="7"/>
        <v>2035</v>
      </c>
      <c r="R58" s="113">
        <f t="shared" si="7"/>
        <v>2036</v>
      </c>
      <c r="S58" s="113">
        <f t="shared" si="7"/>
        <v>2037</v>
      </c>
      <c r="T58" s="113">
        <f t="shared" si="7"/>
        <v>2038</v>
      </c>
      <c r="U58" s="113">
        <f t="shared" si="7"/>
        <v>2039</v>
      </c>
      <c r="V58" s="113">
        <f t="shared" si="7"/>
        <v>2040</v>
      </c>
      <c r="W58" s="113">
        <f t="shared" si="7"/>
        <v>2041</v>
      </c>
      <c r="X58" s="113">
        <f t="shared" si="7"/>
        <v>2042</v>
      </c>
      <c r="Y58" s="113">
        <f t="shared" si="7"/>
        <v>2043</v>
      </c>
      <c r="Z58" s="113">
        <f t="shared" si="7"/>
        <v>2044</v>
      </c>
      <c r="AA58" s="113">
        <f t="shared" si="7"/>
        <v>2045</v>
      </c>
      <c r="AB58" s="113">
        <f t="shared" si="7"/>
        <v>2046</v>
      </c>
      <c r="AC58" s="113">
        <f t="shared" si="7"/>
        <v>2047</v>
      </c>
      <c r="AD58" s="113">
        <f t="shared" si="7"/>
        <v>2048</v>
      </c>
      <c r="AE58" s="113">
        <f t="shared" si="7"/>
        <v>2049</v>
      </c>
      <c r="AF58" s="113">
        <f t="shared" si="7"/>
        <v>2050</v>
      </c>
      <c r="AG58" s="113"/>
      <c r="AH58" s="113"/>
    </row>
    <row r="59" spans="1:34" s="113" customFormat="1">
      <c r="A59" s="33" t="s">
        <v>742</v>
      </c>
      <c r="B59" s="113">
        <v>0</v>
      </c>
      <c r="C59" s="113">
        <v>0</v>
      </c>
      <c r="D59" s="113">
        <v>0</v>
      </c>
      <c r="E59" s="113">
        <v>0</v>
      </c>
      <c r="F59" s="113">
        <v>0</v>
      </c>
      <c r="G59" s="113">
        <v>0</v>
      </c>
      <c r="H59" s="113">
        <v>0</v>
      </c>
      <c r="I59" s="113">
        <v>0</v>
      </c>
      <c r="J59" s="113">
        <v>0</v>
      </c>
      <c r="K59" s="113">
        <v>0</v>
      </c>
      <c r="L59" s="113">
        <v>0</v>
      </c>
      <c r="M59" s="113">
        <v>0</v>
      </c>
      <c r="N59" s="113">
        <v>0</v>
      </c>
      <c r="O59" s="113">
        <v>0</v>
      </c>
      <c r="P59" s="113">
        <v>0</v>
      </c>
      <c r="Q59" s="113">
        <v>0</v>
      </c>
      <c r="R59" s="113">
        <v>0</v>
      </c>
      <c r="S59" s="113">
        <v>0</v>
      </c>
      <c r="T59" s="113">
        <v>0</v>
      </c>
      <c r="U59" s="113">
        <v>0</v>
      </c>
      <c r="V59" s="113">
        <v>0</v>
      </c>
      <c r="W59" s="113">
        <v>0</v>
      </c>
      <c r="X59" s="113">
        <v>0</v>
      </c>
      <c r="Y59" s="113">
        <v>0</v>
      </c>
      <c r="Z59" s="113">
        <v>0</v>
      </c>
      <c r="AA59" s="113">
        <v>0</v>
      </c>
      <c r="AB59" s="113">
        <v>0</v>
      </c>
      <c r="AC59" s="113">
        <v>0</v>
      </c>
      <c r="AD59" s="113">
        <v>0</v>
      </c>
      <c r="AE59" s="113">
        <v>0</v>
      </c>
      <c r="AF59" s="113">
        <v>0</v>
      </c>
    </row>
    <row r="60" spans="1:34">
      <c r="A60" s="33" t="s">
        <v>740</v>
      </c>
      <c r="B60">
        <f>(1-'Sales taxes'!$B$1)*D68</f>
        <v>2.6635824687659593E-6</v>
      </c>
      <c r="C60" s="113">
        <f>(1-'Sales taxes'!$B$1)*E68</f>
        <v>2.6080911673333353E-6</v>
      </c>
      <c r="D60" s="113">
        <f>(1-'Sales taxes'!$B$1)*F68</f>
        <v>2.5664726912588673E-6</v>
      </c>
      <c r="E60" s="113">
        <f>(1-'Sales taxes'!$B$1)*G68</f>
        <v>2.5316843526587657E-6</v>
      </c>
      <c r="F60" s="113">
        <f>(1-'Sales taxes'!$B$1)*H68</f>
        <v>2.5102544566366565E-6</v>
      </c>
      <c r="G60" s="113">
        <f>(1-'Sales taxes'!$B$1)*I68</f>
        <v>2.5091329362894755E-6</v>
      </c>
      <c r="H60" s="113">
        <f>(1-'Sales taxes'!$B$1)*J68</f>
        <v>2.4473058524115071E-6</v>
      </c>
      <c r="I60" s="113">
        <f>(1-'Sales taxes'!$B$1)*K68</f>
        <v>2.4068600112814098E-6</v>
      </c>
      <c r="J60" s="113">
        <f>(1-'Sales taxes'!$B$1)*L68</f>
        <v>2.4050910281309065E-6</v>
      </c>
      <c r="K60" s="113">
        <f>(1-'Sales taxes'!$B$1)*M68</f>
        <v>2.3923750582768278E-6</v>
      </c>
      <c r="L60" s="113">
        <f>(1-'Sales taxes'!$B$1)*N68</f>
        <v>2.4013833991299921E-6</v>
      </c>
      <c r="M60" s="113">
        <f>(1-'Sales taxes'!$B$1)*O68</f>
        <v>2.3977892944356333E-6</v>
      </c>
      <c r="N60" s="113">
        <f>(1-'Sales taxes'!$B$1)*P68</f>
        <v>2.3962361322195707E-6</v>
      </c>
      <c r="O60" s="113">
        <f>(1-'Sales taxes'!$B$1)*Q68</f>
        <v>2.3823050780293917E-6</v>
      </c>
      <c r="P60" s="113">
        <f>(1-'Sales taxes'!$B$1)*R68</f>
        <v>2.3779287783876659E-6</v>
      </c>
      <c r="Q60" s="113">
        <f>(1-'Sales taxes'!$B$1)*S68</f>
        <v>2.3693046736489977E-6</v>
      </c>
      <c r="R60" s="113">
        <f>(1-'Sales taxes'!$B$1)*T68</f>
        <v>2.3522885028641815E-6</v>
      </c>
      <c r="S60" s="113">
        <f>(1-'Sales taxes'!$B$1)*U68</f>
        <v>2.3332887755142729E-6</v>
      </c>
      <c r="T60" s="113">
        <f>(1-'Sales taxes'!$B$1)*V68</f>
        <v>2.3293166723046797E-6</v>
      </c>
      <c r="U60" s="113">
        <f>(1-'Sales taxes'!$B$1)*W68</f>
        <v>2.3284758439242569E-6</v>
      </c>
      <c r="V60" s="113">
        <f>(1-'Sales taxes'!$B$1)*X68</f>
        <v>2.3251736588753265E-6</v>
      </c>
      <c r="W60" s="113">
        <f>(1-'Sales taxes'!$B$1)*Y68</f>
        <v>2.3313875552594298E-6</v>
      </c>
      <c r="X60" s="113">
        <f>(1-'Sales taxes'!$B$1)*Z68</f>
        <v>2.3261953776343268E-6</v>
      </c>
      <c r="Y60" s="113">
        <f>(1-'Sales taxes'!$B$1)*AA68</f>
        <v>2.3128406776158914E-6</v>
      </c>
      <c r="Z60" s="113">
        <f>(1-'Sales taxes'!$B$1)*AB68</f>
        <v>2.2987412082456574E-6</v>
      </c>
      <c r="AA60" s="113">
        <f>(1-'Sales taxes'!$B$1)*AC68</f>
        <v>2.2921455707867627E-6</v>
      </c>
      <c r="AB60" s="113">
        <f>(1-'Sales taxes'!$B$1)*AD68</f>
        <v>2.2883119422807703E-6</v>
      </c>
      <c r="AC60" s="113">
        <f>(1-'Sales taxes'!$B$1)*AE68</f>
        <v>2.2847814610988764E-6</v>
      </c>
      <c r="AD60" s="113">
        <f>(1-'Sales taxes'!$B$1)*AF68</f>
        <v>2.2779188543915984E-6</v>
      </c>
      <c r="AE60" s="113">
        <f>(1-'Sales taxes'!$B$1)*AG68</f>
        <v>2.2671802035033505E-6</v>
      </c>
      <c r="AF60" s="113">
        <f>(1-'Sales taxes'!$B$1)*AH68</f>
        <v>2.268828177228185E-6</v>
      </c>
      <c r="AG60" s="113"/>
      <c r="AH60" s="113"/>
    </row>
    <row r="61" spans="1:34">
      <c r="AG61" s="113"/>
      <c r="AH61" s="113"/>
    </row>
    <row r="62" spans="1:34" s="113" customFormat="1">
      <c r="A62" s="33" t="s">
        <v>743</v>
      </c>
    </row>
    <row r="63" spans="1:34" s="113" customFormat="1">
      <c r="A63" s="33" t="s">
        <v>741</v>
      </c>
      <c r="B63" s="113">
        <v>0</v>
      </c>
      <c r="C63" s="113">
        <v>0</v>
      </c>
      <c r="D63" s="113">
        <v>0</v>
      </c>
      <c r="E63" s="113">
        <v>0</v>
      </c>
      <c r="F63" s="113">
        <v>0</v>
      </c>
      <c r="G63" s="113">
        <v>0</v>
      </c>
      <c r="H63" s="113">
        <v>0</v>
      </c>
      <c r="I63" s="113">
        <v>0</v>
      </c>
      <c r="J63" s="113">
        <v>0</v>
      </c>
      <c r="K63" s="113">
        <v>0</v>
      </c>
      <c r="L63" s="113">
        <v>0</v>
      </c>
      <c r="M63" s="113">
        <v>0</v>
      </c>
      <c r="N63" s="113">
        <v>0</v>
      </c>
      <c r="O63" s="113">
        <v>0</v>
      </c>
      <c r="P63" s="113">
        <v>0</v>
      </c>
      <c r="Q63" s="113">
        <v>0</v>
      </c>
      <c r="R63" s="113">
        <v>0</v>
      </c>
      <c r="S63" s="113">
        <v>0</v>
      </c>
      <c r="T63" s="113">
        <v>0</v>
      </c>
      <c r="U63" s="113">
        <v>0</v>
      </c>
      <c r="V63" s="113">
        <v>0</v>
      </c>
      <c r="W63" s="113">
        <v>0</v>
      </c>
      <c r="X63" s="113">
        <v>0</v>
      </c>
      <c r="Y63" s="113">
        <v>0</v>
      </c>
      <c r="Z63" s="113">
        <v>0</v>
      </c>
      <c r="AA63" s="113">
        <v>0</v>
      </c>
      <c r="AB63" s="113">
        <v>0</v>
      </c>
      <c r="AC63" s="113">
        <v>0</v>
      </c>
      <c r="AD63" s="113">
        <v>0</v>
      </c>
      <c r="AE63" s="113">
        <v>0</v>
      </c>
      <c r="AF63" s="113">
        <v>0</v>
      </c>
    </row>
    <row r="64" spans="1:34" s="113" customFormat="1">
      <c r="A64" s="33" t="s">
        <v>740</v>
      </c>
      <c r="B64">
        <f t="shared" ref="B64:AF64" si="8">D68-B60</f>
        <v>2.4718212970188984E-7</v>
      </c>
      <c r="C64" s="113">
        <f t="shared" si="8"/>
        <v>2.4203250199976699E-7</v>
      </c>
      <c r="D64" s="113">
        <f t="shared" si="8"/>
        <v>2.3817028122317516E-7</v>
      </c>
      <c r="E64" s="113">
        <f t="shared" si="8"/>
        <v>2.3494190150345597E-7</v>
      </c>
      <c r="F64" s="113">
        <f t="shared" si="8"/>
        <v>2.3295319366348818E-7</v>
      </c>
      <c r="G64" s="113">
        <f t="shared" si="8"/>
        <v>2.3284911586932526E-7</v>
      </c>
      <c r="H64" s="113">
        <f t="shared" si="8"/>
        <v>2.2711152356819636E-7</v>
      </c>
      <c r="I64" s="113">
        <f t="shared" si="8"/>
        <v>2.2335812405256092E-7</v>
      </c>
      <c r="J64" s="113">
        <f t="shared" si="8"/>
        <v>2.2319396130270189E-7</v>
      </c>
      <c r="K64" s="113">
        <f t="shared" si="8"/>
        <v>2.2201391129613618E-7</v>
      </c>
      <c r="L64" s="113">
        <f t="shared" si="8"/>
        <v>2.2284989099763851E-7</v>
      </c>
      <c r="M64" s="113">
        <f t="shared" si="8"/>
        <v>2.2251635581968153E-7</v>
      </c>
      <c r="N64" s="113">
        <f t="shared" si="8"/>
        <v>2.2237222138838801E-7</v>
      </c>
      <c r="O64" s="113">
        <f t="shared" si="8"/>
        <v>2.2107941079059297E-7</v>
      </c>
      <c r="P64" s="113">
        <f t="shared" si="8"/>
        <v>2.2067328742916538E-7</v>
      </c>
      <c r="Q64" s="113">
        <f t="shared" si="8"/>
        <v>2.19872965080947E-7</v>
      </c>
      <c r="R64" s="113">
        <f t="shared" si="8"/>
        <v>2.1829385372123345E-7</v>
      </c>
      <c r="S64" s="113">
        <f t="shared" si="8"/>
        <v>2.1653066706372348E-7</v>
      </c>
      <c r="T64" s="113">
        <f t="shared" si="8"/>
        <v>2.1616205338562025E-7</v>
      </c>
      <c r="U64" s="113">
        <f t="shared" si="8"/>
        <v>2.1608402398265488E-7</v>
      </c>
      <c r="V64" s="113">
        <f t="shared" si="8"/>
        <v>2.1577757913154315E-7</v>
      </c>
      <c r="W64" s="113">
        <f t="shared" si="8"/>
        <v>2.1635423262734495E-7</v>
      </c>
      <c r="X64" s="113">
        <f t="shared" si="8"/>
        <v>2.1587239527550281E-7</v>
      </c>
      <c r="Y64" s="113">
        <f t="shared" si="8"/>
        <v>2.1463307070763369E-7</v>
      </c>
      <c r="Z64" s="113">
        <f t="shared" si="8"/>
        <v>2.1332463107512062E-7</v>
      </c>
      <c r="AA64" s="113">
        <f t="shared" si="8"/>
        <v>2.1271255176729029E-7</v>
      </c>
      <c r="AB64" s="113">
        <f t="shared" si="8"/>
        <v>2.1235678862884427E-7</v>
      </c>
      <c r="AC64" s="113">
        <f t="shared" si="8"/>
        <v>2.1202915775289205E-7</v>
      </c>
      <c r="AD64" s="113">
        <f t="shared" si="8"/>
        <v>2.1139230353076729E-7</v>
      </c>
      <c r="AE64" s="113">
        <f t="shared" si="8"/>
        <v>2.1039574996886028E-7</v>
      </c>
      <c r="AF64" s="113">
        <f t="shared" si="8"/>
        <v>2.1054868296784708E-7</v>
      </c>
    </row>
    <row r="65" spans="1:34" s="113" customFormat="1"/>
    <row r="66" spans="1:34" s="113" customFormat="1">
      <c r="B66">
        <f t="shared" ref="B66:AH66" si="9">B49</f>
        <v>2019</v>
      </c>
      <c r="C66">
        <f t="shared" si="9"/>
        <v>2019</v>
      </c>
      <c r="D66">
        <f t="shared" si="9"/>
        <v>2020</v>
      </c>
      <c r="E66" s="32">
        <f t="shared" si="9"/>
        <v>2021</v>
      </c>
      <c r="F66" s="32">
        <f t="shared" si="9"/>
        <v>2022</v>
      </c>
      <c r="G66" s="32">
        <f t="shared" si="9"/>
        <v>2023</v>
      </c>
      <c r="H66" s="32">
        <f t="shared" si="9"/>
        <v>2024</v>
      </c>
      <c r="I66" s="32">
        <f t="shared" si="9"/>
        <v>2025</v>
      </c>
      <c r="J66" s="32">
        <f t="shared" si="9"/>
        <v>2026</v>
      </c>
      <c r="K66" s="32">
        <f t="shared" si="9"/>
        <v>2027</v>
      </c>
      <c r="L66" s="32">
        <f t="shared" si="9"/>
        <v>2028</v>
      </c>
      <c r="M66" s="32">
        <f t="shared" si="9"/>
        <v>2029</v>
      </c>
      <c r="N66" s="32">
        <f t="shared" si="9"/>
        <v>2030</v>
      </c>
      <c r="O66" s="32">
        <f t="shared" si="9"/>
        <v>2031</v>
      </c>
      <c r="P66" s="32">
        <f t="shared" si="9"/>
        <v>2032</v>
      </c>
      <c r="Q66" s="32">
        <f t="shared" si="9"/>
        <v>2033</v>
      </c>
      <c r="R66" s="32">
        <f t="shared" si="9"/>
        <v>2034</v>
      </c>
      <c r="S66" s="32">
        <f t="shared" si="9"/>
        <v>2035</v>
      </c>
      <c r="T66" s="32">
        <f t="shared" si="9"/>
        <v>2036</v>
      </c>
      <c r="U66" s="32">
        <f t="shared" si="9"/>
        <v>2037</v>
      </c>
      <c r="V66" s="32">
        <f t="shared" si="9"/>
        <v>2038</v>
      </c>
      <c r="W66" s="32">
        <f t="shared" si="9"/>
        <v>2039</v>
      </c>
      <c r="X66" s="32">
        <f t="shared" si="9"/>
        <v>2040</v>
      </c>
      <c r="Y66" s="32">
        <f t="shared" si="9"/>
        <v>2041</v>
      </c>
      <c r="Z66" s="32">
        <f t="shared" si="9"/>
        <v>2042</v>
      </c>
      <c r="AA66" s="32">
        <f t="shared" si="9"/>
        <v>2043</v>
      </c>
      <c r="AB66" s="32">
        <f t="shared" si="9"/>
        <v>2044</v>
      </c>
      <c r="AC66" s="32">
        <f t="shared" si="9"/>
        <v>2045</v>
      </c>
      <c r="AD66" s="32">
        <f t="shared" si="9"/>
        <v>2046</v>
      </c>
      <c r="AE66" s="32">
        <f t="shared" si="9"/>
        <v>2047</v>
      </c>
      <c r="AF66" s="32">
        <f t="shared" si="9"/>
        <v>2048</v>
      </c>
      <c r="AG66" s="32">
        <f t="shared" si="9"/>
        <v>2049</v>
      </c>
      <c r="AH66" s="32">
        <f t="shared" si="9"/>
        <v>2050</v>
      </c>
    </row>
    <row r="67" spans="1:34" s="113" customFormat="1">
      <c r="B67" s="32" t="str">
        <f>B50</f>
        <v>nominal</v>
      </c>
      <c r="C67" t="str">
        <f>C50</f>
        <v>2012 $s</v>
      </c>
    </row>
    <row r="68" spans="1:34">
      <c r="A68" s="33" t="s">
        <v>735</v>
      </c>
      <c r="B68" s="21">
        <f>AggregateSEDS!I7/1000000</f>
        <v>3.41E-6</v>
      </c>
      <c r="C68">
        <f>B68*About!$G$176</f>
        <v>3.0623669213047166E-6</v>
      </c>
      <c r="D68">
        <f>C68*(1+'EIA Short Run'!AD31)</f>
        <v>2.9107645984678492E-6</v>
      </c>
      <c r="E68" s="32">
        <f>D68*(1+'EIA Short Run'!AE31)</f>
        <v>2.8501236693331023E-6</v>
      </c>
      <c r="F68" s="32">
        <f>E68*(1+'EIA Short Run'!AF31)</f>
        <v>2.8046429724820425E-6</v>
      </c>
      <c r="G68">
        <f>F68*(1+'AEO 2022 Pacific region Table 3'!G35)</f>
        <v>2.7666262541622217E-6</v>
      </c>
      <c r="H68" s="32">
        <f>G68*(1+'AEO 2022 Pacific region Table 3'!H35)</f>
        <v>2.7432076503001447E-6</v>
      </c>
      <c r="I68" s="32">
        <f>H68*(1+'AEO 2022 Pacific region Table 3'!I35)</f>
        <v>2.7419820521588008E-6</v>
      </c>
      <c r="J68" s="32">
        <f>I68*(1+'AEO 2022 Pacific region Table 3'!J35)</f>
        <v>2.6744173759797035E-6</v>
      </c>
      <c r="K68" s="32">
        <f>J68*(1+'AEO 2022 Pacific region Table 3'!K35)</f>
        <v>2.6302181353339708E-6</v>
      </c>
      <c r="L68" s="32">
        <f>K68*(1+'AEO 2022 Pacific region Table 3'!L35)</f>
        <v>2.6282849894336084E-6</v>
      </c>
      <c r="M68" s="32">
        <f>L68*(1+'AEO 2022 Pacific region Table 3'!M35)</f>
        <v>2.614388969572964E-6</v>
      </c>
      <c r="N68" s="32">
        <f>M68*(1+'AEO 2022 Pacific region Table 3'!N35)</f>
        <v>2.6242332901276306E-6</v>
      </c>
      <c r="O68" s="32">
        <f>N68*(1+'AEO 2022 Pacific region Table 3'!O35)</f>
        <v>2.6203056502553149E-6</v>
      </c>
      <c r="P68" s="32">
        <f>O68*(1+'AEO 2022 Pacific region Table 3'!P35)</f>
        <v>2.6186083536079587E-6</v>
      </c>
      <c r="Q68" s="32">
        <f>P68*(1+'AEO 2022 Pacific region Table 3'!Q35)</f>
        <v>2.6033844888199846E-6</v>
      </c>
      <c r="R68" s="32">
        <f>Q68*(1+'AEO 2022 Pacific region Table 3'!R35)</f>
        <v>2.5986020658168313E-6</v>
      </c>
      <c r="S68" s="32">
        <f>R68*(1+'AEO 2022 Pacific region Table 3'!S35)</f>
        <v>2.5891776387299447E-6</v>
      </c>
      <c r="T68" s="32">
        <f>S68*(1+'AEO 2022 Pacific region Table 3'!T35)</f>
        <v>2.5705823565854149E-6</v>
      </c>
      <c r="U68" s="32">
        <f>T68*(1+'AEO 2022 Pacific region Table 3'!U35)</f>
        <v>2.5498194425779964E-6</v>
      </c>
      <c r="V68" s="32">
        <f>U68*(1+'AEO 2022 Pacific region Table 3'!V35)</f>
        <v>2.5454787256902999E-6</v>
      </c>
      <c r="W68" s="32">
        <f>V68*(1+'AEO 2022 Pacific region Table 3'!W35)</f>
        <v>2.5445598679069118E-6</v>
      </c>
      <c r="X68" s="32">
        <f>W68*(1+'AEO 2022 Pacific region Table 3'!X35)</f>
        <v>2.5409512380068697E-6</v>
      </c>
      <c r="Y68" s="32">
        <f>X68*(1+'AEO 2022 Pacific region Table 3'!Y35)</f>
        <v>2.5477417878867747E-6</v>
      </c>
      <c r="Z68" s="32">
        <f>Y68*(1+'AEO 2022 Pacific region Table 3'!Z35)</f>
        <v>2.5420677729098296E-6</v>
      </c>
      <c r="AA68" s="32">
        <f>Z68*(1+'AEO 2022 Pacific region Table 3'!AA35)</f>
        <v>2.5274737483235251E-6</v>
      </c>
      <c r="AB68" s="32">
        <f>AA68*(1+'AEO 2022 Pacific region Table 3'!AB35)</f>
        <v>2.5120658393207781E-6</v>
      </c>
      <c r="AC68" s="32">
        <f>AB68*(1+'AEO 2022 Pacific region Table 3'!AC35)</f>
        <v>2.504858122554053E-6</v>
      </c>
      <c r="AD68" s="32">
        <f>AC68*(1+'AEO 2022 Pacific region Table 3'!AD35)</f>
        <v>2.5006687309096146E-6</v>
      </c>
      <c r="AE68" s="32">
        <f>AD68*(1+'AEO 2022 Pacific region Table 3'!AE35)</f>
        <v>2.4968106188517684E-6</v>
      </c>
      <c r="AF68" s="32">
        <f>AE68*(1+'AEO 2022 Pacific region Table 3'!AF35)</f>
        <v>2.4893111579223657E-6</v>
      </c>
      <c r="AG68" s="32">
        <f>AF68*(1+'AEO 2022 Pacific region Table 3'!AG35)</f>
        <v>2.4775759534722108E-6</v>
      </c>
      <c r="AH68" s="32">
        <f>AG68*(1+'AEO 2022 Pacific region Table 3'!AH35)</f>
        <v>2.4793768601960321E-6</v>
      </c>
    </row>
    <row r="69" spans="1:34">
      <c r="A69" t="s">
        <v>672</v>
      </c>
    </row>
    <row r="71" spans="1:34" s="113" customFormat="1">
      <c r="A71" s="37" t="s">
        <v>736</v>
      </c>
      <c r="B71" s="37"/>
      <c r="C71" s="37"/>
      <c r="D71" s="37"/>
      <c r="E71" s="37"/>
    </row>
    <row r="72" spans="1:34" s="113" customFormat="1">
      <c r="B72" s="113">
        <f>B76</f>
        <v>2020</v>
      </c>
      <c r="C72" s="113">
        <f t="shared" ref="C72:AF72" si="10">C76</f>
        <v>2021</v>
      </c>
      <c r="D72" s="113">
        <f t="shared" si="10"/>
        <v>2022</v>
      </c>
      <c r="E72" s="113">
        <f t="shared" si="10"/>
        <v>2023</v>
      </c>
      <c r="F72" s="113">
        <f t="shared" si="10"/>
        <v>2024</v>
      </c>
      <c r="G72" s="113">
        <f t="shared" si="10"/>
        <v>2025</v>
      </c>
      <c r="H72" s="113">
        <f t="shared" si="10"/>
        <v>2026</v>
      </c>
      <c r="I72" s="113">
        <f t="shared" si="10"/>
        <v>2027</v>
      </c>
      <c r="J72" s="113">
        <f t="shared" si="10"/>
        <v>2028</v>
      </c>
      <c r="K72" s="113">
        <f t="shared" si="10"/>
        <v>2029</v>
      </c>
      <c r="L72" s="113">
        <f t="shared" si="10"/>
        <v>2030</v>
      </c>
      <c r="M72" s="113">
        <f t="shared" si="10"/>
        <v>2031</v>
      </c>
      <c r="N72" s="113">
        <f t="shared" si="10"/>
        <v>2032</v>
      </c>
      <c r="O72" s="113">
        <f t="shared" si="10"/>
        <v>2033</v>
      </c>
      <c r="P72" s="113">
        <f t="shared" si="10"/>
        <v>2034</v>
      </c>
      <c r="Q72" s="113">
        <f t="shared" si="10"/>
        <v>2035</v>
      </c>
      <c r="R72" s="113">
        <f t="shared" si="10"/>
        <v>2036</v>
      </c>
      <c r="S72" s="113">
        <f t="shared" si="10"/>
        <v>2037</v>
      </c>
      <c r="T72" s="113">
        <f t="shared" si="10"/>
        <v>2038</v>
      </c>
      <c r="U72" s="113">
        <f t="shared" si="10"/>
        <v>2039</v>
      </c>
      <c r="V72" s="113">
        <f t="shared" si="10"/>
        <v>2040</v>
      </c>
      <c r="W72" s="113">
        <f t="shared" si="10"/>
        <v>2041</v>
      </c>
      <c r="X72" s="113">
        <f t="shared" si="10"/>
        <v>2042</v>
      </c>
      <c r="Y72" s="113">
        <f t="shared" si="10"/>
        <v>2043</v>
      </c>
      <c r="Z72" s="113">
        <f t="shared" si="10"/>
        <v>2044</v>
      </c>
      <c r="AA72" s="113">
        <f t="shared" si="10"/>
        <v>2045</v>
      </c>
      <c r="AB72" s="113">
        <f t="shared" si="10"/>
        <v>2046</v>
      </c>
      <c r="AC72" s="113">
        <f t="shared" si="10"/>
        <v>2047</v>
      </c>
      <c r="AD72" s="113">
        <f t="shared" si="10"/>
        <v>2048</v>
      </c>
      <c r="AE72" s="113">
        <f t="shared" si="10"/>
        <v>2049</v>
      </c>
      <c r="AF72" s="113">
        <f t="shared" si="10"/>
        <v>2050</v>
      </c>
    </row>
    <row r="73" spans="1:34" s="113" customFormat="1">
      <c r="A73" s="113" t="s">
        <v>738</v>
      </c>
      <c r="B73" s="113">
        <f>(1-'Sales taxes'!$B$1)*B78</f>
        <v>6.2967023018801612E-6</v>
      </c>
      <c r="C73" s="113">
        <f>(1-'Sales taxes'!$B$1)*C78</f>
        <v>1.0954911333684765E-5</v>
      </c>
      <c r="D73" s="113">
        <f>(1-'Sales taxes'!$B$1)*D78</f>
        <v>1.6248324490121243E-5</v>
      </c>
      <c r="E73" s="113">
        <f>(1-'Sales taxes'!$B$1)*E78</f>
        <v>1.3648724030637848E-5</v>
      </c>
      <c r="F73" s="113">
        <f>(1-'Sales taxes'!$B$1)*F78</f>
        <v>1.2590160694021306E-5</v>
      </c>
      <c r="G73" s="113">
        <f>(1-'Sales taxes'!$B$1)*G78</f>
        <v>1.1531597357404764E-5</v>
      </c>
      <c r="H73" s="113">
        <f>(1-'Sales taxes'!$B$1)*H78</f>
        <v>1.0473034020788221E-5</v>
      </c>
      <c r="I73" s="113">
        <f>(1-'Sales taxes'!$B$1)*I78</f>
        <v>1.0770636873701749E-5</v>
      </c>
      <c r="J73" s="113">
        <f>(1-'Sales taxes'!$B$1)*J78</f>
        <v>1.0988221255423117E-5</v>
      </c>
      <c r="K73" s="113">
        <f>(1-'Sales taxes'!$B$1)*K78</f>
        <v>1.1149731380257743E-5</v>
      </c>
      <c r="L73" s="113">
        <f>(1-'Sales taxes'!$B$1)*L78</f>
        <v>1.1321160489192164E-5</v>
      </c>
      <c r="M73" s="113">
        <f>(1-'Sales taxes'!$B$1)*M78</f>
        <v>1.1558049560398076E-5</v>
      </c>
      <c r="N73" s="113">
        <f>(1-'Sales taxes'!$B$1)*N78</f>
        <v>1.1743823866767147E-5</v>
      </c>
      <c r="O73" s="113">
        <f>(1-'Sales taxes'!$B$1)*O78</f>
        <v>1.1869431002111521E-5</v>
      </c>
      <c r="P73" s="113">
        <f>(1-'Sales taxes'!$B$1)*P78</f>
        <v>1.1933457777836336E-5</v>
      </c>
      <c r="Q73" s="113">
        <f>(1-'Sales taxes'!$B$1)*Q78</f>
        <v>1.2046846164622295E-5</v>
      </c>
      <c r="R73" s="113">
        <f>(1-'Sales taxes'!$B$1)*R78</f>
        <v>1.2239553094286917E-5</v>
      </c>
      <c r="S73" s="113">
        <f>(1-'Sales taxes'!$B$1)*S78</f>
        <v>1.2380625312367531E-5</v>
      </c>
      <c r="T73" s="113">
        <f>(1-'Sales taxes'!$B$1)*T78</f>
        <v>1.2544275218046265E-5</v>
      </c>
      <c r="U73" s="113">
        <f>(1-'Sales taxes'!$B$1)*U78</f>
        <v>1.2585224357377609E-5</v>
      </c>
      <c r="V73" s="113">
        <f>(1-'Sales taxes'!$B$1)*V78</f>
        <v>1.2824693164367543E-5</v>
      </c>
      <c r="W73" s="113">
        <f>(1-'Sales taxes'!$B$1)*W78</f>
        <v>1.2971184827389779E-5</v>
      </c>
      <c r="X73" s="113">
        <f>(1-'Sales taxes'!$B$1)*X78</f>
        <v>1.3033005162431106E-5</v>
      </c>
      <c r="Y73" s="113">
        <f>(1-'Sales taxes'!$B$1)*Y78</f>
        <v>1.3259188663432534E-5</v>
      </c>
      <c r="Z73" s="113">
        <f>(1-'Sales taxes'!$B$1)*Z78</f>
        <v>1.3531454111397597E-5</v>
      </c>
      <c r="AA73" s="113">
        <f>(1-'Sales taxes'!$B$1)*AA78</f>
        <v>1.3605886488049684E-5</v>
      </c>
      <c r="AB73" s="113">
        <f>(1-'Sales taxes'!$B$1)*AB78</f>
        <v>1.3803246274503057E-5</v>
      </c>
      <c r="AC73" s="113">
        <f>(1-'Sales taxes'!$B$1)*AC78</f>
        <v>1.379520043188985E-5</v>
      </c>
      <c r="AD73" s="113">
        <f>(1-'Sales taxes'!$B$1)*AD78</f>
        <v>1.3814285143904443E-5</v>
      </c>
      <c r="AE73" s="113">
        <f>(1-'Sales taxes'!$B$1)*AE78</f>
        <v>1.3862846836893021E-5</v>
      </c>
      <c r="AF73" s="113">
        <f>(1-'Sales taxes'!$B$1)*AF78</f>
        <v>1.3819171310131023E-5</v>
      </c>
    </row>
    <row r="74" spans="1:34" s="113" customFormat="1">
      <c r="A74" s="113" t="s">
        <v>737</v>
      </c>
      <c r="B74" s="113">
        <f>B78-B73</f>
        <v>5.8433793709365679E-7</v>
      </c>
      <c r="C74" s="113">
        <f t="shared" ref="C74:AF74" si="11">C78-C73</f>
        <v>1.0166226673695307E-6</v>
      </c>
      <c r="D74" s="113">
        <f t="shared" si="11"/>
        <v>1.5078547402424896E-6</v>
      </c>
      <c r="E74" s="113">
        <f t="shared" si="11"/>
        <v>1.2666101812756976E-6</v>
      </c>
      <c r="F74" s="113">
        <f t="shared" si="11"/>
        <v>1.1683748373216428E-6</v>
      </c>
      <c r="G74" s="113">
        <f t="shared" si="11"/>
        <v>1.0701394933675879E-6</v>
      </c>
      <c r="H74" s="113">
        <f t="shared" si="11"/>
        <v>9.71904149413533E-7</v>
      </c>
      <c r="I74" s="113">
        <f t="shared" si="11"/>
        <v>9.9952188149096612E-7</v>
      </c>
      <c r="J74" s="113">
        <f t="shared" si="11"/>
        <v>1.0197138490738853E-6</v>
      </c>
      <c r="K74" s="113">
        <f t="shared" si="11"/>
        <v>1.0347020903215974E-6</v>
      </c>
      <c r="L74" s="113">
        <f t="shared" si="11"/>
        <v>1.0506108195373062E-6</v>
      </c>
      <c r="M74" s="113">
        <f t="shared" si="11"/>
        <v>1.0725942744557909E-6</v>
      </c>
      <c r="N74" s="113">
        <f t="shared" si="11"/>
        <v>1.0898342470230651E-6</v>
      </c>
      <c r="O74" s="113">
        <f t="shared" si="11"/>
        <v>1.1014906682468305E-6</v>
      </c>
      <c r="P74" s="113">
        <f t="shared" si="11"/>
        <v>1.1074323933359509E-6</v>
      </c>
      <c r="Q74" s="113">
        <f t="shared" si="11"/>
        <v>1.1179549070023659E-6</v>
      </c>
      <c r="R74" s="113">
        <f t="shared" si="11"/>
        <v>1.1358382313752293E-6</v>
      </c>
      <c r="S74" s="113">
        <f t="shared" si="11"/>
        <v>1.1489298220114647E-6</v>
      </c>
      <c r="T74" s="113">
        <f t="shared" si="11"/>
        <v>1.1641166362684021E-6</v>
      </c>
      <c r="U74" s="113">
        <f t="shared" si="11"/>
        <v>1.1679167421739156E-6</v>
      </c>
      <c r="V74" s="113">
        <f t="shared" si="11"/>
        <v>1.1901395981969789E-6</v>
      </c>
      <c r="W74" s="113">
        <f t="shared" si="11"/>
        <v>1.2037341167350837E-6</v>
      </c>
      <c r="X74" s="113">
        <f t="shared" si="11"/>
        <v>1.209471082739923E-6</v>
      </c>
      <c r="Y74" s="113">
        <f t="shared" si="11"/>
        <v>1.2304610540047771E-6</v>
      </c>
      <c r="Z74" s="113">
        <f t="shared" si="11"/>
        <v>1.2557274589542817E-6</v>
      </c>
      <c r="AA74" s="113">
        <f t="shared" si="11"/>
        <v>1.2626348303592901E-6</v>
      </c>
      <c r="AB74" s="113">
        <f t="shared" si="11"/>
        <v>1.280949942770905E-6</v>
      </c>
      <c r="AC74" s="113">
        <f t="shared" si="11"/>
        <v>1.280203283511919E-6</v>
      </c>
      <c r="AD74" s="113">
        <f t="shared" si="11"/>
        <v>1.2819743567998044E-6</v>
      </c>
      <c r="AE74" s="113">
        <f t="shared" si="11"/>
        <v>1.2864809124764566E-6</v>
      </c>
      <c r="AF74" s="113">
        <f t="shared" si="11"/>
        <v>1.2824277961012444E-6</v>
      </c>
    </row>
    <row r="75" spans="1:34" s="113" customFormat="1"/>
    <row r="76" spans="1:34">
      <c r="B76">
        <f t="shared" ref="B76:AF76" si="12">D66</f>
        <v>2020</v>
      </c>
      <c r="C76" s="32">
        <f t="shared" si="12"/>
        <v>2021</v>
      </c>
      <c r="D76" s="32">
        <f t="shared" si="12"/>
        <v>2022</v>
      </c>
      <c r="E76" s="32">
        <f t="shared" si="12"/>
        <v>2023</v>
      </c>
      <c r="F76" s="32">
        <f t="shared" si="12"/>
        <v>2024</v>
      </c>
      <c r="G76" s="32">
        <f t="shared" si="12"/>
        <v>2025</v>
      </c>
      <c r="H76" s="32">
        <f t="shared" si="12"/>
        <v>2026</v>
      </c>
      <c r="I76" s="32">
        <f t="shared" si="12"/>
        <v>2027</v>
      </c>
      <c r="J76" s="32">
        <f t="shared" si="12"/>
        <v>2028</v>
      </c>
      <c r="K76" s="32">
        <f t="shared" si="12"/>
        <v>2029</v>
      </c>
      <c r="L76" s="32">
        <f t="shared" si="12"/>
        <v>2030</v>
      </c>
      <c r="M76" s="32">
        <f t="shared" si="12"/>
        <v>2031</v>
      </c>
      <c r="N76" s="32">
        <f t="shared" si="12"/>
        <v>2032</v>
      </c>
      <c r="O76" s="32">
        <f t="shared" si="12"/>
        <v>2033</v>
      </c>
      <c r="P76" s="32">
        <f t="shared" si="12"/>
        <v>2034</v>
      </c>
      <c r="Q76" s="32">
        <f t="shared" si="12"/>
        <v>2035</v>
      </c>
      <c r="R76" s="32">
        <f t="shared" si="12"/>
        <v>2036</v>
      </c>
      <c r="S76" s="32">
        <f t="shared" si="12"/>
        <v>2037</v>
      </c>
      <c r="T76" s="32">
        <f t="shared" si="12"/>
        <v>2038</v>
      </c>
      <c r="U76" s="32">
        <f t="shared" si="12"/>
        <v>2039</v>
      </c>
      <c r="V76" s="32">
        <f t="shared" si="12"/>
        <v>2040</v>
      </c>
      <c r="W76" s="32">
        <f t="shared" si="12"/>
        <v>2041</v>
      </c>
      <c r="X76" s="32">
        <f t="shared" si="12"/>
        <v>2042</v>
      </c>
      <c r="Y76" s="32">
        <f t="shared" si="12"/>
        <v>2043</v>
      </c>
      <c r="Z76" s="32">
        <f t="shared" si="12"/>
        <v>2044</v>
      </c>
      <c r="AA76" s="32">
        <f t="shared" si="12"/>
        <v>2045</v>
      </c>
      <c r="AB76" s="32">
        <f t="shared" si="12"/>
        <v>2046</v>
      </c>
      <c r="AC76" s="32">
        <f t="shared" si="12"/>
        <v>2047</v>
      </c>
      <c r="AD76" s="32">
        <f t="shared" si="12"/>
        <v>2048</v>
      </c>
      <c r="AE76" s="32">
        <f t="shared" si="12"/>
        <v>2049</v>
      </c>
      <c r="AF76" s="32">
        <f t="shared" si="12"/>
        <v>2050</v>
      </c>
    </row>
    <row r="77" spans="1:34" s="32" customFormat="1">
      <c r="A77" s="32" t="s">
        <v>376</v>
      </c>
    </row>
    <row r="78" spans="1:34" s="113" customFormat="1">
      <c r="A78" s="113" t="s">
        <v>1256</v>
      </c>
      <c r="B78" s="113">
        <f>B82</f>
        <v>6.881040238973818E-6</v>
      </c>
      <c r="C78" s="113">
        <f>C82</f>
        <v>1.1971534001054295E-5</v>
      </c>
      <c r="D78" s="113">
        <f>D80</f>
        <v>1.7756179230363733E-5</v>
      </c>
      <c r="E78" s="113">
        <f>E80</f>
        <v>1.4915334211913546E-5</v>
      </c>
      <c r="F78" s="113">
        <f>E78-$F$79</f>
        <v>1.3758535531342949E-5</v>
      </c>
      <c r="G78" s="113">
        <f>F78-$F$79</f>
        <v>1.2601736850772352E-5</v>
      </c>
      <c r="H78" s="113">
        <f>H81</f>
        <v>1.1444938170201754E-5</v>
      </c>
      <c r="I78" s="113">
        <f t="shared" ref="I78:AF78" si="13">I81</f>
        <v>1.1770158755192715E-5</v>
      </c>
      <c r="J78" s="113">
        <f t="shared" si="13"/>
        <v>1.2007935104497003E-5</v>
      </c>
      <c r="K78" s="113">
        <f t="shared" si="13"/>
        <v>1.218443347057934E-5</v>
      </c>
      <c r="L78" s="113">
        <f t="shared" si="13"/>
        <v>1.237177130872947E-5</v>
      </c>
      <c r="M78" s="113">
        <f t="shared" si="13"/>
        <v>1.2630643834853867E-5</v>
      </c>
      <c r="N78" s="113">
        <f t="shared" si="13"/>
        <v>1.2833658113790212E-5</v>
      </c>
      <c r="O78" s="113">
        <f t="shared" si="13"/>
        <v>1.2970921670358351E-5</v>
      </c>
      <c r="P78" s="113">
        <f t="shared" si="13"/>
        <v>1.3040890171172287E-5</v>
      </c>
      <c r="Q78" s="113">
        <f t="shared" si="13"/>
        <v>1.3164801071624661E-5</v>
      </c>
      <c r="R78" s="113">
        <f t="shared" si="13"/>
        <v>1.3375391325662146E-5</v>
      </c>
      <c r="S78" s="113">
        <f t="shared" si="13"/>
        <v>1.3529555134378996E-5</v>
      </c>
      <c r="T78" s="113">
        <f t="shared" si="13"/>
        <v>1.3708391854314667E-5</v>
      </c>
      <c r="U78" s="113">
        <f t="shared" si="13"/>
        <v>1.3753141099551524E-5</v>
      </c>
      <c r="V78" s="113">
        <f t="shared" si="13"/>
        <v>1.4014832762564522E-5</v>
      </c>
      <c r="W78" s="113">
        <f t="shared" si="13"/>
        <v>1.4174918944124863E-5</v>
      </c>
      <c r="X78" s="113">
        <f t="shared" si="13"/>
        <v>1.4242476245171029E-5</v>
      </c>
      <c r="Y78" s="113">
        <f t="shared" si="13"/>
        <v>1.4489649717437311E-5</v>
      </c>
      <c r="Z78" s="113">
        <f t="shared" si="13"/>
        <v>1.4787181570351879E-5</v>
      </c>
      <c r="AA78" s="113">
        <f t="shared" si="13"/>
        <v>1.4868521318408974E-5</v>
      </c>
      <c r="AB78" s="113">
        <f t="shared" si="13"/>
        <v>1.5084196217273962E-5</v>
      </c>
      <c r="AC78" s="113">
        <f t="shared" si="13"/>
        <v>1.5075403715401769E-5</v>
      </c>
      <c r="AD78" s="113">
        <f t="shared" si="13"/>
        <v>1.5096259500704248E-5</v>
      </c>
      <c r="AE78" s="113">
        <f t="shared" si="13"/>
        <v>1.5149327749369477E-5</v>
      </c>
      <c r="AF78" s="113">
        <f t="shared" si="13"/>
        <v>1.5101599106232267E-5</v>
      </c>
    </row>
    <row r="79" spans="1:34" s="113" customFormat="1">
      <c r="A79" s="113" t="s">
        <v>1257</v>
      </c>
      <c r="F79" s="113">
        <f>-(H81-E80)/3</f>
        <v>1.1567986805705976E-6</v>
      </c>
    </row>
    <row r="80" spans="1:34" s="113" customFormat="1">
      <c r="A80" s="113" t="s">
        <v>1255</v>
      </c>
      <c r="D80" s="113">
        <f>C82*(1+'EIA SEO'!B19/100)</f>
        <v>1.7756179230363733E-5</v>
      </c>
      <c r="E80" s="113">
        <f>C82*(1+'EIA SEO'!B18/100)</f>
        <v>1.4915334211913546E-5</v>
      </c>
    </row>
    <row r="81" spans="1:32">
      <c r="A81" s="33" t="s">
        <v>1254</v>
      </c>
      <c r="D81" s="32">
        <f>C82*(1+'Crude oil'!G49)</f>
        <v>1.1563669726137869E-5</v>
      </c>
      <c r="E81" s="113">
        <f>D81*(1+'Crude oil'!H49)</f>
        <v>1.0196519457813343E-5</v>
      </c>
      <c r="F81" s="113">
        <f>E81*(1+'Crude oil'!I49)</f>
        <v>1.109537976519837E-5</v>
      </c>
      <c r="G81" s="113">
        <f>F81*(1+'Crude oil'!J49)</f>
        <v>1.1227085178495189E-5</v>
      </c>
      <c r="H81" s="113">
        <f>G81*(1+'Crude oil'!K49)</f>
        <v>1.1444938170201754E-5</v>
      </c>
      <c r="I81" s="113">
        <f>H81*(1+'Crude oil'!L49)</f>
        <v>1.1770158755192715E-5</v>
      </c>
      <c r="J81" s="113">
        <f>I81*(1+'Crude oil'!M49)</f>
        <v>1.2007935104497003E-5</v>
      </c>
      <c r="K81" s="113">
        <f>J81*(1+'Crude oil'!N49)</f>
        <v>1.218443347057934E-5</v>
      </c>
      <c r="L81" s="113">
        <f>K81*(1+'Crude oil'!O49)</f>
        <v>1.237177130872947E-5</v>
      </c>
      <c r="M81" s="113">
        <f>L81*(1+'Crude oil'!P49)</f>
        <v>1.2630643834853867E-5</v>
      </c>
      <c r="N81" s="113">
        <f>M81*(1+'Crude oil'!Q49)</f>
        <v>1.2833658113790212E-5</v>
      </c>
      <c r="O81" s="113">
        <f>N81*(1+'Crude oil'!R49)</f>
        <v>1.2970921670358351E-5</v>
      </c>
      <c r="P81" s="113">
        <f>O81*(1+'Crude oil'!S49)</f>
        <v>1.3040890171172287E-5</v>
      </c>
      <c r="Q81" s="113">
        <f>P81*(1+'Crude oil'!T49)</f>
        <v>1.3164801071624661E-5</v>
      </c>
      <c r="R81" s="113">
        <f>Q81*(1+'Crude oil'!U49)</f>
        <v>1.3375391325662146E-5</v>
      </c>
      <c r="S81" s="113">
        <f>R81*(1+'Crude oil'!V49)</f>
        <v>1.3529555134378996E-5</v>
      </c>
      <c r="T81" s="113">
        <f>S81*(1+'Crude oil'!W49)</f>
        <v>1.3708391854314667E-5</v>
      </c>
      <c r="U81" s="113">
        <f>T81*(1+'Crude oil'!X49)</f>
        <v>1.3753141099551524E-5</v>
      </c>
      <c r="V81" s="113">
        <f>U81*(1+'Crude oil'!Y49)</f>
        <v>1.4014832762564522E-5</v>
      </c>
      <c r="W81" s="113">
        <f>V81*(1+'Crude oil'!Z49)</f>
        <v>1.4174918944124863E-5</v>
      </c>
      <c r="X81" s="113">
        <f>W81*(1+'Crude oil'!AA49)</f>
        <v>1.4242476245171029E-5</v>
      </c>
      <c r="Y81" s="113">
        <f>X81*(1+'Crude oil'!AB49)</f>
        <v>1.4489649717437311E-5</v>
      </c>
      <c r="Z81" s="113">
        <f>Y81*(1+'Crude oil'!AC49)</f>
        <v>1.4787181570351879E-5</v>
      </c>
      <c r="AA81" s="113">
        <f>Z81*(1+'Crude oil'!AD49)</f>
        <v>1.4868521318408974E-5</v>
      </c>
      <c r="AB81" s="113">
        <f>AA81*(1+'Crude oil'!AE49)</f>
        <v>1.5084196217273962E-5</v>
      </c>
      <c r="AC81" s="113">
        <f>AB81*(1+'Crude oil'!AF49)</f>
        <v>1.5075403715401769E-5</v>
      </c>
      <c r="AD81" s="113">
        <f>AC81*(1+'Crude oil'!AG49)</f>
        <v>1.5096259500704248E-5</v>
      </c>
      <c r="AE81" s="113">
        <f>AD81*(1+'Crude oil'!AH49)</f>
        <v>1.5149327749369477E-5</v>
      </c>
      <c r="AF81" s="113">
        <f>AE81*(1+'Crude oil'!AI49)</f>
        <v>1.5101599106232267E-5</v>
      </c>
    </row>
    <row r="82" spans="1:32">
      <c r="A82" s="113" t="s">
        <v>1260</v>
      </c>
      <c r="B82" s="32">
        <f>'Crude oil'!E39</f>
        <v>6.881040238973818E-6</v>
      </c>
      <c r="C82" s="32">
        <f>'Crude oil'!E40</f>
        <v>1.1971534001054295E-5</v>
      </c>
      <c r="E82" s="50"/>
      <c r="F82" s="50"/>
    </row>
    <row r="83" spans="1:32">
      <c r="E83" s="50"/>
      <c r="F83" s="50"/>
    </row>
    <row r="84" spans="1:32">
      <c r="E84" s="50"/>
      <c r="F84" s="50"/>
    </row>
    <row r="85" spans="1:32">
      <c r="E85" s="50"/>
      <c r="F85" s="50"/>
    </row>
  </sheetData>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C7D5-BC66-4981-AA4A-9954AD33B292}">
  <sheetPr>
    <tabColor theme="9" tint="0.79998168889431442"/>
  </sheetPr>
  <dimension ref="A1:AF40"/>
  <sheetViews>
    <sheetView topLeftCell="R1" zoomScale="85" zoomScaleNormal="85" workbookViewId="0">
      <selection activeCell="B12" sqref="B12:AF16"/>
    </sheetView>
  </sheetViews>
  <sheetFormatPr defaultRowHeight="14.5"/>
  <cols>
    <col min="1" max="1" width="31.7265625" customWidth="1"/>
    <col min="2" max="2" width="12.453125" bestFit="1" customWidth="1"/>
    <col min="3" max="3" width="22.7265625" customWidth="1"/>
    <col min="4" max="4" width="31.453125" customWidth="1"/>
    <col min="5" max="5" width="13.26953125" customWidth="1"/>
    <col min="6" max="32" width="12.453125" bestFit="1" customWidth="1"/>
  </cols>
  <sheetData>
    <row r="1" spans="1:32" s="113" customFormat="1">
      <c r="B1" s="113">
        <v>2020</v>
      </c>
      <c r="C1" s="113">
        <v>2021</v>
      </c>
      <c r="D1" s="113">
        <v>2022</v>
      </c>
      <c r="E1" s="113">
        <v>2023</v>
      </c>
      <c r="F1" s="113">
        <v>2024</v>
      </c>
      <c r="G1" s="113">
        <v>2025</v>
      </c>
      <c r="H1" s="113">
        <v>2026</v>
      </c>
      <c r="I1" s="113">
        <v>2027</v>
      </c>
      <c r="J1" s="113">
        <v>2028</v>
      </c>
      <c r="K1" s="113">
        <v>2029</v>
      </c>
      <c r="L1" s="113">
        <v>2030</v>
      </c>
      <c r="M1" s="113">
        <v>2031</v>
      </c>
      <c r="N1" s="113">
        <v>2032</v>
      </c>
      <c r="O1" s="113">
        <v>2033</v>
      </c>
      <c r="P1" s="113">
        <v>2034</v>
      </c>
      <c r="Q1" s="113">
        <v>2035</v>
      </c>
      <c r="R1" s="113">
        <v>2036</v>
      </c>
      <c r="S1" s="113">
        <v>2037</v>
      </c>
      <c r="T1" s="113">
        <v>2038</v>
      </c>
      <c r="U1" s="113">
        <v>2039</v>
      </c>
      <c r="V1" s="113">
        <v>2040</v>
      </c>
      <c r="W1" s="113">
        <v>2041</v>
      </c>
      <c r="X1" s="113">
        <v>2042</v>
      </c>
      <c r="Y1" s="113">
        <v>2043</v>
      </c>
      <c r="Z1" s="113">
        <v>2044</v>
      </c>
      <c r="AA1" s="113">
        <v>2045</v>
      </c>
      <c r="AB1" s="113">
        <v>2046</v>
      </c>
      <c r="AC1" s="113">
        <v>2047</v>
      </c>
      <c r="AD1" s="113">
        <v>2048</v>
      </c>
      <c r="AE1" s="113">
        <v>2049</v>
      </c>
      <c r="AF1" s="113">
        <v>2050</v>
      </c>
    </row>
    <row r="2" spans="1:32" s="113" customFormat="1">
      <c r="A2" s="37" t="s">
        <v>726</v>
      </c>
    </row>
    <row r="3" spans="1:32" s="113" customFormat="1">
      <c r="A3" s="79" t="s">
        <v>164</v>
      </c>
      <c r="B3" s="181">
        <f>'Sales taxes'!$B$1*B12</f>
        <v>7.0644199581625654E-7</v>
      </c>
      <c r="C3" s="181">
        <f>'Sales taxes'!$B$1*C12</f>
        <v>7.7260243800757668E-7</v>
      </c>
      <c r="D3" s="181">
        <f>'Sales taxes'!$B$1*D12</f>
        <v>7.9601478022641288E-7</v>
      </c>
      <c r="E3" s="181">
        <f>'Sales taxes'!$B$1*E12</f>
        <v>7.970445192583049E-7</v>
      </c>
      <c r="F3" s="181">
        <f>'Sales taxes'!$B$1*F12</f>
        <v>7.9691312979972873E-7</v>
      </c>
      <c r="G3" s="181">
        <f>'Sales taxes'!$B$1*G12</f>
        <v>7.9838042265232345E-7</v>
      </c>
      <c r="H3" s="181">
        <f>'Sales taxes'!$B$1*H12</f>
        <v>7.9929698852779914E-7</v>
      </c>
      <c r="I3" s="181">
        <f>'Sales taxes'!$B$1*I12</f>
        <v>7.9951599258180895E-7</v>
      </c>
      <c r="J3" s="181">
        <f>'Sales taxes'!$B$1*J12</f>
        <v>8.0290487815475089E-7</v>
      </c>
      <c r="K3" s="181">
        <f>'Sales taxes'!$B$1*K12</f>
        <v>8.0163434448700873E-7</v>
      </c>
      <c r="L3" s="181">
        <f>'Sales taxes'!$B$1*L12</f>
        <v>8.0373779195865061E-7</v>
      </c>
      <c r="M3" s="181">
        <f>'Sales taxes'!$B$1*M12</f>
        <v>7.9326756427602926E-7</v>
      </c>
      <c r="N3" s="181">
        <f>'Sales taxes'!$B$1*N12</f>
        <v>7.9932395483562922E-7</v>
      </c>
      <c r="O3" s="181">
        <f>'Sales taxes'!$B$1*O12</f>
        <v>7.99328672864992E-7</v>
      </c>
      <c r="P3" s="181">
        <f>'Sales taxes'!$B$1*P12</f>
        <v>7.9935292291492849E-7</v>
      </c>
      <c r="Q3" s="181">
        <f>'Sales taxes'!$B$1*Q12</f>
        <v>7.9939758777661238E-7</v>
      </c>
      <c r="R3" s="181">
        <f>'Sales taxes'!$B$1*R12</f>
        <v>7.7300647543949335E-7</v>
      </c>
      <c r="S3" s="181">
        <f>'Sales taxes'!$B$1*S12</f>
        <v>7.7615977053901995E-7</v>
      </c>
      <c r="T3" s="181">
        <f>'Sales taxes'!$B$1*T12</f>
        <v>7.7403178126859511E-7</v>
      </c>
      <c r="U3" s="181">
        <f>'Sales taxes'!$B$1*U12</f>
        <v>7.7497415599308752E-7</v>
      </c>
      <c r="V3" s="181">
        <f>'Sales taxes'!$B$1*V12</f>
        <v>7.7389417228928891E-7</v>
      </c>
      <c r="W3" s="181">
        <f>'Sales taxes'!$B$1*W12</f>
        <v>7.7390864076667272E-7</v>
      </c>
      <c r="X3" s="181">
        <f>'Sales taxes'!$B$1*X12</f>
        <v>7.7216814849227317E-7</v>
      </c>
      <c r="Y3" s="181">
        <f>'Sales taxes'!$B$1*Y12</f>
        <v>7.7285422068149518E-7</v>
      </c>
      <c r="Z3" s="181">
        <f>'Sales taxes'!$B$1*Z12</f>
        <v>7.7058579086586143E-7</v>
      </c>
      <c r="AA3" s="181">
        <f>'Sales taxes'!$B$1*AA12</f>
        <v>7.7357074503895088E-7</v>
      </c>
      <c r="AB3" s="181">
        <f>'Sales taxes'!$B$1*AB12</f>
        <v>7.7321818646714213E-7</v>
      </c>
      <c r="AC3" s="181">
        <f>'Sales taxes'!$B$1*AC12</f>
        <v>7.7380443060332832E-7</v>
      </c>
      <c r="AD3" s="181">
        <f>'Sales taxes'!$B$1*AD12</f>
        <v>7.7266990273729656E-7</v>
      </c>
      <c r="AE3" s="181">
        <f>'Sales taxes'!$B$1*AE12</f>
        <v>7.7505483160937577E-7</v>
      </c>
      <c r="AF3" s="181">
        <f>'Sales taxes'!$B$1*AF12</f>
        <v>7.7328804672166595E-7</v>
      </c>
    </row>
    <row r="4" spans="1:32" s="113" customFormat="1">
      <c r="A4" s="113" t="s">
        <v>165</v>
      </c>
      <c r="B4" s="181">
        <f>'Sales taxes'!$B$1*B13</f>
        <v>2.440889001236254E-7</v>
      </c>
      <c r="C4" s="181">
        <f>'Sales taxes'!$B$1*C13</f>
        <v>3.8647861461284422E-7</v>
      </c>
      <c r="D4" s="181">
        <f>'Sales taxes'!$B$1*D13</f>
        <v>3.936390885788332E-7</v>
      </c>
      <c r="E4" s="181">
        <f>'Sales taxes'!$B$1*E13</f>
        <v>3.9679415405919932E-7</v>
      </c>
      <c r="F4" s="181">
        <f>'Sales taxes'!$B$1*F13</f>
        <v>3.9559189969080975E-7</v>
      </c>
      <c r="G4" s="181">
        <f>'Sales taxes'!$B$1*G13</f>
        <v>3.9741282013382027E-7</v>
      </c>
      <c r="H4" s="181">
        <f>'Sales taxes'!$B$1*H13</f>
        <v>3.9760073186870531E-7</v>
      </c>
      <c r="I4" s="181">
        <f>'Sales taxes'!$B$1*I13</f>
        <v>3.969502719740602E-7</v>
      </c>
      <c r="J4" s="181">
        <f>'Sales taxes'!$B$1*J13</f>
        <v>4.0095830928403791E-7</v>
      </c>
      <c r="K4" s="181">
        <f>'Sales taxes'!$B$1*K13</f>
        <v>3.9763308321621099E-7</v>
      </c>
      <c r="L4" s="181">
        <f>'Sales taxes'!$B$1*L13</f>
        <v>3.9955077924362115E-7</v>
      </c>
      <c r="M4" s="181">
        <f>'Sales taxes'!$B$1*M13</f>
        <v>3.9469099411021889E-7</v>
      </c>
      <c r="N4" s="181">
        <f>'Sales taxes'!$B$1*N13</f>
        <v>3.9752880719670826E-7</v>
      </c>
      <c r="O4" s="181">
        <f>'Sales taxes'!$B$1*O13</f>
        <v>3.9756348215025126E-7</v>
      </c>
      <c r="P4" s="181">
        <f>'Sales taxes'!$B$1*P13</f>
        <v>3.9762413049974662E-7</v>
      </c>
      <c r="Q4" s="181">
        <f>'Sales taxes'!$B$1*Q13</f>
        <v>3.9767781830158579E-7</v>
      </c>
      <c r="R4" s="181">
        <f>'Sales taxes'!$B$1*R13</f>
        <v>3.8570373834052167E-7</v>
      </c>
      <c r="S4" s="181">
        <f>'Sales taxes'!$B$1*S13</f>
        <v>3.8678543831201248E-7</v>
      </c>
      <c r="T4" s="181">
        <f>'Sales taxes'!$B$1*T13</f>
        <v>3.8804498918659449E-7</v>
      </c>
      <c r="U4" s="181">
        <f>'Sales taxes'!$B$1*U13</f>
        <v>3.8628562166974646E-7</v>
      </c>
      <c r="V4" s="181">
        <f>'Sales taxes'!$B$1*V13</f>
        <v>3.8977184399926636E-7</v>
      </c>
      <c r="W4" s="181">
        <f>'Sales taxes'!$B$1*W13</f>
        <v>3.8596158717769622E-7</v>
      </c>
      <c r="X4" s="181">
        <f>'Sales taxes'!$B$1*X13</f>
        <v>3.8429612893634013E-7</v>
      </c>
      <c r="Y4" s="181">
        <f>'Sales taxes'!$B$1*Y13</f>
        <v>3.8548037689651621E-7</v>
      </c>
      <c r="Z4" s="181">
        <f>'Sales taxes'!$B$1*Z13</f>
        <v>3.8146725075974701E-7</v>
      </c>
      <c r="AA4" s="181">
        <f>'Sales taxes'!$B$1*AA13</f>
        <v>3.8508547835052449E-7</v>
      </c>
      <c r="AB4" s="181">
        <f>'Sales taxes'!$B$1*AB13</f>
        <v>3.8592011245297722E-7</v>
      </c>
      <c r="AC4" s="181">
        <f>'Sales taxes'!$B$1*AC13</f>
        <v>3.8533909371377394E-7</v>
      </c>
      <c r="AD4" s="181">
        <f>'Sales taxes'!$B$1*AD13</f>
        <v>3.8795355784404426E-7</v>
      </c>
      <c r="AE4" s="181">
        <f>'Sales taxes'!$B$1*AE13</f>
        <v>3.8447039434221545E-7</v>
      </c>
      <c r="AF4" s="181">
        <f>'Sales taxes'!$B$1*AF13</f>
        <v>3.855446610401966E-7</v>
      </c>
    </row>
    <row r="5" spans="1:32" s="113" customFormat="1">
      <c r="A5" s="113" t="s">
        <v>166</v>
      </c>
      <c r="B5" s="181">
        <f>'Sales taxes'!$B$1*B14</f>
        <v>1.0272074546869236E-6</v>
      </c>
      <c r="C5" s="181">
        <f>'Sales taxes'!$B$1*C14</f>
        <v>1.1234085580001301E-6</v>
      </c>
      <c r="D5" s="181">
        <f>'Sales taxes'!$B$1*D14</f>
        <v>1.1574514555080594E-6</v>
      </c>
      <c r="E5" s="181">
        <f>'Sales taxes'!$B$1*E14</f>
        <v>1.1589487555216571E-6</v>
      </c>
      <c r="F5" s="181">
        <f>'Sales taxes'!$B$1*F14</f>
        <v>1.1587577076619374E-6</v>
      </c>
      <c r="G5" s="181">
        <f>'Sales taxes'!$B$1*G14</f>
        <v>1.1608912361969345E-6</v>
      </c>
      <c r="H5" s="181">
        <f>'Sales taxes'!$B$1*H14</f>
        <v>1.1622239759060344E-6</v>
      </c>
      <c r="I5" s="181">
        <f>'Sales taxes'!$B$1*I14</f>
        <v>1.1625424204467294E-6</v>
      </c>
      <c r="J5" s="181">
        <f>'Sales taxes'!$B$1*J14</f>
        <v>1.1674700557575165E-6</v>
      </c>
      <c r="K5" s="181">
        <f>'Sales taxes'!$B$1*K14</f>
        <v>1.1656226264389528E-6</v>
      </c>
      <c r="L5" s="181">
        <f>'Sales taxes'!$B$1*L14</f>
        <v>1.1686811605241416E-6</v>
      </c>
      <c r="M5" s="181">
        <f>'Sales taxes'!$B$1*M14</f>
        <v>1.153456844881028E-6</v>
      </c>
      <c r="N5" s="181">
        <f>'Sales taxes'!$B$1*N14</f>
        <v>1.1622631864747613E-6</v>
      </c>
      <c r="O5" s="181">
        <f>'Sales taxes'!$B$1*O14</f>
        <v>1.1622700467618924E-6</v>
      </c>
      <c r="P5" s="181">
        <f>'Sales taxes'!$B$1*P14</f>
        <v>1.1623053077347945E-6</v>
      </c>
      <c r="Q5" s="181">
        <f>'Sales taxes'!$B$1*Q14</f>
        <v>1.1623702530228096E-6</v>
      </c>
      <c r="R5" s="181">
        <f>'Sales taxes'!$B$1*R14</f>
        <v>1.1247606372844589E-6</v>
      </c>
      <c r="S5" s="181">
        <f>'Sales taxes'!$B$1*S14</f>
        <v>1.1282649643845595E-6</v>
      </c>
      <c r="T5" s="181">
        <f>'Sales taxes'!$B$1*T14</f>
        <v>1.1256411129464224E-6</v>
      </c>
      <c r="U5" s="181">
        <f>'Sales taxes'!$B$1*U14</f>
        <v>1.1267949931064857E-6</v>
      </c>
      <c r="V5" s="181">
        <f>'Sales taxes'!$B$1*V14</f>
        <v>1.1253139113978139E-6</v>
      </c>
      <c r="W5" s="181">
        <f>'Sales taxes'!$B$1*W14</f>
        <v>1.1256382856821175E-6</v>
      </c>
      <c r="X5" s="181">
        <f>'Sales taxes'!$B$1*X14</f>
        <v>1.1234901033121642E-6</v>
      </c>
      <c r="Y5" s="181">
        <f>'Sales taxes'!$B$1*Y14</f>
        <v>1.1240895611503228E-6</v>
      </c>
      <c r="Z5" s="181">
        <f>'Sales taxes'!$B$1*Z14</f>
        <v>1.1217947289928892E-6</v>
      </c>
      <c r="AA5" s="181">
        <f>'Sales taxes'!$B$1*AA14</f>
        <v>1.1251727000659961E-6</v>
      </c>
      <c r="AB5" s="181">
        <f>'Sales taxes'!$B$1*AB14</f>
        <v>1.1245229097565791E-6</v>
      </c>
      <c r="AC5" s="181">
        <f>'Sales taxes'!$B$1*AC14</f>
        <v>1.1252483378543093E-6</v>
      </c>
      <c r="AD5" s="181">
        <f>'Sales taxes'!$B$1*AD14</f>
        <v>1.1236245302816757E-6</v>
      </c>
      <c r="AE5" s="181">
        <f>'Sales taxes'!$B$1*AE14</f>
        <v>1.1264969147846489E-6</v>
      </c>
      <c r="AF5" s="181">
        <f>'Sales taxes'!$B$1*AF14</f>
        <v>1.1244996014547838E-6</v>
      </c>
    </row>
    <row r="6" spans="1:32" s="113" customFormat="1">
      <c r="A6" s="113" t="s">
        <v>167</v>
      </c>
      <c r="B6" s="181">
        <f>'Sales taxes'!$B$1*B15</f>
        <v>7.1047304857412388E-7</v>
      </c>
      <c r="C6" s="181">
        <f>'Sales taxes'!$B$1*C15</f>
        <v>7.7701101112031612E-7</v>
      </c>
      <c r="D6" s="181">
        <f>'Sales taxes'!$B$1*D15</f>
        <v>7.9821603298366695E-7</v>
      </c>
      <c r="E6" s="181">
        <f>'Sales taxes'!$B$1*E15</f>
        <v>8.0189804194431033E-7</v>
      </c>
      <c r="F6" s="181">
        <f>'Sales taxes'!$B$1*F15</f>
        <v>8.021883095053593E-7</v>
      </c>
      <c r="G6" s="181">
        <f>'Sales taxes'!$B$1*G15</f>
        <v>8.0467283342138558E-7</v>
      </c>
      <c r="H6" s="181">
        <f>'Sales taxes'!$B$1*H15</f>
        <v>8.0549266906855942E-7</v>
      </c>
      <c r="I6" s="181">
        <f>'Sales taxes'!$B$1*I15</f>
        <v>8.057230540839947E-7</v>
      </c>
      <c r="J6" s="181">
        <f>'Sales taxes'!$B$1*J15</f>
        <v>8.0959923675837288E-7</v>
      </c>
      <c r="K6" s="181">
        <f>'Sales taxes'!$B$1*K15</f>
        <v>8.0678154891002862E-7</v>
      </c>
      <c r="L6" s="181">
        <f>'Sales taxes'!$B$1*L15</f>
        <v>8.0713763048015227E-7</v>
      </c>
      <c r="M6" s="181">
        <f>'Sales taxes'!$B$1*M15</f>
        <v>7.9910944652695801E-7</v>
      </c>
      <c r="N6" s="181">
        <f>'Sales taxes'!$B$1*N15</f>
        <v>8.0467754411844132E-7</v>
      </c>
      <c r="O6" s="181">
        <f>'Sales taxes'!$B$1*O15</f>
        <v>8.0483525540476824E-7</v>
      </c>
      <c r="P6" s="181">
        <f>'Sales taxes'!$B$1*P15</f>
        <v>8.0500198784920858E-7</v>
      </c>
      <c r="Q6" s="181">
        <f>'Sales taxes'!$B$1*Q15</f>
        <v>8.0512323142455707E-7</v>
      </c>
      <c r="R6" s="181">
        <f>'Sales taxes'!$B$1*R15</f>
        <v>7.774173540439983E-7</v>
      </c>
      <c r="S6" s="181">
        <f>'Sales taxes'!$B$1*S15</f>
        <v>7.805886422682011E-7</v>
      </c>
      <c r="T6" s="181">
        <f>'Sales taxes'!$B$1*T15</f>
        <v>7.7844851040564835E-7</v>
      </c>
      <c r="U6" s="181">
        <f>'Sales taxes'!$B$1*U15</f>
        <v>7.7939626244668579E-7</v>
      </c>
      <c r="V6" s="181">
        <f>'Sales taxes'!$B$1*V15</f>
        <v>7.783101162110537E-7</v>
      </c>
      <c r="W6" s="181">
        <f>'Sales taxes'!$B$1*W15</f>
        <v>7.7832466724750963E-7</v>
      </c>
      <c r="X6" s="181">
        <f>'Sales taxes'!$B$1*X15</f>
        <v>7.7657424349080251E-7</v>
      </c>
      <c r="Y6" s="181">
        <f>'Sales taxes'!$B$1*Y15</f>
        <v>7.7726423049993463E-7</v>
      </c>
      <c r="Z6" s="181">
        <f>'Sales taxes'!$B$1*Z15</f>
        <v>7.749828567195897E-7</v>
      </c>
      <c r="AA6" s="181">
        <f>'Sales taxes'!$B$1*AA15</f>
        <v>7.7798484344145565E-7</v>
      </c>
      <c r="AB6" s="181">
        <f>'Sales taxes'!$B$1*AB15</f>
        <v>7.7763027312315996E-7</v>
      </c>
      <c r="AC6" s="181">
        <f>'Sales taxes'!$B$1*AC15</f>
        <v>7.7821986244699916E-7</v>
      </c>
      <c r="AD6" s="181">
        <f>'Sales taxes'!$B$1*AD15</f>
        <v>7.770788608128303E-7</v>
      </c>
      <c r="AE6" s="181">
        <f>'Sales taxes'!$B$1*AE15</f>
        <v>7.7947739840885865E-7</v>
      </c>
      <c r="AF6" s="181">
        <f>'Sales taxes'!$B$1*AF15</f>
        <v>7.7770053200966391E-7</v>
      </c>
    </row>
    <row r="7" spans="1:32" s="113" customFormat="1">
      <c r="A7" s="113" t="s">
        <v>168</v>
      </c>
      <c r="B7" s="181">
        <f>'Sales taxes'!$B$1*B16</f>
        <v>5.4847357021826543E-7</v>
      </c>
      <c r="C7" s="181">
        <f>'Sales taxes'!$B$1*C16</f>
        <v>6.7581718246482989E-7</v>
      </c>
      <c r="D7" s="181">
        <f>'Sales taxes'!$B$1*D16</f>
        <v>6.8833837033354294E-7</v>
      </c>
      <c r="E7" s="181">
        <f>'Sales taxes'!$B$1*E16</f>
        <v>6.9385548663134663E-7</v>
      </c>
      <c r="F7" s="181">
        <f>'Sales taxes'!$B$1*F16</f>
        <v>6.9175316032109273E-7</v>
      </c>
      <c r="G7" s="181">
        <f>'Sales taxes'!$B$1*G16</f>
        <v>6.9493731922861913E-7</v>
      </c>
      <c r="H7" s="181">
        <f>'Sales taxes'!$B$1*H16</f>
        <v>6.9526591174168571E-7</v>
      </c>
      <c r="I7" s="181">
        <f>'Sales taxes'!$B$1*I16</f>
        <v>6.94128482769721E-7</v>
      </c>
      <c r="J7" s="181">
        <f>'Sales taxes'!$B$1*J16</f>
        <v>7.0113715124354191E-7</v>
      </c>
      <c r="K7" s="181">
        <f>'Sales taxes'!$B$1*K16</f>
        <v>6.9532248303876019E-7</v>
      </c>
      <c r="L7" s="181">
        <f>'Sales taxes'!$B$1*L16</f>
        <v>6.9867586891074857E-7</v>
      </c>
      <c r="M7" s="181">
        <f>'Sales taxes'!$B$1*M16</f>
        <v>6.9017778862361422E-7</v>
      </c>
      <c r="N7" s="181">
        <f>'Sales taxes'!$B$1*N16</f>
        <v>6.9514014041219709E-7</v>
      </c>
      <c r="O7" s="181">
        <f>'Sales taxes'!$B$1*O16</f>
        <v>6.9520077489110352E-7</v>
      </c>
      <c r="P7" s="181">
        <f>'Sales taxes'!$B$1*P16</f>
        <v>6.9530682783977221E-7</v>
      </c>
      <c r="Q7" s="181">
        <f>'Sales taxes'!$B$1*Q16</f>
        <v>6.9540070920241374E-7</v>
      </c>
      <c r="R7" s="181">
        <f>'Sales taxes'!$B$1*R16</f>
        <v>6.7622988854401229E-7</v>
      </c>
      <c r="S7" s="181">
        <f>'Sales taxes'!$B$1*S16</f>
        <v>6.7816173701687335E-7</v>
      </c>
      <c r="T7" s="181">
        <f>'Sales taxes'!$B$1*T16</f>
        <v>6.7712783367791668E-7</v>
      </c>
      <c r="U7" s="181">
        <f>'Sales taxes'!$B$1*U16</f>
        <v>6.7641601599199042E-7</v>
      </c>
      <c r="V7" s="181">
        <f>'Sales taxes'!$B$1*V16</f>
        <v>6.792630622237005E-7</v>
      </c>
      <c r="W7" s="181">
        <f>'Sales taxes'!$B$1*W16</f>
        <v>6.7681672294299481E-7</v>
      </c>
      <c r="X7" s="181">
        <f>'Sales taxes'!$B$1*X16</f>
        <v>6.7273107212363292E-7</v>
      </c>
      <c r="Y7" s="181">
        <f>'Sales taxes'!$B$1*Y16</f>
        <v>6.7509493846150819E-7</v>
      </c>
      <c r="Z7" s="181">
        <f>'Sales taxes'!$B$1*Z16</f>
        <v>6.6916637096445857E-7</v>
      </c>
      <c r="AA7" s="181">
        <f>'Sales taxes'!$B$1*AA16</f>
        <v>6.7395243025079613E-7</v>
      </c>
      <c r="AB7" s="181">
        <f>'Sales taxes'!$B$1*AB16</f>
        <v>6.7467606522453602E-7</v>
      </c>
      <c r="AC7" s="181">
        <f>'Sales taxes'!$B$1*AC16</f>
        <v>6.7540938859031906E-7</v>
      </c>
      <c r="AD7" s="181">
        <f>'Sales taxes'!$B$1*AD16</f>
        <v>6.7623852008917706E-7</v>
      </c>
      <c r="AE7" s="181">
        <f>'Sales taxes'!$B$1*AE16</f>
        <v>6.743835859799426E-7</v>
      </c>
      <c r="AF7" s="181">
        <f>'Sales taxes'!$B$1*AF16</f>
        <v>6.7520667235666373E-7</v>
      </c>
    </row>
    <row r="8" spans="1:32" s="113" customFormat="1"/>
    <row r="9" spans="1:32" s="32" customFormat="1">
      <c r="A9" s="33" t="s">
        <v>1280</v>
      </c>
    </row>
    <row r="10" spans="1:32" s="32" customFormat="1">
      <c r="A10" s="32" t="s">
        <v>511</v>
      </c>
    </row>
    <row r="11" spans="1:32" s="32" customFormat="1">
      <c r="B11" s="32">
        <v>2020</v>
      </c>
      <c r="C11" s="32">
        <v>2021</v>
      </c>
      <c r="D11" s="32">
        <v>2022</v>
      </c>
      <c r="E11" s="32">
        <f>D11+1</f>
        <v>2023</v>
      </c>
      <c r="F11" s="32">
        <f t="shared" ref="F11:M11" si="0">E11+1</f>
        <v>2024</v>
      </c>
      <c r="G11" s="32">
        <f t="shared" si="0"/>
        <v>2025</v>
      </c>
      <c r="H11" s="32">
        <f t="shared" si="0"/>
        <v>2026</v>
      </c>
      <c r="I11" s="32">
        <f t="shared" si="0"/>
        <v>2027</v>
      </c>
      <c r="J11" s="32">
        <f t="shared" si="0"/>
        <v>2028</v>
      </c>
      <c r="K11" s="32">
        <f t="shared" si="0"/>
        <v>2029</v>
      </c>
      <c r="L11" s="32">
        <f t="shared" si="0"/>
        <v>2030</v>
      </c>
      <c r="M11" s="32">
        <f t="shared" si="0"/>
        <v>2031</v>
      </c>
      <c r="N11" s="32">
        <f t="shared" ref="N11:AF11" si="1">M11+1</f>
        <v>2032</v>
      </c>
      <c r="O11" s="32">
        <f t="shared" si="1"/>
        <v>2033</v>
      </c>
      <c r="P11" s="32">
        <f t="shared" si="1"/>
        <v>2034</v>
      </c>
      <c r="Q11" s="32">
        <f t="shared" si="1"/>
        <v>2035</v>
      </c>
      <c r="R11" s="32">
        <f t="shared" si="1"/>
        <v>2036</v>
      </c>
      <c r="S11" s="32">
        <f t="shared" si="1"/>
        <v>2037</v>
      </c>
      <c r="T11" s="32">
        <f t="shared" si="1"/>
        <v>2038</v>
      </c>
      <c r="U11" s="32">
        <f t="shared" si="1"/>
        <v>2039</v>
      </c>
      <c r="V11" s="32">
        <f t="shared" si="1"/>
        <v>2040</v>
      </c>
      <c r="W11" s="32">
        <f t="shared" si="1"/>
        <v>2041</v>
      </c>
      <c r="X11" s="32">
        <f t="shared" si="1"/>
        <v>2042</v>
      </c>
      <c r="Y11" s="32">
        <f t="shared" si="1"/>
        <v>2043</v>
      </c>
      <c r="Z11" s="32">
        <f t="shared" si="1"/>
        <v>2044</v>
      </c>
      <c r="AA11" s="32">
        <f t="shared" si="1"/>
        <v>2045</v>
      </c>
      <c r="AB11" s="32">
        <f t="shared" si="1"/>
        <v>2046</v>
      </c>
      <c r="AC11" s="32">
        <f t="shared" si="1"/>
        <v>2047</v>
      </c>
      <c r="AD11" s="32">
        <f t="shared" si="1"/>
        <v>2048</v>
      </c>
      <c r="AE11" s="32">
        <f t="shared" si="1"/>
        <v>2049</v>
      </c>
      <c r="AF11" s="32">
        <f t="shared" si="1"/>
        <v>2050</v>
      </c>
    </row>
    <row r="12" spans="1:32" s="113" customFormat="1">
      <c r="A12" s="79" t="s">
        <v>164</v>
      </c>
      <c r="B12" s="21">
        <f>B15*B18</f>
        <v>8.3189118678315662E-6</v>
      </c>
      <c r="C12" s="21">
        <f>$B$18*C15</f>
        <v>9.0980032737585581E-6</v>
      </c>
      <c r="D12" s="21">
        <f>$C$12*(1+B36)</f>
        <v>9.3737020752050503E-6</v>
      </c>
      <c r="E12" s="21">
        <f t="shared" ref="E12:AF12" si="2">$C$12*(1+C36)</f>
        <v>9.3858280647468791E-6</v>
      </c>
      <c r="F12" s="21">
        <f t="shared" si="2"/>
        <v>9.3842808502087698E-6</v>
      </c>
      <c r="G12" s="21">
        <f t="shared" si="2"/>
        <v>9.4015593812096507E-6</v>
      </c>
      <c r="H12" s="21">
        <f t="shared" si="2"/>
        <v>9.4123526675435607E-6</v>
      </c>
      <c r="I12" s="21">
        <f t="shared" si="2"/>
        <v>9.4149316130688761E-6</v>
      </c>
      <c r="J12" s="21">
        <f t="shared" si="2"/>
        <v>9.4548384144459606E-6</v>
      </c>
      <c r="K12" s="21">
        <f t="shared" si="2"/>
        <v>9.43987687808536E-6</v>
      </c>
      <c r="L12" s="21">
        <f t="shared" si="2"/>
        <v>9.4646466316374307E-6</v>
      </c>
      <c r="M12" s="21">
        <f t="shared" si="2"/>
        <v>9.341351439896718E-6</v>
      </c>
      <c r="N12" s="21">
        <f t="shared" si="2"/>
        <v>9.4126702170940803E-6</v>
      </c>
      <c r="O12" s="21">
        <f t="shared" si="2"/>
        <v>9.4127257756122478E-6</v>
      </c>
      <c r="P12" s="21">
        <f t="shared" si="2"/>
        <v>9.4130113390830025E-6</v>
      </c>
      <c r="Q12" s="21">
        <f t="shared" si="2"/>
        <v>9.4135373030689172E-6</v>
      </c>
      <c r="R12" s="21">
        <f t="shared" si="2"/>
        <v>9.1027611332959659E-6</v>
      </c>
      <c r="S12" s="21">
        <f t="shared" si="2"/>
        <v>9.1398936709729152E-6</v>
      </c>
      <c r="T12" s="21">
        <f t="shared" si="2"/>
        <v>9.114834918377239E-6</v>
      </c>
      <c r="U12" s="21">
        <f t="shared" si="2"/>
        <v>9.1259321242709322E-6</v>
      </c>
      <c r="V12" s="21">
        <f t="shared" si="2"/>
        <v>9.11321446407547E-6</v>
      </c>
      <c r="W12" s="21">
        <f t="shared" si="2"/>
        <v>9.1133848418119728E-6</v>
      </c>
      <c r="X12" s="21">
        <f t="shared" si="2"/>
        <v>9.0928891720710456E-6</v>
      </c>
      <c r="Y12" s="21">
        <f t="shared" si="2"/>
        <v>9.1009682133949033E-6</v>
      </c>
      <c r="Z12" s="21">
        <f t="shared" si="2"/>
        <v>9.0742556625749117E-6</v>
      </c>
      <c r="AA12" s="21">
        <f t="shared" si="2"/>
        <v>9.1094058530258001E-6</v>
      </c>
      <c r="AB12" s="21">
        <f t="shared" si="2"/>
        <v>9.1052541976818434E-6</v>
      </c>
      <c r="AC12" s="21">
        <f t="shared" si="2"/>
        <v>9.1121576849190807E-6</v>
      </c>
      <c r="AD12" s="21">
        <f t="shared" si="2"/>
        <v>9.0987977241791871E-6</v>
      </c>
      <c r="AE12" s="21">
        <f t="shared" si="2"/>
        <v>9.1268821433040018E-6</v>
      </c>
      <c r="AF12" s="21">
        <f t="shared" si="2"/>
        <v>9.1060768572970555E-6</v>
      </c>
    </row>
    <row r="13" spans="1:32" s="113" customFormat="1">
      <c r="A13" s="79" t="s">
        <v>165</v>
      </c>
      <c r="B13" s="21">
        <f t="shared" ref="B13:C13" si="3">B22</f>
        <v>2.8743393796941286E-6</v>
      </c>
      <c r="C13" s="113">
        <f t="shared" si="3"/>
        <v>4.5510906101371202E-6</v>
      </c>
      <c r="D13" s="21">
        <f>$C$13*(1+B37)</f>
        <v>4.6354108405420774E-6</v>
      </c>
      <c r="E13" s="21">
        <f t="shared" ref="E13:AF13" si="4">$C$13*(1+C37)</f>
        <v>4.6725642258502043E-6</v>
      </c>
      <c r="F13" s="21">
        <f t="shared" si="4"/>
        <v>4.6584067321103366E-6</v>
      </c>
      <c r="G13" s="21">
        <f t="shared" si="4"/>
        <v>4.6798495069927026E-6</v>
      </c>
      <c r="H13" s="21">
        <f t="shared" si="4"/>
        <v>4.6820623159291725E-6</v>
      </c>
      <c r="I13" s="21">
        <f t="shared" si="4"/>
        <v>4.6744026374712695E-6</v>
      </c>
      <c r="J13" s="21">
        <f t="shared" si="4"/>
        <v>4.721600439048963E-6</v>
      </c>
      <c r="K13" s="21">
        <f t="shared" si="4"/>
        <v>4.6824432785705486E-6</v>
      </c>
      <c r="L13" s="21">
        <f t="shared" si="4"/>
        <v>4.7050256623130142E-6</v>
      </c>
      <c r="M13" s="21">
        <f t="shared" si="4"/>
        <v>4.6477978581043208E-6</v>
      </c>
      <c r="N13" s="21">
        <f t="shared" si="4"/>
        <v>4.6812153461694334E-6</v>
      </c>
      <c r="O13" s="21">
        <f t="shared" si="4"/>
        <v>4.6816236711051729E-6</v>
      </c>
      <c r="P13" s="21">
        <f t="shared" si="4"/>
        <v>4.6823378532706855E-6</v>
      </c>
      <c r="Q13" s="21">
        <f t="shared" si="4"/>
        <v>4.682970069495829E-6</v>
      </c>
      <c r="R13" s="21">
        <f t="shared" si="4"/>
        <v>4.5419658306702976E-6</v>
      </c>
      <c r="S13" s="21">
        <f t="shared" si="4"/>
        <v>4.5547037012719327E-6</v>
      </c>
      <c r="T13" s="21">
        <f t="shared" si="4"/>
        <v>4.5695359065778913E-6</v>
      </c>
      <c r="U13" s="21">
        <f t="shared" si="4"/>
        <v>4.5488179659649842E-6</v>
      </c>
      <c r="V13" s="21">
        <f t="shared" si="4"/>
        <v>4.5898709844473195E-6</v>
      </c>
      <c r="W13" s="21">
        <f t="shared" si="4"/>
        <v>4.5450022041650525E-6</v>
      </c>
      <c r="X13" s="21">
        <f t="shared" si="4"/>
        <v>4.5253901193634027E-6</v>
      </c>
      <c r="Y13" s="21">
        <f t="shared" si="4"/>
        <v>4.539335573439899E-6</v>
      </c>
      <c r="Z13" s="21">
        <f t="shared" si="4"/>
        <v>4.4920778469117641E-6</v>
      </c>
      <c r="AA13" s="21">
        <f t="shared" si="4"/>
        <v>4.5346853314946361E-6</v>
      </c>
      <c r="AB13" s="21">
        <f t="shared" si="4"/>
        <v>4.5445138065588467E-6</v>
      </c>
      <c r="AC13" s="21">
        <f t="shared" si="4"/>
        <v>4.5376718524938055E-6</v>
      </c>
      <c r="AD13" s="21">
        <f t="shared" si="4"/>
        <v>4.5684592303820568E-6</v>
      </c>
      <c r="AE13" s="21">
        <f t="shared" si="4"/>
        <v>4.5274422320091318E-6</v>
      </c>
      <c r="AF13" s="21">
        <f t="shared" si="4"/>
        <v>4.5400925699505018E-6</v>
      </c>
    </row>
    <row r="14" spans="1:32" s="113" customFormat="1">
      <c r="A14" s="79" t="s">
        <v>166</v>
      </c>
      <c r="B14" s="21">
        <f t="shared" ref="B14:C15" si="5">B23</f>
        <v>1.2096178222879459E-5</v>
      </c>
      <c r="C14" s="113">
        <f t="shared" si="5"/>
        <v>1.3229022114933232E-5</v>
      </c>
      <c r="D14" s="21">
        <f>$C$14*(1+B38)</f>
        <v>1.3629904092181577E-5</v>
      </c>
      <c r="E14" s="21">
        <f t="shared" ref="E14:AF14" si="6">$C$14*(1+C38)</f>
        <v>1.3647535981178251E-5</v>
      </c>
      <c r="F14" s="21">
        <f t="shared" si="6"/>
        <v>1.364528624189752E-5</v>
      </c>
      <c r="G14" s="21">
        <f t="shared" si="6"/>
        <v>1.3670410223703891E-5</v>
      </c>
      <c r="H14" s="21">
        <f t="shared" si="6"/>
        <v>1.368610428528067E-5</v>
      </c>
      <c r="I14" s="21">
        <f t="shared" si="6"/>
        <v>1.3689854220993047E-5</v>
      </c>
      <c r="J14" s="21">
        <f t="shared" si="6"/>
        <v>1.3747881014572733E-5</v>
      </c>
      <c r="K14" s="21">
        <f t="shared" si="6"/>
        <v>1.3726126076765813E-5</v>
      </c>
      <c r="L14" s="21">
        <f t="shared" si="6"/>
        <v>1.3762142728734594E-5</v>
      </c>
      <c r="M14" s="21">
        <f t="shared" si="6"/>
        <v>1.358286440038893E-5</v>
      </c>
      <c r="N14" s="21">
        <f t="shared" si="6"/>
        <v>1.3686566020663698E-5</v>
      </c>
      <c r="O14" s="21">
        <f t="shared" si="6"/>
        <v>1.3686646805957283E-5</v>
      </c>
      <c r="P14" s="21">
        <f t="shared" si="6"/>
        <v>1.3687062031733331E-5</v>
      </c>
      <c r="Q14" s="21">
        <f t="shared" si="6"/>
        <v>1.3687826813740105E-5</v>
      </c>
      <c r="R14" s="21">
        <f t="shared" si="6"/>
        <v>1.3244943915266827E-5</v>
      </c>
      <c r="S14" s="21">
        <f t="shared" si="6"/>
        <v>1.3286210131707014E-5</v>
      </c>
      <c r="T14" s="21">
        <f t="shared" si="6"/>
        <v>1.3255312210862252E-5</v>
      </c>
      <c r="U14" s="21">
        <f t="shared" si="6"/>
        <v>1.3268900060132899E-5</v>
      </c>
      <c r="V14" s="21">
        <f t="shared" si="6"/>
        <v>1.3251459154472609E-5</v>
      </c>
      <c r="W14" s="21">
        <f t="shared" si="6"/>
        <v>1.3255278917594413E-5</v>
      </c>
      <c r="X14" s="21">
        <f t="shared" si="6"/>
        <v>1.322998237531988E-5</v>
      </c>
      <c r="Y14" s="21">
        <f t="shared" si="6"/>
        <v>1.3237041464323161E-5</v>
      </c>
      <c r="Z14" s="21">
        <f t="shared" si="6"/>
        <v>1.3210018005097613E-5</v>
      </c>
      <c r="AA14" s="21">
        <f t="shared" si="6"/>
        <v>1.3249796279627838E-5</v>
      </c>
      <c r="AB14" s="21">
        <f t="shared" si="6"/>
        <v>1.3242144486064287E-5</v>
      </c>
      <c r="AC14" s="21">
        <f t="shared" si="6"/>
        <v>1.3250686974261768E-5</v>
      </c>
      <c r="AD14" s="21">
        <f t="shared" si="6"/>
        <v>1.3231565358945781E-5</v>
      </c>
      <c r="AE14" s="21">
        <f t="shared" si="6"/>
        <v>1.3265389952716074E-5</v>
      </c>
      <c r="AF14" s="21">
        <f t="shared" si="6"/>
        <v>1.3241870012420912E-5</v>
      </c>
    </row>
    <row r="15" spans="1:32" s="113" customFormat="1">
      <c r="A15" s="79" t="s">
        <v>167</v>
      </c>
      <c r="B15" s="21">
        <f t="shared" si="5"/>
        <v>8.3663806944668385E-6</v>
      </c>
      <c r="C15" s="113">
        <f t="shared" si="5"/>
        <v>9.1499177004276514E-6</v>
      </c>
      <c r="D15" s="21">
        <f>$C$15*(1+B39)</f>
        <v>9.3996235631614104E-6</v>
      </c>
      <c r="E15" s="21">
        <f t="shared" ref="E15:AF15" si="7">$C$15*(1+C39)</f>
        <v>9.4429821236965428E-6</v>
      </c>
      <c r="F15" s="21">
        <f t="shared" si="7"/>
        <v>9.4464002532425731E-6</v>
      </c>
      <c r="G15" s="21">
        <f t="shared" si="7"/>
        <v>9.4756574825881487E-6</v>
      </c>
      <c r="H15" s="21">
        <f t="shared" si="7"/>
        <v>9.4853116941657964E-6</v>
      </c>
      <c r="I15" s="21">
        <f t="shared" si="7"/>
        <v>9.4880246594912234E-6</v>
      </c>
      <c r="J15" s="21">
        <f t="shared" si="7"/>
        <v>9.5336697687043446E-6</v>
      </c>
      <c r="K15" s="21">
        <f t="shared" si="7"/>
        <v>9.5004892711967578E-6</v>
      </c>
      <c r="L15" s="21">
        <f t="shared" si="7"/>
        <v>9.5046824126254389E-6</v>
      </c>
      <c r="M15" s="21">
        <f t="shared" si="7"/>
        <v>9.4101442125171701E-6</v>
      </c>
      <c r="N15" s="21">
        <f t="shared" si="7"/>
        <v>9.4757129547626167E-6</v>
      </c>
      <c r="O15" s="21">
        <f t="shared" si="7"/>
        <v>9.4775701295898289E-6</v>
      </c>
      <c r="P15" s="21">
        <f t="shared" si="7"/>
        <v>9.4795335356713217E-6</v>
      </c>
      <c r="Q15" s="21">
        <f t="shared" si="7"/>
        <v>9.4809612744295468E-6</v>
      </c>
      <c r="R15" s="21">
        <f t="shared" si="7"/>
        <v>9.1547027089495797E-6</v>
      </c>
      <c r="S15" s="21">
        <f t="shared" si="7"/>
        <v>9.1920471298657697E-6</v>
      </c>
      <c r="T15" s="21">
        <f t="shared" si="7"/>
        <v>9.1668453886675509E-6</v>
      </c>
      <c r="U15" s="21">
        <f t="shared" si="7"/>
        <v>9.178005916706145E-6</v>
      </c>
      <c r="V15" s="21">
        <f t="shared" si="7"/>
        <v>9.1652156878362432E-6</v>
      </c>
      <c r="W15" s="21">
        <f t="shared" si="7"/>
        <v>9.1653870377709574E-6</v>
      </c>
      <c r="X15" s="21">
        <f t="shared" si="7"/>
        <v>9.1447744169901388E-6</v>
      </c>
      <c r="Y15" s="21">
        <f t="shared" si="7"/>
        <v>9.1528995584071437E-6</v>
      </c>
      <c r="Z15" s="21">
        <f t="shared" si="7"/>
        <v>9.1260345821901765E-6</v>
      </c>
      <c r="AA15" s="21">
        <f t="shared" si="7"/>
        <v>9.1613853443412114E-6</v>
      </c>
      <c r="AB15" s="21">
        <f t="shared" si="7"/>
        <v>9.1572099990951486E-6</v>
      </c>
      <c r="AC15" s="21">
        <f t="shared" si="7"/>
        <v>9.1641528785562794E-6</v>
      </c>
      <c r="AD15" s="21">
        <f t="shared" si="7"/>
        <v>9.1507166840889116E-6</v>
      </c>
      <c r="AE15" s="21">
        <f t="shared" si="7"/>
        <v>9.1789613566752078E-6</v>
      </c>
      <c r="AF15" s="21">
        <f t="shared" si="7"/>
        <v>9.158037352916439E-6</v>
      </c>
    </row>
    <row r="16" spans="1:32" s="113" customFormat="1">
      <c r="A16" s="79" t="s">
        <v>168</v>
      </c>
      <c r="B16" s="21">
        <f>B25</f>
        <v>6.4587090228246048E-6</v>
      </c>
      <c r="C16" s="21">
        <f>C25</f>
        <v>7.9582805283187692E-6</v>
      </c>
      <c r="D16" s="21">
        <f>$C$16*(1+B40)</f>
        <v>8.1057273944128941E-6</v>
      </c>
      <c r="E16" s="21">
        <f t="shared" ref="E16:AF16" si="8">$C$16*(1+C40)</f>
        <v>8.1706957917021506E-6</v>
      </c>
      <c r="F16" s="21">
        <f t="shared" si="8"/>
        <v>8.1459392407099951E-6</v>
      </c>
      <c r="G16" s="21">
        <f t="shared" si="8"/>
        <v>8.1834352240770039E-6</v>
      </c>
      <c r="H16" s="21">
        <f t="shared" si="8"/>
        <v>8.1873046601705805E-6</v>
      </c>
      <c r="I16" s="21">
        <f t="shared" si="8"/>
        <v>8.1739105366194181E-6</v>
      </c>
      <c r="J16" s="21">
        <f t="shared" si="8"/>
        <v>8.256443137582925E-6</v>
      </c>
      <c r="K16" s="21">
        <f t="shared" si="8"/>
        <v>8.1879708318271336E-6</v>
      </c>
      <c r="L16" s="21">
        <f t="shared" si="8"/>
        <v>8.2274595962170115E-6</v>
      </c>
      <c r="M16" s="21">
        <f t="shared" si="8"/>
        <v>8.1273879960387928E-6</v>
      </c>
      <c r="N16" s="21">
        <f t="shared" si="8"/>
        <v>8.1858236035350578E-6</v>
      </c>
      <c r="O16" s="21">
        <f t="shared" si="8"/>
        <v>8.186537622363443E-6</v>
      </c>
      <c r="P16" s="21">
        <f t="shared" si="8"/>
        <v>8.1877864795074451E-6</v>
      </c>
      <c r="Q16" s="21">
        <f t="shared" si="8"/>
        <v>8.1888920066228662E-6</v>
      </c>
      <c r="R16" s="21">
        <f t="shared" si="8"/>
        <v>7.9631404680171023E-6</v>
      </c>
      <c r="S16" s="21">
        <f t="shared" si="8"/>
        <v>7.9858895079707178E-6</v>
      </c>
      <c r="T16" s="21">
        <f t="shared" si="8"/>
        <v>7.973714480427658E-6</v>
      </c>
      <c r="U16" s="21">
        <f t="shared" si="8"/>
        <v>7.965332265567481E-6</v>
      </c>
      <c r="V16" s="21">
        <f t="shared" si="8"/>
        <v>7.9988584812023149E-6</v>
      </c>
      <c r="W16" s="21">
        <f t="shared" si="8"/>
        <v>7.9700509060644708E-6</v>
      </c>
      <c r="X16" s="21">
        <f t="shared" si="8"/>
        <v>7.9219391441784377E-6</v>
      </c>
      <c r="Y16" s="21">
        <f t="shared" si="8"/>
        <v>7.9497755353451274E-6</v>
      </c>
      <c r="Z16" s="21">
        <f t="shared" si="8"/>
        <v>7.8799619755588628E-6</v>
      </c>
      <c r="AA16" s="21">
        <f t="shared" si="8"/>
        <v>7.9363215997503075E-6</v>
      </c>
      <c r="AB16" s="21">
        <f t="shared" si="8"/>
        <v>7.9448429724980699E-6</v>
      </c>
      <c r="AC16" s="21">
        <f t="shared" si="8"/>
        <v>7.9534784337060657E-6</v>
      </c>
      <c r="AD16" s="21">
        <f t="shared" si="8"/>
        <v>7.963242111271515E-6</v>
      </c>
      <c r="AE16" s="21">
        <f t="shared" si="8"/>
        <v>7.9413987986333333E-6</v>
      </c>
      <c r="AF16" s="21">
        <f t="shared" si="8"/>
        <v>7.9510912901161531E-6</v>
      </c>
    </row>
    <row r="17" spans="1:5" s="113" customFormat="1"/>
    <row r="18" spans="1:5" s="32" customFormat="1">
      <c r="A18" s="205" t="s">
        <v>1279</v>
      </c>
      <c r="B18" s="42">
        <f>'EIA natural gas'!M49/'EIA natural gas'!I49</f>
        <v>0.99432624113475176</v>
      </c>
    </row>
    <row r="19" spans="1:5" s="32" customFormat="1"/>
    <row r="20" spans="1:5">
      <c r="A20" s="37" t="s">
        <v>649</v>
      </c>
      <c r="B20" s="38"/>
      <c r="C20" s="38"/>
      <c r="D20" s="38"/>
      <c r="E20" s="38"/>
    </row>
    <row r="21" spans="1:5">
      <c r="B21">
        <f t="shared" ref="A21:C25" si="9">B28</f>
        <v>2020</v>
      </c>
      <c r="C21">
        <f t="shared" si="9"/>
        <v>2021</v>
      </c>
    </row>
    <row r="22" spans="1:5" s="113" customFormat="1">
      <c r="A22" s="113" t="str">
        <f t="shared" si="9"/>
        <v>Electricity Sector</v>
      </c>
      <c r="B22" s="113">
        <f>B29*About!$C$185</f>
        <v>2.8743393796941286E-6</v>
      </c>
      <c r="C22" s="113">
        <f>C29*About!$C$186</f>
        <v>4.5510906101371202E-6</v>
      </c>
    </row>
    <row r="23" spans="1:5" s="113" customFormat="1">
      <c r="A23" s="113" t="str">
        <f t="shared" si="9"/>
        <v>Residential Buildings Sector</v>
      </c>
      <c r="B23" s="113">
        <f>B30*About!$C$185</f>
        <v>1.2096178222879459E-5</v>
      </c>
      <c r="C23" s="113">
        <f>C30*About!$C$186</f>
        <v>1.3229022114933232E-5</v>
      </c>
    </row>
    <row r="24" spans="1:5" s="113" customFormat="1">
      <c r="A24" s="113" t="str">
        <f t="shared" si="9"/>
        <v>Commercial Buildings Sector</v>
      </c>
      <c r="B24" s="113">
        <f>B31*About!$C$185</f>
        <v>8.3663806944668385E-6</v>
      </c>
      <c r="C24" s="113">
        <f>C31*About!$C$186</f>
        <v>9.1499177004276514E-6</v>
      </c>
    </row>
    <row r="25" spans="1:5" s="113" customFormat="1">
      <c r="A25" s="113" t="str">
        <f t="shared" si="9"/>
        <v>Industry Sector</v>
      </c>
      <c r="B25" s="113">
        <f>B32*About!$C$185</f>
        <v>6.4587090228246048E-6</v>
      </c>
      <c r="C25" s="113">
        <f>C32*About!$C$186</f>
        <v>7.9582805283187692E-6</v>
      </c>
    </row>
    <row r="26" spans="1:5" s="113" customFormat="1"/>
    <row r="27" spans="1:5" s="113" customFormat="1">
      <c r="A27" s="33" t="s">
        <v>1277</v>
      </c>
    </row>
    <row r="28" spans="1:5" s="113" customFormat="1">
      <c r="B28" s="113">
        <f>'DOE EIA natural gas'!B87</f>
        <v>2020</v>
      </c>
      <c r="C28" s="113">
        <f>'DOE EIA natural gas'!C87</f>
        <v>2021</v>
      </c>
    </row>
    <row r="29" spans="1:5" s="113" customFormat="1">
      <c r="A29" s="113" t="str">
        <f>'DOE EIA natural gas'!A88</f>
        <v>Electricity Sector</v>
      </c>
      <c r="B29" s="113">
        <f>'DOE EIA natural gas'!B88</f>
        <v>3.2401157184185149E-6</v>
      </c>
      <c r="C29" s="113">
        <f>'DOE EIA natural gas'!C88</f>
        <v>5.3712632594021216E-6</v>
      </c>
    </row>
    <row r="30" spans="1:5" s="113" customFormat="1">
      <c r="A30" s="113" t="str">
        <f>'DOE EIA natural gas'!A89</f>
        <v>Residential Buildings Sector</v>
      </c>
      <c r="B30" s="113">
        <f>'DOE EIA natural gas'!B89</f>
        <v>1.3635486981677918E-5</v>
      </c>
      <c r="C30" s="113">
        <f>'DOE EIA natural gas'!C89</f>
        <v>1.5613084100212662E-5</v>
      </c>
    </row>
    <row r="31" spans="1:5" s="113" customFormat="1">
      <c r="A31" s="113" t="str">
        <f>'DOE EIA natural gas'!A90</f>
        <v>Commercial Buildings Sector</v>
      </c>
      <c r="B31" s="113">
        <f>'DOE EIA natural gas'!B90</f>
        <v>9.4310511089681776E-6</v>
      </c>
      <c r="C31" s="113">
        <f>'DOE EIA natural gas'!C90</f>
        <v>1.0798865806229124E-5</v>
      </c>
    </row>
    <row r="32" spans="1:5" s="113" customFormat="1">
      <c r="A32" s="113" t="str">
        <f>'DOE EIA natural gas'!A91</f>
        <v>Industry Sector</v>
      </c>
      <c r="B32" s="113">
        <f>'DOE EIA natural gas'!B91</f>
        <v>7.2806171648987462E-6</v>
      </c>
      <c r="C32" s="113">
        <f>'DOE EIA natural gas'!C91</f>
        <v>9.3924783027965283E-6</v>
      </c>
    </row>
    <row r="33" spans="1:30" s="113" customFormat="1"/>
    <row r="34" spans="1:30" ht="15.5">
      <c r="A34" s="157" t="s">
        <v>1278</v>
      </c>
      <c r="B34" s="38"/>
      <c r="C34" s="38"/>
      <c r="D34" s="38"/>
      <c r="E34" s="38"/>
    </row>
    <row r="35" spans="1:30">
      <c r="A35" s="32"/>
      <c r="B35" s="32">
        <v>2022</v>
      </c>
      <c r="C35" s="32">
        <f>'AEO 2022 Pacific region Table 3'!H1</f>
        <v>2023</v>
      </c>
      <c r="D35" s="32">
        <f>'AEO 2022 Pacific region Table 3'!I1</f>
        <v>2024</v>
      </c>
      <c r="E35" s="32">
        <f>'AEO 2022 Pacific region Table 3'!J1</f>
        <v>2025</v>
      </c>
      <c r="F35" s="32">
        <f>'AEO 2022 Pacific region Table 3'!K1</f>
        <v>2026</v>
      </c>
      <c r="G35" s="32">
        <f>'AEO 2022 Pacific region Table 3'!L1</f>
        <v>2027</v>
      </c>
      <c r="H35" s="32">
        <f>'AEO 2022 Pacific region Table 3'!M1</f>
        <v>2028</v>
      </c>
      <c r="I35" s="32">
        <f>'AEO 2022 Pacific region Table 3'!N1</f>
        <v>2029</v>
      </c>
      <c r="J35" s="32">
        <f>'AEO 2022 Pacific region Table 3'!O1</f>
        <v>2030</v>
      </c>
      <c r="K35" s="32">
        <f>'AEO 2022 Pacific region Table 3'!P1</f>
        <v>2031</v>
      </c>
      <c r="L35" s="32">
        <f>'AEO 2022 Pacific region Table 3'!Q1</f>
        <v>2032</v>
      </c>
      <c r="M35" s="32">
        <f>'AEO 2022 Pacific region Table 3'!R1</f>
        <v>2033</v>
      </c>
      <c r="N35" s="32">
        <f>'AEO 2022 Pacific region Table 3'!S1</f>
        <v>2034</v>
      </c>
      <c r="O35" s="32">
        <f>'AEO 2022 Pacific region Table 3'!T1</f>
        <v>2035</v>
      </c>
      <c r="P35" s="32">
        <f>'AEO 2022 Pacific region Table 3'!U1</f>
        <v>2036</v>
      </c>
      <c r="Q35" s="32">
        <f>'AEO 2022 Pacific region Table 3'!V1</f>
        <v>2037</v>
      </c>
      <c r="R35" s="32">
        <f>'AEO 2022 Pacific region Table 3'!W1</f>
        <v>2038</v>
      </c>
      <c r="S35" s="32">
        <f>'AEO 2022 Pacific region Table 3'!X1</f>
        <v>2039</v>
      </c>
      <c r="T35" s="32">
        <f>'AEO 2022 Pacific region Table 3'!Y1</f>
        <v>2040</v>
      </c>
      <c r="U35" s="32">
        <f>'AEO 2022 Pacific region Table 3'!Z1</f>
        <v>2041</v>
      </c>
      <c r="V35" s="32">
        <f>'AEO 2022 Pacific region Table 3'!AA1</f>
        <v>2042</v>
      </c>
      <c r="W35" s="32">
        <f>'AEO 2022 Pacific region Table 3'!AB1</f>
        <v>2043</v>
      </c>
      <c r="X35" s="32">
        <f>'AEO 2022 Pacific region Table 3'!AC1</f>
        <v>2044</v>
      </c>
      <c r="Y35" s="32">
        <f>'AEO 2022 Pacific region Table 3'!AD1</f>
        <v>2045</v>
      </c>
      <c r="Z35" s="32">
        <f>'AEO 2022 Pacific region Table 3'!AE1</f>
        <v>2046</v>
      </c>
      <c r="AA35" s="32">
        <f>'AEO 2022 Pacific region Table 3'!AF1</f>
        <v>2047</v>
      </c>
      <c r="AB35" s="32">
        <f>'AEO 2022 Pacific region Table 3'!AG1</f>
        <v>2048</v>
      </c>
      <c r="AC35" s="32">
        <f>'AEO 2022 Pacific region Table 3'!AH1</f>
        <v>2049</v>
      </c>
      <c r="AD35" s="32">
        <f>'AEO 2022 Pacific region Table 3'!AI1</f>
        <v>2050</v>
      </c>
    </row>
    <row r="36" spans="1:30">
      <c r="A36" s="32" t="s">
        <v>164</v>
      </c>
      <c r="B36" s="32">
        <f>'CEC Residential NG'!D51</f>
        <v>3.0303220734344296E-2</v>
      </c>
      <c r="C36" s="64">
        <f>'CEC Residential NG'!E51</f>
        <v>3.1636039505338047E-2</v>
      </c>
      <c r="D36" s="64">
        <f>'CEC Residential NG'!F51</f>
        <v>3.1465978614881963E-2</v>
      </c>
      <c r="E36" s="64">
        <f>'CEC Residential NG'!G51</f>
        <v>3.3365134999087227E-2</v>
      </c>
      <c r="F36" s="64">
        <f>'CEC Residential NG'!H51</f>
        <v>3.4551470726734479E-2</v>
      </c>
      <c r="G36" s="64">
        <f>'CEC Residential NG'!I51</f>
        <v>3.4834933531452519E-2</v>
      </c>
      <c r="H36" s="64">
        <f>'CEC Residential NG'!J51</f>
        <v>3.9221258769671502E-2</v>
      </c>
      <c r="I36" s="64">
        <f>'CEC Residential NG'!K51</f>
        <v>3.7576773061059533E-2</v>
      </c>
      <c r="J36" s="64">
        <f>'CEC Residential NG'!L51</f>
        <v>4.0299321383669283E-2</v>
      </c>
      <c r="K36" s="64">
        <f>'CEC Residential NG'!M51</f>
        <v>2.6747425651082225E-2</v>
      </c>
      <c r="L36" s="64">
        <f>'CEC Residential NG'!N51</f>
        <v>3.4586373940215971E-2</v>
      </c>
      <c r="M36" s="64">
        <f>'CEC Residential NG'!O51</f>
        <v>3.4592480611811409E-2</v>
      </c>
      <c r="N36" s="64">
        <f>'CEC Residential NG'!P51</f>
        <v>3.4623868100050546E-2</v>
      </c>
      <c r="O36" s="64">
        <f>'CEC Residential NG'!Q51</f>
        <v>3.4681679025161206E-2</v>
      </c>
      <c r="P36" s="64">
        <f>P39</f>
        <v>5.2295645475646294E-4</v>
      </c>
      <c r="Q36" s="64">
        <f t="shared" ref="Q36:AD36" si="10">Q39</f>
        <v>4.6043506419900298E-3</v>
      </c>
      <c r="R36" s="64">
        <f t="shared" si="10"/>
        <v>1.8500372128055931E-3</v>
      </c>
      <c r="S36" s="64">
        <f t="shared" si="10"/>
        <v>3.0697780240341471E-3</v>
      </c>
      <c r="T36" s="64">
        <f t="shared" si="10"/>
        <v>1.6719262303175112E-3</v>
      </c>
      <c r="U36" s="64">
        <f t="shared" si="10"/>
        <v>1.6906531675779722E-3</v>
      </c>
      <c r="V36" s="64">
        <f t="shared" si="10"/>
        <v>-5.6211253542450543E-4</v>
      </c>
      <c r="W36" s="64">
        <f t="shared" si="10"/>
        <v>3.2588904918266526E-4</v>
      </c>
      <c r="X36" s="64">
        <f t="shared" si="10"/>
        <v>-2.6102003339723095E-3</v>
      </c>
      <c r="Y36" s="64">
        <f t="shared" si="10"/>
        <v>1.2533056896264817E-3</v>
      </c>
      <c r="Z36" s="64">
        <f t="shared" si="10"/>
        <v>7.9697970039199989E-4</v>
      </c>
      <c r="AA36" s="64">
        <f t="shared" si="10"/>
        <v>1.5557711658940715E-3</v>
      </c>
      <c r="AB36" s="64">
        <f t="shared" si="10"/>
        <v>8.7321404128306272E-5</v>
      </c>
      <c r="AC36" s="64">
        <f t="shared" si="10"/>
        <v>3.1741986319942586E-3</v>
      </c>
      <c r="AD36" s="64">
        <f t="shared" si="10"/>
        <v>8.8740169634629249E-4</v>
      </c>
    </row>
    <row r="37" spans="1:30">
      <c r="A37" s="32" t="s">
        <v>165</v>
      </c>
      <c r="B37" s="32">
        <f t="shared" ref="B37:O37" si="11">B40</f>
        <v>1.8527477835124116E-2</v>
      </c>
      <c r="C37" s="64">
        <f t="shared" si="11"/>
        <v>2.6691100248040115E-2</v>
      </c>
      <c r="D37" s="64">
        <f t="shared" si="11"/>
        <v>2.3580308802066022E-2</v>
      </c>
      <c r="E37" s="64">
        <f t="shared" si="11"/>
        <v>2.8291877241201049E-2</v>
      </c>
      <c r="F37" s="64">
        <f t="shared" si="11"/>
        <v>2.8778092332489694E-2</v>
      </c>
      <c r="G37" s="64">
        <f t="shared" si="11"/>
        <v>2.7095049933631998E-2</v>
      </c>
      <c r="H37" s="64">
        <f t="shared" si="11"/>
        <v>3.7465707347607791E-2</v>
      </c>
      <c r="I37" s="64">
        <f t="shared" si="11"/>
        <v>2.8861800321191778E-2</v>
      </c>
      <c r="J37" s="64">
        <f t="shared" si="11"/>
        <v>3.3823772225720611E-2</v>
      </c>
      <c r="K37" s="64">
        <f t="shared" si="11"/>
        <v>2.1249246884207221E-2</v>
      </c>
      <c r="L37" s="64">
        <f t="shared" si="11"/>
        <v>2.8591989740321316E-2</v>
      </c>
      <c r="M37" s="64">
        <f t="shared" si="11"/>
        <v>2.8681709978988987E-2</v>
      </c>
      <c r="N37" s="64">
        <f t="shared" si="11"/>
        <v>2.883863547810378E-2</v>
      </c>
      <c r="O37" s="64">
        <f t="shared" si="11"/>
        <v>2.8977550801770377E-2</v>
      </c>
      <c r="P37" s="64">
        <f>'AEO 2022 Pacific region Table 3'!U34</f>
        <v>-2.0049654574000476E-3</v>
      </c>
      <c r="Q37" s="64">
        <f>'AEO 2022 Pacific region Table 3'!V34</f>
        <v>7.938956712407407E-4</v>
      </c>
      <c r="R37" s="64">
        <f>'AEO 2022 Pacific region Table 3'!W34</f>
        <v>4.0529398381314178E-3</v>
      </c>
      <c r="S37" s="64">
        <f>'AEO 2022 Pacific region Table 3'!X34</f>
        <v>-4.9936254116177701E-4</v>
      </c>
      <c r="T37" s="64">
        <f>'AEO 2022 Pacific region Table 3'!Y34</f>
        <v>8.5211167239385138E-3</v>
      </c>
      <c r="U37" s="64">
        <f>'AEO 2022 Pacific region Table 3'!Z34</f>
        <v>-1.3377905415696443E-3</v>
      </c>
      <c r="V37" s="64">
        <f>'AEO 2022 Pacific region Table 3'!AA34</f>
        <v>-5.6471059302735608E-3</v>
      </c>
      <c r="W37" s="64">
        <f>'AEO 2022 Pacific region Table 3'!AB34</f>
        <v>-2.582905440519635E-3</v>
      </c>
      <c r="X37" s="64">
        <f>'AEO 2022 Pacific region Table 3'!AC34</f>
        <v>-1.2966730017176742E-2</v>
      </c>
      <c r="Y37" s="64">
        <f>'AEO 2022 Pacific region Table 3'!AD34</f>
        <v>-3.6046917206929274E-3</v>
      </c>
      <c r="Z37" s="64">
        <f>'AEO 2022 Pacific region Table 3'!AE34</f>
        <v>-1.445104952123901E-3</v>
      </c>
      <c r="AA37" s="64">
        <f>'AEO 2022 Pacific region Table 3'!AF34</f>
        <v>-2.9484707716927873E-3</v>
      </c>
      <c r="AB37" s="64">
        <f>'AEO 2022 Pacific region Table 3'!AG34</f>
        <v>3.816364413015682E-3</v>
      </c>
      <c r="AC37" s="64">
        <f>'AEO 2022 Pacific region Table 3'!AH34</f>
        <v>-5.1962002416111137E-3</v>
      </c>
      <c r="AD37" s="64">
        <f>'AEO 2022 Pacific region Table 3'!AI34</f>
        <v>-2.4165724501554213E-3</v>
      </c>
    </row>
    <row r="38" spans="1:30">
      <c r="A38" s="32" t="s">
        <v>166</v>
      </c>
      <c r="B38" s="32">
        <f>'CEC Residential NG'!D51</f>
        <v>3.0303220734344296E-2</v>
      </c>
      <c r="C38" s="64">
        <f>'CEC Residential NG'!E51</f>
        <v>3.1636039505338047E-2</v>
      </c>
      <c r="D38" s="64">
        <f>'CEC Residential NG'!F51</f>
        <v>3.1465978614881963E-2</v>
      </c>
      <c r="E38" s="64">
        <f>'CEC Residential NG'!G51</f>
        <v>3.3365134999087227E-2</v>
      </c>
      <c r="F38" s="64">
        <f>'CEC Residential NG'!H51</f>
        <v>3.4551470726734479E-2</v>
      </c>
      <c r="G38" s="64">
        <f>'CEC Residential NG'!I51</f>
        <v>3.4834933531452519E-2</v>
      </c>
      <c r="H38" s="64">
        <f>'CEC Residential NG'!J51</f>
        <v>3.9221258769671502E-2</v>
      </c>
      <c r="I38" s="64">
        <f>'CEC Residential NG'!K51</f>
        <v>3.7576773061059533E-2</v>
      </c>
      <c r="J38" s="64">
        <f>'CEC Residential NG'!L51</f>
        <v>4.0299321383669283E-2</v>
      </c>
      <c r="K38" s="64">
        <f>'CEC Residential NG'!M51</f>
        <v>2.6747425651082225E-2</v>
      </c>
      <c r="L38" s="64">
        <f>'CEC Residential NG'!N51</f>
        <v>3.4586373940215971E-2</v>
      </c>
      <c r="M38" s="64">
        <f>'CEC Residential NG'!O51</f>
        <v>3.4592480611811409E-2</v>
      </c>
      <c r="N38" s="64">
        <f>'CEC Residential NG'!P51</f>
        <v>3.4623868100050546E-2</v>
      </c>
      <c r="O38" s="64">
        <f>'CEC Residential NG'!Q51</f>
        <v>3.4681679025161206E-2</v>
      </c>
      <c r="P38" s="64">
        <f>'AEO 2022 Pacific region Table 3'!U5</f>
        <v>1.2035508139050116E-3</v>
      </c>
      <c r="Q38" s="64">
        <f>'AEO 2022 Pacific region Table 3'!V5</f>
        <v>4.3229209443401409E-3</v>
      </c>
      <c r="R38" s="64">
        <f>'AEO 2022 Pacific region Table 3'!W5</f>
        <v>1.9873045566492051E-3</v>
      </c>
      <c r="S38" s="64">
        <f>'AEO 2022 Pacific region Table 3'!X5</f>
        <v>3.0144287955079867E-3</v>
      </c>
      <c r="T38" s="64">
        <f>'AEO 2022 Pacific region Table 3'!Y5</f>
        <v>1.6960467179241755E-3</v>
      </c>
      <c r="U38" s="64">
        <f>'AEO 2022 Pacific region Table 3'!Z5</f>
        <v>1.9847878726834585E-3</v>
      </c>
      <c r="V38" s="64">
        <f>'AEO 2022 Pacific region Table 3'!AA5</f>
        <v>7.2587405048131606E-5</v>
      </c>
      <c r="W38" s="64">
        <f>'AEO 2022 Pacific region Table 3'!AB5</f>
        <v>6.0619366422227981E-4</v>
      </c>
      <c r="X38" s="64">
        <f>'AEO 2022 Pacific region Table 3'!AC5</f>
        <v>-1.4365468339617557E-3</v>
      </c>
      <c r="Y38" s="64">
        <f>'AEO 2022 Pacific region Table 3'!AD5</f>
        <v>1.5703477183816451E-3</v>
      </c>
      <c r="Z38" s="64">
        <f>'AEO 2022 Pacific region Table 3'!AE5</f>
        <v>9.9193810525428786E-4</v>
      </c>
      <c r="AA38" s="64">
        <f>'AEO 2022 Pacific region Table 3'!AF5</f>
        <v>1.6376765523795343E-3</v>
      </c>
      <c r="AB38" s="64">
        <f>'AEO 2022 Pacific region Table 3'!AG5</f>
        <v>1.92247317334246E-4</v>
      </c>
      <c r="AC38" s="64">
        <f>'AEO 2022 Pacific region Table 3'!AH5</f>
        <v>2.7490949419299911E-3</v>
      </c>
      <c r="AD38" s="64">
        <f>'AEO 2022 Pacific region Table 3'!AI5</f>
        <v>9.7119026456071495E-4</v>
      </c>
    </row>
    <row r="39" spans="1:30">
      <c r="A39" s="32" t="s">
        <v>167</v>
      </c>
      <c r="B39" s="32">
        <f>'CEC Comm NG'!D51</f>
        <v>2.7290503686397915E-2</v>
      </c>
      <c r="C39" s="64">
        <f>'CEC Comm NG'!E51</f>
        <v>3.2029186804072962E-2</v>
      </c>
      <c r="D39" s="64">
        <f>'CEC Comm NG'!F51</f>
        <v>3.2402756234743514E-2</v>
      </c>
      <c r="E39" s="64">
        <f>'CEC Comm NG'!G51</f>
        <v>3.5600296398870551E-2</v>
      </c>
      <c r="F39" s="64">
        <f>'CEC Comm NG'!H51</f>
        <v>3.6655410979540212E-2</v>
      </c>
      <c r="G39" s="64">
        <f>'CEC Comm NG'!I51</f>
        <v>3.6951912589090148E-2</v>
      </c>
      <c r="H39" s="64">
        <f>'CEC Comm NG'!J51</f>
        <v>4.1940493984853867E-2</v>
      </c>
      <c r="I39" s="64">
        <f>'CEC Comm NG'!K51</f>
        <v>3.8314177487380155E-2</v>
      </c>
      <c r="J39" s="64">
        <f>'CEC Comm NG'!L51</f>
        <v>3.8772448432099788E-2</v>
      </c>
      <c r="K39" s="64">
        <f>'CEC Comm NG'!M51</f>
        <v>2.8440311772132749E-2</v>
      </c>
      <c r="L39" s="64">
        <f>'CEC Comm NG'!N51</f>
        <v>3.5606358986129377E-2</v>
      </c>
      <c r="M39" s="64">
        <f>'CEC Comm NG'!O51</f>
        <v>3.5809330738227611E-2</v>
      </c>
      <c r="N39" s="64">
        <f>'CEC Comm NG'!P51</f>
        <v>3.6023912567898317E-2</v>
      </c>
      <c r="O39" s="64">
        <f>'CEC Comm NG'!Q51</f>
        <v>3.6179950994140973E-2</v>
      </c>
      <c r="P39" s="64">
        <f>'AEO 2022 Pacific region Table 3'!U11</f>
        <v>5.2295645475646294E-4</v>
      </c>
      <c r="Q39" s="64">
        <f>'AEO 2022 Pacific region Table 3'!V11</f>
        <v>4.6043506419900298E-3</v>
      </c>
      <c r="R39" s="64">
        <f>'AEO 2022 Pacific region Table 3'!W11</f>
        <v>1.8500372128055931E-3</v>
      </c>
      <c r="S39" s="64">
        <f>'AEO 2022 Pacific region Table 3'!X11</f>
        <v>3.0697780240341471E-3</v>
      </c>
      <c r="T39" s="64">
        <f>'AEO 2022 Pacific region Table 3'!Y11</f>
        <v>1.6719262303175112E-3</v>
      </c>
      <c r="U39" s="64">
        <f>'AEO 2022 Pacific region Table 3'!Z11</f>
        <v>1.6906531675779722E-3</v>
      </c>
      <c r="V39" s="64">
        <f>'AEO 2022 Pacific region Table 3'!AA11</f>
        <v>-5.6211253542450543E-4</v>
      </c>
      <c r="W39" s="64">
        <f>'AEO 2022 Pacific region Table 3'!AB11</f>
        <v>3.2588904918266526E-4</v>
      </c>
      <c r="X39" s="64">
        <f>'AEO 2022 Pacific region Table 3'!AC11</f>
        <v>-2.6102003339723095E-3</v>
      </c>
      <c r="Y39" s="64">
        <f>'AEO 2022 Pacific region Table 3'!AD11</f>
        <v>1.2533056896264817E-3</v>
      </c>
      <c r="Z39" s="64">
        <f>'AEO 2022 Pacific region Table 3'!AE11</f>
        <v>7.9697970039199989E-4</v>
      </c>
      <c r="AA39" s="64">
        <f>'AEO 2022 Pacific region Table 3'!AF11</f>
        <v>1.5557711658940715E-3</v>
      </c>
      <c r="AB39" s="64">
        <f>'AEO 2022 Pacific region Table 3'!AG11</f>
        <v>8.7321404128306272E-5</v>
      </c>
      <c r="AC39" s="64">
        <f>'AEO 2022 Pacific region Table 3'!AH11</f>
        <v>3.1741986319942586E-3</v>
      </c>
      <c r="AD39" s="64">
        <f>'AEO 2022 Pacific region Table 3'!AI11</f>
        <v>8.8740169634629249E-4</v>
      </c>
    </row>
    <row r="40" spans="1:30">
      <c r="A40" s="32" t="s">
        <v>168</v>
      </c>
      <c r="B40" s="32">
        <f>'CEC Ind NG'!E52</f>
        <v>1.8527477835124116E-2</v>
      </c>
      <c r="C40" s="64">
        <f>'CEC Ind NG'!F52</f>
        <v>2.6691100248040115E-2</v>
      </c>
      <c r="D40" s="64">
        <f>'CEC Ind NG'!G52</f>
        <v>2.3580308802066022E-2</v>
      </c>
      <c r="E40" s="64">
        <f>'CEC Ind NG'!H52</f>
        <v>2.8291877241201049E-2</v>
      </c>
      <c r="F40" s="64">
        <f>'CEC Ind NG'!I52</f>
        <v>2.8778092332489694E-2</v>
      </c>
      <c r="G40" s="64">
        <f>'CEC Ind NG'!J52</f>
        <v>2.7095049933631998E-2</v>
      </c>
      <c r="H40" s="64">
        <f>'CEC Ind NG'!K52</f>
        <v>3.7465707347607791E-2</v>
      </c>
      <c r="I40" s="64">
        <f>'CEC Ind NG'!L52</f>
        <v>2.8861800321191778E-2</v>
      </c>
      <c r="J40" s="64">
        <f>'CEC Ind NG'!M52</f>
        <v>3.3823772225720611E-2</v>
      </c>
      <c r="K40" s="64">
        <f>'CEC Ind NG'!N52</f>
        <v>2.1249246884207221E-2</v>
      </c>
      <c r="L40" s="64">
        <f>'CEC Ind NG'!O52</f>
        <v>2.8591989740321316E-2</v>
      </c>
      <c r="M40" s="64">
        <f>'CEC Ind NG'!P52</f>
        <v>2.8681709978988987E-2</v>
      </c>
      <c r="N40" s="64">
        <f>'CEC Ind NG'!Q52</f>
        <v>2.883863547810378E-2</v>
      </c>
      <c r="O40" s="64">
        <f>'CEC Ind NG'!R52</f>
        <v>2.8977550801770377E-2</v>
      </c>
      <c r="P40" s="64">
        <f>'AEO 2022 Pacific region Table 3'!U17</f>
        <v>6.1067710305490891E-4</v>
      </c>
      <c r="Q40" s="64">
        <f>'AEO 2022 Pacific region Table 3'!V17</f>
        <v>3.4692141793324807E-3</v>
      </c>
      <c r="R40" s="64">
        <f>'AEO 2022 Pacific region Table 3'!W17</f>
        <v>1.9393576356058441E-3</v>
      </c>
      <c r="S40" s="64">
        <f>'AEO 2022 Pacific region Table 3'!X17</f>
        <v>8.8608804673554614E-4</v>
      </c>
      <c r="T40" s="64">
        <f>'AEO 2022 Pacific region Table 3'!Y17</f>
        <v>5.0988341940390756E-3</v>
      </c>
      <c r="U40" s="64">
        <f>'AEO 2022 Pacific region Table 3'!Z17</f>
        <v>1.4790101585159083E-3</v>
      </c>
      <c r="V40" s="64">
        <f>'AEO 2022 Pacific region Table 3'!AA17</f>
        <v>-4.5664869453915201E-3</v>
      </c>
      <c r="W40" s="64">
        <f>'AEO 2022 Pacific region Table 3'!AB17</f>
        <v>-1.0686973075877133E-3</v>
      </c>
      <c r="X40" s="64">
        <f>'AEO 2022 Pacific region Table 3'!AC17</f>
        <v>-9.8411399901294078E-3</v>
      </c>
      <c r="Y40" s="64">
        <f>'AEO 2022 Pacific region Table 3'!AD17</f>
        <v>-2.759255405777988E-3</v>
      </c>
      <c r="Z40" s="64">
        <f>'AEO 2022 Pacific region Table 3'!AE17</f>
        <v>-1.6884998930213743E-3</v>
      </c>
      <c r="AA40" s="64">
        <f>'AEO 2022 Pacific region Table 3'!AF17</f>
        <v>-6.0340856239176417E-4</v>
      </c>
      <c r="AB40" s="64">
        <f>'AEO 2022 Pacific region Table 3'!AG17</f>
        <v>6.234491150559474E-4</v>
      </c>
      <c r="AC40" s="64">
        <f>'AEO 2022 Pacific region Table 3'!AH17</f>
        <v>-2.1212785381670993E-3</v>
      </c>
      <c r="AD40" s="64">
        <f>'AEO 2022 Pacific region Table 3'!AI17</f>
        <v>-9.033657681498657E-4</v>
      </c>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1D616-9C66-4EEE-A68A-03EF3F6E2323}">
  <sheetPr>
    <tabColor theme="9" tint="0.79998168889431442"/>
  </sheetPr>
  <dimension ref="A1:AN52"/>
  <sheetViews>
    <sheetView topLeftCell="A31" workbookViewId="0">
      <selection activeCell="E39" sqref="E39"/>
    </sheetView>
  </sheetViews>
  <sheetFormatPr defaultRowHeight="14.5"/>
  <cols>
    <col min="1" max="1" width="25.453125" customWidth="1"/>
    <col min="2" max="2" width="17.26953125" customWidth="1"/>
    <col min="3" max="3" width="15.453125" bestFit="1" customWidth="1"/>
    <col min="4" max="6" width="11.81640625" bestFit="1" customWidth="1"/>
    <col min="14" max="14" width="11.81640625" bestFit="1" customWidth="1"/>
  </cols>
  <sheetData>
    <row r="1" spans="1:40" s="113" customFormat="1">
      <c r="B1" s="113">
        <v>2020</v>
      </c>
      <c r="C1" s="113">
        <v>2021</v>
      </c>
      <c r="D1" s="113">
        <v>2022</v>
      </c>
      <c r="E1" s="113">
        <v>2023</v>
      </c>
      <c r="F1" s="113">
        <v>2024</v>
      </c>
      <c r="G1" s="113">
        <v>2025</v>
      </c>
      <c r="H1" s="113">
        <v>2026</v>
      </c>
      <c r="I1" s="113">
        <v>2027</v>
      </c>
      <c r="J1" s="113">
        <v>2028</v>
      </c>
      <c r="K1" s="113">
        <v>2029</v>
      </c>
      <c r="L1" s="113">
        <v>2030</v>
      </c>
      <c r="M1" s="113">
        <v>2031</v>
      </c>
      <c r="N1" s="113">
        <v>2032</v>
      </c>
      <c r="O1" s="113">
        <v>2033</v>
      </c>
      <c r="P1" s="113">
        <v>2034</v>
      </c>
      <c r="Q1" s="113">
        <v>2035</v>
      </c>
      <c r="R1" s="113">
        <v>2036</v>
      </c>
      <c r="S1" s="113">
        <v>2037</v>
      </c>
      <c r="T1" s="113">
        <v>2038</v>
      </c>
      <c r="U1" s="113">
        <v>2039</v>
      </c>
      <c r="V1" s="113">
        <v>2040</v>
      </c>
      <c r="W1" s="113">
        <v>2041</v>
      </c>
      <c r="X1" s="113">
        <v>2042</v>
      </c>
      <c r="Y1" s="113">
        <v>2043</v>
      </c>
      <c r="Z1" s="113">
        <v>2044</v>
      </c>
      <c r="AA1" s="113">
        <v>2045</v>
      </c>
      <c r="AB1" s="113">
        <v>2046</v>
      </c>
      <c r="AC1" s="113">
        <v>2047</v>
      </c>
      <c r="AD1" s="113">
        <v>2048</v>
      </c>
      <c r="AE1" s="113">
        <v>2049</v>
      </c>
      <c r="AF1" s="113">
        <v>2050</v>
      </c>
    </row>
    <row r="2" spans="1:40" s="113" customFormat="1">
      <c r="A2" s="33" t="s">
        <v>725</v>
      </c>
    </row>
    <row r="3" spans="1:40" s="113" customFormat="1">
      <c r="A3" s="113" t="s">
        <v>164</v>
      </c>
      <c r="B3" s="113">
        <f>(1-'Sales taxes'!$B$1)*B18</f>
        <v>1.4373142092040504E-5</v>
      </c>
      <c r="C3" s="113">
        <f>(1-'Sales taxes'!$B$1)*C18</f>
        <v>1.2242774281281169E-5</v>
      </c>
      <c r="D3" s="113">
        <f>(1-'Sales taxes'!$B$1)*D18</f>
        <v>1.6026620227730776E-5</v>
      </c>
      <c r="E3" s="113">
        <f>(1-'Sales taxes'!$B$1)*E18</f>
        <v>1.6577742271869668E-5</v>
      </c>
      <c r="F3" s="113">
        <f>(1-'Sales taxes'!$B$1)*F18</f>
        <v>1.5214833291784348E-5</v>
      </c>
      <c r="G3" s="113">
        <f>(1-'Sales taxes'!$B$1)*G18</f>
        <v>1.5217032732537936E-5</v>
      </c>
      <c r="H3" s="113">
        <f>(1-'Sales taxes'!$B$1)*H18</f>
        <v>1.5127029991031237E-5</v>
      </c>
      <c r="I3" s="113">
        <f>(1-'Sales taxes'!$B$1)*I18</f>
        <v>1.5244433157696057E-5</v>
      </c>
      <c r="J3" s="113">
        <f>(1-'Sales taxes'!$B$1)*J18</f>
        <v>1.5556638127285772E-5</v>
      </c>
      <c r="K3" s="113">
        <f>(1-'Sales taxes'!$B$1)*K18</f>
        <v>1.5982007259246027E-5</v>
      </c>
      <c r="L3" s="113">
        <f>(1-'Sales taxes'!$B$1)*L18</f>
        <v>1.625572066075635E-5</v>
      </c>
      <c r="M3" s="113">
        <f>(1-'Sales taxes'!$B$1)*M18</f>
        <v>1.6544621494230042E-5</v>
      </c>
      <c r="N3" s="113">
        <f>(1-'Sales taxes'!$B$1)*N18</f>
        <v>1.7105829351697289E-5</v>
      </c>
      <c r="O3" s="113">
        <f>(1-'Sales taxes'!$B$1)*O18</f>
        <v>1.7312949829364442E-5</v>
      </c>
      <c r="P3" s="113">
        <f>(1-'Sales taxes'!$B$1)*P18</f>
        <v>1.7555561241770771E-5</v>
      </c>
      <c r="Q3" s="113">
        <f>(1-'Sales taxes'!$B$1)*Q18</f>
        <v>1.7673218224801817E-5</v>
      </c>
      <c r="R3" s="113">
        <f>(1-'Sales taxes'!$B$1)*R18</f>
        <v>1.7752053949455711E-5</v>
      </c>
      <c r="S3" s="113">
        <f>(1-'Sales taxes'!$B$1)*S18</f>
        <v>1.7862938280835673E-5</v>
      </c>
      <c r="T3" s="113">
        <f>(1-'Sales taxes'!$B$1)*T18</f>
        <v>1.8005872122202798E-5</v>
      </c>
      <c r="U3" s="113">
        <f>(1-'Sales taxes'!$B$1)*U18</f>
        <v>1.8135847779976105E-5</v>
      </c>
      <c r="V3" s="113">
        <f>(1-'Sales taxes'!$B$1)*V18</f>
        <v>1.819766425917658E-5</v>
      </c>
      <c r="W3" s="113">
        <f>(1-'Sales taxes'!$B$1)*W18</f>
        <v>1.8411691974397196E-5</v>
      </c>
      <c r="X3" s="113">
        <f>(1-'Sales taxes'!$B$1)*X18</f>
        <v>1.8535143377319106E-5</v>
      </c>
      <c r="Y3" s="113">
        <f>(1-'Sales taxes'!$B$1)*Y18</f>
        <v>1.8542559150866104E-5</v>
      </c>
      <c r="Z3" s="113">
        <f>(1-'Sales taxes'!$B$1)*Z18</f>
        <v>1.8674951935315633E-5</v>
      </c>
      <c r="AA3" s="113">
        <f>(1-'Sales taxes'!$B$1)*AA18</f>
        <v>1.883320237498196E-5</v>
      </c>
      <c r="AB3" s="113">
        <f>(1-'Sales taxes'!$B$1)*AB18</f>
        <v>1.8852803140629931E-5</v>
      </c>
      <c r="AC3" s="113">
        <f>(1-'Sales taxes'!$B$1)*AC18</f>
        <v>1.8930058158376732E-5</v>
      </c>
      <c r="AD3" s="113">
        <f>(1-'Sales taxes'!$B$1)*AD18</f>
        <v>1.8980463740230164E-5</v>
      </c>
      <c r="AE3" s="113">
        <f>(1-'Sales taxes'!$B$1)*AE18</f>
        <v>1.9004943019023976E-5</v>
      </c>
      <c r="AF3" s="113">
        <f>(1-'Sales taxes'!$B$1)*AF18</f>
        <v>1.8986412617767377E-5</v>
      </c>
    </row>
    <row r="4" spans="1:40" s="113" customFormat="1">
      <c r="A4" s="113" t="s">
        <v>165</v>
      </c>
      <c r="B4" s="113">
        <f>B7</f>
        <v>1.4381360012047388E-5</v>
      </c>
      <c r="C4" s="113">
        <f t="shared" ref="C4:AF4" si="0">C7</f>
        <v>1.2249774152225298E-5</v>
      </c>
      <c r="D4" s="113">
        <f t="shared" si="0"/>
        <v>1.6035783532606552E-5</v>
      </c>
      <c r="E4" s="113">
        <f t="shared" si="0"/>
        <v>1.7013632680597167E-5</v>
      </c>
      <c r="F4" s="113">
        <f t="shared" si="0"/>
        <v>1.4917575827563672E-5</v>
      </c>
      <c r="G4" s="113">
        <f t="shared" si="0"/>
        <v>1.4897697399693123E-5</v>
      </c>
      <c r="H4" s="113">
        <f t="shared" si="0"/>
        <v>1.4757604499591881E-5</v>
      </c>
      <c r="I4" s="113">
        <f t="shared" si="0"/>
        <v>1.493380323556751E-5</v>
      </c>
      <c r="J4" s="113">
        <f t="shared" si="0"/>
        <v>1.5414304956100193E-5</v>
      </c>
      <c r="K4" s="113">
        <f t="shared" si="0"/>
        <v>1.6082143021506472E-5</v>
      </c>
      <c r="L4" s="113">
        <f t="shared" si="0"/>
        <v>1.652386470455602E-5</v>
      </c>
      <c r="M4" s="113">
        <f t="shared" si="0"/>
        <v>1.6990874343301809E-5</v>
      </c>
      <c r="N4" s="113">
        <f t="shared" si="0"/>
        <v>1.7409170020258745E-5</v>
      </c>
      <c r="O4" s="113">
        <f t="shared" si="0"/>
        <v>1.7753160507636056E-5</v>
      </c>
      <c r="P4" s="113">
        <f t="shared" si="0"/>
        <v>1.8086053352205377E-5</v>
      </c>
      <c r="Q4" s="113">
        <f t="shared" si="0"/>
        <v>1.828687707697293E-5</v>
      </c>
      <c r="R4" s="113">
        <f t="shared" si="0"/>
        <v>1.8422734747009858E-5</v>
      </c>
      <c r="S4" s="113">
        <f t="shared" si="0"/>
        <v>1.8610581247267273E-5</v>
      </c>
      <c r="T4" s="113">
        <f t="shared" si="0"/>
        <v>1.8852966179191054E-5</v>
      </c>
      <c r="U4" s="113">
        <f t="shared" si="0"/>
        <v>1.9075616090978916E-5</v>
      </c>
      <c r="V4" s="113">
        <f t="shared" si="0"/>
        <v>1.918526776072337E-5</v>
      </c>
      <c r="W4" s="113">
        <f t="shared" si="0"/>
        <v>1.954847958643308E-5</v>
      </c>
      <c r="X4" s="113">
        <f t="shared" si="0"/>
        <v>1.9764928876908349E-5</v>
      </c>
      <c r="Y4" s="113">
        <f t="shared" si="0"/>
        <v>1.9784568683712269E-5</v>
      </c>
      <c r="Z4" s="113">
        <f t="shared" si="0"/>
        <v>2.0012288411561016E-5</v>
      </c>
      <c r="AA4" s="113">
        <f t="shared" si="0"/>
        <v>2.028734797298735E-5</v>
      </c>
      <c r="AB4" s="113">
        <f t="shared" si="0"/>
        <v>2.032814159612138E-5</v>
      </c>
      <c r="AC4" s="113">
        <f t="shared" si="0"/>
        <v>2.0464045109614458E-5</v>
      </c>
      <c r="AD4" s="113">
        <f t="shared" si="0"/>
        <v>2.0555078458795869E-5</v>
      </c>
      <c r="AE4" s="113">
        <f t="shared" si="0"/>
        <v>2.0601206379468577E-5</v>
      </c>
      <c r="AF4" s="113">
        <f t="shared" si="0"/>
        <v>2.0573210133439784E-5</v>
      </c>
    </row>
    <row r="5" spans="1:40" s="113" customFormat="1">
      <c r="A5" s="113" t="s">
        <v>166</v>
      </c>
      <c r="B5" s="113">
        <f>(1-'Sales taxes'!$B$1)*B20</f>
        <v>2.2097986898511679E-5</v>
      </c>
      <c r="C5" s="113">
        <f>(1-'Sales taxes'!$B$1)*C20</f>
        <v>1.8822652968762194E-5</v>
      </c>
      <c r="D5" s="113">
        <f>(1-'Sales taxes'!$B$1)*D20</f>
        <v>2.4640126810959443E-5</v>
      </c>
      <c r="E5" s="113">
        <f>(1-'Sales taxes'!$B$1)*E20</f>
        <v>2.6630493591282817E-5</v>
      </c>
      <c r="F5" s="113">
        <f>(1-'Sales taxes'!$B$1)*F20</f>
        <v>2.6377096885477372E-5</v>
      </c>
      <c r="G5" s="113">
        <f>(1-'Sales taxes'!$B$1)*G20</f>
        <v>2.6427967520502388E-5</v>
      </c>
      <c r="H5" s="113">
        <f>(1-'Sales taxes'!$B$1)*H20</f>
        <v>2.6363698287082594E-5</v>
      </c>
      <c r="I5" s="113">
        <f>(1-'Sales taxes'!$B$1)*I20</f>
        <v>2.6461860251681107E-5</v>
      </c>
      <c r="J5" s="113">
        <f>(1-'Sales taxes'!$B$1)*J20</f>
        <v>2.682224848718319E-5</v>
      </c>
      <c r="K5" s="113">
        <f>(1-'Sales taxes'!$B$1)*K20</f>
        <v>2.7420280355859481E-5</v>
      </c>
      <c r="L5" s="113">
        <f>(1-'Sales taxes'!$B$1)*L20</f>
        <v>2.7985733778537268E-5</v>
      </c>
      <c r="M5" s="113">
        <f>(1-'Sales taxes'!$B$1)*M20</f>
        <v>2.8570730598907896E-5</v>
      </c>
      <c r="N5" s="113">
        <f>(1-'Sales taxes'!$B$1)*N20</f>
        <v>2.9336407226186476E-5</v>
      </c>
      <c r="O5" s="113">
        <f>(1-'Sales taxes'!$B$1)*O20</f>
        <v>2.9838672890946154E-5</v>
      </c>
      <c r="P5" s="113">
        <f>(1-'Sales taxes'!$B$1)*P20</f>
        <v>3.0336460123220038E-5</v>
      </c>
      <c r="Q5" s="113">
        <f>(1-'Sales taxes'!$B$1)*Q20</f>
        <v>3.0702309637978816E-5</v>
      </c>
      <c r="R5" s="113">
        <f>(1-'Sales taxes'!$B$1)*R20</f>
        <v>3.0979811893699504E-5</v>
      </c>
      <c r="S5" s="113">
        <f>(1-'Sales taxes'!$B$1)*S20</f>
        <v>3.1245788350064946E-5</v>
      </c>
      <c r="T5" s="113">
        <f>(1-'Sales taxes'!$B$1)*T20</f>
        <v>3.1534385191155075E-5</v>
      </c>
      <c r="U5" s="113">
        <f>(1-'Sales taxes'!$B$1)*U20</f>
        <v>3.1817591857422349E-5</v>
      </c>
      <c r="V5" s="113">
        <f>(1-'Sales taxes'!$B$1)*V20</f>
        <v>3.2027767389068411E-5</v>
      </c>
      <c r="W5" s="113">
        <f>(1-'Sales taxes'!$B$1)*W20</f>
        <v>3.2367277298474713E-5</v>
      </c>
      <c r="X5" s="113">
        <f>(1-'Sales taxes'!$B$1)*X20</f>
        <v>3.2662841227234803E-5</v>
      </c>
      <c r="Y5" s="113">
        <f>(1-'Sales taxes'!$B$1)*Y20</f>
        <v>3.2823718449320138E-5</v>
      </c>
      <c r="Z5" s="113">
        <f>(1-'Sales taxes'!$B$1)*Z20</f>
        <v>3.3057602722266829E-5</v>
      </c>
      <c r="AA5" s="113">
        <f>(1-'Sales taxes'!$B$1)*AA20</f>
        <v>3.3341830081213318E-5</v>
      </c>
      <c r="AB5" s="113">
        <f>(1-'Sales taxes'!$B$1)*AB20</f>
        <v>3.3503616751944296E-5</v>
      </c>
      <c r="AC5" s="113">
        <f>(1-'Sales taxes'!$B$1)*AC20</f>
        <v>3.3677725132951179E-5</v>
      </c>
      <c r="AD5" s="113">
        <f>(1-'Sales taxes'!$B$1)*AD20</f>
        <v>3.3821408844197301E-5</v>
      </c>
      <c r="AE5" s="113">
        <f>(1-'Sales taxes'!$B$1)*AE20</f>
        <v>3.3923802669454605E-5</v>
      </c>
      <c r="AF5" s="113">
        <f>(1-'Sales taxes'!$B$1)*AF20</f>
        <v>3.3960586598660644E-5</v>
      </c>
    </row>
    <row r="6" spans="1:40" s="113" customFormat="1">
      <c r="A6" s="113" t="s">
        <v>167</v>
      </c>
      <c r="B6" s="113">
        <f>(1-'Sales taxes'!$B$1)*B21</f>
        <v>1.3214415371069829E-5</v>
      </c>
      <c r="C6" s="113">
        <f>(1-'Sales taxes'!$B$1)*C21</f>
        <v>1.1255792478159018E-5</v>
      </c>
      <c r="D6" s="113">
        <f>(1-'Sales taxes'!$B$1)*D21</f>
        <v>1.4734594240246477E-5</v>
      </c>
      <c r="E6" s="113">
        <f>(1-'Sales taxes'!$B$1)*E21</f>
        <v>1.5532270113686572E-5</v>
      </c>
      <c r="F6" s="113">
        <f>(1-'Sales taxes'!$B$1)*F21</f>
        <v>1.4315480368710968E-5</v>
      </c>
      <c r="G6" s="113">
        <f>(1-'Sales taxes'!$B$1)*G21</f>
        <v>1.425706714077474E-5</v>
      </c>
      <c r="H6" s="113">
        <f>(1-'Sales taxes'!$B$1)*H21</f>
        <v>1.4158498788040892E-5</v>
      </c>
      <c r="I6" s="113">
        <f>(1-'Sales taxes'!$B$1)*I21</f>
        <v>1.4262081336839816E-5</v>
      </c>
      <c r="J6" s="113">
        <f>(1-'Sales taxes'!$B$1)*J21</f>
        <v>1.4565201446204368E-5</v>
      </c>
      <c r="K6" s="113">
        <f>(1-'Sales taxes'!$B$1)*K21</f>
        <v>1.4991544541777407E-5</v>
      </c>
      <c r="L6" s="113">
        <f>(1-'Sales taxes'!$B$1)*L21</f>
        <v>1.5283663214865323E-5</v>
      </c>
      <c r="M6" s="113">
        <f>(1-'Sales taxes'!$B$1)*M21</f>
        <v>1.5583588979465354E-5</v>
      </c>
      <c r="N6" s="113">
        <f>(1-'Sales taxes'!$B$1)*N21</f>
        <v>1.6044271673297364E-5</v>
      </c>
      <c r="O6" s="113">
        <f>(1-'Sales taxes'!$B$1)*O21</f>
        <v>1.6263755462744848E-5</v>
      </c>
      <c r="P6" s="113">
        <f>(1-'Sales taxes'!$B$1)*P21</f>
        <v>1.6499864115236565E-5</v>
      </c>
      <c r="Q6" s="113">
        <f>(1-'Sales taxes'!$B$1)*Q21</f>
        <v>1.6629195090084132E-5</v>
      </c>
      <c r="R6" s="113">
        <f>(1-'Sales taxes'!$B$1)*R21</f>
        <v>1.6716079856333898E-5</v>
      </c>
      <c r="S6" s="113">
        <f>(1-'Sales taxes'!$B$1)*S21</f>
        <v>1.6830600330872903E-5</v>
      </c>
      <c r="T6" s="113">
        <f>(1-'Sales taxes'!$B$1)*T21</f>
        <v>1.697756920102679E-5</v>
      </c>
      <c r="U6" s="113">
        <f>(1-'Sales taxes'!$B$1)*U21</f>
        <v>1.7114203887578217E-5</v>
      </c>
      <c r="V6" s="113">
        <f>(1-'Sales taxes'!$B$1)*V21</f>
        <v>1.7184619038762E-5</v>
      </c>
      <c r="W6" s="113">
        <f>(1-'Sales taxes'!$B$1)*W21</f>
        <v>1.7398393936645794E-5</v>
      </c>
      <c r="X6" s="113">
        <f>(1-'Sales taxes'!$B$1)*X21</f>
        <v>1.7533075478177974E-5</v>
      </c>
      <c r="Y6" s="113">
        <f>(1-'Sales taxes'!$B$1)*Y21</f>
        <v>1.7551431591403853E-5</v>
      </c>
      <c r="Z6" s="113">
        <f>(1-'Sales taxes'!$B$1)*Z21</f>
        <v>1.76833178852469E-5</v>
      </c>
      <c r="AA6" s="113">
        <f>(1-'Sales taxes'!$B$1)*AA21</f>
        <v>1.7846448226752367E-5</v>
      </c>
      <c r="AB6" s="113">
        <f>(1-'Sales taxes'!$B$1)*AB21</f>
        <v>1.7877568389664472E-5</v>
      </c>
      <c r="AC6" s="113">
        <f>(1-'Sales taxes'!$B$1)*AC21</f>
        <v>1.7956846004980167E-5</v>
      </c>
      <c r="AD6" s="113">
        <f>(1-'Sales taxes'!$B$1)*AD21</f>
        <v>1.801189003815617E-5</v>
      </c>
      <c r="AE6" s="113">
        <f>(1-'Sales taxes'!$B$1)*AE21</f>
        <v>1.8040439200458828E-5</v>
      </c>
      <c r="AF6" s="113">
        <f>(1-'Sales taxes'!$B$1)*AF21</f>
        <v>1.8025389555537314E-5</v>
      </c>
    </row>
    <row r="7" spans="1:40" s="113" customFormat="1">
      <c r="A7" s="113" t="s">
        <v>168</v>
      </c>
      <c r="B7" s="113">
        <f>(1-'Sales taxes'!$B$1)*B22</f>
        <v>1.4381360012047388E-5</v>
      </c>
      <c r="C7" s="113">
        <f>(1-'Sales taxes'!$B$1)*C22</f>
        <v>1.2249774152225298E-5</v>
      </c>
      <c r="D7" s="113">
        <f>(1-'Sales taxes'!$B$1)*D22</f>
        <v>1.6035783532606552E-5</v>
      </c>
      <c r="E7" s="113">
        <f>(1-'Sales taxes'!$B$1)*E22</f>
        <v>1.7013632680597167E-5</v>
      </c>
      <c r="F7" s="113">
        <f>(1-'Sales taxes'!$B$1)*F22</f>
        <v>1.4917575827563672E-5</v>
      </c>
      <c r="G7" s="113">
        <f>(1-'Sales taxes'!$B$1)*G22</f>
        <v>1.4897697399693123E-5</v>
      </c>
      <c r="H7" s="113">
        <f>(1-'Sales taxes'!$B$1)*H22</f>
        <v>1.4757604499591881E-5</v>
      </c>
      <c r="I7" s="113">
        <f>(1-'Sales taxes'!$B$1)*I22</f>
        <v>1.493380323556751E-5</v>
      </c>
      <c r="J7" s="113">
        <f>(1-'Sales taxes'!$B$1)*J22</f>
        <v>1.5414304956100193E-5</v>
      </c>
      <c r="K7" s="113">
        <f>(1-'Sales taxes'!$B$1)*K22</f>
        <v>1.6082143021506472E-5</v>
      </c>
      <c r="L7" s="113">
        <f>(1-'Sales taxes'!$B$1)*L22</f>
        <v>1.652386470455602E-5</v>
      </c>
      <c r="M7" s="113">
        <f>(1-'Sales taxes'!$B$1)*M22</f>
        <v>1.6990874343301809E-5</v>
      </c>
      <c r="N7" s="113">
        <f>(1-'Sales taxes'!$B$1)*N22</f>
        <v>1.7409170020258745E-5</v>
      </c>
      <c r="O7" s="113">
        <f>(1-'Sales taxes'!$B$1)*O22</f>
        <v>1.7753160507636056E-5</v>
      </c>
      <c r="P7" s="113">
        <f>(1-'Sales taxes'!$B$1)*P22</f>
        <v>1.8086053352205377E-5</v>
      </c>
      <c r="Q7" s="113">
        <f>(1-'Sales taxes'!$B$1)*Q22</f>
        <v>1.828687707697293E-5</v>
      </c>
      <c r="R7" s="113">
        <f>(1-'Sales taxes'!$B$1)*R22</f>
        <v>1.8422734747009858E-5</v>
      </c>
      <c r="S7" s="113">
        <f>(1-'Sales taxes'!$B$1)*S22</f>
        <v>1.8610581247267273E-5</v>
      </c>
      <c r="T7" s="113">
        <f>(1-'Sales taxes'!$B$1)*T22</f>
        <v>1.8852966179191054E-5</v>
      </c>
      <c r="U7" s="113">
        <f>(1-'Sales taxes'!$B$1)*U22</f>
        <v>1.9075616090978916E-5</v>
      </c>
      <c r="V7" s="113">
        <f>(1-'Sales taxes'!$B$1)*V22</f>
        <v>1.918526776072337E-5</v>
      </c>
      <c r="W7" s="113">
        <f>(1-'Sales taxes'!$B$1)*W22</f>
        <v>1.954847958643308E-5</v>
      </c>
      <c r="X7" s="113">
        <f>(1-'Sales taxes'!$B$1)*X22</f>
        <v>1.9764928876908349E-5</v>
      </c>
      <c r="Y7" s="113">
        <f>(1-'Sales taxes'!$B$1)*Y22</f>
        <v>1.9784568683712269E-5</v>
      </c>
      <c r="Z7" s="113">
        <f>(1-'Sales taxes'!$B$1)*Z22</f>
        <v>2.0012288411561016E-5</v>
      </c>
      <c r="AA7" s="113">
        <f>(1-'Sales taxes'!$B$1)*AA22</f>
        <v>2.028734797298735E-5</v>
      </c>
      <c r="AB7" s="113">
        <f>(1-'Sales taxes'!$B$1)*AB22</f>
        <v>2.032814159612138E-5</v>
      </c>
      <c r="AC7" s="113">
        <f>(1-'Sales taxes'!$B$1)*AC22</f>
        <v>2.0464045109614458E-5</v>
      </c>
      <c r="AD7" s="113">
        <f>(1-'Sales taxes'!$B$1)*AD22</f>
        <v>2.0555078458795869E-5</v>
      </c>
      <c r="AE7" s="113">
        <f>(1-'Sales taxes'!$B$1)*AE22</f>
        <v>2.0601206379468577E-5</v>
      </c>
      <c r="AF7" s="113">
        <f>(1-'Sales taxes'!$B$1)*AF22</f>
        <v>2.0573210133439784E-5</v>
      </c>
    </row>
    <row r="8" spans="1:40" s="113" customFormat="1"/>
    <row r="9" spans="1:40" s="113" customFormat="1">
      <c r="A9" s="33" t="s">
        <v>726</v>
      </c>
    </row>
    <row r="10" spans="1:40" s="113" customFormat="1">
      <c r="A10" s="113" t="s">
        <v>164</v>
      </c>
      <c r="B10" s="113">
        <f>B18-B3</f>
        <v>1.3338366333611046E-6</v>
      </c>
      <c r="C10" s="113">
        <f t="shared" ref="C10:AF10" si="1">C18-C3</f>
        <v>1.136137159555883E-6</v>
      </c>
      <c r="D10" s="113">
        <f t="shared" si="1"/>
        <v>1.487280445140202E-6</v>
      </c>
      <c r="E10" s="113">
        <f t="shared" si="1"/>
        <v>1.5384249177418052E-6</v>
      </c>
      <c r="F10" s="113">
        <f t="shared" si="1"/>
        <v>1.4119461065025211E-6</v>
      </c>
      <c r="G10" s="113">
        <f t="shared" si="1"/>
        <v>1.4121502159888984E-6</v>
      </c>
      <c r="H10" s="113">
        <f t="shared" si="1"/>
        <v>1.4037979049245661E-6</v>
      </c>
      <c r="I10" s="113">
        <f t="shared" si="1"/>
        <v>1.4146929926908572E-6</v>
      </c>
      <c r="J10" s="113">
        <f t="shared" si="1"/>
        <v>1.4436658103871869E-6</v>
      </c>
      <c r="K10" s="113">
        <f t="shared" si="1"/>
        <v>1.483140333583044E-6</v>
      </c>
      <c r="L10" s="113">
        <f t="shared" si="1"/>
        <v>1.5085411095329675E-6</v>
      </c>
      <c r="M10" s="113">
        <f t="shared" si="1"/>
        <v>1.5353512887288711E-6</v>
      </c>
      <c r="N10" s="113">
        <f t="shared" si="1"/>
        <v>1.5874317311558916E-6</v>
      </c>
      <c r="O10" s="113">
        <f t="shared" si="1"/>
        <v>1.6066526418560427E-6</v>
      </c>
      <c r="P10" s="113">
        <f t="shared" si="1"/>
        <v>1.6291671336398721E-6</v>
      </c>
      <c r="Q10" s="113">
        <f t="shared" si="1"/>
        <v>1.6400857757247133E-6</v>
      </c>
      <c r="R10" s="113">
        <f t="shared" si="1"/>
        <v>1.6474017805959891E-6</v>
      </c>
      <c r="S10" s="113">
        <f t="shared" si="1"/>
        <v>1.6576919163445435E-6</v>
      </c>
      <c r="T10" s="113">
        <f t="shared" si="1"/>
        <v>1.6709562667935735E-6</v>
      </c>
      <c r="U10" s="113">
        <f t="shared" si="1"/>
        <v>1.6830180896485237E-6</v>
      </c>
      <c r="V10" s="113">
        <f t="shared" si="1"/>
        <v>1.6887546978289074E-6</v>
      </c>
      <c r="W10" s="113">
        <f t="shared" si="1"/>
        <v>1.7086166045218E-6</v>
      </c>
      <c r="X10" s="113">
        <f t="shared" si="1"/>
        <v>1.7200729724198315E-6</v>
      </c>
      <c r="Y10" s="113">
        <f t="shared" si="1"/>
        <v>1.7207611608728736E-6</v>
      </c>
      <c r="Z10" s="113">
        <f t="shared" si="1"/>
        <v>1.7330472946048459E-6</v>
      </c>
      <c r="AA10" s="113">
        <f t="shared" si="1"/>
        <v>1.7477330350171218E-6</v>
      </c>
      <c r="AB10" s="113">
        <f t="shared" si="1"/>
        <v>1.7495519984070187E-6</v>
      </c>
      <c r="AC10" s="113">
        <f t="shared" si="1"/>
        <v>1.7567213126823349E-6</v>
      </c>
      <c r="AD10" s="113">
        <f t="shared" si="1"/>
        <v>1.7613989824062858E-6</v>
      </c>
      <c r="AE10" s="113">
        <f t="shared" si="1"/>
        <v>1.7636706748869137E-6</v>
      </c>
      <c r="AF10" s="113">
        <f t="shared" si="1"/>
        <v>1.7619510419862818E-6</v>
      </c>
    </row>
    <row r="11" spans="1:40" s="113" customFormat="1">
      <c r="A11" s="113" t="s">
        <v>165</v>
      </c>
      <c r="B11" s="113">
        <f>B14</f>
        <v>1.3345992615105394E-6</v>
      </c>
      <c r="C11" s="113">
        <f t="shared" ref="C11:AF11" si="2">C14</f>
        <v>1.1367867519855887E-6</v>
      </c>
      <c r="D11" s="113">
        <f t="shared" si="2"/>
        <v>1.4881308056005464E-6</v>
      </c>
      <c r="E11" s="113">
        <f t="shared" si="2"/>
        <v>1.5788758220443142E-6</v>
      </c>
      <c r="F11" s="113">
        <f t="shared" si="2"/>
        <v>1.3843604267131916E-6</v>
      </c>
      <c r="G11" s="113">
        <f t="shared" si="2"/>
        <v>1.3825156960942647E-6</v>
      </c>
      <c r="H11" s="113">
        <f t="shared" si="2"/>
        <v>1.3695149867829508E-6</v>
      </c>
      <c r="I11" s="113">
        <f t="shared" si="2"/>
        <v>1.3858663403903408E-6</v>
      </c>
      <c r="J11" s="113">
        <f t="shared" si="2"/>
        <v>1.4304572025091029E-6</v>
      </c>
      <c r="K11" s="113">
        <f t="shared" si="2"/>
        <v>1.4924329953515846E-6</v>
      </c>
      <c r="L11" s="113">
        <f t="shared" si="2"/>
        <v>1.5334250455816953E-6</v>
      </c>
      <c r="M11" s="113">
        <f t="shared" si="2"/>
        <v>1.5767638340179984E-6</v>
      </c>
      <c r="N11" s="113">
        <f t="shared" si="2"/>
        <v>1.6155819361371371E-6</v>
      </c>
      <c r="O11" s="113">
        <f t="shared" si="2"/>
        <v>1.6475044698916512E-6</v>
      </c>
      <c r="P11" s="113">
        <f t="shared" si="2"/>
        <v>1.6783971354081396E-6</v>
      </c>
      <c r="Q11" s="113">
        <f t="shared" si="2"/>
        <v>1.6970337034756971E-6</v>
      </c>
      <c r="R11" s="113">
        <f t="shared" si="2"/>
        <v>1.7096413807711628E-6</v>
      </c>
      <c r="S11" s="113">
        <f t="shared" si="2"/>
        <v>1.7270736542356262E-6</v>
      </c>
      <c r="T11" s="113">
        <f t="shared" si="2"/>
        <v>1.7495671284881158E-6</v>
      </c>
      <c r="U11" s="113">
        <f t="shared" si="2"/>
        <v>1.7702291804497186E-6</v>
      </c>
      <c r="V11" s="113">
        <f t="shared" si="2"/>
        <v>1.7804049244225953E-6</v>
      </c>
      <c r="W11" s="113">
        <f t="shared" si="2"/>
        <v>1.8141112104732881E-6</v>
      </c>
      <c r="X11" s="113">
        <f t="shared" si="2"/>
        <v>1.8341978408740846E-6</v>
      </c>
      <c r="Y11" s="113">
        <f t="shared" si="2"/>
        <v>1.8360204273078257E-6</v>
      </c>
      <c r="Z11" s="113">
        <f t="shared" si="2"/>
        <v>1.8571529613910943E-6</v>
      </c>
      <c r="AA11" s="113">
        <f t="shared" si="2"/>
        <v>1.8826786618285678E-6</v>
      </c>
      <c r="AB11" s="113">
        <f t="shared" si="2"/>
        <v>1.8864643357330803E-6</v>
      </c>
      <c r="AC11" s="113">
        <f t="shared" si="2"/>
        <v>1.8990762673301351E-6</v>
      </c>
      <c r="AD11" s="113">
        <f t="shared" si="2"/>
        <v>1.9075242194353985E-6</v>
      </c>
      <c r="AE11" s="113">
        <f t="shared" si="2"/>
        <v>1.9118049195091911E-6</v>
      </c>
      <c r="AF11" s="113">
        <f t="shared" si="2"/>
        <v>1.9092068502553943E-6</v>
      </c>
    </row>
    <row r="12" spans="1:40" s="113" customFormat="1">
      <c r="A12" s="113" t="s">
        <v>166</v>
      </c>
      <c r="B12" s="113">
        <f t="shared" ref="B12:Q14" si="3">B20-B5</f>
        <v>2.0507070938296238E-6</v>
      </c>
      <c r="C12" s="113">
        <f t="shared" si="3"/>
        <v>1.7467540434795691E-6</v>
      </c>
      <c r="D12" s="113">
        <f t="shared" si="3"/>
        <v>2.2866192778627833E-6</v>
      </c>
      <c r="E12" s="113">
        <f t="shared" si="3"/>
        <v>2.4713265679194558E-6</v>
      </c>
      <c r="F12" s="113">
        <f t="shared" si="3"/>
        <v>2.4478111941193523E-6</v>
      </c>
      <c r="G12" s="113">
        <f t="shared" si="3"/>
        <v>2.4525320210703561E-6</v>
      </c>
      <c r="H12" s="113">
        <f t="shared" si="3"/>
        <v>2.4465677957545291E-6</v>
      </c>
      <c r="I12" s="113">
        <f t="shared" si="3"/>
        <v>2.4556772878576297E-6</v>
      </c>
      <c r="J12" s="113">
        <f t="shared" si="3"/>
        <v>2.4891215429597375E-6</v>
      </c>
      <c r="K12" s="113">
        <f t="shared" si="3"/>
        <v>2.544619276805947E-6</v>
      </c>
      <c r="L12" s="113">
        <f t="shared" si="3"/>
        <v>2.5970937103568901E-6</v>
      </c>
      <c r="M12" s="113">
        <f t="shared" si="3"/>
        <v>2.6513817835153842E-6</v>
      </c>
      <c r="N12" s="113">
        <f t="shared" si="3"/>
        <v>2.7224370564844098E-6</v>
      </c>
      <c r="O12" s="113">
        <f t="shared" si="3"/>
        <v>2.7690476263268224E-6</v>
      </c>
      <c r="P12" s="113">
        <f t="shared" si="3"/>
        <v>2.8152425948155867E-6</v>
      </c>
      <c r="Q12" s="113">
        <f t="shared" si="3"/>
        <v>2.8491936600703334E-6</v>
      </c>
      <c r="R12" s="113">
        <f t="shared" ref="C12:AF14" si="4">R20-R5</f>
        <v>2.874946044075889E-6</v>
      </c>
      <c r="S12" s="113">
        <f t="shared" si="4"/>
        <v>2.8996288266463195E-6</v>
      </c>
      <c r="T12" s="113">
        <f t="shared" si="4"/>
        <v>2.9264107951576819E-6</v>
      </c>
      <c r="U12" s="113">
        <f t="shared" si="4"/>
        <v>2.9526925520526132E-6</v>
      </c>
      <c r="V12" s="113">
        <f t="shared" si="4"/>
        <v>2.972196973685021E-6</v>
      </c>
      <c r="W12" s="113">
        <f t="shared" si="4"/>
        <v>3.0037037069835114E-6</v>
      </c>
      <c r="X12" s="113">
        <f t="shared" si="4"/>
        <v>3.0311322256161021E-6</v>
      </c>
      <c r="Y12" s="113">
        <f t="shared" si="4"/>
        <v>3.0460617330902966E-6</v>
      </c>
      <c r="Z12" s="113">
        <f t="shared" si="4"/>
        <v>3.0677663408389412E-6</v>
      </c>
      <c r="AA12" s="113">
        <f t="shared" si="4"/>
        <v>3.0941428186569874E-6</v>
      </c>
      <c r="AB12" s="113">
        <f t="shared" si="4"/>
        <v>3.1091567235379494E-6</v>
      </c>
      <c r="AC12" s="113">
        <f t="shared" si="4"/>
        <v>3.1253140908884652E-6</v>
      </c>
      <c r="AD12" s="113">
        <f t="shared" si="4"/>
        <v>3.138648029734267E-6</v>
      </c>
      <c r="AE12" s="113">
        <f t="shared" si="4"/>
        <v>3.1481502411702646E-6</v>
      </c>
      <c r="AF12" s="113">
        <f t="shared" si="4"/>
        <v>3.1515638129543428E-6</v>
      </c>
    </row>
    <row r="13" spans="1:40" s="113" customFormat="1">
      <c r="A13" s="113" t="s">
        <v>167</v>
      </c>
      <c r="B13" s="113">
        <f t="shared" si="3"/>
        <v>1.2263060642908275E-6</v>
      </c>
      <c r="C13" s="113">
        <f t="shared" si="4"/>
        <v>1.0445446269673301E-6</v>
      </c>
      <c r="D13" s="113">
        <f t="shared" si="4"/>
        <v>1.367379620231816E-6</v>
      </c>
      <c r="E13" s="113">
        <f t="shared" si="4"/>
        <v>1.4414044433866574E-6</v>
      </c>
      <c r="F13" s="113">
        <f t="shared" si="4"/>
        <v>1.3284855891407695E-6</v>
      </c>
      <c r="G13" s="113">
        <f t="shared" si="4"/>
        <v>1.3230648048198973E-6</v>
      </c>
      <c r="H13" s="113">
        <f t="shared" si="4"/>
        <v>1.3139175996420343E-6</v>
      </c>
      <c r="I13" s="113">
        <f t="shared" si="4"/>
        <v>1.3235301253709378E-6</v>
      </c>
      <c r="J13" s="113">
        <f t="shared" si="4"/>
        <v>1.3516598623198782E-6</v>
      </c>
      <c r="K13" s="113">
        <f t="shared" si="4"/>
        <v>1.3912247699520666E-6</v>
      </c>
      <c r="L13" s="113">
        <f t="shared" si="4"/>
        <v>1.4183335666896496E-6</v>
      </c>
      <c r="M13" s="113">
        <f t="shared" si="4"/>
        <v>1.4461668664337525E-6</v>
      </c>
      <c r="N13" s="113">
        <f t="shared" si="4"/>
        <v>1.4889185103995411E-6</v>
      </c>
      <c r="O13" s="113">
        <f t="shared" si="4"/>
        <v>1.509286744215034E-6</v>
      </c>
      <c r="P13" s="113">
        <f t="shared" si="4"/>
        <v>1.5311977757856027E-6</v>
      </c>
      <c r="Q13" s="113">
        <f t="shared" si="4"/>
        <v>1.5431997716592491E-6</v>
      </c>
      <c r="R13" s="113">
        <f t="shared" si="4"/>
        <v>1.5512627326571152E-6</v>
      </c>
      <c r="S13" s="113">
        <f t="shared" si="4"/>
        <v>1.5618903047796106E-6</v>
      </c>
      <c r="T13" s="113">
        <f t="shared" si="4"/>
        <v>1.5755291084399105E-6</v>
      </c>
      <c r="U13" s="113">
        <f t="shared" si="4"/>
        <v>1.5882088933570213E-6</v>
      </c>
      <c r="V13" s="113">
        <f t="shared" si="4"/>
        <v>1.5947434637099161E-6</v>
      </c>
      <c r="W13" s="113">
        <f t="shared" si="4"/>
        <v>1.6145819087948165E-6</v>
      </c>
      <c r="X13" s="113">
        <f t="shared" si="4"/>
        <v>1.6270804406247252E-6</v>
      </c>
      <c r="Y13" s="113">
        <f t="shared" si="4"/>
        <v>1.6287838994864016E-6</v>
      </c>
      <c r="Z13" s="113">
        <f t="shared" si="4"/>
        <v>1.6410230305712788E-6</v>
      </c>
      <c r="AA13" s="113">
        <f t="shared" si="4"/>
        <v>1.6561616289458966E-6</v>
      </c>
      <c r="AB13" s="113">
        <f t="shared" si="4"/>
        <v>1.6590495996528241E-6</v>
      </c>
      <c r="AC13" s="113">
        <f t="shared" si="4"/>
        <v>1.6664066122556664E-6</v>
      </c>
      <c r="AD13" s="113">
        <f t="shared" si="4"/>
        <v>1.6715147331820401E-6</v>
      </c>
      <c r="AE13" s="113">
        <f t="shared" si="4"/>
        <v>1.6741641134140896E-6</v>
      </c>
      <c r="AF13" s="113">
        <f t="shared" si="4"/>
        <v>1.6727674968923239E-6</v>
      </c>
    </row>
    <row r="14" spans="1:40" s="113" customFormat="1">
      <c r="A14" s="113" t="s">
        <v>168</v>
      </c>
      <c r="B14" s="113">
        <f t="shared" si="3"/>
        <v>1.3345992615105394E-6</v>
      </c>
      <c r="C14" s="113">
        <f t="shared" si="4"/>
        <v>1.1367867519855887E-6</v>
      </c>
      <c r="D14" s="113">
        <f t="shared" si="4"/>
        <v>1.4881308056005464E-6</v>
      </c>
      <c r="E14" s="113">
        <f t="shared" si="4"/>
        <v>1.5788758220443142E-6</v>
      </c>
      <c r="F14" s="113">
        <f t="shared" si="4"/>
        <v>1.3843604267131916E-6</v>
      </c>
      <c r="G14" s="113">
        <f t="shared" si="4"/>
        <v>1.3825156960942647E-6</v>
      </c>
      <c r="H14" s="113">
        <f t="shared" si="4"/>
        <v>1.3695149867829508E-6</v>
      </c>
      <c r="I14" s="113">
        <f t="shared" si="4"/>
        <v>1.3858663403903408E-6</v>
      </c>
      <c r="J14" s="113">
        <f t="shared" si="4"/>
        <v>1.4304572025091029E-6</v>
      </c>
      <c r="K14" s="113">
        <f t="shared" si="4"/>
        <v>1.4924329953515846E-6</v>
      </c>
      <c r="L14" s="113">
        <f t="shared" si="4"/>
        <v>1.5334250455816953E-6</v>
      </c>
      <c r="M14" s="113">
        <f t="shared" si="4"/>
        <v>1.5767638340179984E-6</v>
      </c>
      <c r="N14" s="113">
        <f t="shared" si="4"/>
        <v>1.6155819361371371E-6</v>
      </c>
      <c r="O14" s="113">
        <f t="shared" si="4"/>
        <v>1.6475044698916512E-6</v>
      </c>
      <c r="P14" s="113">
        <f t="shared" si="4"/>
        <v>1.6783971354081396E-6</v>
      </c>
      <c r="Q14" s="113">
        <f t="shared" si="4"/>
        <v>1.6970337034756971E-6</v>
      </c>
      <c r="R14" s="113">
        <f t="shared" si="4"/>
        <v>1.7096413807711628E-6</v>
      </c>
      <c r="S14" s="113">
        <f t="shared" si="4"/>
        <v>1.7270736542356262E-6</v>
      </c>
      <c r="T14" s="113">
        <f t="shared" si="4"/>
        <v>1.7495671284881158E-6</v>
      </c>
      <c r="U14" s="113">
        <f t="shared" si="4"/>
        <v>1.7702291804497186E-6</v>
      </c>
      <c r="V14" s="113">
        <f t="shared" si="4"/>
        <v>1.7804049244225953E-6</v>
      </c>
      <c r="W14" s="113">
        <f t="shared" si="4"/>
        <v>1.8141112104732881E-6</v>
      </c>
      <c r="X14" s="113">
        <f t="shared" si="4"/>
        <v>1.8341978408740846E-6</v>
      </c>
      <c r="Y14" s="113">
        <f t="shared" si="4"/>
        <v>1.8360204273078257E-6</v>
      </c>
      <c r="Z14" s="113">
        <f t="shared" si="4"/>
        <v>1.8571529613910943E-6</v>
      </c>
      <c r="AA14" s="113">
        <f t="shared" si="4"/>
        <v>1.8826786618285678E-6</v>
      </c>
      <c r="AB14" s="113">
        <f t="shared" si="4"/>
        <v>1.8864643357330803E-6</v>
      </c>
      <c r="AC14" s="113">
        <f t="shared" si="4"/>
        <v>1.8990762673301351E-6</v>
      </c>
      <c r="AD14" s="113">
        <f t="shared" si="4"/>
        <v>1.9075242194353985E-6</v>
      </c>
      <c r="AE14" s="113">
        <f t="shared" si="4"/>
        <v>1.9118049195091911E-6</v>
      </c>
      <c r="AF14" s="113">
        <f t="shared" si="4"/>
        <v>1.9092068502553943E-6</v>
      </c>
    </row>
    <row r="15" spans="1:40" s="113" customFormat="1"/>
    <row r="16" spans="1:40">
      <c r="B16">
        <f>C27</f>
        <v>2019</v>
      </c>
      <c r="C16">
        <v>2020</v>
      </c>
      <c r="D16">
        <f>C16+1</f>
        <v>2021</v>
      </c>
      <c r="E16">
        <v>2022</v>
      </c>
      <c r="F16">
        <f>E16+1</f>
        <v>2023</v>
      </c>
      <c r="G16" s="32">
        <f t="shared" ref="G16:L16" si="5">F16+1</f>
        <v>2024</v>
      </c>
      <c r="H16" s="32">
        <f t="shared" si="5"/>
        <v>2025</v>
      </c>
      <c r="I16" s="32">
        <f t="shared" si="5"/>
        <v>2026</v>
      </c>
      <c r="J16" s="32">
        <f t="shared" si="5"/>
        <v>2027</v>
      </c>
      <c r="K16" s="32">
        <f t="shared" si="5"/>
        <v>2028</v>
      </c>
      <c r="L16" s="32">
        <f t="shared" si="5"/>
        <v>2029</v>
      </c>
      <c r="M16" s="32">
        <f>L16+1</f>
        <v>2030</v>
      </c>
      <c r="N16" s="32">
        <f>M16+1</f>
        <v>2031</v>
      </c>
      <c r="O16" s="32">
        <f t="shared" ref="O16:AG16" si="6">N16+1</f>
        <v>2032</v>
      </c>
      <c r="P16" s="32">
        <f t="shared" si="6"/>
        <v>2033</v>
      </c>
      <c r="Q16" s="32">
        <f t="shared" si="6"/>
        <v>2034</v>
      </c>
      <c r="R16" s="32">
        <f t="shared" si="6"/>
        <v>2035</v>
      </c>
      <c r="S16" s="32">
        <f t="shared" si="6"/>
        <v>2036</v>
      </c>
      <c r="T16" s="32">
        <f t="shared" si="6"/>
        <v>2037</v>
      </c>
      <c r="U16" s="32">
        <f t="shared" si="6"/>
        <v>2038</v>
      </c>
      <c r="V16" s="32">
        <f t="shared" si="6"/>
        <v>2039</v>
      </c>
      <c r="W16" s="32">
        <f t="shared" si="6"/>
        <v>2040</v>
      </c>
      <c r="X16" s="32">
        <f t="shared" si="6"/>
        <v>2041</v>
      </c>
      <c r="Y16" s="32">
        <f t="shared" si="6"/>
        <v>2042</v>
      </c>
      <c r="Z16" s="32">
        <f t="shared" si="6"/>
        <v>2043</v>
      </c>
      <c r="AA16" s="32">
        <f t="shared" si="6"/>
        <v>2044</v>
      </c>
      <c r="AB16" s="32">
        <f t="shared" si="6"/>
        <v>2045</v>
      </c>
      <c r="AC16" s="32">
        <f t="shared" si="6"/>
        <v>2046</v>
      </c>
      <c r="AD16" s="32">
        <f t="shared" si="6"/>
        <v>2047</v>
      </c>
      <c r="AE16" s="32">
        <f t="shared" si="6"/>
        <v>2048</v>
      </c>
      <c r="AF16" s="32">
        <f t="shared" si="6"/>
        <v>2049</v>
      </c>
      <c r="AG16" s="32">
        <f t="shared" si="6"/>
        <v>2050</v>
      </c>
      <c r="AH16" s="32"/>
      <c r="AI16" s="32"/>
      <c r="AJ16" s="32"/>
      <c r="AK16" s="32"/>
      <c r="AL16" s="32"/>
      <c r="AM16" s="32"/>
      <c r="AN16" s="32"/>
    </row>
    <row r="17" spans="1:33" s="32" customFormat="1">
      <c r="A17" s="32" t="s">
        <v>666</v>
      </c>
    </row>
    <row r="18" spans="1:33" s="32" customFormat="1">
      <c r="A18" t="s">
        <v>164</v>
      </c>
      <c r="B18" s="32">
        <f>C29</f>
        <v>1.5706978725401608E-5</v>
      </c>
      <c r="C18" s="113">
        <f t="shared" ref="C18:D18" si="7">D29</f>
        <v>1.3378911440837052E-5</v>
      </c>
      <c r="D18" s="113">
        <f t="shared" si="7"/>
        <v>1.7513900672870978E-5</v>
      </c>
      <c r="E18" s="32">
        <f>D18*(1+'AEO 2022 Pacific region Table 3'!G23)</f>
        <v>1.8116167189611474E-5</v>
      </c>
      <c r="F18" s="113">
        <f>E18*(1+'AEO 2022 Pacific region Table 3'!H23)</f>
        <v>1.662677939828687E-5</v>
      </c>
      <c r="G18" s="113">
        <f>F18*(1+'AEO 2022 Pacific region Table 3'!I23)</f>
        <v>1.6629182948526835E-5</v>
      </c>
      <c r="H18" s="113">
        <f>G18*(1+'AEO 2022 Pacific region Table 3'!J23)</f>
        <v>1.6530827895955803E-5</v>
      </c>
      <c r="I18" s="113">
        <f>H18*(1+'AEO 2022 Pacific region Table 3'!K23)</f>
        <v>1.6659126150386914E-5</v>
      </c>
      <c r="J18" s="113">
        <f>I18*(1+'AEO 2022 Pacific region Table 3'!L23)</f>
        <v>1.7000303937672959E-5</v>
      </c>
      <c r="K18" s="113">
        <f>J18*(1+'AEO 2022 Pacific region Table 3'!M23)</f>
        <v>1.7465147592829071E-5</v>
      </c>
      <c r="L18" s="113">
        <f>K18*(1+'AEO 2022 Pacific region Table 3'!N23)</f>
        <v>1.7764261770289318E-5</v>
      </c>
      <c r="M18" s="113">
        <f>L18*(1+'AEO 2022 Pacific region Table 3'!O23)</f>
        <v>1.8079972782958913E-5</v>
      </c>
      <c r="N18" s="113">
        <f>M18*(1+'AEO 2022 Pacific region Table 3'!P23)</f>
        <v>1.8693261082853181E-5</v>
      </c>
      <c r="O18" s="113">
        <f>N18*(1+'AEO 2022 Pacific region Table 3'!Q23)</f>
        <v>1.8919602471220485E-5</v>
      </c>
      <c r="P18" s="113">
        <f>O18*(1+'AEO 2022 Pacific region Table 3'!R23)</f>
        <v>1.9184728375410643E-5</v>
      </c>
      <c r="Q18" s="113">
        <f>P18*(1+'AEO 2022 Pacific region Table 3'!S23)</f>
        <v>1.931330400052653E-5</v>
      </c>
      <c r="R18" s="113">
        <f>Q18*(1+'AEO 2022 Pacific region Table 3'!T23)</f>
        <v>1.93994557300517E-5</v>
      </c>
      <c r="S18" s="113">
        <f>R18*(1+'AEO 2022 Pacific region Table 3'!U23)</f>
        <v>1.9520630197180217E-5</v>
      </c>
      <c r="T18" s="113">
        <f>S18*(1+'AEO 2022 Pacific region Table 3'!V23)</f>
        <v>1.9676828388996372E-5</v>
      </c>
      <c r="U18" s="113">
        <f>T18*(1+'AEO 2022 Pacific region Table 3'!W23)</f>
        <v>1.9818865869624629E-5</v>
      </c>
      <c r="V18" s="113">
        <f>U18*(1+'AEO 2022 Pacific region Table 3'!X23)</f>
        <v>1.9886418957005487E-5</v>
      </c>
      <c r="W18" s="113">
        <f>V18*(1+'AEO 2022 Pacific region Table 3'!Y23)</f>
        <v>2.0120308578918996E-5</v>
      </c>
      <c r="X18" s="113">
        <f>W18*(1+'AEO 2022 Pacific region Table 3'!Z23)</f>
        <v>2.0255216349738938E-5</v>
      </c>
      <c r="Y18" s="113">
        <f>X18*(1+'AEO 2022 Pacific region Table 3'!AA23)</f>
        <v>2.0263320311738978E-5</v>
      </c>
      <c r="Z18" s="113">
        <f>Y18*(1+'AEO 2022 Pacific region Table 3'!AB23)</f>
        <v>2.0407999229920479E-5</v>
      </c>
      <c r="AA18" s="113">
        <f>Z18*(1+'AEO 2022 Pacific region Table 3'!AC23)</f>
        <v>2.0580935409999082E-5</v>
      </c>
      <c r="AB18" s="113">
        <f>AA18*(1+'AEO 2022 Pacific region Table 3'!AD23)</f>
        <v>2.060235513903695E-5</v>
      </c>
      <c r="AC18" s="113">
        <f>AB18*(1+'AEO 2022 Pacific region Table 3'!AE23)</f>
        <v>2.0686779471059067E-5</v>
      </c>
      <c r="AD18" s="113">
        <f>AC18*(1+'AEO 2022 Pacific region Table 3'!AF23)</f>
        <v>2.074186272263645E-5</v>
      </c>
      <c r="AE18" s="113">
        <f>AD18*(1+'AEO 2022 Pacific region Table 3'!AG23)</f>
        <v>2.076861369391089E-5</v>
      </c>
      <c r="AF18" s="113">
        <f>AE18*(1+'AEO 2022 Pacific region Table 3'!AH23)</f>
        <v>2.0748363659753659E-5</v>
      </c>
      <c r="AG18" s="113">
        <f>AF18*(1+'AEO 2022 Pacific region Table 3'!AI23)</f>
        <v>2.0726215462511644E-5</v>
      </c>
    </row>
    <row r="19" spans="1:33" s="32" customFormat="1">
      <c r="A19" s="32" t="s">
        <v>165</v>
      </c>
      <c r="B19" s="32">
        <f>B22</f>
        <v>1.5715959273557928E-5</v>
      </c>
      <c r="C19" s="113">
        <f t="shared" ref="C19:E19" si="8">C22</f>
        <v>1.3386560904210887E-5</v>
      </c>
      <c r="D19" s="113">
        <f t="shared" si="8"/>
        <v>1.7523914338207098E-5</v>
      </c>
      <c r="E19" s="113">
        <f t="shared" si="8"/>
        <v>1.8592508502641481E-5</v>
      </c>
      <c r="F19" s="113">
        <f t="shared" ref="F19:AG19" si="9">F22</f>
        <v>1.6301936254276864E-5</v>
      </c>
      <c r="G19" s="113">
        <f t="shared" si="9"/>
        <v>1.6280213095787388E-5</v>
      </c>
      <c r="H19" s="113">
        <f t="shared" si="9"/>
        <v>1.6127119486374831E-5</v>
      </c>
      <c r="I19" s="113">
        <f t="shared" si="9"/>
        <v>1.6319669575957851E-5</v>
      </c>
      <c r="J19" s="113">
        <f t="shared" si="9"/>
        <v>1.6844762158609296E-5</v>
      </c>
      <c r="K19" s="113">
        <f t="shared" si="9"/>
        <v>1.7574576016858057E-5</v>
      </c>
      <c r="L19" s="113">
        <f t="shared" si="9"/>
        <v>1.8057289750137715E-5</v>
      </c>
      <c r="M19" s="113">
        <f t="shared" si="9"/>
        <v>1.8567638177319807E-5</v>
      </c>
      <c r="N19" s="113">
        <f t="shared" si="9"/>
        <v>1.9024751956395882E-5</v>
      </c>
      <c r="O19" s="113">
        <f t="shared" si="9"/>
        <v>1.9400664977527707E-5</v>
      </c>
      <c r="P19" s="113">
        <f t="shared" si="9"/>
        <v>1.9764450487613517E-5</v>
      </c>
      <c r="Q19" s="113">
        <f t="shared" si="9"/>
        <v>1.9983910780448627E-5</v>
      </c>
      <c r="R19" s="113">
        <f t="shared" si="9"/>
        <v>2.013237612778102E-5</v>
      </c>
      <c r="S19" s="113">
        <f t="shared" si="9"/>
        <v>2.0337654901502899E-5</v>
      </c>
      <c r="T19" s="113">
        <f t="shared" si="9"/>
        <v>2.060253330767917E-5</v>
      </c>
      <c r="U19" s="113">
        <f t="shared" si="9"/>
        <v>2.0845845271428634E-5</v>
      </c>
      <c r="V19" s="113">
        <f t="shared" si="9"/>
        <v>2.0965672685145966E-5</v>
      </c>
      <c r="W19" s="113">
        <f t="shared" si="9"/>
        <v>2.1362590796906368E-5</v>
      </c>
      <c r="X19" s="113">
        <f t="shared" si="9"/>
        <v>2.1599126717782434E-5</v>
      </c>
      <c r="Y19" s="113">
        <f t="shared" si="9"/>
        <v>2.1620589111020094E-5</v>
      </c>
      <c r="Z19" s="113">
        <f t="shared" si="9"/>
        <v>2.186944137295211E-5</v>
      </c>
      <c r="AA19" s="113">
        <f t="shared" si="9"/>
        <v>2.2170026634815917E-5</v>
      </c>
      <c r="AB19" s="113">
        <f t="shared" si="9"/>
        <v>2.221460593185446E-5</v>
      </c>
      <c r="AC19" s="113">
        <f t="shared" si="9"/>
        <v>2.2363121376944593E-5</v>
      </c>
      <c r="AD19" s="113">
        <f t="shared" si="9"/>
        <v>2.2462602678231268E-5</v>
      </c>
      <c r="AE19" s="113">
        <f t="shared" si="9"/>
        <v>2.2513011298977768E-5</v>
      </c>
      <c r="AF19" s="113">
        <f t="shared" si="9"/>
        <v>2.2482416983695178E-5</v>
      </c>
      <c r="AG19" s="113">
        <f t="shared" si="9"/>
        <v>2.2447619594994249E-5</v>
      </c>
    </row>
    <row r="20" spans="1:33" s="32" customFormat="1">
      <c r="A20" s="32" t="s">
        <v>166</v>
      </c>
      <c r="B20" s="32">
        <f>C31</f>
        <v>2.4148693992341303E-5</v>
      </c>
      <c r="C20" s="113">
        <f t="shared" ref="C20:D20" si="10">D31</f>
        <v>2.0569407012241763E-5</v>
      </c>
      <c r="D20" s="113">
        <f t="shared" si="10"/>
        <v>2.6926746088822226E-5</v>
      </c>
      <c r="E20" s="32">
        <f>D20*(1+'AEO 2022 Pacific region Table 3'!G3)</f>
        <v>2.9101820159202273E-5</v>
      </c>
      <c r="F20" s="113">
        <f>E20*(1+'AEO 2022 Pacific region Table 3'!H3)</f>
        <v>2.8824908079596724E-5</v>
      </c>
      <c r="G20" s="113">
        <f>F20*(1+'AEO 2022 Pacific region Table 3'!I3)</f>
        <v>2.8880499541572744E-5</v>
      </c>
      <c r="H20" s="113">
        <f>G20*(1+'AEO 2022 Pacific region Table 3'!J3)</f>
        <v>2.8810266082837123E-5</v>
      </c>
      <c r="I20" s="113">
        <f>H20*(1+'AEO 2022 Pacific region Table 3'!K3)</f>
        <v>2.8917537539538737E-5</v>
      </c>
      <c r="J20" s="113">
        <f>I20*(1+'AEO 2022 Pacific region Table 3'!L3)</f>
        <v>2.9311370030142928E-5</v>
      </c>
      <c r="K20" s="113">
        <f>J20*(1+'AEO 2022 Pacific region Table 3'!M3)</f>
        <v>2.9964899632665428E-5</v>
      </c>
      <c r="L20" s="113">
        <f>K20*(1+'AEO 2022 Pacific region Table 3'!N3)</f>
        <v>3.0582827488894158E-5</v>
      </c>
      <c r="M20" s="113">
        <f>L20*(1+'AEO 2022 Pacific region Table 3'!O3)</f>
        <v>3.122211238242328E-5</v>
      </c>
      <c r="N20" s="113">
        <f>M20*(1+'AEO 2022 Pacific region Table 3'!P3)</f>
        <v>3.2058844282670886E-5</v>
      </c>
      <c r="O20" s="113">
        <f>N20*(1+'AEO 2022 Pacific region Table 3'!Q3)</f>
        <v>3.2607720517272976E-5</v>
      </c>
      <c r="P20" s="113">
        <f>O20*(1+'AEO 2022 Pacific region Table 3'!R3)</f>
        <v>3.3151702718035625E-5</v>
      </c>
      <c r="Q20" s="113">
        <f>P20*(1+'AEO 2022 Pacific region Table 3'!S3)</f>
        <v>3.355150329804915E-5</v>
      </c>
      <c r="R20" s="113">
        <f>Q20*(1+'AEO 2022 Pacific region Table 3'!T3)</f>
        <v>3.3854757937775393E-5</v>
      </c>
      <c r="S20" s="113">
        <f>R20*(1+'AEO 2022 Pacific region Table 3'!U3)</f>
        <v>3.4145417176711266E-5</v>
      </c>
      <c r="T20" s="113">
        <f>S20*(1+'AEO 2022 Pacific region Table 3'!V3)</f>
        <v>3.4460795986312757E-5</v>
      </c>
      <c r="U20" s="113">
        <f>T20*(1+'AEO 2022 Pacific region Table 3'!W3)</f>
        <v>3.4770284409474962E-5</v>
      </c>
      <c r="V20" s="113">
        <f>U20*(1+'AEO 2022 Pacific region Table 3'!X3)</f>
        <v>3.4999964362753432E-5</v>
      </c>
      <c r="W20" s="113">
        <f>V20*(1+'AEO 2022 Pacific region Table 3'!Y3)</f>
        <v>3.5370981005458225E-5</v>
      </c>
      <c r="X20" s="113">
        <f>W20*(1+'AEO 2022 Pacific region Table 3'!Z3)</f>
        <v>3.5693973452850905E-5</v>
      </c>
      <c r="Y20" s="113">
        <f>X20*(1+'AEO 2022 Pacific region Table 3'!AA3)</f>
        <v>3.5869780182410434E-5</v>
      </c>
      <c r="Z20" s="113">
        <f>Y20*(1+'AEO 2022 Pacific region Table 3'!AB3)</f>
        <v>3.6125369063105771E-5</v>
      </c>
      <c r="AA20" s="113">
        <f>Z20*(1+'AEO 2022 Pacific region Table 3'!AC3)</f>
        <v>3.6435972899870305E-5</v>
      </c>
      <c r="AB20" s="113">
        <f>AA20*(1+'AEO 2022 Pacific region Table 3'!AD3)</f>
        <v>3.6612773475482245E-5</v>
      </c>
      <c r="AC20" s="113">
        <f>AB20*(1+'AEO 2022 Pacific region Table 3'!AE3)</f>
        <v>3.6803039223839644E-5</v>
      </c>
      <c r="AD20" s="113">
        <f>AC20*(1+'AEO 2022 Pacific region Table 3'!AF3)</f>
        <v>3.6960056873931568E-5</v>
      </c>
      <c r="AE20" s="113">
        <f>AD20*(1+'AEO 2022 Pacific region Table 3'!AG3)</f>
        <v>3.707195291062487E-5</v>
      </c>
      <c r="AF20" s="113">
        <f>AE20*(1+'AEO 2022 Pacific region Table 3'!AH3)</f>
        <v>3.7112150411614987E-5</v>
      </c>
      <c r="AG20" s="113">
        <f>AF20*(1+'AEO 2022 Pacific region Table 3'!AI3)</f>
        <v>3.7116599533287214E-5</v>
      </c>
    </row>
    <row r="21" spans="1:33" s="32" customFormat="1">
      <c r="A21" s="32" t="s">
        <v>167</v>
      </c>
      <c r="B21" s="32">
        <f>C32</f>
        <v>1.4440721435360657E-5</v>
      </c>
      <c r="C21" s="113">
        <f t="shared" ref="C21:D21" si="11">D32</f>
        <v>1.2300337105126348E-5</v>
      </c>
      <c r="D21" s="113">
        <f t="shared" si="11"/>
        <v>1.6101973860478293E-5</v>
      </c>
      <c r="E21" s="32">
        <f>D21*(1+'AEO 2022 Pacific region Table 3'!G8)</f>
        <v>1.6973674557073229E-5</v>
      </c>
      <c r="F21" s="113">
        <f>E21*(1+'AEO 2022 Pacific region Table 3'!H8)</f>
        <v>1.5643965957851737E-5</v>
      </c>
      <c r="G21" s="113">
        <f>F21*(1+'AEO 2022 Pacific region Table 3'!I8)</f>
        <v>1.5580131945594638E-5</v>
      </c>
      <c r="H21" s="113">
        <f>G21*(1+'AEO 2022 Pacific region Table 3'!J8)</f>
        <v>1.5472416387682926E-5</v>
      </c>
      <c r="I21" s="113">
        <f>H21*(1+'AEO 2022 Pacific region Table 3'!K8)</f>
        <v>1.5585611462210753E-5</v>
      </c>
      <c r="J21" s="113">
        <f>I21*(1+'AEO 2022 Pacific region Table 3'!L8)</f>
        <v>1.5916861308524246E-5</v>
      </c>
      <c r="K21" s="113">
        <f>J21*(1+'AEO 2022 Pacific region Table 3'!M8)</f>
        <v>1.6382769311729473E-5</v>
      </c>
      <c r="L21" s="113">
        <f>K21*(1+'AEO 2022 Pacific region Table 3'!N8)</f>
        <v>1.6701996781554972E-5</v>
      </c>
      <c r="M21" s="113">
        <f>L21*(1+'AEO 2022 Pacific region Table 3'!O8)</f>
        <v>1.7029755845899107E-5</v>
      </c>
      <c r="N21" s="113">
        <f>M21*(1+'AEO 2022 Pacific region Table 3'!P8)</f>
        <v>1.7533190183696905E-5</v>
      </c>
      <c r="O21" s="113">
        <f>N21*(1+'AEO 2022 Pacific region Table 3'!Q8)</f>
        <v>1.7773042206959882E-5</v>
      </c>
      <c r="P21" s="113">
        <f>O21*(1+'AEO 2022 Pacific region Table 3'!R8)</f>
        <v>1.8031061891022168E-5</v>
      </c>
      <c r="Q21" s="113">
        <f>P21*(1+'AEO 2022 Pacific region Table 3'!S8)</f>
        <v>1.8172394861743381E-5</v>
      </c>
      <c r="R21" s="113">
        <f>Q21*(1+'AEO 2022 Pacific region Table 3'!T8)</f>
        <v>1.8267342588991013E-5</v>
      </c>
      <c r="S21" s="113">
        <f>R21*(1+'AEO 2022 Pacific region Table 3'!U8)</f>
        <v>1.8392490635652514E-5</v>
      </c>
      <c r="T21" s="113">
        <f>S21*(1+'AEO 2022 Pacific region Table 3'!V8)</f>
        <v>1.8553098309466701E-5</v>
      </c>
      <c r="U21" s="113">
        <f>T21*(1+'AEO 2022 Pacific region Table 3'!W8)</f>
        <v>1.8702412780935238E-5</v>
      </c>
      <c r="V21" s="113">
        <f>U21*(1+'AEO 2022 Pacific region Table 3'!X8)</f>
        <v>1.8779362502471916E-5</v>
      </c>
      <c r="W21" s="113">
        <f>V21*(1+'AEO 2022 Pacific region Table 3'!Y8)</f>
        <v>1.9012975845440611E-5</v>
      </c>
      <c r="X21" s="113">
        <f>W21*(1+'AEO 2022 Pacific region Table 3'!Z8)</f>
        <v>1.91601559188027E-5</v>
      </c>
      <c r="Y21" s="113">
        <f>X21*(1+'AEO 2022 Pacific region Table 3'!AA8)</f>
        <v>1.9180215490890254E-5</v>
      </c>
      <c r="Z21" s="113">
        <f>Y21*(1+'AEO 2022 Pacific region Table 3'!AB8)</f>
        <v>1.9324340915818179E-5</v>
      </c>
      <c r="AA21" s="113">
        <f>Z21*(1+'AEO 2022 Pacific region Table 3'!AC8)</f>
        <v>1.9502609855698264E-5</v>
      </c>
      <c r="AB21" s="113">
        <f>AA21*(1+'AEO 2022 Pacific region Table 3'!AD8)</f>
        <v>1.9536617989317296E-5</v>
      </c>
      <c r="AC21" s="113">
        <f>AB21*(1+'AEO 2022 Pacific region Table 3'!AE8)</f>
        <v>1.9623252617235834E-5</v>
      </c>
      <c r="AD21" s="113">
        <f>AC21*(1+'AEO 2022 Pacific region Table 3'!AF8)</f>
        <v>1.968340477133821E-5</v>
      </c>
      <c r="AE21" s="113">
        <f>AD21*(1+'AEO 2022 Pacific region Table 3'!AG8)</f>
        <v>1.9714603313872918E-5</v>
      </c>
      <c r="AF21" s="113">
        <f>AE21*(1+'AEO 2022 Pacific region Table 3'!AH8)</f>
        <v>1.9698157052429638E-5</v>
      </c>
      <c r="AG21" s="113">
        <f>AF21*(1+'AEO 2022 Pacific region Table 3'!AI8)</f>
        <v>1.9676792507112004E-5</v>
      </c>
    </row>
    <row r="22" spans="1:33" s="32" customFormat="1">
      <c r="A22" s="32" t="s">
        <v>168</v>
      </c>
      <c r="B22" s="32">
        <f>C33</f>
        <v>1.5715959273557928E-5</v>
      </c>
      <c r="C22" s="113">
        <f t="shared" ref="C22:D22" si="12">D33</f>
        <v>1.3386560904210887E-5</v>
      </c>
      <c r="D22" s="113">
        <f t="shared" si="12"/>
        <v>1.7523914338207098E-5</v>
      </c>
      <c r="E22" s="32">
        <f>D22*(1+'AEO 2022 Pacific region Table 3'!G14)</f>
        <v>1.8592508502641481E-5</v>
      </c>
      <c r="F22" s="113">
        <f>E22*(1+'AEO 2022 Pacific region Table 3'!H14)</f>
        <v>1.6301936254276864E-5</v>
      </c>
      <c r="G22" s="113">
        <f>F22*(1+'AEO 2022 Pacific region Table 3'!I14)</f>
        <v>1.6280213095787388E-5</v>
      </c>
      <c r="H22" s="113">
        <f>G22*(1+'AEO 2022 Pacific region Table 3'!J14)</f>
        <v>1.6127119486374831E-5</v>
      </c>
      <c r="I22" s="113">
        <f>H22*(1+'AEO 2022 Pacific region Table 3'!K14)</f>
        <v>1.6319669575957851E-5</v>
      </c>
      <c r="J22" s="113">
        <f>I22*(1+'AEO 2022 Pacific region Table 3'!L14)</f>
        <v>1.6844762158609296E-5</v>
      </c>
      <c r="K22" s="113">
        <f>J22*(1+'AEO 2022 Pacific region Table 3'!M14)</f>
        <v>1.7574576016858057E-5</v>
      </c>
      <c r="L22" s="113">
        <f>K22*(1+'AEO 2022 Pacific region Table 3'!N14)</f>
        <v>1.8057289750137715E-5</v>
      </c>
      <c r="M22" s="113">
        <f>L22*(1+'AEO 2022 Pacific region Table 3'!O14)</f>
        <v>1.8567638177319807E-5</v>
      </c>
      <c r="N22" s="113">
        <f>M22*(1+'AEO 2022 Pacific region Table 3'!P14)</f>
        <v>1.9024751956395882E-5</v>
      </c>
      <c r="O22" s="113">
        <f>N22*(1+'AEO 2022 Pacific region Table 3'!Q14)</f>
        <v>1.9400664977527707E-5</v>
      </c>
      <c r="P22" s="113">
        <f>O22*(1+'AEO 2022 Pacific region Table 3'!R14)</f>
        <v>1.9764450487613517E-5</v>
      </c>
      <c r="Q22" s="113">
        <f>P22*(1+'AEO 2022 Pacific region Table 3'!S14)</f>
        <v>1.9983910780448627E-5</v>
      </c>
      <c r="R22" s="113">
        <f>Q22*(1+'AEO 2022 Pacific region Table 3'!T14)</f>
        <v>2.013237612778102E-5</v>
      </c>
      <c r="S22" s="113">
        <f>R22*(1+'AEO 2022 Pacific region Table 3'!U14)</f>
        <v>2.0337654901502899E-5</v>
      </c>
      <c r="T22" s="113">
        <f>S22*(1+'AEO 2022 Pacific region Table 3'!V14)</f>
        <v>2.060253330767917E-5</v>
      </c>
      <c r="U22" s="113">
        <f>T22*(1+'AEO 2022 Pacific region Table 3'!W14)</f>
        <v>2.0845845271428634E-5</v>
      </c>
      <c r="V22" s="113">
        <f>U22*(1+'AEO 2022 Pacific region Table 3'!X14)</f>
        <v>2.0965672685145966E-5</v>
      </c>
      <c r="W22" s="113">
        <f>V22*(1+'AEO 2022 Pacific region Table 3'!Y14)</f>
        <v>2.1362590796906368E-5</v>
      </c>
      <c r="X22" s="113">
        <f>W22*(1+'AEO 2022 Pacific region Table 3'!Z14)</f>
        <v>2.1599126717782434E-5</v>
      </c>
      <c r="Y22" s="113">
        <f>X22*(1+'AEO 2022 Pacific region Table 3'!AA14)</f>
        <v>2.1620589111020094E-5</v>
      </c>
      <c r="Z22" s="113">
        <f>Y22*(1+'AEO 2022 Pacific region Table 3'!AB14)</f>
        <v>2.186944137295211E-5</v>
      </c>
      <c r="AA22" s="113">
        <f>Z22*(1+'AEO 2022 Pacific region Table 3'!AC14)</f>
        <v>2.2170026634815917E-5</v>
      </c>
      <c r="AB22" s="113">
        <f>AA22*(1+'AEO 2022 Pacific region Table 3'!AD14)</f>
        <v>2.221460593185446E-5</v>
      </c>
      <c r="AC22" s="113">
        <f>AB22*(1+'AEO 2022 Pacific region Table 3'!AE14)</f>
        <v>2.2363121376944593E-5</v>
      </c>
      <c r="AD22" s="113">
        <f>AC22*(1+'AEO 2022 Pacific region Table 3'!AF14)</f>
        <v>2.2462602678231268E-5</v>
      </c>
      <c r="AE22" s="113">
        <f>AD22*(1+'AEO 2022 Pacific region Table 3'!AG14)</f>
        <v>2.2513011298977768E-5</v>
      </c>
      <c r="AF22" s="113">
        <f>AE22*(1+'AEO 2022 Pacific region Table 3'!AH14)</f>
        <v>2.2482416983695178E-5</v>
      </c>
      <c r="AG22" s="113">
        <f>AF22*(1+'AEO 2022 Pacific region Table 3'!AI14)</f>
        <v>2.2447619594994249E-5</v>
      </c>
    </row>
    <row r="23" spans="1:33" s="32" customFormat="1"/>
    <row r="24" spans="1:33" s="32" customFormat="1"/>
    <row r="25" spans="1:33" s="32" customFormat="1">
      <c r="A25" s="33" t="s">
        <v>665</v>
      </c>
    </row>
    <row r="26" spans="1:33">
      <c r="B26" t="s">
        <v>664</v>
      </c>
      <c r="C26" t="s">
        <v>376</v>
      </c>
    </row>
    <row r="27" spans="1:33">
      <c r="A27" s="32" t="s">
        <v>663</v>
      </c>
      <c r="B27">
        <f>AggregateSEDS!E1</f>
        <v>2019</v>
      </c>
      <c r="C27">
        <v>2019</v>
      </c>
      <c r="D27" t="s">
        <v>1226</v>
      </c>
      <c r="E27" t="s">
        <v>1227</v>
      </c>
    </row>
    <row r="28" spans="1:33">
      <c r="B28" s="21" t="str">
        <f>AggregateSEDS!E2</f>
        <v>HGLs/Propane</v>
      </c>
    </row>
    <row r="29" spans="1:33">
      <c r="A29" t="str">
        <f>AggregateSEDS!A3</f>
        <v>Transportation</v>
      </c>
      <c r="B29" s="21">
        <f>AggregateSEDS!E3/1000000</f>
        <v>1.7489999999999997E-5</v>
      </c>
      <c r="C29" s="21">
        <f>B29*About!$G$176</f>
        <v>1.5706978725401608E-5</v>
      </c>
      <c r="D29" s="21">
        <f>Lpgpropbut!C29*'EIA gasoline 2022'!$B$33</f>
        <v>1.3378911440837052E-5</v>
      </c>
      <c r="E29" s="21">
        <f>C29*'EIA gasoline 2022'!$B$34</f>
        <v>1.7513900672870978E-5</v>
      </c>
    </row>
    <row r="30" spans="1:33">
      <c r="A30" t="str">
        <f>AggregateSEDS!A4</f>
        <v>Power</v>
      </c>
      <c r="B30" s="21" t="str">
        <f>AggregateSEDS!E4</f>
        <v>NA</v>
      </c>
      <c r="C30" s="21"/>
      <c r="D30" s="21"/>
      <c r="E30" s="21"/>
    </row>
    <row r="31" spans="1:33">
      <c r="A31" t="str">
        <f>AggregateSEDS!A5</f>
        <v xml:space="preserve">Residential </v>
      </c>
      <c r="B31" s="21">
        <f>AggregateSEDS!E5/1000000</f>
        <v>2.6890000000000002E-5</v>
      </c>
      <c r="C31" s="21">
        <f>B31*About!$G$176</f>
        <v>2.4148693992341303E-5</v>
      </c>
      <c r="D31" s="21">
        <f>Lpgpropbut!C31*'EIA gasoline 2022'!$B$33</f>
        <v>2.0569407012241763E-5</v>
      </c>
      <c r="E31" s="21">
        <f>C31*'EIA gasoline 2022'!$B$34</f>
        <v>2.6926746088822226E-5</v>
      </c>
    </row>
    <row r="32" spans="1:33">
      <c r="A32" t="str">
        <f>AggregateSEDS!A6</f>
        <v>Commercial</v>
      </c>
      <c r="B32" s="21">
        <f>AggregateSEDS!E6/1000000</f>
        <v>1.6079999999999999E-5</v>
      </c>
      <c r="C32" s="21">
        <f>B32*About!$G$176</f>
        <v>1.4440721435360657E-5</v>
      </c>
      <c r="D32" s="21">
        <f>Lpgpropbut!C32*'EIA gasoline 2022'!$B$33</f>
        <v>1.2300337105126348E-5</v>
      </c>
      <c r="E32" s="21">
        <f>C32*'EIA gasoline 2022'!$B$34</f>
        <v>1.6101973860478293E-5</v>
      </c>
    </row>
    <row r="33" spans="1:30">
      <c r="A33" t="str">
        <f>AggregateSEDS!A7</f>
        <v>Industrial</v>
      </c>
      <c r="B33" s="21">
        <f>AggregateSEDS!E7/1000000</f>
        <v>1.7499999999999998E-5</v>
      </c>
      <c r="C33" s="21">
        <f>B33*About!$G$176</f>
        <v>1.5715959273557928E-5</v>
      </c>
      <c r="D33" s="21">
        <f>Lpgpropbut!C33*'EIA gasoline 2022'!$B$33</f>
        <v>1.3386560904210887E-5</v>
      </c>
      <c r="E33" s="21">
        <f>C33*'EIA gasoline 2022'!$B$34</f>
        <v>1.7523914338207098E-5</v>
      </c>
    </row>
    <row r="35" spans="1:30" s="32" customFormat="1">
      <c r="B35" s="113">
        <f>'AEO 2022 Pacific region Table 3'!G1</f>
        <v>2022</v>
      </c>
      <c r="C35" s="32">
        <f>'AEO 2022 Pacific region Table 3'!H1</f>
        <v>2023</v>
      </c>
      <c r="D35" s="32">
        <f>'AEO 2022 Pacific region Table 3'!I1</f>
        <v>2024</v>
      </c>
      <c r="E35" s="32">
        <f>'AEO 2022 Pacific region Table 3'!J1</f>
        <v>2025</v>
      </c>
      <c r="F35" s="32">
        <f>'AEO 2022 Pacific region Table 3'!K1</f>
        <v>2026</v>
      </c>
      <c r="G35" s="32">
        <f>'AEO 2022 Pacific region Table 3'!L1</f>
        <v>2027</v>
      </c>
      <c r="H35" s="32">
        <f>'AEO 2022 Pacific region Table 3'!M1</f>
        <v>2028</v>
      </c>
      <c r="I35" s="32">
        <f>'AEO 2022 Pacific region Table 3'!N1</f>
        <v>2029</v>
      </c>
      <c r="J35" s="32">
        <f>'AEO 2022 Pacific region Table 3'!O1</f>
        <v>2030</v>
      </c>
      <c r="K35" s="32">
        <f>'AEO 2022 Pacific region Table 3'!P1</f>
        <v>2031</v>
      </c>
      <c r="L35" s="32">
        <f>'AEO 2022 Pacific region Table 3'!Q1</f>
        <v>2032</v>
      </c>
      <c r="M35" s="32">
        <f>'AEO 2022 Pacific region Table 3'!R1</f>
        <v>2033</v>
      </c>
      <c r="N35" s="32">
        <f>'AEO 2022 Pacific region Table 3'!S1</f>
        <v>2034</v>
      </c>
      <c r="O35" s="32">
        <f>'AEO 2022 Pacific region Table 3'!T1</f>
        <v>2035</v>
      </c>
      <c r="P35" s="32">
        <f>'AEO 2022 Pacific region Table 3'!U1</f>
        <v>2036</v>
      </c>
      <c r="Q35" s="32">
        <f>'AEO 2022 Pacific region Table 3'!V1</f>
        <v>2037</v>
      </c>
      <c r="R35" s="32">
        <f>'AEO 2022 Pacific region Table 3'!W1</f>
        <v>2038</v>
      </c>
      <c r="S35" s="32">
        <f>'AEO 2022 Pacific region Table 3'!X1</f>
        <v>2039</v>
      </c>
      <c r="T35" s="32">
        <f>'AEO 2022 Pacific region Table 3'!Y1</f>
        <v>2040</v>
      </c>
      <c r="U35" s="32">
        <f>'AEO 2022 Pacific region Table 3'!Z1</f>
        <v>2041</v>
      </c>
      <c r="V35" s="32">
        <f>'AEO 2022 Pacific region Table 3'!AA1</f>
        <v>2042</v>
      </c>
      <c r="W35" s="32">
        <f>'AEO 2022 Pacific region Table 3'!AB1</f>
        <v>2043</v>
      </c>
      <c r="X35" s="32">
        <f>'AEO 2022 Pacific region Table 3'!AC1</f>
        <v>2044</v>
      </c>
      <c r="Y35" s="32">
        <f>'AEO 2022 Pacific region Table 3'!AD1</f>
        <v>2045</v>
      </c>
      <c r="Z35" s="32">
        <f>'AEO 2022 Pacific region Table 3'!AE1</f>
        <v>2046</v>
      </c>
      <c r="AA35" s="32">
        <f>'AEO 2022 Pacific region Table 3'!AF1</f>
        <v>2047</v>
      </c>
      <c r="AB35" s="32">
        <f>'AEO 2022 Pacific region Table 3'!AG1</f>
        <v>2048</v>
      </c>
      <c r="AC35" s="32">
        <f>'AEO 2022 Pacific region Table 3'!AH1</f>
        <v>2049</v>
      </c>
      <c r="AD35" s="32">
        <f>'AEO 2022 Pacific region Table 3'!AI1</f>
        <v>2050</v>
      </c>
    </row>
    <row r="36" spans="1:30">
      <c r="A36" s="32" t="s">
        <v>164</v>
      </c>
      <c r="B36" s="113">
        <f>'AEO 2022 Pacific region Table 3'!G23</f>
        <v>3.4387914376687326E-2</v>
      </c>
      <c r="C36" s="32">
        <f>'AEO 2022 Pacific region Table 3'!H23</f>
        <v>-8.2213184264421993E-2</v>
      </c>
      <c r="D36" s="32">
        <f>'AEO 2022 Pacific region Table 3'!I23</f>
        <v>1.4455897816345885E-4</v>
      </c>
      <c r="E36" s="32">
        <f>'AEO 2022 Pacific region Table 3'!J23</f>
        <v>-5.9146052380007622E-3</v>
      </c>
      <c r="F36" s="32">
        <f>'AEO 2022 Pacific region Table 3'!K23</f>
        <v>7.7611511800022692E-3</v>
      </c>
      <c r="G36" s="32">
        <f>'AEO 2022 Pacific region Table 3'!L23</f>
        <v>2.047993299325121E-2</v>
      </c>
      <c r="H36" s="32">
        <f>'AEO 2022 Pacific region Table 3'!M23</f>
        <v>2.7343255559449758E-2</v>
      </c>
      <c r="I36" s="32">
        <f>'AEO 2022 Pacific region Table 3'!N23</f>
        <v>1.7126346964457331E-2</v>
      </c>
      <c r="J36" s="32">
        <f>'AEO 2022 Pacific region Table 3'!O23</f>
        <v>1.7772256272288185E-2</v>
      </c>
      <c r="K36" s="32">
        <f>'AEO 2022 Pacific region Table 3'!P23</f>
        <v>3.3920864110609551E-2</v>
      </c>
      <c r="L36" s="32">
        <f>'AEO 2022 Pacific region Table 3'!Q23</f>
        <v>1.2108180983729998E-2</v>
      </c>
      <c r="M36" s="32">
        <f>'AEO 2022 Pacific region Table 3'!R23</f>
        <v>1.4013291483975782E-2</v>
      </c>
      <c r="N36" s="32">
        <f>'AEO 2022 Pacific region Table 3'!S23</f>
        <v>6.7019778753128608E-3</v>
      </c>
      <c r="O36" s="32">
        <f>'AEO 2022 Pacific region Table 3'!T23</f>
        <v>4.4607452729382713E-3</v>
      </c>
      <c r="P36" s="32">
        <f>'AEO 2022 Pacific region Table 3'!U23</f>
        <v>6.2462817934013058E-3</v>
      </c>
      <c r="Q36" s="32">
        <f>'AEO 2022 Pacific region Table 3'!V23</f>
        <v>8.0016982155994201E-3</v>
      </c>
      <c r="R36" s="32">
        <f>'AEO 2022 Pacific region Table 3'!W23</f>
        <v>7.2185149872876367E-3</v>
      </c>
      <c r="S36" s="32">
        <f>'AEO 2022 Pacific region Table 3'!X23</f>
        <v>3.4085243739599745E-3</v>
      </c>
      <c r="T36" s="32">
        <f>'AEO 2022 Pacific region Table 3'!Y23</f>
        <v>1.1761273983977577E-2</v>
      </c>
      <c r="U36" s="32">
        <f>'AEO 2022 Pacific region Table 3'!Z23</f>
        <v>6.7050547605065503E-3</v>
      </c>
      <c r="V36" s="32">
        <f>'AEO 2022 Pacific region Table 3'!AA23</f>
        <v>4.0009259146444481E-4</v>
      </c>
      <c r="W36" s="32">
        <f>'AEO 2022 Pacific region Table 3'!AB23</f>
        <v>7.139941330231425E-3</v>
      </c>
      <c r="X36" s="32">
        <f>'AEO 2022 Pacific region Table 3'!AC23</f>
        <v>8.4739409351337006E-3</v>
      </c>
      <c r="Y36" s="32">
        <f>'AEO 2022 Pacific region Table 3'!AD23</f>
        <v>1.0407558554147032E-3</v>
      </c>
      <c r="Z36" s="32">
        <f>'AEO 2022 Pacific region Table 3'!AE23</f>
        <v>4.0978000550117317E-3</v>
      </c>
      <c r="AA36" s="32">
        <f>'AEO 2022 Pacific region Table 3'!AF23</f>
        <v>2.6627272579787058E-3</v>
      </c>
      <c r="AB36" s="32">
        <f>'AEO 2022 Pacific region Table 3'!AG23</f>
        <v>1.2897092046243658E-3</v>
      </c>
      <c r="AC36" s="32">
        <f>'AEO 2022 Pacific region Table 3'!AH23</f>
        <v>-9.7503061377498038E-4</v>
      </c>
      <c r="AD36" s="32">
        <f>'AEO 2022 Pacific region Table 3'!AI23</f>
        <v>-1.0674671798324472E-3</v>
      </c>
    </row>
    <row r="37" spans="1:30">
      <c r="A37" s="32" t="s">
        <v>165</v>
      </c>
      <c r="B37" s="113"/>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row>
    <row r="38" spans="1:30">
      <c r="A38" s="32" t="s">
        <v>166</v>
      </c>
      <c r="B38" s="113">
        <f>'AEO 2022 Pacific region Table 3'!G3</f>
        <v>8.0777456852945073E-2</v>
      </c>
      <c r="C38" s="32">
        <f>'AEO 2022 Pacific region Table 3'!H3</f>
        <v>-9.51528385821559E-3</v>
      </c>
      <c r="D38" s="32">
        <f>'AEO 2022 Pacific region Table 3'!I3</f>
        <v>1.9285911275939115E-3</v>
      </c>
      <c r="E38" s="32">
        <f>'AEO 2022 Pacific region Table 3'!J3</f>
        <v>-2.431864401601638E-3</v>
      </c>
      <c r="F38" s="32">
        <f>'AEO 2022 Pacific region Table 3'!K3</f>
        <v>3.7233761185396907E-3</v>
      </c>
      <c r="G38" s="32">
        <f>'AEO 2022 Pacific region Table 3'!L3</f>
        <v>1.3619157235145098E-2</v>
      </c>
      <c r="H38" s="32">
        <f>'AEO 2022 Pacific region Table 3'!M3</f>
        <v>2.2296112459104785E-2</v>
      </c>
      <c r="I38" s="32">
        <f>'AEO 2022 Pacific region Table 3'!N3</f>
        <v>2.0621722875891618E-2</v>
      </c>
      <c r="J38" s="32">
        <f>'AEO 2022 Pacific region Table 3'!O3</f>
        <v>2.0903394029256121E-2</v>
      </c>
      <c r="K38" s="32">
        <f>'AEO 2022 Pacific region Table 3'!P3</f>
        <v>2.6799336636769259E-2</v>
      </c>
      <c r="L38" s="32">
        <f>'AEO 2022 Pacific region Table 3'!Q3</f>
        <v>1.71208989869539E-2</v>
      </c>
      <c r="M38" s="32">
        <f>'AEO 2022 Pacific region Table 3'!R3</f>
        <v>1.6682619702732431E-2</v>
      </c>
      <c r="N38" s="32">
        <f>'AEO 2022 Pacific region Table 3'!S3</f>
        <v>1.2059729885186769E-2</v>
      </c>
      <c r="O38" s="32">
        <f>'AEO 2022 Pacific region Table 3'!T3</f>
        <v>9.0384814365047691E-3</v>
      </c>
      <c r="P38" s="32">
        <f>'AEO 2022 Pacific region Table 3'!U3</f>
        <v>8.5854768027021876E-3</v>
      </c>
      <c r="Q38" s="32">
        <f>'AEO 2022 Pacific region Table 3'!V3</f>
        <v>9.2363437227701711E-3</v>
      </c>
      <c r="R38" s="32">
        <f>'AEO 2022 Pacific region Table 3'!W3</f>
        <v>8.9808843442016426E-3</v>
      </c>
      <c r="S38" s="32">
        <f>'AEO 2022 Pacific region Table 3'!X3</f>
        <v>6.6056391881534919E-3</v>
      </c>
      <c r="T38" s="32">
        <f>'AEO 2022 Pacific region Table 3'!Y3</f>
        <v>1.0600486299341055E-2</v>
      </c>
      <c r="U38" s="32">
        <f>'AEO 2022 Pacific region Table 3'!Z3</f>
        <v>9.1315659959457715E-3</v>
      </c>
      <c r="V38" s="32">
        <f>'AEO 2022 Pacific region Table 3'!AA3</f>
        <v>4.9253897101637235E-3</v>
      </c>
      <c r="W38" s="32">
        <f>'AEO 2022 Pacific region Table 3'!AB3</f>
        <v>7.125465486422889E-3</v>
      </c>
      <c r="X38" s="32">
        <f>'AEO 2022 Pacific region Table 3'!AC3</f>
        <v>8.5979422444642118E-3</v>
      </c>
      <c r="Y38" s="32">
        <f>'AEO 2022 Pacific region Table 3'!AD3</f>
        <v>4.8523632427164044E-3</v>
      </c>
      <c r="Z38" s="32">
        <f>'AEO 2022 Pacific region Table 3'!AE3</f>
        <v>5.1967040542506646E-3</v>
      </c>
      <c r="AA38" s="32">
        <f>'AEO 2022 Pacific region Table 3'!AF3</f>
        <v>4.2664316155229896E-3</v>
      </c>
      <c r="AB38" s="32">
        <f>'AEO 2022 Pacific region Table 3'!AG3</f>
        <v>3.0274855115882465E-3</v>
      </c>
      <c r="AC38" s="32">
        <f>'AEO 2022 Pacific region Table 3'!AH3</f>
        <v>1.0843103164008962E-3</v>
      </c>
      <c r="AD38" s="32">
        <f>'AEO 2022 Pacific region Table 3'!AI3</f>
        <v>1.1988315478568685E-4</v>
      </c>
    </row>
    <row r="39" spans="1:30">
      <c r="A39" s="32" t="s">
        <v>167</v>
      </c>
      <c r="B39" s="113">
        <f>'AEO 2022 Pacific region Table 3'!G8</f>
        <v>5.413626330213437E-2</v>
      </c>
      <c r="C39" s="32">
        <f>'AEO 2022 Pacific region Table 3'!H8</f>
        <v>-7.8339465903532246E-2</v>
      </c>
      <c r="D39" s="32">
        <f>'AEO 2022 Pacific region Table 3'!I8</f>
        <v>-4.0804238790267573E-3</v>
      </c>
      <c r="E39" s="32">
        <f>'AEO 2022 Pacific region Table 3'!J8</f>
        <v>-6.9136486319789385E-3</v>
      </c>
      <c r="F39" s="32">
        <f>'AEO 2022 Pacific region Table 3'!K8</f>
        <v>7.3159273698154463E-3</v>
      </c>
      <c r="G39" s="32">
        <f>'AEO 2022 Pacific region Table 3'!L8</f>
        <v>2.1253567568821501E-2</v>
      </c>
      <c r="H39" s="32">
        <f>'AEO 2022 Pacific region Table 3'!M8</f>
        <v>2.9271349053956432E-2</v>
      </c>
      <c r="I39" s="32">
        <f>'AEO 2022 Pacific region Table 3'!N8</f>
        <v>1.9485562162981945E-2</v>
      </c>
      <c r="J39" s="32">
        <f>'AEO 2022 Pacific region Table 3'!O8</f>
        <v>1.9623944887002909E-2</v>
      </c>
      <c r="K39" s="32">
        <f>'AEO 2022 Pacific region Table 3'!P8</f>
        <v>2.956204083918381E-2</v>
      </c>
      <c r="L39" s="32">
        <f>'AEO 2022 Pacific region Table 3'!Q8</f>
        <v>1.3679884878338024E-2</v>
      </c>
      <c r="M39" s="32">
        <f>'AEO 2022 Pacific region Table 3'!R8</f>
        <v>1.451747433319245E-2</v>
      </c>
      <c r="N39" s="32">
        <f>'AEO 2022 Pacific region Table 3'!S8</f>
        <v>7.8383054517485104E-3</v>
      </c>
      <c r="O39" s="32">
        <f>'AEO 2022 Pacific region Table 3'!T8</f>
        <v>5.2248329386413344E-3</v>
      </c>
      <c r="P39" s="32">
        <f>'AEO 2022 Pacific region Table 3'!U8</f>
        <v>6.8509169328725339E-3</v>
      </c>
      <c r="Q39" s="32">
        <f>'AEO 2022 Pacific region Table 3'!V8</f>
        <v>8.7322417064527886E-3</v>
      </c>
      <c r="R39" s="32">
        <f>'AEO 2022 Pacific region Table 3'!W8</f>
        <v>8.0479534457245337E-3</v>
      </c>
      <c r="S39" s="32">
        <f>'AEO 2022 Pacific region Table 3'!X8</f>
        <v>4.1144275039806891E-3</v>
      </c>
      <c r="T39" s="32">
        <f>'AEO 2022 Pacific region Table 3'!Y8</f>
        <v>1.2439897410678621E-2</v>
      </c>
      <c r="U39" s="32">
        <f>'AEO 2022 Pacific region Table 3'!Z8</f>
        <v>7.7410329954941482E-3</v>
      </c>
      <c r="V39" s="32">
        <f>'AEO 2022 Pacific region Table 3'!AA8</f>
        <v>1.0469420067647812E-3</v>
      </c>
      <c r="W39" s="32">
        <f>'AEO 2022 Pacific region Table 3'!AB8</f>
        <v>7.5142755823770363E-3</v>
      </c>
      <c r="X39" s="32">
        <f>'AEO 2022 Pacific region Table 3'!AC8</f>
        <v>9.2250980593165284E-3</v>
      </c>
      <c r="Y39" s="32">
        <f>'AEO 2022 Pacific region Table 3'!AD8</f>
        <v>1.7437734677903302E-3</v>
      </c>
      <c r="Z39" s="32">
        <f>'AEO 2022 Pacific region Table 3'!AE8</f>
        <v>4.4344741738775355E-3</v>
      </c>
      <c r="AA39" s="32">
        <f>'AEO 2022 Pacific region Table 3'!AF8</f>
        <v>3.0653508506302027E-3</v>
      </c>
      <c r="AB39" s="32">
        <f>'AEO 2022 Pacific region Table 3'!AG8</f>
        <v>1.58501757684419E-3</v>
      </c>
      <c r="AC39" s="32">
        <f>'AEO 2022 Pacific region Table 3'!AH8</f>
        <v>-8.3421721357726866E-4</v>
      </c>
      <c r="AD39" s="32">
        <f>'AEO 2022 Pacific region Table 3'!AI8</f>
        <v>-1.0845961508363028E-3</v>
      </c>
    </row>
    <row r="40" spans="1:30">
      <c r="A40" s="32" t="s">
        <v>168</v>
      </c>
      <c r="B40" s="113">
        <f>'AEO 2022 Pacific region Table 3'!G14</f>
        <v>6.0979193564336474E-2</v>
      </c>
      <c r="C40" s="32">
        <f>'AEO 2022 Pacific region Table 3'!H14</f>
        <v>-0.1231986661745611</v>
      </c>
      <c r="D40" s="32">
        <f>'AEO 2022 Pacific region Table 3'!I14</f>
        <v>-1.3325508179296811E-3</v>
      </c>
      <c r="E40" s="32">
        <f>'AEO 2022 Pacific region Table 3'!J14</f>
        <v>-9.4036612734615197E-3</v>
      </c>
      <c r="F40" s="32">
        <f>'AEO 2022 Pacific region Table 3'!K14</f>
        <v>1.1939521484025746E-2</v>
      </c>
      <c r="G40" s="32">
        <f>'AEO 2022 Pacific region Table 3'!L14</f>
        <v>3.2175442046021005E-2</v>
      </c>
      <c r="H40" s="32">
        <f>'AEO 2022 Pacific region Table 3'!M14</f>
        <v>4.3325863041393957E-2</v>
      </c>
      <c r="I40" s="32">
        <f>'AEO 2022 Pacific region Table 3'!N14</f>
        <v>2.7466593379927007E-2</v>
      </c>
      <c r="J40" s="32">
        <f>'AEO 2022 Pacific region Table 3'!O14</f>
        <v>2.82627367807619E-2</v>
      </c>
      <c r="K40" s="32">
        <f>'AEO 2022 Pacific region Table 3'!P14</f>
        <v>2.4618843533607552E-2</v>
      </c>
      <c r="L40" s="32">
        <f>'AEO 2022 Pacific region Table 3'!Q14</f>
        <v>1.9759154915312632E-2</v>
      </c>
      <c r="M40" s="32">
        <f>'AEO 2022 Pacific region Table 3'!R14</f>
        <v>1.875118767873115E-2</v>
      </c>
      <c r="N40" s="32">
        <f>'AEO 2022 Pacific region Table 3'!S14</f>
        <v>1.110378924891667E-2</v>
      </c>
      <c r="O40" s="32">
        <f>'AEO 2022 Pacific region Table 3'!T14</f>
        <v>7.4292439034330093E-3</v>
      </c>
      <c r="P40" s="32">
        <f>'AEO 2022 Pacific region Table 3'!U14</f>
        <v>1.019645035533648E-2</v>
      </c>
      <c r="Q40" s="32">
        <f>'AEO 2022 Pacific region Table 3'!V14</f>
        <v>1.3024038782204771E-2</v>
      </c>
      <c r="R40" s="32">
        <f>'AEO 2022 Pacific region Table 3'!W14</f>
        <v>1.1809808052040509E-2</v>
      </c>
      <c r="S40" s="32">
        <f>'AEO 2022 Pacific region Table 3'!X14</f>
        <v>5.7482636063487646E-3</v>
      </c>
      <c r="T40" s="32">
        <f>'AEO 2022 Pacific region Table 3'!Y14</f>
        <v>1.8931809044296307E-2</v>
      </c>
      <c r="U40" s="32">
        <f>'AEO 2022 Pacific region Table 3'!Z14</f>
        <v>1.1072436069426551E-2</v>
      </c>
      <c r="V40" s="32">
        <f>'AEO 2022 Pacific region Table 3'!AA14</f>
        <v>9.9366949034994682E-4</v>
      </c>
      <c r="W40" s="32">
        <f>'AEO 2022 Pacific region Table 3'!AB14</f>
        <v>1.1509966756880433E-2</v>
      </c>
      <c r="X40" s="32">
        <f>'AEO 2022 Pacific region Table 3'!AC14</f>
        <v>1.3744533147315191E-2</v>
      </c>
      <c r="Y40" s="32">
        <f>'AEO 2022 Pacific region Table 3'!AD14</f>
        <v>2.0107913162601136E-3</v>
      </c>
      <c r="Z40" s="32">
        <f>'AEO 2022 Pacific region Table 3'!AE14</f>
        <v>6.6854863662996851E-3</v>
      </c>
      <c r="AA40" s="32">
        <f>'AEO 2022 Pacific region Table 3'!AF14</f>
        <v>4.4484533089033254E-3</v>
      </c>
      <c r="AB40" s="32">
        <f>'AEO 2022 Pacific region Table 3'!AG14</f>
        <v>2.2441130918168651E-3</v>
      </c>
      <c r="AC40" s="32">
        <f>'AEO 2022 Pacific region Table 3'!AH14</f>
        <v>-1.3589614857066595E-3</v>
      </c>
      <c r="AD40" s="32">
        <f>'AEO 2022 Pacific region Table 3'!AI14</f>
        <v>-1.5477601330037346E-3</v>
      </c>
    </row>
    <row r="52" s="32" customFormat="1"/>
  </sheetData>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61B09-0F73-4324-A4F8-E648FE052847}">
  <sheetPr>
    <tabColor theme="9" tint="0.79998168889431442"/>
  </sheetPr>
  <dimension ref="A1:AQ37"/>
  <sheetViews>
    <sheetView topLeftCell="O1" workbookViewId="0">
      <selection activeCell="C10" sqref="C10:AG14"/>
    </sheetView>
  </sheetViews>
  <sheetFormatPr defaultRowHeight="14.5"/>
  <cols>
    <col min="1" max="1" width="18" customWidth="1"/>
    <col min="2" max="2" width="11.81640625" bestFit="1" customWidth="1"/>
  </cols>
  <sheetData>
    <row r="1" spans="1:43" s="113" customFormat="1">
      <c r="B1" s="113">
        <v>2019</v>
      </c>
      <c r="C1" s="113">
        <v>2020</v>
      </c>
      <c r="D1" s="113">
        <v>2021</v>
      </c>
      <c r="E1" s="113">
        <v>2022</v>
      </c>
      <c r="F1" s="113">
        <v>2023</v>
      </c>
      <c r="G1" s="113">
        <v>2024</v>
      </c>
      <c r="H1" s="113">
        <v>2025</v>
      </c>
      <c r="I1" s="113">
        <v>2026</v>
      </c>
      <c r="J1" s="113">
        <v>2027</v>
      </c>
      <c r="K1" s="113">
        <v>2028</v>
      </c>
      <c r="L1" s="113">
        <v>2029</v>
      </c>
      <c r="M1" s="113">
        <v>2030</v>
      </c>
      <c r="N1" s="113">
        <v>2031</v>
      </c>
      <c r="O1" s="113">
        <v>2032</v>
      </c>
      <c r="P1" s="113">
        <v>2033</v>
      </c>
      <c r="Q1" s="113">
        <v>2034</v>
      </c>
      <c r="R1" s="113">
        <v>2035</v>
      </c>
      <c r="S1" s="113">
        <v>2036</v>
      </c>
      <c r="T1" s="113">
        <v>2037</v>
      </c>
      <c r="U1" s="113">
        <v>2038</v>
      </c>
      <c r="V1" s="113">
        <v>2039</v>
      </c>
      <c r="W1" s="113">
        <v>2040</v>
      </c>
      <c r="X1" s="113">
        <v>2041</v>
      </c>
      <c r="Y1" s="113">
        <v>2042</v>
      </c>
      <c r="Z1" s="113">
        <v>2043</v>
      </c>
      <c r="AA1" s="113">
        <v>2044</v>
      </c>
      <c r="AB1" s="113">
        <v>2045</v>
      </c>
      <c r="AC1" s="113">
        <v>2046</v>
      </c>
      <c r="AD1" s="113">
        <v>2047</v>
      </c>
      <c r="AE1" s="113">
        <v>2048</v>
      </c>
      <c r="AF1" s="113">
        <v>2049</v>
      </c>
      <c r="AG1" s="113">
        <v>2050</v>
      </c>
    </row>
    <row r="2" spans="1:43" s="113" customFormat="1">
      <c r="A2" s="37" t="s">
        <v>726</v>
      </c>
    </row>
    <row r="3" spans="1:43" s="113" customFormat="1">
      <c r="A3" s="113" t="s">
        <v>164</v>
      </c>
      <c r="B3" s="21">
        <f>B10*'Tax-jet fuel'!$J$10</f>
        <v>2.1028294073694517E-6</v>
      </c>
      <c r="C3" s="21">
        <f>C10*'Tax-jet fuel'!$J$10</f>
        <v>1.3983281845959298E-6</v>
      </c>
      <c r="D3" s="21">
        <f>D10*'Tax-jet fuel'!$J$10</f>
        <v>2.0174353197605401E-6</v>
      </c>
      <c r="E3" s="21">
        <f>E10*'Tax-jet fuel'!$J$10</f>
        <v>2.1089013018285352E-6</v>
      </c>
      <c r="F3" s="21">
        <f>F10*'Tax-jet fuel'!$J$10</f>
        <v>1.9686240694255748E-6</v>
      </c>
      <c r="G3" s="21">
        <f>G10*'Tax-jet fuel'!$J$10</f>
        <v>2.129565604148939E-6</v>
      </c>
      <c r="H3" s="21">
        <f>H10*'Tax-jet fuel'!$J$10</f>
        <v>2.1379616179904573E-6</v>
      </c>
      <c r="I3" s="21">
        <f>I10*'Tax-jet fuel'!$J$10</f>
        <v>2.1581548233042869E-6</v>
      </c>
      <c r="J3" s="21">
        <f>J10*'Tax-jet fuel'!$J$10</f>
        <v>2.1968494301423141E-6</v>
      </c>
      <c r="K3" s="21">
        <f>K10*'Tax-jet fuel'!$J$10</f>
        <v>2.234973010305706E-6</v>
      </c>
      <c r="L3" s="21">
        <f>L10*'Tax-jet fuel'!$J$10</f>
        <v>2.2581896371424949E-6</v>
      </c>
      <c r="M3" s="21">
        <f>M10*'Tax-jet fuel'!$J$10</f>
        <v>2.2503579239402612E-6</v>
      </c>
      <c r="N3" s="21">
        <f>N10*'Tax-jet fuel'!$J$10</f>
        <v>2.3169836965975302E-6</v>
      </c>
      <c r="O3" s="21">
        <f>O10*'Tax-jet fuel'!$J$10</f>
        <v>2.3422565685271145E-6</v>
      </c>
      <c r="P3" s="21">
        <f>P10*'Tax-jet fuel'!$J$10</f>
        <v>2.3575175309387862E-6</v>
      </c>
      <c r="Q3" s="21">
        <f>Q10*'Tax-jet fuel'!$J$10</f>
        <v>2.3807126070092484E-6</v>
      </c>
      <c r="R3" s="21">
        <f>R10*'Tax-jet fuel'!$J$10</f>
        <v>2.3961209931345152E-6</v>
      </c>
      <c r="S3" s="21">
        <f>S10*'Tax-jet fuel'!$J$10</f>
        <v>2.4231655576817703E-6</v>
      </c>
      <c r="T3" s="21">
        <f>T10*'Tax-jet fuel'!$J$10</f>
        <v>2.4584259057763623E-6</v>
      </c>
      <c r="U3" s="21">
        <f>U10*'Tax-jet fuel'!$J$10</f>
        <v>2.483044842350667E-6</v>
      </c>
      <c r="V3" s="21">
        <f>V10*'Tax-jet fuel'!$J$10</f>
        <v>2.4973130968510503E-6</v>
      </c>
      <c r="W3" s="21">
        <f>W10*'Tax-jet fuel'!$J$10</f>
        <v>2.5230256318668977E-6</v>
      </c>
      <c r="X3" s="21">
        <f>X10*'Tax-jet fuel'!$J$10</f>
        <v>2.5425421156648745E-6</v>
      </c>
      <c r="Y3" s="21">
        <f>Y10*'Tax-jet fuel'!$J$10</f>
        <v>2.5481634340253662E-6</v>
      </c>
      <c r="Z3" s="21">
        <f>Z10*'Tax-jet fuel'!$J$10</f>
        <v>2.5881963846320683E-6</v>
      </c>
      <c r="AA3" s="21">
        <f>AA10*'Tax-jet fuel'!$J$10</f>
        <v>2.6309216711032622E-6</v>
      </c>
      <c r="AB3" s="21">
        <f>AB10*'Tax-jet fuel'!$J$10</f>
        <v>2.6458581366257906E-6</v>
      </c>
      <c r="AC3" s="21">
        <f>AC10*'Tax-jet fuel'!$J$10</f>
        <v>2.6746056235109107E-6</v>
      </c>
      <c r="AD3" s="21">
        <f>AD10*'Tax-jet fuel'!$J$10</f>
        <v>2.6871564054745079E-6</v>
      </c>
      <c r="AE3" s="21">
        <f>AE10*'Tax-jet fuel'!$J$10</f>
        <v>2.6833106231804586E-6</v>
      </c>
      <c r="AF3" s="21">
        <f>AF10*'Tax-jet fuel'!$J$10</f>
        <v>2.6890134775613195E-6</v>
      </c>
      <c r="AG3" s="21">
        <f>AG10*'Tax-jet fuel'!$J$10</f>
        <v>2.681031046260829E-6</v>
      </c>
    </row>
    <row r="4" spans="1:43" s="113" customFormat="1">
      <c r="A4" s="113" t="s">
        <v>165</v>
      </c>
      <c r="B4" s="21">
        <f>B11*'Tax-jet fuel'!$J$10</f>
        <v>4.1458222055861156E-6</v>
      </c>
      <c r="C4" s="21">
        <f>C11*'Tax-jet fuel'!$J$10</f>
        <v>3.4648003642234743E-6</v>
      </c>
      <c r="D4" s="21">
        <f>D11*'Tax-jet fuel'!$J$10</f>
        <v>4.2828405441869643E-6</v>
      </c>
      <c r="E4" s="21">
        <f>E11*'Tax-jet fuel'!$J$10</f>
        <v>4.6952123906553018E-6</v>
      </c>
      <c r="F4" s="21">
        <f>F11*'Tax-jet fuel'!$J$10</f>
        <v>4.4354231464219112E-6</v>
      </c>
      <c r="G4" s="21">
        <f>G11*'Tax-jet fuel'!$J$10</f>
        <v>4.4351673598853783E-6</v>
      </c>
      <c r="H4" s="21">
        <f>H11*'Tax-jet fuel'!$J$10</f>
        <v>4.4142269248116116E-6</v>
      </c>
      <c r="I4" s="21">
        <f>I11*'Tax-jet fuel'!$J$10</f>
        <v>4.43508495442902E-6</v>
      </c>
      <c r="J4" s="21">
        <f>J11*'Tax-jet fuel'!$J$10</f>
        <v>4.507188410254413E-6</v>
      </c>
      <c r="K4" s="21">
        <f>K11*'Tax-jet fuel'!$J$10</f>
        <v>4.6204262526666825E-6</v>
      </c>
      <c r="L4" s="21">
        <f>L11*'Tax-jet fuel'!$J$10</f>
        <v>4.7122175806292085E-6</v>
      </c>
      <c r="M4" s="21">
        <f>M11*'Tax-jet fuel'!$J$10</f>
        <v>4.8075360818717138E-6</v>
      </c>
      <c r="N4" s="21">
        <f>N11*'Tax-jet fuel'!$J$10</f>
        <v>4.9330413498870485E-6</v>
      </c>
      <c r="O4" s="21">
        <f>O11*'Tax-jet fuel'!$J$10</f>
        <v>5.0077426651925929E-6</v>
      </c>
      <c r="P4" s="21">
        <f>P11*'Tax-jet fuel'!$J$10</f>
        <v>5.0842232791118039E-6</v>
      </c>
      <c r="Q4" s="21">
        <f>Q11*'Tax-jet fuel'!$J$10</f>
        <v>5.1342152633916213E-6</v>
      </c>
      <c r="R4" s="21">
        <f>R11*'Tax-jet fuel'!$J$10</f>
        <v>5.1695948924022671E-6</v>
      </c>
      <c r="S4" s="21">
        <f>S11*'Tax-jet fuel'!$J$10</f>
        <v>5.2074653636737414E-6</v>
      </c>
      <c r="T4" s="21">
        <f>T11*'Tax-jet fuel'!$J$10</f>
        <v>5.2511604723484376E-6</v>
      </c>
      <c r="U4" s="21">
        <f>U11*'Tax-jet fuel'!$J$10</f>
        <v>5.2928229130996525E-6</v>
      </c>
      <c r="V4" s="21">
        <f>V11*'Tax-jet fuel'!$J$10</f>
        <v>5.3180275558550584E-6</v>
      </c>
      <c r="W4" s="21">
        <f>W11*'Tax-jet fuel'!$J$10</f>
        <v>5.3770918315101123E-6</v>
      </c>
      <c r="X4" s="21">
        <f>X11*'Tax-jet fuel'!$J$10</f>
        <v>5.4205902658289683E-6</v>
      </c>
      <c r="Y4" s="21">
        <f>Y11*'Tax-jet fuel'!$J$10</f>
        <v>5.434258144694343E-6</v>
      </c>
      <c r="Z4" s="21">
        <f>Z11*'Tax-jet fuel'!$J$10</f>
        <v>5.4716581357469881E-6</v>
      </c>
      <c r="AA4" s="21">
        <f>AA11*'Tax-jet fuel'!$J$10</f>
        <v>5.5182928118608629E-6</v>
      </c>
      <c r="AB4" s="21">
        <f>AB11*'Tax-jet fuel'!$J$10</f>
        <v>5.5335971532155521E-6</v>
      </c>
      <c r="AC4" s="21">
        <f>AC11*'Tax-jet fuel'!$J$10</f>
        <v>5.5573101473369478E-6</v>
      </c>
      <c r="AD4" s="21">
        <f>AD11*'Tax-jet fuel'!$J$10</f>
        <v>5.5747256066095716E-6</v>
      </c>
      <c r="AE4" s="21">
        <f>AE11*'Tax-jet fuel'!$J$10</f>
        <v>5.5844123130674081E-6</v>
      </c>
      <c r="AF4" s="21">
        <f>AF11*'Tax-jet fuel'!$J$10</f>
        <v>5.5813797922734578E-6</v>
      </c>
      <c r="AG4" s="21">
        <f>AG11*'Tax-jet fuel'!$J$10</f>
        <v>5.5743744494915462E-6</v>
      </c>
    </row>
    <row r="5" spans="1:43" s="113" customFormat="1">
      <c r="A5" s="113" t="s">
        <v>166</v>
      </c>
      <c r="B5" s="21">
        <f>B12*'Tax-jet fuel'!$J$10</f>
        <v>3.2895888222331057E-6</v>
      </c>
      <c r="C5" s="21">
        <f>C12*'Tax-jet fuel'!$J$10</f>
        <v>2.7492178835024058E-6</v>
      </c>
      <c r="D5" s="21">
        <f>D12*'Tax-jet fuel'!$J$10</f>
        <v>3.3983088716590029E-6</v>
      </c>
      <c r="E5" s="21">
        <f>E12*'Tax-jet fuel'!$J$10</f>
        <v>3.6728156199124186E-6</v>
      </c>
      <c r="F5" s="21">
        <f>F12*'Tax-jet fuel'!$J$10</f>
        <v>3.6378677367300638E-6</v>
      </c>
      <c r="G5" s="21">
        <f>G12*'Tax-jet fuel'!$J$10</f>
        <v>3.6448836961704817E-6</v>
      </c>
      <c r="H5" s="21">
        <f>H12*'Tax-jet fuel'!$J$10</f>
        <v>3.6360198332617868E-6</v>
      </c>
      <c r="I5" s="21">
        <f>I12*'Tax-jet fuel'!$J$10</f>
        <v>3.6495581026754906E-6</v>
      </c>
      <c r="J5" s="21">
        <f>J12*'Tax-jet fuel'!$J$10</f>
        <v>3.6992620083146263E-6</v>
      </c>
      <c r="K5" s="21">
        <f>K12*'Tax-jet fuel'!$J$10</f>
        <v>3.7817411700677031E-6</v>
      </c>
      <c r="L5" s="21">
        <f>L12*'Tax-jet fuel'!$J$10</f>
        <v>3.8597271884651892E-6</v>
      </c>
      <c r="M5" s="21">
        <f>M12*'Tax-jet fuel'!$J$10</f>
        <v>3.9404085867311106E-6</v>
      </c>
      <c r="N5" s="21">
        <f>N12*'Tax-jet fuel'!$J$10</f>
        <v>4.0460089229333344E-6</v>
      </c>
      <c r="O5" s="21">
        <f>O12*'Tax-jet fuel'!$J$10</f>
        <v>4.1152802330031899E-6</v>
      </c>
      <c r="P5" s="21">
        <f>P12*'Tax-jet fuel'!$J$10</f>
        <v>4.1839338881005538E-6</v>
      </c>
      <c r="Q5" s="21">
        <f>Q12*'Tax-jet fuel'!$J$10</f>
        <v>4.2343910006485257E-6</v>
      </c>
      <c r="R5" s="21">
        <f>R12*'Tax-jet fuel'!$J$10</f>
        <v>4.2726634651027905E-6</v>
      </c>
      <c r="S5" s="21">
        <f>S12*'Tax-jet fuel'!$J$10</f>
        <v>4.3093463181681835E-6</v>
      </c>
      <c r="T5" s="21">
        <f>T12*'Tax-jet fuel'!$J$10</f>
        <v>4.3491489219832396E-6</v>
      </c>
      <c r="U5" s="21">
        <f>U12*'Tax-jet fuel'!$J$10</f>
        <v>4.3882081254472803E-6</v>
      </c>
      <c r="V5" s="21">
        <f>V12*'Tax-jet fuel'!$J$10</f>
        <v>4.4171950450065081E-6</v>
      </c>
      <c r="W5" s="21">
        <f>W12*'Tax-jet fuel'!$J$10</f>
        <v>4.4640194605626169E-6</v>
      </c>
      <c r="X5" s="21">
        <f>X12*'Tax-jet fuel'!$J$10</f>
        <v>4.5047829488739305E-6</v>
      </c>
      <c r="Y5" s="21">
        <f>Y12*'Tax-jet fuel'!$J$10</f>
        <v>4.5269707604568352E-6</v>
      </c>
      <c r="Z5" s="21">
        <f>Z12*'Tax-jet fuel'!$J$10</f>
        <v>4.5592275343685157E-6</v>
      </c>
      <c r="AA5" s="21">
        <f>AA12*'Tax-jet fuel'!$J$10</f>
        <v>4.5984275093883871E-6</v>
      </c>
      <c r="AB5" s="21">
        <f>AB12*'Tax-jet fuel'!$J$10</f>
        <v>4.6207407500092389E-6</v>
      </c>
      <c r="AC5" s="21">
        <f>AC12*'Tax-jet fuel'!$J$10</f>
        <v>4.6447533721984537E-6</v>
      </c>
      <c r="AD5" s="21">
        <f>AD12*'Tax-jet fuel'!$J$10</f>
        <v>4.6645698948319079E-6</v>
      </c>
      <c r="AE5" s="21">
        <f>AE12*'Tax-jet fuel'!$J$10</f>
        <v>4.6786918126063021E-6</v>
      </c>
      <c r="AF5" s="21">
        <f>AF12*'Tax-jet fuel'!$J$10</f>
        <v>4.6837649664059712E-6</v>
      </c>
      <c r="AG5" s="21">
        <f>AG12*'Tax-jet fuel'!$J$10</f>
        <v>4.6843264709264184E-6</v>
      </c>
    </row>
    <row r="6" spans="1:43" s="113" customFormat="1">
      <c r="A6" s="113" t="s">
        <v>167</v>
      </c>
      <c r="B6" s="21">
        <f>B13*'Tax-jet fuel'!$J$10</f>
        <v>3.2895888222331057E-6</v>
      </c>
      <c r="C6" s="21">
        <f>C13*'Tax-jet fuel'!$J$10</f>
        <v>2.7492178835024058E-6</v>
      </c>
      <c r="D6" s="21">
        <f>D13*'Tax-jet fuel'!$J$10</f>
        <v>3.3983088716590029E-6</v>
      </c>
      <c r="E6" s="21">
        <f>E13*'Tax-jet fuel'!$J$10</f>
        <v>3.5822806155171133E-6</v>
      </c>
      <c r="F6" s="21">
        <f>F13*'Tax-jet fuel'!$J$10</f>
        <v>3.301646665380926E-6</v>
      </c>
      <c r="G6" s="21">
        <f>G13*'Tax-jet fuel'!$J$10</f>
        <v>3.2881745474873961E-6</v>
      </c>
      <c r="H6" s="21">
        <f>H13*'Tax-jet fuel'!$J$10</f>
        <v>3.2654412640254519E-6</v>
      </c>
      <c r="I6" s="21">
        <f>I13*'Tax-jet fuel'!$J$10</f>
        <v>3.2893309951434602E-6</v>
      </c>
      <c r="J6" s="21">
        <f>J13*'Tax-jet fuel'!$J$10</f>
        <v>3.3592410137049605E-6</v>
      </c>
      <c r="K6" s="21">
        <f>K13*'Tax-jet fuel'!$J$10</f>
        <v>3.4575705299734847E-6</v>
      </c>
      <c r="L6" s="21">
        <f>L13*'Tax-jet fuel'!$J$10</f>
        <v>3.5249432354681773E-6</v>
      </c>
      <c r="M6" s="21">
        <f>M13*'Tax-jet fuel'!$J$10</f>
        <v>3.5941165272508183E-6</v>
      </c>
      <c r="N6" s="21">
        <f>N13*'Tax-jet fuel'!$J$10</f>
        <v>3.700365946810193E-6</v>
      </c>
      <c r="O6" s="21">
        <f>O13*'Tax-jet fuel'!$J$10</f>
        <v>3.7509865269702781E-6</v>
      </c>
      <c r="P6" s="21">
        <f>P13*'Tax-jet fuel'!$J$10</f>
        <v>3.8054413775997202E-6</v>
      </c>
      <c r="Q6" s="21">
        <f>Q13*'Tax-jet fuel'!$J$10</f>
        <v>3.8352695894960691E-6</v>
      </c>
      <c r="R6" s="21">
        <f>R13*'Tax-jet fuel'!$J$10</f>
        <v>3.8553082323758382E-6</v>
      </c>
      <c r="S6" s="21">
        <f>S13*'Tax-jet fuel'!$J$10</f>
        <v>3.8817206288264639E-6</v>
      </c>
      <c r="T6" s="21">
        <f>T13*'Tax-jet fuel'!$J$10</f>
        <v>3.9156167515943009E-6</v>
      </c>
      <c r="U6" s="21">
        <f>U13*'Tax-jet fuel'!$J$10</f>
        <v>3.9471294529224303E-6</v>
      </c>
      <c r="V6" s="21">
        <f>V13*'Tax-jet fuel'!$J$10</f>
        <v>3.9633696309053065E-6</v>
      </c>
      <c r="W6" s="21">
        <f>W13*'Tax-jet fuel'!$J$10</f>
        <v>4.0126735425143672E-6</v>
      </c>
      <c r="X6" s="21">
        <f>X13*'Tax-jet fuel'!$J$10</f>
        <v>4.0437357808071179E-6</v>
      </c>
      <c r="Y6" s="21">
        <f>Y13*'Tax-jet fuel'!$J$10</f>
        <v>4.0479693376603021E-6</v>
      </c>
      <c r="Z6" s="21">
        <f>Z13*'Tax-jet fuel'!$J$10</f>
        <v>4.0783868948124942E-6</v>
      </c>
      <c r="AA6" s="21">
        <f>AA13*'Tax-jet fuel'!$J$10</f>
        <v>4.1160104138409703E-6</v>
      </c>
      <c r="AB6" s="21">
        <f>AB13*'Tax-jet fuel'!$J$10</f>
        <v>4.1231878035937748E-6</v>
      </c>
      <c r="AC6" s="21">
        <f>AC13*'Tax-jet fuel'!$J$10</f>
        <v>4.1414719734228583E-6</v>
      </c>
      <c r="AD6" s="21">
        <f>AD13*'Tax-jet fuel'!$J$10</f>
        <v>4.1541670380594516E-6</v>
      </c>
      <c r="AE6" s="21">
        <f>AE13*'Tax-jet fuel'!$J$10</f>
        <v>4.1607514658319224E-6</v>
      </c>
      <c r="AF6" s="21">
        <f>AF13*'Tax-jet fuel'!$J$10</f>
        <v>4.1572804953377087E-6</v>
      </c>
      <c r="AG6" s="21">
        <f>AG13*'Tax-jet fuel'!$J$10</f>
        <v>4.1527715249145185E-6</v>
      </c>
    </row>
    <row r="7" spans="1:43" s="113" customFormat="1">
      <c r="A7" s="113" t="s">
        <v>168</v>
      </c>
      <c r="B7" s="21">
        <f>B14*'Tax-jet fuel'!$J$10</f>
        <v>4.1458222055861156E-6</v>
      </c>
      <c r="C7" s="21">
        <f>C14*'Tax-jet fuel'!$J$10</f>
        <v>3.4648003642234743E-6</v>
      </c>
      <c r="D7" s="21">
        <f>D14*'Tax-jet fuel'!$J$10</f>
        <v>4.2828405441869643E-6</v>
      </c>
      <c r="E7" s="21">
        <f>E14*'Tax-jet fuel'!$J$10</f>
        <v>4.5440047067361292E-6</v>
      </c>
      <c r="F7" s="21">
        <f>F14*'Tax-jet fuel'!$J$10</f>
        <v>3.9841893877753109E-6</v>
      </c>
      <c r="G7" s="21">
        <f>G14*'Tax-jet fuel'!$J$10</f>
        <v>3.9788802529478435E-6</v>
      </c>
      <c r="H7" s="21">
        <f>H14*'Tax-jet fuel'!$J$10</f>
        <v>3.9414642108014573E-6</v>
      </c>
      <c r="I7" s="21">
        <f>I14*'Tax-jet fuel'!$J$10</f>
        <v>3.9885234074248394E-6</v>
      </c>
      <c r="J7" s="21">
        <f>J14*'Tax-jet fuel'!$J$10</f>
        <v>4.1168559111696355E-6</v>
      </c>
      <c r="K7" s="21">
        <f>K14*'Tax-jet fuel'!$J$10</f>
        <v>4.2952222465381238E-6</v>
      </c>
      <c r="L7" s="21">
        <f>L14*'Tax-jet fuel'!$J$10</f>
        <v>4.4131973694602028E-6</v>
      </c>
      <c r="M7" s="21">
        <f>M14*'Tax-jet fuel'!$J$10</f>
        <v>4.5379264050748076E-6</v>
      </c>
      <c r="N7" s="21">
        <f>N14*'Tax-jet fuel'!$J$10</f>
        <v>4.649644905208371E-6</v>
      </c>
      <c r="O7" s="21">
        <f>O14*'Tax-jet fuel'!$J$10</f>
        <v>4.7415179591915775E-6</v>
      </c>
      <c r="P7" s="21">
        <f>P14*'Tax-jet fuel'!$J$10</f>
        <v>4.8304270523264539E-6</v>
      </c>
      <c r="Q7" s="21">
        <f>Q14*'Tax-jet fuel'!$J$10</f>
        <v>4.8840630962977519E-6</v>
      </c>
      <c r="R7" s="21">
        <f>R14*'Tax-jet fuel'!$J$10</f>
        <v>4.9203479922799043E-6</v>
      </c>
      <c r="S7" s="21">
        <f>S14*'Tax-jet fuel'!$J$10</f>
        <v>4.9705180763141654E-6</v>
      </c>
      <c r="T7" s="21">
        <f>T14*'Tax-jet fuel'!$J$10</f>
        <v>5.0352542965077303E-6</v>
      </c>
      <c r="U7" s="21">
        <f>U14*'Tax-jet fuel'!$J$10</f>
        <v>5.0947196832426995E-6</v>
      </c>
      <c r="V7" s="21">
        <f>V14*'Tax-jet fuel'!$J$10</f>
        <v>5.1240054749824326E-6</v>
      </c>
      <c r="W7" s="21">
        <f>W14*'Tax-jet fuel'!$J$10</f>
        <v>5.2210121681767289E-6</v>
      </c>
      <c r="X7" s="21">
        <f>X14*'Tax-jet fuel'!$J$10</f>
        <v>5.2788214916265641E-6</v>
      </c>
      <c r="Y7" s="21">
        <f>Y14*'Tax-jet fuel'!$J$10</f>
        <v>5.2840668954877968E-6</v>
      </c>
      <c r="Z7" s="21">
        <f>Z14*'Tax-jet fuel'!$J$10</f>
        <v>5.3448863297959943E-6</v>
      </c>
      <c r="AA7" s="21">
        <f>AA14*'Tax-jet fuel'!$J$10</f>
        <v>5.4183492971245069E-6</v>
      </c>
      <c r="AB7" s="21">
        <f>AB14*'Tax-jet fuel'!$J$10</f>
        <v>5.4292444668396297E-6</v>
      </c>
      <c r="AC7" s="21">
        <f>AC14*'Tax-jet fuel'!$J$10</f>
        <v>5.4655416067019946E-6</v>
      </c>
      <c r="AD7" s="21">
        <f>AD14*'Tax-jet fuel'!$J$10</f>
        <v>5.4898548133472759E-6</v>
      </c>
      <c r="AE7" s="21">
        <f>AE14*'Tax-jet fuel'!$J$10</f>
        <v>5.5021746684060825E-6</v>
      </c>
      <c r="AF7" s="21">
        <f>AF14*'Tax-jet fuel'!$J$10</f>
        <v>5.4946974249440877E-6</v>
      </c>
      <c r="AG7" s="21">
        <f>AG14*'Tax-jet fuel'!$J$10</f>
        <v>5.4861929513268408E-6</v>
      </c>
    </row>
    <row r="8" spans="1:43" s="113" customFormat="1">
      <c r="A8" s="37" t="s">
        <v>725</v>
      </c>
    </row>
    <row r="9" spans="1:43">
      <c r="A9" t="str">
        <f t="shared" ref="A9:A14" si="0">A18</f>
        <v>Kerosene/Jet fuel</v>
      </c>
      <c r="B9">
        <f>C18</f>
        <v>2019</v>
      </c>
      <c r="C9">
        <f>B9+1</f>
        <v>2020</v>
      </c>
      <c r="D9" s="32">
        <f t="shared" ref="D9:F9" si="1">C9+1</f>
        <v>2021</v>
      </c>
      <c r="E9" s="32">
        <f t="shared" si="1"/>
        <v>2022</v>
      </c>
      <c r="F9" s="32">
        <f t="shared" si="1"/>
        <v>2023</v>
      </c>
      <c r="G9" s="32">
        <f t="shared" ref="G9:N9" si="2">F9+1</f>
        <v>2024</v>
      </c>
      <c r="H9" s="32">
        <f t="shared" si="2"/>
        <v>2025</v>
      </c>
      <c r="I9" s="32">
        <f t="shared" si="2"/>
        <v>2026</v>
      </c>
      <c r="J9" s="32">
        <f t="shared" si="2"/>
        <v>2027</v>
      </c>
      <c r="K9" s="32">
        <f t="shared" si="2"/>
        <v>2028</v>
      </c>
      <c r="L9" s="32">
        <f t="shared" si="2"/>
        <v>2029</v>
      </c>
      <c r="M9" s="32">
        <f t="shared" si="2"/>
        <v>2030</v>
      </c>
      <c r="N9" s="32">
        <f t="shared" si="2"/>
        <v>2031</v>
      </c>
      <c r="O9" s="32">
        <f t="shared" ref="O9:AG9" si="3">N9+1</f>
        <v>2032</v>
      </c>
      <c r="P9" s="32">
        <f t="shared" si="3"/>
        <v>2033</v>
      </c>
      <c r="Q9" s="32">
        <f t="shared" si="3"/>
        <v>2034</v>
      </c>
      <c r="R9" s="32">
        <f t="shared" si="3"/>
        <v>2035</v>
      </c>
      <c r="S9" s="32">
        <f t="shared" si="3"/>
        <v>2036</v>
      </c>
      <c r="T9" s="32">
        <f t="shared" si="3"/>
        <v>2037</v>
      </c>
      <c r="U9" s="32">
        <f t="shared" si="3"/>
        <v>2038</v>
      </c>
      <c r="V9" s="32">
        <f t="shared" si="3"/>
        <v>2039</v>
      </c>
      <c r="W9" s="32">
        <f t="shared" si="3"/>
        <v>2040</v>
      </c>
      <c r="X9" s="32">
        <f t="shared" si="3"/>
        <v>2041</v>
      </c>
      <c r="Y9" s="32">
        <f t="shared" si="3"/>
        <v>2042</v>
      </c>
      <c r="Z9" s="32">
        <f t="shared" si="3"/>
        <v>2043</v>
      </c>
      <c r="AA9" s="32">
        <f t="shared" si="3"/>
        <v>2044</v>
      </c>
      <c r="AB9" s="32">
        <f t="shared" si="3"/>
        <v>2045</v>
      </c>
      <c r="AC9" s="32">
        <f t="shared" si="3"/>
        <v>2046</v>
      </c>
      <c r="AD9" s="32">
        <f t="shared" si="3"/>
        <v>2047</v>
      </c>
      <c r="AE9" s="32">
        <f t="shared" si="3"/>
        <v>2048</v>
      </c>
      <c r="AF9" s="32">
        <f t="shared" si="3"/>
        <v>2049</v>
      </c>
      <c r="AG9" s="32">
        <f t="shared" si="3"/>
        <v>2050</v>
      </c>
      <c r="AH9" s="32"/>
      <c r="AI9" s="32"/>
      <c r="AJ9" s="32"/>
      <c r="AK9" s="32"/>
      <c r="AL9" s="32"/>
      <c r="AM9" s="32"/>
      <c r="AN9" s="32"/>
      <c r="AO9" s="32"/>
      <c r="AP9" s="32"/>
      <c r="AQ9" s="32"/>
    </row>
    <row r="10" spans="1:43">
      <c r="A10" t="str">
        <f t="shared" si="0"/>
        <v>Transportation</v>
      </c>
      <c r="B10" s="21">
        <f>C19/1000000</f>
        <v>1.3255289078726573E-5</v>
      </c>
      <c r="C10" s="21">
        <f>B10*(1+D25)</f>
        <v>8.8144308086963498E-6</v>
      </c>
      <c r="D10" s="21">
        <f>C10*(1+E25)</f>
        <v>1.2717003227813818E-5</v>
      </c>
      <c r="E10" s="21">
        <f t="shared" ref="E10:N14" si="4">D10*(1+B30)</f>
        <v>1.3293563565486463E-5</v>
      </c>
      <c r="F10" s="21">
        <f t="shared" si="4"/>
        <v>1.2409319099364507E-5</v>
      </c>
      <c r="G10" s="21">
        <f t="shared" si="4"/>
        <v>1.3423822016270543E-5</v>
      </c>
      <c r="H10" s="21">
        <f t="shared" si="4"/>
        <v>1.3476746704401823E-5</v>
      </c>
      <c r="I10" s="21">
        <f t="shared" si="4"/>
        <v>1.3604035571926143E-5</v>
      </c>
      <c r="J10" s="21">
        <f t="shared" si="4"/>
        <v>1.3847948938187909E-5</v>
      </c>
      <c r="K10" s="21">
        <f t="shared" si="4"/>
        <v>1.4088262809589357E-5</v>
      </c>
      <c r="L10" s="21">
        <f t="shared" si="4"/>
        <v>1.423460996408323E-5</v>
      </c>
      <c r="M10" s="21">
        <f t="shared" si="4"/>
        <v>1.4185242372916075E-5</v>
      </c>
      <c r="N10" s="21">
        <f t="shared" si="4"/>
        <v>1.4605221223112198E-5</v>
      </c>
      <c r="O10" s="21">
        <f t="shared" ref="O10:X14" si="5">N10*(1+L30)</f>
        <v>1.476453002015596E-5</v>
      </c>
      <c r="P10" s="21">
        <f t="shared" si="5"/>
        <v>1.4860728250824297E-5</v>
      </c>
      <c r="Q10" s="21">
        <f t="shared" si="5"/>
        <v>1.500693955899772E-5</v>
      </c>
      <c r="R10" s="21">
        <f t="shared" si="5"/>
        <v>1.510406708232951E-5</v>
      </c>
      <c r="S10" s="21">
        <f t="shared" si="5"/>
        <v>1.5274543831335314E-5</v>
      </c>
      <c r="T10" s="21">
        <f t="shared" si="5"/>
        <v>1.5496809177907112E-5</v>
      </c>
      <c r="U10" s="21">
        <f t="shared" si="5"/>
        <v>1.565199586112526E-5</v>
      </c>
      <c r="V10" s="21">
        <f t="shared" si="5"/>
        <v>1.5741936508421045E-5</v>
      </c>
      <c r="W10" s="21">
        <f t="shared" si="5"/>
        <v>1.590401674345461E-5</v>
      </c>
      <c r="X10" s="21">
        <f t="shared" si="5"/>
        <v>1.6027039863464181E-5</v>
      </c>
      <c r="Y10" s="21">
        <f t="shared" ref="Y10:AG14" si="6">X10*(1+V30)</f>
        <v>1.6062474121521797E-5</v>
      </c>
      <c r="Z10" s="21">
        <f t="shared" si="6"/>
        <v>1.6314823803862427E-5</v>
      </c>
      <c r="AA10" s="21">
        <f t="shared" si="6"/>
        <v>1.6584144758364173E-5</v>
      </c>
      <c r="AB10" s="21">
        <f t="shared" si="6"/>
        <v>1.667829750685708E-5</v>
      </c>
      <c r="AC10" s="21">
        <f t="shared" si="6"/>
        <v>1.6859508710967952E-5</v>
      </c>
      <c r="AD10" s="21">
        <f t="shared" si="6"/>
        <v>1.6938623185260787E-5</v>
      </c>
      <c r="AE10" s="21">
        <f t="shared" si="6"/>
        <v>1.6914381106534468E-5</v>
      </c>
      <c r="AF10" s="21">
        <f t="shared" si="6"/>
        <v>1.6950329330925505E-5</v>
      </c>
      <c r="AG10" s="21">
        <f t="shared" si="6"/>
        <v>1.6900011680778392E-5</v>
      </c>
      <c r="AH10" s="21"/>
      <c r="AI10" s="21"/>
      <c r="AJ10" s="21"/>
      <c r="AK10" s="21"/>
      <c r="AL10" s="21"/>
      <c r="AM10" s="21"/>
      <c r="AN10" s="21"/>
      <c r="AO10" s="21"/>
      <c r="AP10" s="21"/>
      <c r="AQ10" s="21"/>
    </row>
    <row r="11" spans="1:43">
      <c r="A11" t="str">
        <f t="shared" si="0"/>
        <v>Power</v>
      </c>
      <c r="B11" s="21">
        <f t="shared" ref="B11:B14" si="7">C20/1000000</f>
        <v>2.613339513488776E-5</v>
      </c>
      <c r="C11" s="21">
        <f t="shared" ref="C11:D11" si="8">C14</f>
        <v>2.1840540305792977E-5</v>
      </c>
      <c r="D11" s="21">
        <f t="shared" si="8"/>
        <v>2.699709700289288E-5</v>
      </c>
      <c r="E11" s="21">
        <f t="shared" si="4"/>
        <v>2.9596503314080019E-5</v>
      </c>
      <c r="F11" s="21">
        <f t="shared" si="4"/>
        <v>2.7958908975809246E-5</v>
      </c>
      <c r="G11" s="21">
        <f t="shared" si="4"/>
        <v>2.7957296612736756E-5</v>
      </c>
      <c r="H11" s="21">
        <f t="shared" si="4"/>
        <v>2.7825297545497009E-5</v>
      </c>
      <c r="I11" s="21">
        <f t="shared" si="4"/>
        <v>2.7956777165870617E-5</v>
      </c>
      <c r="J11" s="21">
        <f t="shared" si="4"/>
        <v>2.8411284862591662E-5</v>
      </c>
      <c r="K11" s="21">
        <f t="shared" si="4"/>
        <v>2.912508519778081E-5</v>
      </c>
      <c r="L11" s="21">
        <f t="shared" si="4"/>
        <v>2.9703696369376297E-5</v>
      </c>
      <c r="M11" s="21">
        <f t="shared" si="4"/>
        <v>3.0304541252034142E-5</v>
      </c>
      <c r="N11" s="21">
        <f t="shared" si="4"/>
        <v>3.1095669910695723E-5</v>
      </c>
      <c r="O11" s="21">
        <f t="shared" si="5"/>
        <v>3.1566553343020732E-5</v>
      </c>
      <c r="P11" s="21">
        <f t="shared" si="5"/>
        <v>3.2048652672079389E-5</v>
      </c>
      <c r="Q11" s="21">
        <f t="shared" si="5"/>
        <v>3.2363779615294951E-5</v>
      </c>
      <c r="R11" s="21">
        <f t="shared" si="5"/>
        <v>3.258679685501525E-5</v>
      </c>
      <c r="S11" s="21">
        <f t="shared" si="5"/>
        <v>3.2825515242009355E-5</v>
      </c>
      <c r="T11" s="21">
        <f t="shared" si="5"/>
        <v>3.3100949518693745E-5</v>
      </c>
      <c r="U11" s="21">
        <f t="shared" si="5"/>
        <v>3.3363570772680068E-5</v>
      </c>
      <c r="V11" s="21">
        <f t="shared" si="5"/>
        <v>3.3522449483752913E-5</v>
      </c>
      <c r="W11" s="21">
        <f t="shared" si="5"/>
        <v>3.3894764063951178E-5</v>
      </c>
      <c r="X11" s="21">
        <f t="shared" si="5"/>
        <v>3.4168958594115051E-5</v>
      </c>
      <c r="Y11" s="21">
        <f t="shared" si="6"/>
        <v>3.4255114743928555E-5</v>
      </c>
      <c r="Z11" s="21">
        <f t="shared" si="6"/>
        <v>3.4490867435614918E-5</v>
      </c>
      <c r="AA11" s="21">
        <f t="shared" si="6"/>
        <v>3.4784831420908186E-5</v>
      </c>
      <c r="AB11" s="21">
        <f t="shared" si="6"/>
        <v>3.4881303092887363E-5</v>
      </c>
      <c r="AC11" s="21">
        <f t="shared" si="6"/>
        <v>3.5030779123087283E-5</v>
      </c>
      <c r="AD11" s="21">
        <f t="shared" si="6"/>
        <v>3.5140558331181106E-5</v>
      </c>
      <c r="AE11" s="21">
        <f t="shared" si="6"/>
        <v>3.5201618963997736E-5</v>
      </c>
      <c r="AF11" s="21">
        <f t="shared" si="6"/>
        <v>3.5182503319323851E-5</v>
      </c>
      <c r="AG11" s="21">
        <f t="shared" si="6"/>
        <v>3.5138344794935531E-5</v>
      </c>
    </row>
    <row r="12" spans="1:43">
      <c r="A12" t="str">
        <f t="shared" si="0"/>
        <v xml:space="preserve">Residential </v>
      </c>
      <c r="B12" s="21">
        <f t="shared" si="7"/>
        <v>2.0736085692940146E-5</v>
      </c>
      <c r="C12" s="21">
        <f>B12*(1+$D$26)</f>
        <v>1.7329830778720265E-5</v>
      </c>
      <c r="D12" s="21">
        <f>C12*(1+$E$26)</f>
        <v>2.1421407896797129E-5</v>
      </c>
      <c r="E12" s="21">
        <f t="shared" si="4"/>
        <v>2.3151774748909997E-5</v>
      </c>
      <c r="F12" s="21">
        <f t="shared" si="4"/>
        <v>2.2931479040352651E-5</v>
      </c>
      <c r="G12" s="21">
        <f t="shared" si="4"/>
        <v>2.297570448737248E-5</v>
      </c>
      <c r="H12" s="21">
        <f t="shared" si="4"/>
        <v>2.2919830689527922E-5</v>
      </c>
      <c r="I12" s="21">
        <f t="shared" si="4"/>
        <v>2.3005169839758286E-5</v>
      </c>
      <c r="J12" s="21">
        <f t="shared" si="4"/>
        <v>2.3318480865027172E-5</v>
      </c>
      <c r="K12" s="21">
        <f t="shared" si="4"/>
        <v>2.3838392336769302E-5</v>
      </c>
      <c r="L12" s="21">
        <f t="shared" si="4"/>
        <v>2.4329981057344937E-5</v>
      </c>
      <c r="M12" s="21">
        <f t="shared" si="4"/>
        <v>2.483856023811096E-5</v>
      </c>
      <c r="N12" s="21">
        <f t="shared" si="4"/>
        <v>2.5504217175504771E-5</v>
      </c>
      <c r="O12" s="21">
        <f t="shared" si="5"/>
        <v>2.5940872301507921E-5</v>
      </c>
      <c r="P12" s="21">
        <f t="shared" si="5"/>
        <v>2.6373634008871119E-5</v>
      </c>
      <c r="Q12" s="21">
        <f t="shared" si="5"/>
        <v>2.6691692911108881E-5</v>
      </c>
      <c r="R12" s="21">
        <f t="shared" si="5"/>
        <v>2.6932945281994823E-5</v>
      </c>
      <c r="S12" s="21">
        <f t="shared" si="5"/>
        <v>2.7164177458941838E-5</v>
      </c>
      <c r="T12" s="21">
        <f t="shared" si="5"/>
        <v>2.7415075138898952E-5</v>
      </c>
      <c r="U12" s="21">
        <f t="shared" si="5"/>
        <v>2.7661286758009002E-5</v>
      </c>
      <c r="V12" s="21">
        <f t="shared" si="5"/>
        <v>2.7844007237812458E-5</v>
      </c>
      <c r="W12" s="21">
        <f t="shared" si="5"/>
        <v>2.813916725505564E-5</v>
      </c>
      <c r="X12" s="21">
        <f t="shared" si="5"/>
        <v>2.8396121917916135E-5</v>
      </c>
      <c r="Y12" s="21">
        <f t="shared" si="6"/>
        <v>2.8535983884619197E-5</v>
      </c>
      <c r="Z12" s="21">
        <f t="shared" si="6"/>
        <v>2.8739316052910169E-5</v>
      </c>
      <c r="AA12" s="21">
        <f t="shared" si="6"/>
        <v>2.8986415032478494E-5</v>
      </c>
      <c r="AB12" s="21">
        <f t="shared" si="6"/>
        <v>2.9127067647320214E-5</v>
      </c>
      <c r="AC12" s="21">
        <f t="shared" si="6"/>
        <v>2.9278432397851475E-5</v>
      </c>
      <c r="AD12" s="21">
        <f t="shared" si="6"/>
        <v>2.9403346827486621E-5</v>
      </c>
      <c r="AE12" s="21">
        <f t="shared" si="6"/>
        <v>2.9492365033999039E-5</v>
      </c>
      <c r="AF12" s="21">
        <f t="shared" si="6"/>
        <v>2.9524343909660465E-5</v>
      </c>
      <c r="AG12" s="21">
        <f t="shared" si="6"/>
        <v>2.9527883381151334E-5</v>
      </c>
    </row>
    <row r="13" spans="1:43">
      <c r="A13" t="str">
        <f t="shared" si="0"/>
        <v>Commercial</v>
      </c>
      <c r="B13" s="21">
        <f t="shared" si="7"/>
        <v>2.0736085692940146E-5</v>
      </c>
      <c r="C13" s="21">
        <f>B13*(1+$D$26)</f>
        <v>1.7329830778720265E-5</v>
      </c>
      <c r="D13" s="21">
        <f>C13*(1+$E$26)</f>
        <v>2.1421407896797129E-5</v>
      </c>
      <c r="E13" s="21">
        <f t="shared" si="4"/>
        <v>2.2581082875000556E-5</v>
      </c>
      <c r="F13" s="21">
        <f t="shared" si="4"/>
        <v>2.0812092903049613E-5</v>
      </c>
      <c r="G13" s="21">
        <f t="shared" si="4"/>
        <v>2.0727170742195485E-5</v>
      </c>
      <c r="H13" s="21">
        <f t="shared" si="4"/>
        <v>2.0583870366548909E-5</v>
      </c>
      <c r="I13" s="21">
        <f t="shared" si="4"/>
        <v>2.0734460467140276E-5</v>
      </c>
      <c r="J13" s="21">
        <f t="shared" si="4"/>
        <v>2.1175141723681699E-5</v>
      </c>
      <c r="K13" s="21">
        <f t="shared" si="4"/>
        <v>2.1794966688342582E-5</v>
      </c>
      <c r="L13" s="21">
        <f t="shared" si="4"/>
        <v>2.2219653866588402E-5</v>
      </c>
      <c r="M13" s="21">
        <f t="shared" si="4"/>
        <v>2.2655691129474613E-5</v>
      </c>
      <c r="N13" s="21">
        <f t="shared" si="4"/>
        <v>2.3325439595884079E-5</v>
      </c>
      <c r="O13" s="21">
        <f t="shared" si="5"/>
        <v>2.3644528924292398E-5</v>
      </c>
      <c r="P13" s="21">
        <f t="shared" si="5"/>
        <v>2.398778776607124E-5</v>
      </c>
      <c r="Q13" s="21">
        <f t="shared" si="5"/>
        <v>2.4175811373693423E-5</v>
      </c>
      <c r="R13" s="21">
        <f t="shared" si="5"/>
        <v>2.4302125949277075E-5</v>
      </c>
      <c r="S13" s="21">
        <f t="shared" si="5"/>
        <v>2.4468617795447778E-5</v>
      </c>
      <c r="T13" s="21">
        <f t="shared" si="5"/>
        <v>2.468228368026044E-5</v>
      </c>
      <c r="U13" s="21">
        <f t="shared" si="5"/>
        <v>2.4880925550253341E-5</v>
      </c>
      <c r="V13" s="21">
        <f t="shared" si="5"/>
        <v>2.4983296314661797E-5</v>
      </c>
      <c r="W13" s="21">
        <f t="shared" si="5"/>
        <v>2.5294085957796774E-5</v>
      </c>
      <c r="X13" s="21">
        <f t="shared" si="5"/>
        <v>2.5489888311786945E-5</v>
      </c>
      <c r="Y13" s="21">
        <f t="shared" si="6"/>
        <v>2.5516574746608295E-5</v>
      </c>
      <c r="Z13" s="21">
        <f t="shared" si="6"/>
        <v>2.5708313321172632E-5</v>
      </c>
      <c r="AA13" s="21">
        <f t="shared" si="6"/>
        <v>2.5945475032500081E-5</v>
      </c>
      <c r="AB13" s="21">
        <f t="shared" si="6"/>
        <v>2.5990718063470972E-5</v>
      </c>
      <c r="AC13" s="21">
        <f t="shared" si="6"/>
        <v>2.6105973231483967E-5</v>
      </c>
      <c r="AD13" s="21">
        <f t="shared" si="6"/>
        <v>2.6185997198735625E-5</v>
      </c>
      <c r="AE13" s="21">
        <f t="shared" si="6"/>
        <v>2.6227502464562814E-5</v>
      </c>
      <c r="AF13" s="21">
        <f t="shared" si="6"/>
        <v>2.6205623030537735E-5</v>
      </c>
      <c r="AG13" s="21">
        <f t="shared" si="6"/>
        <v>2.6177200512668545E-5</v>
      </c>
    </row>
    <row r="14" spans="1:43">
      <c r="A14" t="str">
        <f t="shared" si="0"/>
        <v>Industrial</v>
      </c>
      <c r="B14" s="21">
        <f t="shared" si="7"/>
        <v>2.613339513488776E-5</v>
      </c>
      <c r="C14" s="21">
        <f>B14*(1+$D$26)</f>
        <v>2.1840540305792977E-5</v>
      </c>
      <c r="D14" s="21">
        <f>C14*(1+$E$26)</f>
        <v>2.699709700289288E-5</v>
      </c>
      <c r="E14" s="21">
        <f t="shared" si="4"/>
        <v>2.8643358206707453E-5</v>
      </c>
      <c r="F14" s="21">
        <f t="shared" si="4"/>
        <v>2.5114534680880927E-5</v>
      </c>
      <c r="G14" s="21">
        <f t="shared" si="4"/>
        <v>2.5081068287149995E-5</v>
      </c>
      <c r="H14" s="21">
        <f t="shared" si="4"/>
        <v>2.4845214416601079E-5</v>
      </c>
      <c r="I14" s="21">
        <f t="shared" si="4"/>
        <v>2.514185438790331E-5</v>
      </c>
      <c r="J14" s="21">
        <f t="shared" si="4"/>
        <v>2.595080466669079E-5</v>
      </c>
      <c r="K14" s="21">
        <f t="shared" si="4"/>
        <v>2.7075145675493801E-5</v>
      </c>
      <c r="L14" s="21">
        <f t="shared" si="4"/>
        <v>2.7818807692464875E-5</v>
      </c>
      <c r="M14" s="21">
        <f t="shared" si="4"/>
        <v>2.8605043331831648E-5</v>
      </c>
      <c r="N14" s="21">
        <f t="shared" si="4"/>
        <v>2.9309266417890079E-5</v>
      </c>
      <c r="O14" s="21">
        <f t="shared" si="5"/>
        <v>2.9888392753495341E-5</v>
      </c>
      <c r="P14" s="21">
        <f t="shared" si="5"/>
        <v>3.0448835615431762E-5</v>
      </c>
      <c r="Q14" s="21">
        <f t="shared" si="5"/>
        <v>3.0786933068980424E-5</v>
      </c>
      <c r="R14" s="21">
        <f t="shared" si="5"/>
        <v>3.1015656703788544E-5</v>
      </c>
      <c r="S14" s="21">
        <f t="shared" si="5"/>
        <v>3.133190630760688E-5</v>
      </c>
      <c r="T14" s="21">
        <f t="shared" si="5"/>
        <v>3.1739974270477556E-5</v>
      </c>
      <c r="U14" s="21">
        <f t="shared" si="5"/>
        <v>3.2114817274188603E-5</v>
      </c>
      <c r="V14" s="21">
        <f t="shared" si="5"/>
        <v>3.2299421709550367E-5</v>
      </c>
      <c r="W14" s="21">
        <f t="shared" si="5"/>
        <v>3.2910908193596772E-5</v>
      </c>
      <c r="X14" s="21">
        <f t="shared" si="5"/>
        <v>3.3275312120557138E-5</v>
      </c>
      <c r="Y14" s="21">
        <f t="shared" si="6"/>
        <v>3.3308376782993206E-5</v>
      </c>
      <c r="Z14" s="21">
        <f t="shared" si="6"/>
        <v>3.3691755092491111E-5</v>
      </c>
      <c r="AA14" s="21">
        <f t="shared" si="6"/>
        <v>3.4154832537151081E-5</v>
      </c>
      <c r="AB14" s="21">
        <f t="shared" si="6"/>
        <v>3.4223510777825106E-5</v>
      </c>
      <c r="AC14" s="21">
        <f t="shared" si="6"/>
        <v>3.4452311592537167E-5</v>
      </c>
      <c r="AD14" s="21">
        <f t="shared" si="6"/>
        <v>3.4605571092040355E-5</v>
      </c>
      <c r="AE14" s="21">
        <f t="shared" si="6"/>
        <v>3.4683229907177802E-5</v>
      </c>
      <c r="AF14" s="21">
        <f t="shared" si="6"/>
        <v>3.4636096733534037E-5</v>
      </c>
      <c r="AG14" s="21">
        <f t="shared" si="6"/>
        <v>3.4582488363847011E-5</v>
      </c>
    </row>
    <row r="16" spans="1:43" s="32" customFormat="1">
      <c r="A16" s="33" t="s">
        <v>667</v>
      </c>
    </row>
    <row r="17" spans="1:30">
      <c r="A17" s="32" t="s">
        <v>1228</v>
      </c>
      <c r="B17" s="32" t="s">
        <v>664</v>
      </c>
      <c r="C17" t="s">
        <v>376</v>
      </c>
    </row>
    <row r="18" spans="1:30">
      <c r="A18" s="33" t="str">
        <f>AggregateSEDS!F2</f>
        <v>Kerosene/Jet fuel</v>
      </c>
      <c r="B18" s="32">
        <v>2019</v>
      </c>
      <c r="C18">
        <v>2019</v>
      </c>
    </row>
    <row r="19" spans="1:30">
      <c r="A19" t="s">
        <v>132</v>
      </c>
      <c r="B19" s="47">
        <f>AggregateSEDS!F3</f>
        <v>14.76</v>
      </c>
      <c r="C19">
        <f>B19*About!$G$176</f>
        <v>13.255289078726573</v>
      </c>
    </row>
    <row r="20" spans="1:30">
      <c r="A20" t="s">
        <v>509</v>
      </c>
      <c r="B20">
        <f>B23</f>
        <v>29.1</v>
      </c>
      <c r="C20" s="113">
        <f>C23</f>
        <v>26.13339513488776</v>
      </c>
    </row>
    <row r="21" spans="1:30">
      <c r="A21" t="s">
        <v>593</v>
      </c>
      <c r="B21">
        <f>AggregateSEDS!F5</f>
        <v>23.09</v>
      </c>
      <c r="C21" s="32">
        <f>B21*About!$G$176</f>
        <v>20.736085692940147</v>
      </c>
    </row>
    <row r="22" spans="1:30">
      <c r="A22" t="s">
        <v>306</v>
      </c>
      <c r="B22">
        <f>AggregateSEDS!F6</f>
        <v>23.09</v>
      </c>
      <c r="C22" s="32">
        <f>B22*About!$G$176</f>
        <v>20.736085692940147</v>
      </c>
    </row>
    <row r="23" spans="1:30">
      <c r="A23" t="s">
        <v>308</v>
      </c>
      <c r="B23">
        <f>AggregateSEDS!F7</f>
        <v>29.1</v>
      </c>
      <c r="C23" s="32">
        <f>B23*About!$G$176</f>
        <v>26.13339513488776</v>
      </c>
    </row>
    <row r="24" spans="1:30">
      <c r="D24">
        <v>2020</v>
      </c>
      <c r="E24">
        <v>2021</v>
      </c>
    </row>
    <row r="25" spans="1:30">
      <c r="A25" t="s">
        <v>668</v>
      </c>
      <c r="D25" s="61">
        <f>'EIA Short Run'!AD15</f>
        <v>-0.3350253807106599</v>
      </c>
      <c r="E25" s="61">
        <f>'EIA Short Run'!AE15</f>
        <v>0.44274809160305345</v>
      </c>
      <c r="F25" s="61"/>
    </row>
    <row r="26" spans="1:30">
      <c r="A26" t="s">
        <v>669</v>
      </c>
      <c r="D26" s="61">
        <f>'EIA Short Run'!AD6</f>
        <v>-0.16426701570680632</v>
      </c>
      <c r="E26" s="61">
        <f>'EIA Short Run'!AE6</f>
        <v>0.23610023492560681</v>
      </c>
      <c r="F26" s="61"/>
    </row>
    <row r="28" spans="1:30">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row>
    <row r="29" spans="1:30">
      <c r="A29" s="32"/>
      <c r="B29" s="113">
        <v>2022</v>
      </c>
      <c r="C29" s="32">
        <f>'AEO 2022 Pacific region Table 3'!H1</f>
        <v>2023</v>
      </c>
      <c r="D29" s="32">
        <f>'AEO 2022 Pacific region Table 3'!I1</f>
        <v>2024</v>
      </c>
      <c r="E29" s="32">
        <f>'AEO 2022 Pacific region Table 3'!J1</f>
        <v>2025</v>
      </c>
      <c r="F29" s="32">
        <f>'AEO 2022 Pacific region Table 3'!K1</f>
        <v>2026</v>
      </c>
      <c r="G29" s="32">
        <f>'AEO 2022 Pacific region Table 3'!L1</f>
        <v>2027</v>
      </c>
      <c r="H29" s="32">
        <f>'AEO 2022 Pacific region Table 3'!M1</f>
        <v>2028</v>
      </c>
      <c r="I29" s="32">
        <f>'AEO 2022 Pacific region Table 3'!N1</f>
        <v>2029</v>
      </c>
      <c r="J29" s="32">
        <f>'AEO 2022 Pacific region Table 3'!O1</f>
        <v>2030</v>
      </c>
      <c r="K29" s="32">
        <f>'AEO 2022 Pacific region Table 3'!P1</f>
        <v>2031</v>
      </c>
      <c r="L29" s="32">
        <f>'AEO 2022 Pacific region Table 3'!Q1</f>
        <v>2032</v>
      </c>
      <c r="M29" s="32">
        <f>'AEO 2022 Pacific region Table 3'!R1</f>
        <v>2033</v>
      </c>
      <c r="N29" s="32">
        <f>'AEO 2022 Pacific region Table 3'!S1</f>
        <v>2034</v>
      </c>
      <c r="O29" s="32">
        <f>'AEO 2022 Pacific region Table 3'!T1</f>
        <v>2035</v>
      </c>
      <c r="P29" s="32">
        <f>'AEO 2022 Pacific region Table 3'!U1</f>
        <v>2036</v>
      </c>
      <c r="Q29" s="32">
        <f>'AEO 2022 Pacific region Table 3'!V1</f>
        <v>2037</v>
      </c>
      <c r="R29" s="32">
        <f>'AEO 2022 Pacific region Table 3'!W1</f>
        <v>2038</v>
      </c>
      <c r="S29" s="32">
        <f>'AEO 2022 Pacific region Table 3'!X1</f>
        <v>2039</v>
      </c>
      <c r="T29" s="32">
        <f>'AEO 2022 Pacific region Table 3'!Y1</f>
        <v>2040</v>
      </c>
      <c r="U29" s="32">
        <f>'AEO 2022 Pacific region Table 3'!Z1</f>
        <v>2041</v>
      </c>
      <c r="V29" s="32">
        <f>'AEO 2022 Pacific region Table 3'!AA1</f>
        <v>2042</v>
      </c>
      <c r="W29" s="32">
        <f>'AEO 2022 Pacific region Table 3'!AB1</f>
        <v>2043</v>
      </c>
      <c r="X29" s="32">
        <f>'AEO 2022 Pacific region Table 3'!AC1</f>
        <v>2044</v>
      </c>
      <c r="Y29" s="32">
        <f>'AEO 2022 Pacific region Table 3'!AD1</f>
        <v>2045</v>
      </c>
      <c r="Z29" s="32">
        <f>'AEO 2022 Pacific region Table 3'!AE1</f>
        <v>2046</v>
      </c>
      <c r="AA29" s="32">
        <f>'AEO 2022 Pacific region Table 3'!AF1</f>
        <v>2047</v>
      </c>
      <c r="AB29" s="32">
        <f>'AEO 2022 Pacific region Table 3'!AG1</f>
        <v>2048</v>
      </c>
      <c r="AC29" s="32">
        <f>'AEO 2022 Pacific region Table 3'!AH1</f>
        <v>2049</v>
      </c>
      <c r="AD29" s="32">
        <f>'AEO 2022 Pacific region Table 3'!AI1</f>
        <v>2050</v>
      </c>
    </row>
    <row r="30" spans="1:30">
      <c r="A30" s="32" t="s">
        <v>132</v>
      </c>
      <c r="B30" s="113">
        <f>'AEO 2022 Pacific region Table 3'!G26</f>
        <v>4.533775193291046E-2</v>
      </c>
      <c r="C30" s="113">
        <f>'AEO 2022 Pacific region Table 3'!H26</f>
        <v>-6.6516736597076423E-2</v>
      </c>
      <c r="D30" s="113">
        <f>'AEO 2022 Pacific region Table 3'!I26</f>
        <v>8.1753310458265963E-2</v>
      </c>
      <c r="E30" s="113">
        <f>'AEO 2022 Pacific region Table 3'!J26</f>
        <v>3.9425945954238324E-3</v>
      </c>
      <c r="F30" s="113">
        <f>'AEO 2022 Pacific region Table 3'!K26</f>
        <v>9.4450738235470448E-3</v>
      </c>
      <c r="G30" s="113">
        <f>'AEO 2022 Pacific region Table 3'!L26</f>
        <v>1.7929486068465932E-2</v>
      </c>
      <c r="H30" s="113">
        <f>'AEO 2022 Pacific region Table 3'!M26</f>
        <v>1.7353751986963512E-2</v>
      </c>
      <c r="I30" s="113">
        <f>'AEO 2022 Pacific region Table 3'!N26</f>
        <v>1.0387877942925616E-2</v>
      </c>
      <c r="J30" s="113">
        <f>'AEO 2022 Pacific region Table 3'!O26</f>
        <v>-3.4681379603459621E-3</v>
      </c>
      <c r="K30" s="113">
        <f>'AEO 2022 Pacific region Table 3'!P26</f>
        <v>2.9606744753123904E-2</v>
      </c>
      <c r="L30" s="113">
        <f>'AEO 2022 Pacific region Table 3'!Q26</f>
        <v>1.0907660665328408E-2</v>
      </c>
      <c r="M30" s="113">
        <f>'AEO 2022 Pacific region Table 3'!R26</f>
        <v>6.5154956193669263E-3</v>
      </c>
      <c r="N30" s="113">
        <f>'AEO 2022 Pacific region Table 3'!S26</f>
        <v>9.8387714051168199E-3</v>
      </c>
      <c r="O30" s="113">
        <f>'AEO 2022 Pacific region Table 3'!T26</f>
        <v>6.4721739532532293E-3</v>
      </c>
      <c r="P30" s="113">
        <f>'AEO 2022 Pacific region Table 3'!U26</f>
        <v>1.1286810901763705E-2</v>
      </c>
      <c r="Q30" s="113">
        <f>'AEO 2022 Pacific region Table 3'!V26</f>
        <v>1.4551357410479594E-2</v>
      </c>
      <c r="R30" s="113">
        <f>'AEO 2022 Pacific region Table 3'!W26</f>
        <v>1.0014105577255884E-2</v>
      </c>
      <c r="S30" s="113">
        <f>'AEO 2022 Pacific region Table 3'!X26</f>
        <v>5.7462733886334914E-3</v>
      </c>
      <c r="T30" s="113">
        <f>'AEO 2022 Pacific region Table 3'!Y26</f>
        <v>1.0296079834070118E-2</v>
      </c>
      <c r="U30" s="113">
        <f>'AEO 2022 Pacific region Table 3'!Z26</f>
        <v>7.7353489998179458E-3</v>
      </c>
      <c r="V30" s="113">
        <f>'AEO 2022 Pacific region Table 3'!AA26</f>
        <v>2.2109047184935425E-3</v>
      </c>
      <c r="W30" s="113">
        <f>'AEO 2022 Pacific region Table 3'!AB26</f>
        <v>1.5710511371502353E-2</v>
      </c>
      <c r="X30" s="113">
        <f>'AEO 2022 Pacific region Table 3'!AC26</f>
        <v>1.6507745210094679E-2</v>
      </c>
      <c r="Y30" s="113">
        <f>'AEO 2022 Pacific region Table 3'!AD26</f>
        <v>5.6772748830127015E-3</v>
      </c>
      <c r="Z30" s="113">
        <f>'AEO 2022 Pacific region Table 3'!AE26</f>
        <v>1.086509003909835E-2</v>
      </c>
      <c r="AA30" s="113">
        <f>'AEO 2022 Pacific region Table 3'!AF26</f>
        <v>4.6925729360884506E-3</v>
      </c>
      <c r="AB30" s="113">
        <f>'AEO 2022 Pacific region Table 3'!AG26</f>
        <v>-1.4311717346316311E-3</v>
      </c>
      <c r="AC30" s="113">
        <f>'AEO 2022 Pacific region Table 3'!AH26</f>
        <v>2.1253053342370955E-3</v>
      </c>
      <c r="AD30" s="113">
        <f>'AEO 2022 Pacific region Table 3'!AI26</f>
        <v>-2.9685352517198641E-3</v>
      </c>
    </row>
    <row r="31" spans="1:30">
      <c r="A31" s="32" t="s">
        <v>509</v>
      </c>
      <c r="B31" s="113">
        <f>'AEO 2022 Pacific region Table 3'!G38</f>
        <v>9.6284660195449942E-2</v>
      </c>
      <c r="C31" s="113">
        <f>'AEO 2022 Pacific region Table 3'!H38</f>
        <v>-5.533066933253953E-2</v>
      </c>
      <c r="D31" s="113">
        <f>'AEO 2022 Pacific region Table 3'!I38</f>
        <v>-5.7669026852476371E-5</v>
      </c>
      <c r="E31" s="113">
        <f>'AEO 2022 Pacific region Table 3'!J38</f>
        <v>-4.7214531887039687E-3</v>
      </c>
      <c r="F31" s="113">
        <f>'AEO 2022 Pacific region Table 3'!K38</f>
        <v>4.7251829080579028E-3</v>
      </c>
      <c r="G31" s="113">
        <f>'AEO 2022 Pacific region Table 3'!L38</f>
        <v>1.6257514019745564E-2</v>
      </c>
      <c r="H31" s="113">
        <f>'AEO 2022 Pacific region Table 3'!M38</f>
        <v>2.5123831556417481E-2</v>
      </c>
      <c r="I31" s="113">
        <f>'AEO 2022 Pacific region Table 3'!N38</f>
        <v>1.9866419880535623E-2</v>
      </c>
      <c r="J31" s="113">
        <f>'AEO 2022 Pacific region Table 3'!O38</f>
        <v>2.0227949921993525E-2</v>
      </c>
      <c r="K31" s="113">
        <f>'AEO 2022 Pacific region Table 3'!P38</f>
        <v>2.6105944059076552E-2</v>
      </c>
      <c r="L31" s="113">
        <f>'AEO 2022 Pacific region Table 3'!Q38</f>
        <v>1.514305476220156E-2</v>
      </c>
      <c r="M31" s="113">
        <f>'AEO 2022 Pacific region Table 3'!R38</f>
        <v>1.5272472855046397E-2</v>
      </c>
      <c r="N31" s="113">
        <f>'AEO 2022 Pacific region Table 3'!S38</f>
        <v>9.8327672754274231E-3</v>
      </c>
      <c r="O31" s="113">
        <f>'AEO 2022 Pacific region Table 3'!T38</f>
        <v>6.8909516246643873E-3</v>
      </c>
      <c r="P31" s="113">
        <f>'AEO 2022 Pacific region Table 3'!U38</f>
        <v>7.3256168151845779E-3</v>
      </c>
      <c r="Q31" s="113">
        <f>'AEO 2022 Pacific region Table 3'!V38</f>
        <v>8.3908592036933197E-3</v>
      </c>
      <c r="R31" s="113">
        <f>'AEO 2022 Pacific region Table 3'!W38</f>
        <v>7.9339492614253319E-3</v>
      </c>
      <c r="S31" s="113">
        <f>'AEO 2022 Pacific region Table 3'!X38</f>
        <v>4.7620415738876074E-3</v>
      </c>
      <c r="T31" s="113">
        <f>'AEO 2022 Pacific region Table 3'!Y38</f>
        <v>1.1106425274164769E-2</v>
      </c>
      <c r="U31" s="113">
        <f>'AEO 2022 Pacific region Table 3'!Z38</f>
        <v>8.0895836786630208E-3</v>
      </c>
      <c r="V31" s="113">
        <f>'AEO 2022 Pacific region Table 3'!AA38</f>
        <v>2.5214742666561886E-3</v>
      </c>
      <c r="W31" s="113">
        <f>'AEO 2022 Pacific region Table 3'!AB38</f>
        <v>6.8822625014896026E-3</v>
      </c>
      <c r="X31" s="113">
        <f>'AEO 2022 Pacific region Table 3'!AC38</f>
        <v>8.5229513534857936E-3</v>
      </c>
      <c r="Y31" s="113">
        <f>'AEO 2022 Pacific region Table 3'!AD38</f>
        <v>2.7733833409119791E-3</v>
      </c>
      <c r="Z31" s="113">
        <f>'AEO 2022 Pacific region Table 3'!AE38</f>
        <v>4.2852765506458607E-3</v>
      </c>
      <c r="AA31" s="113">
        <f>'AEO 2022 Pacific region Table 3'!AF38</f>
        <v>3.1337929341534289E-3</v>
      </c>
      <c r="AB31" s="113">
        <f>'AEO 2022 Pacific region Table 3'!AG38</f>
        <v>1.7376113447363389E-3</v>
      </c>
      <c r="AC31" s="113">
        <f>'AEO 2022 Pacific region Table 3'!AH38</f>
        <v>-5.4303311144396295E-4</v>
      </c>
      <c r="AD31" s="113">
        <f>'AEO 2022 Pacific region Table 3'!AI38</f>
        <v>-1.2551274134055984E-3</v>
      </c>
    </row>
    <row r="32" spans="1:30">
      <c r="A32" t="s">
        <v>593</v>
      </c>
      <c r="B32" s="113">
        <f>'AEO 2022 Pacific region Table 3'!G3</f>
        <v>8.0777456852945073E-2</v>
      </c>
      <c r="C32" s="113">
        <f>'AEO 2022 Pacific region Table 3'!H3</f>
        <v>-9.51528385821559E-3</v>
      </c>
      <c r="D32" s="113">
        <f>'AEO 2022 Pacific region Table 3'!I3</f>
        <v>1.9285911275939115E-3</v>
      </c>
      <c r="E32" s="113">
        <f>'AEO 2022 Pacific region Table 3'!J3</f>
        <v>-2.431864401601638E-3</v>
      </c>
      <c r="F32" s="113">
        <f>'AEO 2022 Pacific region Table 3'!K3</f>
        <v>3.7233761185396907E-3</v>
      </c>
      <c r="G32" s="113">
        <f>'AEO 2022 Pacific region Table 3'!L3</f>
        <v>1.3619157235145098E-2</v>
      </c>
      <c r="H32" s="113">
        <f>'AEO 2022 Pacific region Table 3'!M3</f>
        <v>2.2296112459104785E-2</v>
      </c>
      <c r="I32" s="113">
        <f>'AEO 2022 Pacific region Table 3'!N3</f>
        <v>2.0621722875891618E-2</v>
      </c>
      <c r="J32" s="113">
        <f>'AEO 2022 Pacific region Table 3'!O3</f>
        <v>2.0903394029256121E-2</v>
      </c>
      <c r="K32" s="113">
        <f>'AEO 2022 Pacific region Table 3'!P3</f>
        <v>2.6799336636769259E-2</v>
      </c>
      <c r="L32" s="113">
        <f>'AEO 2022 Pacific region Table 3'!Q3</f>
        <v>1.71208989869539E-2</v>
      </c>
      <c r="M32" s="113">
        <f>'AEO 2022 Pacific region Table 3'!R3</f>
        <v>1.6682619702732431E-2</v>
      </c>
      <c r="N32" s="113">
        <f>'AEO 2022 Pacific region Table 3'!S3</f>
        <v>1.2059729885186769E-2</v>
      </c>
      <c r="O32" s="113">
        <f>'AEO 2022 Pacific region Table 3'!T3</f>
        <v>9.0384814365047691E-3</v>
      </c>
      <c r="P32" s="113">
        <f>'AEO 2022 Pacific region Table 3'!U3</f>
        <v>8.5854768027021876E-3</v>
      </c>
      <c r="Q32" s="113">
        <f>'AEO 2022 Pacific region Table 3'!V3</f>
        <v>9.2363437227701711E-3</v>
      </c>
      <c r="R32" s="113">
        <f>'AEO 2022 Pacific region Table 3'!W3</f>
        <v>8.9808843442016426E-3</v>
      </c>
      <c r="S32" s="113">
        <f>'AEO 2022 Pacific region Table 3'!X3</f>
        <v>6.6056391881534919E-3</v>
      </c>
      <c r="T32" s="113">
        <f>'AEO 2022 Pacific region Table 3'!Y3</f>
        <v>1.0600486299341055E-2</v>
      </c>
      <c r="U32" s="113">
        <f>'AEO 2022 Pacific region Table 3'!Z3</f>
        <v>9.1315659959457715E-3</v>
      </c>
      <c r="V32" s="113">
        <f>'AEO 2022 Pacific region Table 3'!AA3</f>
        <v>4.9253897101637235E-3</v>
      </c>
      <c r="W32" s="113">
        <f>'AEO 2022 Pacific region Table 3'!AB3</f>
        <v>7.125465486422889E-3</v>
      </c>
      <c r="X32" s="113">
        <f>'AEO 2022 Pacific region Table 3'!AC3</f>
        <v>8.5979422444642118E-3</v>
      </c>
      <c r="Y32" s="113">
        <f>'AEO 2022 Pacific region Table 3'!AD3</f>
        <v>4.8523632427164044E-3</v>
      </c>
      <c r="Z32" s="113">
        <f>'AEO 2022 Pacific region Table 3'!AE3</f>
        <v>5.1967040542506646E-3</v>
      </c>
      <c r="AA32" s="113">
        <f>'AEO 2022 Pacific region Table 3'!AF3</f>
        <v>4.2664316155229896E-3</v>
      </c>
      <c r="AB32" s="113">
        <f>'AEO 2022 Pacific region Table 3'!AG3</f>
        <v>3.0274855115882465E-3</v>
      </c>
      <c r="AC32" s="113">
        <f>'AEO 2022 Pacific region Table 3'!AH3</f>
        <v>1.0843103164008962E-3</v>
      </c>
      <c r="AD32" s="113">
        <f>'AEO 2022 Pacific region Table 3'!AI3</f>
        <v>1.1988315478568685E-4</v>
      </c>
    </row>
    <row r="33" spans="1:30">
      <c r="A33" t="s">
        <v>306</v>
      </c>
      <c r="B33">
        <f>'AEO 2022 Pacific region Table 3'!G8</f>
        <v>5.413626330213437E-2</v>
      </c>
      <c r="C33" s="113">
        <f>'AEO 2022 Pacific region Table 3'!H8</f>
        <v>-7.8339465903532246E-2</v>
      </c>
      <c r="D33" s="113">
        <f>'AEO 2022 Pacific region Table 3'!I8</f>
        <v>-4.0804238790267573E-3</v>
      </c>
      <c r="E33" s="113">
        <f>'AEO 2022 Pacific region Table 3'!J8</f>
        <v>-6.9136486319789385E-3</v>
      </c>
      <c r="F33" s="113">
        <f>'AEO 2022 Pacific region Table 3'!K8</f>
        <v>7.3159273698154463E-3</v>
      </c>
      <c r="G33" s="113">
        <f>'AEO 2022 Pacific region Table 3'!L8</f>
        <v>2.1253567568821501E-2</v>
      </c>
      <c r="H33" s="113">
        <f>'AEO 2022 Pacific region Table 3'!M8</f>
        <v>2.9271349053956432E-2</v>
      </c>
      <c r="I33" s="113">
        <f>'AEO 2022 Pacific region Table 3'!N8</f>
        <v>1.9485562162981945E-2</v>
      </c>
      <c r="J33" s="113">
        <f>'AEO 2022 Pacific region Table 3'!O8</f>
        <v>1.9623944887002909E-2</v>
      </c>
      <c r="K33" s="113">
        <f>'AEO 2022 Pacific region Table 3'!P8</f>
        <v>2.956204083918381E-2</v>
      </c>
      <c r="L33" s="113">
        <f>'AEO 2022 Pacific region Table 3'!Q8</f>
        <v>1.3679884878338024E-2</v>
      </c>
      <c r="M33" s="113">
        <f>'AEO 2022 Pacific region Table 3'!R8</f>
        <v>1.451747433319245E-2</v>
      </c>
      <c r="N33" s="113">
        <f>'AEO 2022 Pacific region Table 3'!S8</f>
        <v>7.8383054517485104E-3</v>
      </c>
      <c r="O33" s="113">
        <f>'AEO 2022 Pacific region Table 3'!T8</f>
        <v>5.2248329386413344E-3</v>
      </c>
      <c r="P33" s="113">
        <f>'AEO 2022 Pacific region Table 3'!U8</f>
        <v>6.8509169328725339E-3</v>
      </c>
      <c r="Q33" s="113">
        <f>'AEO 2022 Pacific region Table 3'!V8</f>
        <v>8.7322417064527886E-3</v>
      </c>
      <c r="R33" s="113">
        <f>'AEO 2022 Pacific region Table 3'!W8</f>
        <v>8.0479534457245337E-3</v>
      </c>
      <c r="S33" s="113">
        <f>'AEO 2022 Pacific region Table 3'!X8</f>
        <v>4.1144275039806891E-3</v>
      </c>
      <c r="T33" s="113">
        <f>'AEO 2022 Pacific region Table 3'!Y8</f>
        <v>1.2439897410678621E-2</v>
      </c>
      <c r="U33" s="113">
        <f>'AEO 2022 Pacific region Table 3'!Z8</f>
        <v>7.7410329954941482E-3</v>
      </c>
      <c r="V33" s="113">
        <f>'AEO 2022 Pacific region Table 3'!AA8</f>
        <v>1.0469420067647812E-3</v>
      </c>
      <c r="W33" s="113">
        <f>'AEO 2022 Pacific region Table 3'!AB8</f>
        <v>7.5142755823770363E-3</v>
      </c>
      <c r="X33" s="113">
        <f>'AEO 2022 Pacific region Table 3'!AC8</f>
        <v>9.2250980593165284E-3</v>
      </c>
      <c r="Y33" s="113">
        <f>'AEO 2022 Pacific region Table 3'!AD8</f>
        <v>1.7437734677903302E-3</v>
      </c>
      <c r="Z33" s="113">
        <f>'AEO 2022 Pacific region Table 3'!AE8</f>
        <v>4.4344741738775355E-3</v>
      </c>
      <c r="AA33" s="113">
        <f>'AEO 2022 Pacific region Table 3'!AF8</f>
        <v>3.0653508506302027E-3</v>
      </c>
      <c r="AB33" s="113">
        <f>'AEO 2022 Pacific region Table 3'!AG8</f>
        <v>1.58501757684419E-3</v>
      </c>
      <c r="AC33" s="113">
        <f>'AEO 2022 Pacific region Table 3'!AH8</f>
        <v>-8.3421721357726866E-4</v>
      </c>
      <c r="AD33" s="113">
        <f>'AEO 2022 Pacific region Table 3'!AI8</f>
        <v>-1.0845961508363028E-3</v>
      </c>
    </row>
    <row r="34" spans="1:30">
      <c r="A34" t="s">
        <v>308</v>
      </c>
      <c r="B34">
        <f>'AEO 2022 Pacific region Table 3'!G14</f>
        <v>6.0979193564336474E-2</v>
      </c>
      <c r="C34" s="113">
        <f>'AEO 2022 Pacific region Table 3'!H14</f>
        <v>-0.1231986661745611</v>
      </c>
      <c r="D34" s="113">
        <f>'AEO 2022 Pacific region Table 3'!I14</f>
        <v>-1.3325508179296811E-3</v>
      </c>
      <c r="E34" s="113">
        <f>'AEO 2022 Pacific region Table 3'!J14</f>
        <v>-9.4036612734615197E-3</v>
      </c>
      <c r="F34" s="113">
        <f>'AEO 2022 Pacific region Table 3'!K14</f>
        <v>1.1939521484025746E-2</v>
      </c>
      <c r="G34" s="113">
        <f>'AEO 2022 Pacific region Table 3'!L14</f>
        <v>3.2175442046021005E-2</v>
      </c>
      <c r="H34" s="113">
        <f>'AEO 2022 Pacific region Table 3'!M14</f>
        <v>4.3325863041393957E-2</v>
      </c>
      <c r="I34" s="113">
        <f>'AEO 2022 Pacific region Table 3'!N14</f>
        <v>2.7466593379927007E-2</v>
      </c>
      <c r="J34" s="113">
        <f>'AEO 2022 Pacific region Table 3'!O14</f>
        <v>2.82627367807619E-2</v>
      </c>
      <c r="K34" s="113">
        <f>'AEO 2022 Pacific region Table 3'!P14</f>
        <v>2.4618843533607552E-2</v>
      </c>
      <c r="L34" s="113">
        <f>'AEO 2022 Pacific region Table 3'!Q14</f>
        <v>1.9759154915312632E-2</v>
      </c>
      <c r="M34" s="113">
        <f>'AEO 2022 Pacific region Table 3'!R14</f>
        <v>1.875118767873115E-2</v>
      </c>
      <c r="N34" s="113">
        <f>'AEO 2022 Pacific region Table 3'!S14</f>
        <v>1.110378924891667E-2</v>
      </c>
      <c r="O34" s="113">
        <f>'AEO 2022 Pacific region Table 3'!T14</f>
        <v>7.4292439034330093E-3</v>
      </c>
      <c r="P34" s="113">
        <f>'AEO 2022 Pacific region Table 3'!U14</f>
        <v>1.019645035533648E-2</v>
      </c>
      <c r="Q34" s="113">
        <f>'AEO 2022 Pacific region Table 3'!V14</f>
        <v>1.3024038782204771E-2</v>
      </c>
      <c r="R34" s="113">
        <f>'AEO 2022 Pacific region Table 3'!W14</f>
        <v>1.1809808052040509E-2</v>
      </c>
      <c r="S34" s="113">
        <f>'AEO 2022 Pacific region Table 3'!X14</f>
        <v>5.7482636063487646E-3</v>
      </c>
      <c r="T34" s="113">
        <f>'AEO 2022 Pacific region Table 3'!Y14</f>
        <v>1.8931809044296307E-2</v>
      </c>
      <c r="U34" s="113">
        <f>'AEO 2022 Pacific region Table 3'!Z14</f>
        <v>1.1072436069426551E-2</v>
      </c>
      <c r="V34" s="113">
        <f>'AEO 2022 Pacific region Table 3'!AA14</f>
        <v>9.9366949034994682E-4</v>
      </c>
      <c r="W34" s="113">
        <f>'AEO 2022 Pacific region Table 3'!AB14</f>
        <v>1.1509966756880433E-2</v>
      </c>
      <c r="X34" s="113">
        <f>'AEO 2022 Pacific region Table 3'!AC14</f>
        <v>1.3744533147315191E-2</v>
      </c>
      <c r="Y34" s="113">
        <f>'AEO 2022 Pacific region Table 3'!AD14</f>
        <v>2.0107913162601136E-3</v>
      </c>
      <c r="Z34" s="113">
        <f>'AEO 2022 Pacific region Table 3'!AE14</f>
        <v>6.6854863662996851E-3</v>
      </c>
      <c r="AA34" s="113">
        <f>'AEO 2022 Pacific region Table 3'!AF14</f>
        <v>4.4484533089033254E-3</v>
      </c>
      <c r="AB34" s="113">
        <f>'AEO 2022 Pacific region Table 3'!AG14</f>
        <v>2.2441130918168651E-3</v>
      </c>
      <c r="AC34" s="113">
        <f>'AEO 2022 Pacific region Table 3'!AH14</f>
        <v>-1.3589614857066595E-3</v>
      </c>
      <c r="AD34" s="113">
        <f>'AEO 2022 Pacific region Table 3'!AI14</f>
        <v>-1.5477601330037346E-3</v>
      </c>
    </row>
    <row r="36" spans="1:30">
      <c r="B36">
        <v>2020</v>
      </c>
      <c r="C36">
        <v>2021</v>
      </c>
    </row>
    <row r="37" spans="1:30">
      <c r="B37" s="47">
        <f>'AFDC regional alternative fuels'!B25</f>
        <v>2.4905616063706675</v>
      </c>
      <c r="C37" s="47">
        <f>'AFDC regional alternative fuels'!C25</f>
        <v>3.5332559451543708</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AA12C-F45F-47AD-A92F-ED37C9976F0C}">
  <sheetPr>
    <tabColor theme="9" tint="0.79998168889431442"/>
  </sheetPr>
  <dimension ref="A1:AO33"/>
  <sheetViews>
    <sheetView workbookViewId="0">
      <selection activeCell="B20" sqref="B20"/>
    </sheetView>
  </sheetViews>
  <sheetFormatPr defaultRowHeight="14.5"/>
  <cols>
    <col min="1" max="1" width="27.1796875" customWidth="1"/>
    <col min="2" max="2" width="11.81640625" bestFit="1" customWidth="1"/>
  </cols>
  <sheetData>
    <row r="1" spans="1:32" s="113" customFormat="1">
      <c r="B1" s="113">
        <v>2020</v>
      </c>
      <c r="C1" s="113">
        <f t="shared" ref="C1:AF1" si="0">B1+1</f>
        <v>2021</v>
      </c>
      <c r="D1" s="113">
        <f t="shared" si="0"/>
        <v>2022</v>
      </c>
      <c r="E1" s="113">
        <f t="shared" si="0"/>
        <v>2023</v>
      </c>
      <c r="F1" s="113">
        <f t="shared" si="0"/>
        <v>2024</v>
      </c>
      <c r="G1" s="113">
        <f t="shared" si="0"/>
        <v>2025</v>
      </c>
      <c r="H1" s="113">
        <f t="shared" si="0"/>
        <v>2026</v>
      </c>
      <c r="I1" s="113">
        <f t="shared" si="0"/>
        <v>2027</v>
      </c>
      <c r="J1" s="113">
        <f t="shared" si="0"/>
        <v>2028</v>
      </c>
      <c r="K1" s="113">
        <f t="shared" si="0"/>
        <v>2029</v>
      </c>
      <c r="L1" s="113">
        <f t="shared" si="0"/>
        <v>2030</v>
      </c>
      <c r="M1" s="113">
        <f t="shared" si="0"/>
        <v>2031</v>
      </c>
      <c r="N1" s="113">
        <f t="shared" si="0"/>
        <v>2032</v>
      </c>
      <c r="O1" s="113">
        <f t="shared" si="0"/>
        <v>2033</v>
      </c>
      <c r="P1" s="113">
        <f t="shared" si="0"/>
        <v>2034</v>
      </c>
      <c r="Q1" s="113">
        <f t="shared" si="0"/>
        <v>2035</v>
      </c>
      <c r="R1" s="113">
        <f t="shared" si="0"/>
        <v>2036</v>
      </c>
      <c r="S1" s="113">
        <f t="shared" si="0"/>
        <v>2037</v>
      </c>
      <c r="T1" s="113">
        <f t="shared" si="0"/>
        <v>2038</v>
      </c>
      <c r="U1" s="113">
        <f t="shared" si="0"/>
        <v>2039</v>
      </c>
      <c r="V1" s="113">
        <f t="shared" si="0"/>
        <v>2040</v>
      </c>
      <c r="W1" s="113">
        <f t="shared" si="0"/>
        <v>2041</v>
      </c>
      <c r="X1" s="113">
        <f t="shared" si="0"/>
        <v>2042</v>
      </c>
      <c r="Y1" s="113">
        <f t="shared" si="0"/>
        <v>2043</v>
      </c>
      <c r="Z1" s="113">
        <f t="shared" si="0"/>
        <v>2044</v>
      </c>
      <c r="AA1" s="113">
        <f t="shared" si="0"/>
        <v>2045</v>
      </c>
      <c r="AB1" s="113">
        <f t="shared" si="0"/>
        <v>2046</v>
      </c>
      <c r="AC1" s="113">
        <f t="shared" si="0"/>
        <v>2047</v>
      </c>
      <c r="AD1" s="113">
        <f t="shared" si="0"/>
        <v>2048</v>
      </c>
      <c r="AE1" s="113">
        <f t="shared" si="0"/>
        <v>2049</v>
      </c>
      <c r="AF1" s="113">
        <f t="shared" si="0"/>
        <v>2050</v>
      </c>
    </row>
    <row r="2" spans="1:32" s="113" customFormat="1">
      <c r="A2" s="37" t="s">
        <v>726</v>
      </c>
    </row>
    <row r="3" spans="1:32" s="113" customFormat="1">
      <c r="A3" s="113" t="s">
        <v>164</v>
      </c>
      <c r="B3" s="113">
        <f>B17/1000000-B10</f>
        <v>1.7526635655175524E-6</v>
      </c>
      <c r="C3" s="113">
        <f t="shared" ref="C3:AF3" si="1">C17/1000000-C10</f>
        <v>1.9414930303365045E-6</v>
      </c>
      <c r="D3" s="113">
        <f t="shared" si="1"/>
        <v>1.9636221133588017E-6</v>
      </c>
      <c r="E3" s="113">
        <f t="shared" si="1"/>
        <v>2.0121224730800415E-6</v>
      </c>
      <c r="F3" s="113">
        <f t="shared" si="1"/>
        <v>2.0377107212079578E-6</v>
      </c>
      <c r="G3" s="113">
        <f t="shared" si="1"/>
        <v>2.0926877787039265E-6</v>
      </c>
      <c r="H3" s="113">
        <f t="shared" si="1"/>
        <v>2.1259652253922661E-6</v>
      </c>
      <c r="I3" s="113">
        <f t="shared" si="1"/>
        <v>2.1388070318137509E-6</v>
      </c>
      <c r="J3" s="113">
        <f t="shared" si="1"/>
        <v>2.1780427610855001E-6</v>
      </c>
      <c r="K3" s="113">
        <f t="shared" si="1"/>
        <v>2.2115562784523547E-6</v>
      </c>
      <c r="L3" s="113">
        <f t="shared" si="1"/>
        <v>2.2395180823023023E-6</v>
      </c>
      <c r="M3" s="113">
        <f t="shared" si="1"/>
        <v>2.2630167958894865E-6</v>
      </c>
      <c r="N3" s="113">
        <f t="shared" si="1"/>
        <v>2.2883902306932714E-6</v>
      </c>
      <c r="O3" s="113">
        <f t="shared" si="1"/>
        <v>2.3129076148179012E-6</v>
      </c>
      <c r="P3" s="113">
        <f t="shared" si="1"/>
        <v>2.336899250142936E-6</v>
      </c>
      <c r="Q3" s="113">
        <f t="shared" si="1"/>
        <v>2.3586231393768025E-6</v>
      </c>
      <c r="R3" s="113">
        <f t="shared" si="1"/>
        <v>2.3788730436262368E-6</v>
      </c>
      <c r="S3" s="113">
        <f t="shared" si="1"/>
        <v>2.4008451327300075E-6</v>
      </c>
      <c r="T3" s="113">
        <f t="shared" si="1"/>
        <v>2.4224068451953928E-6</v>
      </c>
      <c r="U3" s="113">
        <f t="shared" si="1"/>
        <v>2.4384083907816678E-6</v>
      </c>
      <c r="V3" s="113">
        <f t="shared" si="1"/>
        <v>2.4642567055203444E-6</v>
      </c>
      <c r="W3" s="113">
        <f t="shared" si="1"/>
        <v>2.4867592282577568E-6</v>
      </c>
      <c r="X3" s="113">
        <f t="shared" si="1"/>
        <v>2.4990074865722694E-6</v>
      </c>
      <c r="Y3" s="113">
        <f t="shared" si="1"/>
        <v>2.5168140781681553E-6</v>
      </c>
      <c r="Z3" s="113">
        <f t="shared" si="1"/>
        <v>2.5384535002522996E-6</v>
      </c>
      <c r="AA3" s="113">
        <f t="shared" si="1"/>
        <v>2.550770998710267E-6</v>
      </c>
      <c r="AB3" s="113">
        <f t="shared" si="1"/>
        <v>2.564026600700732E-6</v>
      </c>
      <c r="AC3" s="113">
        <f t="shared" si="1"/>
        <v>2.5749658448529987E-6</v>
      </c>
      <c r="AD3" s="113">
        <f t="shared" si="1"/>
        <v>2.5827615166411309E-6</v>
      </c>
      <c r="AE3" s="113">
        <f t="shared" si="1"/>
        <v>2.5855620315984257E-6</v>
      </c>
      <c r="AF3" s="113">
        <f t="shared" si="1"/>
        <v>2.5858719969316657E-6</v>
      </c>
    </row>
    <row r="4" spans="1:32" s="113" customFormat="1">
      <c r="A4" s="113" t="s">
        <v>165</v>
      </c>
      <c r="B4" s="113">
        <f>B18/1000000-B11</f>
        <v>1.2099488828053658E-6</v>
      </c>
      <c r="C4" s="113">
        <f t="shared" ref="C4:AF4" si="2">C18/1000000-C11</f>
        <v>1.2681501118355903E-6</v>
      </c>
      <c r="D4" s="113">
        <f t="shared" si="2"/>
        <v>1.3450236465454133E-6</v>
      </c>
      <c r="E4" s="113">
        <f t="shared" si="2"/>
        <v>1.3916821743136373E-6</v>
      </c>
      <c r="F4" s="113">
        <f t="shared" si="2"/>
        <v>1.4157743667239527E-6</v>
      </c>
      <c r="G4" s="113">
        <f t="shared" si="2"/>
        <v>1.4662573861205167E-6</v>
      </c>
      <c r="H4" s="113">
        <f t="shared" si="2"/>
        <v>1.4968057785402327E-6</v>
      </c>
      <c r="I4" s="113">
        <f t="shared" si="2"/>
        <v>1.513679273571965E-6</v>
      </c>
      <c r="J4" s="113">
        <f t="shared" si="2"/>
        <v>1.5521027229379216E-6</v>
      </c>
      <c r="K4" s="113">
        <f t="shared" si="2"/>
        <v>1.5855383894203288E-6</v>
      </c>
      <c r="L4" s="113">
        <f t="shared" si="2"/>
        <v>1.6143694110883026E-6</v>
      </c>
      <c r="M4" s="113">
        <f t="shared" si="2"/>
        <v>1.6385397155385069E-6</v>
      </c>
      <c r="N4" s="113">
        <f t="shared" si="2"/>
        <v>1.6640604201844633E-6</v>
      </c>
      <c r="O4" s="113">
        <f t="shared" si="2"/>
        <v>1.6893888847876705E-6</v>
      </c>
      <c r="P4" s="113">
        <f t="shared" si="2"/>
        <v>1.7133652681172346E-6</v>
      </c>
      <c r="Q4" s="113">
        <f t="shared" si="2"/>
        <v>1.7378646627536593E-6</v>
      </c>
      <c r="R4" s="113">
        <f t="shared" si="2"/>
        <v>1.7332457282173407E-6</v>
      </c>
      <c r="S4" s="113">
        <f t="shared" si="2"/>
        <v>1.7208100945397727E-6</v>
      </c>
      <c r="T4" s="113">
        <f t="shared" si="2"/>
        <v>1.7115307842295208E-6</v>
      </c>
      <c r="U4" s="113">
        <f t="shared" si="2"/>
        <v>1.7083034817211999E-6</v>
      </c>
      <c r="V4" s="113">
        <f t="shared" si="2"/>
        <v>1.7047756861538003E-6</v>
      </c>
      <c r="W4" s="113">
        <f t="shared" si="2"/>
        <v>1.6981084964055105E-6</v>
      </c>
      <c r="X4" s="113">
        <f t="shared" si="2"/>
        <v>1.6916304374118336E-6</v>
      </c>
      <c r="Y4" s="113">
        <f t="shared" si="2"/>
        <v>1.6823925683391896E-6</v>
      </c>
      <c r="Z4" s="113">
        <f t="shared" si="2"/>
        <v>1.6691062430436702E-6</v>
      </c>
      <c r="AA4" s="113">
        <f t="shared" si="2"/>
        <v>1.6635093834726555E-6</v>
      </c>
      <c r="AB4" s="113">
        <f t="shared" si="2"/>
        <v>1.658095923421265E-6</v>
      </c>
      <c r="AC4" s="113">
        <f t="shared" si="2"/>
        <v>1.6528088150581522E-6</v>
      </c>
      <c r="AD4" s="113">
        <f t="shared" si="2"/>
        <v>1.6511473741214767E-6</v>
      </c>
      <c r="AE4" s="113">
        <f t="shared" si="2"/>
        <v>1.6459547870492537E-6</v>
      </c>
      <c r="AF4" s="113">
        <f t="shared" si="2"/>
        <v>1.6359402033764241E-6</v>
      </c>
    </row>
    <row r="5" spans="1:32" s="113" customFormat="1">
      <c r="A5" s="113" t="s">
        <v>166</v>
      </c>
      <c r="B5" s="113">
        <f t="shared" ref="B5:AF5" si="3">B19/1000000-B12</f>
        <v>1.7526635655175524E-6</v>
      </c>
      <c r="C5" s="113">
        <f t="shared" si="3"/>
        <v>1.9414930303365045E-6</v>
      </c>
      <c r="D5" s="113">
        <f t="shared" si="3"/>
        <v>1.9636221133588017E-6</v>
      </c>
      <c r="E5" s="113">
        <f t="shared" si="3"/>
        <v>2.0121224730800415E-6</v>
      </c>
      <c r="F5" s="113">
        <f t="shared" si="3"/>
        <v>2.0377107212079578E-6</v>
      </c>
      <c r="G5" s="113">
        <f t="shared" si="3"/>
        <v>2.0926877787039265E-6</v>
      </c>
      <c r="H5" s="113">
        <f t="shared" si="3"/>
        <v>2.1259652253922661E-6</v>
      </c>
      <c r="I5" s="113">
        <f t="shared" si="3"/>
        <v>2.1388070318137509E-6</v>
      </c>
      <c r="J5" s="113">
        <f t="shared" si="3"/>
        <v>2.1780427610855001E-6</v>
      </c>
      <c r="K5" s="113">
        <f t="shared" si="3"/>
        <v>2.2115562784523547E-6</v>
      </c>
      <c r="L5" s="113">
        <f t="shared" si="3"/>
        <v>2.2395180823023023E-6</v>
      </c>
      <c r="M5" s="113">
        <f t="shared" si="3"/>
        <v>2.2630167958894865E-6</v>
      </c>
      <c r="N5" s="113">
        <f t="shared" si="3"/>
        <v>2.2883902306932714E-6</v>
      </c>
      <c r="O5" s="113">
        <f t="shared" si="3"/>
        <v>2.3129076148179012E-6</v>
      </c>
      <c r="P5" s="113">
        <f t="shared" si="3"/>
        <v>2.336899250142936E-6</v>
      </c>
      <c r="Q5" s="113">
        <f t="shared" si="3"/>
        <v>2.3586231393768025E-6</v>
      </c>
      <c r="R5" s="113">
        <f t="shared" si="3"/>
        <v>2.3788730436262368E-6</v>
      </c>
      <c r="S5" s="113">
        <f t="shared" si="3"/>
        <v>2.4008451327300075E-6</v>
      </c>
      <c r="T5" s="113">
        <f t="shared" si="3"/>
        <v>2.4224068451953928E-6</v>
      </c>
      <c r="U5" s="113">
        <f t="shared" si="3"/>
        <v>2.4384083907816678E-6</v>
      </c>
      <c r="V5" s="113">
        <f t="shared" si="3"/>
        <v>2.4642567055203444E-6</v>
      </c>
      <c r="W5" s="113">
        <f t="shared" si="3"/>
        <v>2.4867592282577568E-6</v>
      </c>
      <c r="X5" s="113">
        <f t="shared" si="3"/>
        <v>2.4990074865722694E-6</v>
      </c>
      <c r="Y5" s="113">
        <f t="shared" si="3"/>
        <v>2.5168140781681553E-6</v>
      </c>
      <c r="Z5" s="113">
        <f t="shared" si="3"/>
        <v>2.5384535002522996E-6</v>
      </c>
      <c r="AA5" s="113">
        <f t="shared" si="3"/>
        <v>2.550770998710267E-6</v>
      </c>
      <c r="AB5" s="113">
        <f t="shared" si="3"/>
        <v>2.564026600700732E-6</v>
      </c>
      <c r="AC5" s="113">
        <f t="shared" si="3"/>
        <v>2.5749658448529987E-6</v>
      </c>
      <c r="AD5" s="113">
        <f t="shared" si="3"/>
        <v>2.5827615166411309E-6</v>
      </c>
      <c r="AE5" s="113">
        <f t="shared" si="3"/>
        <v>2.5855620315984257E-6</v>
      </c>
      <c r="AF5" s="113">
        <f t="shared" si="3"/>
        <v>2.5858719969316657E-6</v>
      </c>
    </row>
    <row r="6" spans="1:32" s="113" customFormat="1">
      <c r="A6" s="113" t="s">
        <v>167</v>
      </c>
      <c r="B6" s="113">
        <f t="shared" ref="B6:AF6" si="4">B20/1000000-B13</f>
        <v>1.5931043208105585E-6</v>
      </c>
      <c r="C6" s="113">
        <f t="shared" si="4"/>
        <v>1.6341845461822112E-6</v>
      </c>
      <c r="D6" s="113">
        <f t="shared" si="4"/>
        <v>1.6454103070911854E-6</v>
      </c>
      <c r="E6" s="113">
        <f t="shared" si="4"/>
        <v>1.6772240047180045E-6</v>
      </c>
      <c r="F6" s="113">
        <f t="shared" si="4"/>
        <v>1.7012041691118737E-6</v>
      </c>
      <c r="G6" s="113">
        <f t="shared" si="4"/>
        <v>1.7481595484705597E-6</v>
      </c>
      <c r="H6" s="113">
        <f t="shared" si="4"/>
        <v>1.7716097654486613E-6</v>
      </c>
      <c r="I6" s="113">
        <f t="shared" si="4"/>
        <v>1.7835043582374114E-6</v>
      </c>
      <c r="J6" s="113">
        <f t="shared" si="4"/>
        <v>1.8170285077232745E-6</v>
      </c>
      <c r="K6" s="113">
        <f t="shared" si="4"/>
        <v>1.8466191974204954E-6</v>
      </c>
      <c r="L6" s="113">
        <f t="shared" si="4"/>
        <v>1.8683346512085962E-6</v>
      </c>
      <c r="M6" s="113">
        <f t="shared" si="4"/>
        <v>1.8856832197122537E-6</v>
      </c>
      <c r="N6" s="113">
        <f t="shared" si="4"/>
        <v>1.9037942377523572E-6</v>
      </c>
      <c r="O6" s="113">
        <f t="shared" si="4"/>
        <v>1.9229335648270532E-6</v>
      </c>
      <c r="P6" s="113">
        <f t="shared" si="4"/>
        <v>1.9420386838679267E-6</v>
      </c>
      <c r="Q6" s="113">
        <f t="shared" si="4"/>
        <v>1.9609073824187426E-6</v>
      </c>
      <c r="R6" s="113">
        <f t="shared" si="4"/>
        <v>1.9525981036074609E-6</v>
      </c>
      <c r="S6" s="113">
        <f t="shared" si="4"/>
        <v>1.9390892237040201E-6</v>
      </c>
      <c r="T6" s="113">
        <f t="shared" si="4"/>
        <v>1.9241848278579515E-6</v>
      </c>
      <c r="U6" s="113">
        <f t="shared" si="4"/>
        <v>1.9242693742171771E-6</v>
      </c>
      <c r="V6" s="113">
        <f t="shared" si="4"/>
        <v>1.920465727456175E-6</v>
      </c>
      <c r="W6" s="113">
        <f t="shared" si="4"/>
        <v>1.9082827223461339E-6</v>
      </c>
      <c r="X6" s="113">
        <f t="shared" si="4"/>
        <v>1.9048175741566845E-6</v>
      </c>
      <c r="Y6" s="113">
        <f t="shared" si="4"/>
        <v>1.8993064667009919E-6</v>
      </c>
      <c r="Z6" s="113">
        <f t="shared" si="4"/>
        <v>1.8801254028708088E-6</v>
      </c>
      <c r="AA6" s="113">
        <f t="shared" si="4"/>
        <v>1.878840736599159E-6</v>
      </c>
      <c r="AB6" s="113">
        <f t="shared" si="4"/>
        <v>1.8738519377626596E-6</v>
      </c>
      <c r="AC6" s="113">
        <f t="shared" si="4"/>
        <v>1.8635785530862532E-6</v>
      </c>
      <c r="AD6" s="113">
        <f t="shared" si="4"/>
        <v>1.8649656143929571E-6</v>
      </c>
      <c r="AE6" s="113">
        <f t="shared" si="4"/>
        <v>1.8589435964198296E-6</v>
      </c>
      <c r="AF6" s="113">
        <f t="shared" si="4"/>
        <v>1.8415752065313704E-6</v>
      </c>
    </row>
    <row r="7" spans="1:32" s="113" customFormat="1">
      <c r="A7" s="113" t="s">
        <v>168</v>
      </c>
      <c r="B7" s="113">
        <f t="shared" ref="B7:AF7" si="5">B21/1000000-B14</f>
        <v>1.2099488828053658E-6</v>
      </c>
      <c r="C7" s="113">
        <f t="shared" si="5"/>
        <v>1.2681501118355903E-6</v>
      </c>
      <c r="D7" s="113">
        <f t="shared" si="5"/>
        <v>1.3450236465454133E-6</v>
      </c>
      <c r="E7" s="113">
        <f t="shared" si="5"/>
        <v>1.3916821743136373E-6</v>
      </c>
      <c r="F7" s="113">
        <f t="shared" si="5"/>
        <v>1.4157743667239527E-6</v>
      </c>
      <c r="G7" s="113">
        <f t="shared" si="5"/>
        <v>1.4662573861205167E-6</v>
      </c>
      <c r="H7" s="113">
        <f t="shared" si="5"/>
        <v>1.4968057785402327E-6</v>
      </c>
      <c r="I7" s="113">
        <f t="shared" si="5"/>
        <v>1.513679273571965E-6</v>
      </c>
      <c r="J7" s="113">
        <f t="shared" si="5"/>
        <v>1.5521027229379216E-6</v>
      </c>
      <c r="K7" s="113">
        <f t="shared" si="5"/>
        <v>1.5855383894203288E-6</v>
      </c>
      <c r="L7" s="113">
        <f t="shared" si="5"/>
        <v>1.6143694110883026E-6</v>
      </c>
      <c r="M7" s="113">
        <f t="shared" si="5"/>
        <v>1.6385397155385069E-6</v>
      </c>
      <c r="N7" s="113">
        <f t="shared" si="5"/>
        <v>1.6640604201844633E-6</v>
      </c>
      <c r="O7" s="113">
        <f t="shared" si="5"/>
        <v>1.6893888847876705E-6</v>
      </c>
      <c r="P7" s="113">
        <f t="shared" si="5"/>
        <v>1.7133652681172346E-6</v>
      </c>
      <c r="Q7" s="113">
        <f t="shared" si="5"/>
        <v>1.7378646627536593E-6</v>
      </c>
      <c r="R7" s="113">
        <f t="shared" si="5"/>
        <v>1.7332457282173407E-6</v>
      </c>
      <c r="S7" s="113">
        <f t="shared" si="5"/>
        <v>1.7208100945397727E-6</v>
      </c>
      <c r="T7" s="113">
        <f t="shared" si="5"/>
        <v>1.7115307842295208E-6</v>
      </c>
      <c r="U7" s="113">
        <f t="shared" si="5"/>
        <v>1.7083034817211999E-6</v>
      </c>
      <c r="V7" s="113">
        <f t="shared" si="5"/>
        <v>1.7047756861538003E-6</v>
      </c>
      <c r="W7" s="113">
        <f t="shared" si="5"/>
        <v>1.6981084964055105E-6</v>
      </c>
      <c r="X7" s="113">
        <f t="shared" si="5"/>
        <v>1.6916304374118336E-6</v>
      </c>
      <c r="Y7" s="113">
        <f t="shared" si="5"/>
        <v>1.6823925683391896E-6</v>
      </c>
      <c r="Z7" s="113">
        <f t="shared" si="5"/>
        <v>1.6691062430436702E-6</v>
      </c>
      <c r="AA7" s="113">
        <f t="shared" si="5"/>
        <v>1.6635093834726555E-6</v>
      </c>
      <c r="AB7" s="113">
        <f t="shared" si="5"/>
        <v>1.658095923421265E-6</v>
      </c>
      <c r="AC7" s="113">
        <f t="shared" si="5"/>
        <v>1.6528088150581522E-6</v>
      </c>
      <c r="AD7" s="113">
        <f t="shared" si="5"/>
        <v>1.6511473741214767E-6</v>
      </c>
      <c r="AE7" s="113">
        <f t="shared" si="5"/>
        <v>1.6459547870492537E-6</v>
      </c>
      <c r="AF7" s="113">
        <f t="shared" si="5"/>
        <v>1.6359402033764241E-6</v>
      </c>
    </row>
    <row r="8" spans="1:32" s="113" customFormat="1"/>
    <row r="9" spans="1:32" s="113" customFormat="1">
      <c r="A9" s="37" t="s">
        <v>725</v>
      </c>
    </row>
    <row r="10" spans="1:32" s="113" customFormat="1">
      <c r="A10" s="113" t="s">
        <v>164</v>
      </c>
      <c r="B10" s="113">
        <f>(1-'Sales taxes'!$B$1)*B17/1000000</f>
        <v>1.8886332731203546E-5</v>
      </c>
      <c r="C10" s="113">
        <f>(1-'Sales taxes'!$B$1)*C17/1000000</f>
        <v>2.0921119196895096E-5</v>
      </c>
      <c r="D10" s="113">
        <f>(1-'Sales taxes'!$B$1)*D17/1000000</f>
        <v>2.1159577525816898E-5</v>
      </c>
      <c r="E10" s="113">
        <f>(1-'Sales taxes'!$B$1)*E17/1000000</f>
        <v>2.1682207167523357E-5</v>
      </c>
      <c r="F10" s="113">
        <f>(1-'Sales taxes'!$B$1)*F17/1000000</f>
        <v>2.1957940729662941E-5</v>
      </c>
      <c r="G10" s="113">
        <f>(1-'Sales taxes'!$B$1)*G17/1000000</f>
        <v>2.2550361899863273E-5</v>
      </c>
      <c r="H10" s="113">
        <f>(1-'Sales taxes'!$B$1)*H17/1000000</f>
        <v>2.2908952643098834E-5</v>
      </c>
      <c r="I10" s="113">
        <f>(1-'Sales taxes'!$B$1)*I17/1000000</f>
        <v>2.3047333239191349E-5</v>
      </c>
      <c r="J10" s="113">
        <f>(1-'Sales taxes'!$B$1)*J17/1000000</f>
        <v>2.34701291782162E-5</v>
      </c>
      <c r="K10" s="113">
        <f>(1-'Sales taxes'!$B$1)*K17/1000000</f>
        <v>2.3831263769267346E-5</v>
      </c>
      <c r="L10" s="113">
        <f>(1-'Sales taxes'!$B$1)*L17/1000000</f>
        <v>2.4132574266994697E-5</v>
      </c>
      <c r="M10" s="113">
        <f>(1-'Sales taxes'!$B$1)*M17/1000000</f>
        <v>2.4385791445861411E-5</v>
      </c>
      <c r="N10" s="113">
        <f>(1-'Sales taxes'!$B$1)*N17/1000000</f>
        <v>2.4659210224950531E-5</v>
      </c>
      <c r="O10" s="113">
        <f>(1-'Sales taxes'!$B$1)*O17/1000000</f>
        <v>2.49234043825667E-5</v>
      </c>
      <c r="P10" s="113">
        <f>(1-'Sales taxes'!$B$1)*P17/1000000</f>
        <v>2.5181933182063065E-5</v>
      </c>
      <c r="Q10" s="113">
        <f>(1-'Sales taxes'!$B$1)*Q17/1000000</f>
        <v>2.5416025228225696E-5</v>
      </c>
      <c r="R10" s="113">
        <f>(1-'Sales taxes'!$B$1)*R17/1000000</f>
        <v>2.5634233923239525E-5</v>
      </c>
      <c r="S10" s="113">
        <f>(1-'Sales taxes'!$B$1)*S17/1000000</f>
        <v>2.5871000518824458E-5</v>
      </c>
      <c r="T10" s="113">
        <f>(1-'Sales taxes'!$B$1)*T17/1000000</f>
        <v>2.6103344982352801E-5</v>
      </c>
      <c r="U10" s="113">
        <f>(1-'Sales taxes'!$B$1)*U17/1000000</f>
        <v>2.6275774260910121E-5</v>
      </c>
      <c r="V10" s="113">
        <f>(1-'Sales taxes'!$B$1)*V17/1000000</f>
        <v>2.655431024596748E-5</v>
      </c>
      <c r="W10" s="113">
        <f>(1-'Sales taxes'!$B$1)*W17/1000000</f>
        <v>2.6796792682455349E-5</v>
      </c>
      <c r="X10" s="113">
        <f>(1-'Sales taxes'!$B$1)*X17/1000000</f>
        <v>2.6928777329398905E-5</v>
      </c>
      <c r="Y10" s="113">
        <f>(1-'Sales taxes'!$B$1)*Y17/1000000</f>
        <v>2.7120657402851098E-5</v>
      </c>
      <c r="Z10" s="113">
        <f>(1-'Sales taxes'!$B$1)*Z17/1000000</f>
        <v>2.7353839248832712E-5</v>
      </c>
      <c r="AA10" s="113">
        <f>(1-'Sales taxes'!$B$1)*AA17/1000000</f>
        <v>2.7486570012950924E-5</v>
      </c>
      <c r="AB10" s="113">
        <f>(1-'Sales taxes'!$B$1)*AB17/1000000</f>
        <v>2.7629409582774668E-5</v>
      </c>
      <c r="AC10" s="113">
        <f>(1-'Sales taxes'!$B$1)*AC17/1000000</f>
        <v>2.7747288569336853E-5</v>
      </c>
      <c r="AD10" s="113">
        <f>(1-'Sales taxes'!$B$1)*AD17/1000000</f>
        <v>2.7831293083466372E-5</v>
      </c>
      <c r="AE10" s="113">
        <f>(1-'Sales taxes'!$B$1)*AE17/1000000</f>
        <v>2.7861470841675554E-5</v>
      </c>
      <c r="AF10" s="113">
        <f>(1-'Sales taxes'!$B$1)*AF17/1000000</f>
        <v>2.7864810962697026E-5</v>
      </c>
    </row>
    <row r="11" spans="1:32" s="113" customFormat="1">
      <c r="A11" s="113" t="s">
        <v>165</v>
      </c>
      <c r="B11" s="113">
        <f>(1-'Sales taxes'!$B$1)*B18/1000000</f>
        <v>1.3038153835109933E-5</v>
      </c>
      <c r="C11" s="113">
        <f>(1-'Sales taxes'!$B$1)*C18/1000000</f>
        <v>1.366531799739181E-5</v>
      </c>
      <c r="D11" s="113">
        <f>(1-'Sales taxes'!$B$1)*D18/1000000</f>
        <v>1.4493690985407186E-5</v>
      </c>
      <c r="E11" s="113">
        <f>(1-'Sales taxes'!$B$1)*E18/1000000</f>
        <v>1.4996473434655262E-5</v>
      </c>
      <c r="F11" s="113">
        <f>(1-'Sales taxes'!$B$1)*F18/1000000</f>
        <v>1.5256085816082846E-5</v>
      </c>
      <c r="G11" s="113">
        <f>(1-'Sales taxes'!$B$1)*G18/1000000</f>
        <v>1.5800080180065483E-5</v>
      </c>
      <c r="H11" s="113">
        <f>(1-'Sales taxes'!$B$1)*H18/1000000</f>
        <v>1.6129263210393267E-5</v>
      </c>
      <c r="I11" s="113">
        <f>(1-'Sales taxes'!$B$1)*I18/1000000</f>
        <v>1.6311088432174235E-5</v>
      </c>
      <c r="J11" s="113">
        <f>(1-'Sales taxes'!$B$1)*J18/1000000</f>
        <v>1.6725131414343281E-5</v>
      </c>
      <c r="K11" s="113">
        <f>(1-'Sales taxes'!$B$1)*K18/1000000</f>
        <v>1.708542710069187E-5</v>
      </c>
      <c r="L11" s="113">
        <f>(1-'Sales taxes'!$B$1)*L18/1000000</f>
        <v>1.7396104106202097E-5</v>
      </c>
      <c r="M11" s="113">
        <f>(1-'Sales taxes'!$B$1)*M18/1000000</f>
        <v>1.7656558206488192E-5</v>
      </c>
      <c r="N11" s="113">
        <f>(1-'Sales taxes'!$B$1)*N18/1000000</f>
        <v>1.7931563934319338E-5</v>
      </c>
      <c r="O11" s="113">
        <f>(1-'Sales taxes'!$B$1)*O18/1000000</f>
        <v>1.8204498124016729E-5</v>
      </c>
      <c r="P11" s="113">
        <f>(1-'Sales taxes'!$B$1)*P18/1000000</f>
        <v>1.8462862571228464E-5</v>
      </c>
      <c r="Q11" s="113">
        <f>(1-'Sales taxes'!$B$1)*Q18/1000000</f>
        <v>1.8726862877915939E-5</v>
      </c>
      <c r="R11" s="113">
        <f>(1-'Sales taxes'!$B$1)*R18/1000000</f>
        <v>1.867709021404997E-5</v>
      </c>
      <c r="S11" s="113">
        <f>(1-'Sales taxes'!$B$1)*S18/1000000</f>
        <v>1.8543086449734519E-5</v>
      </c>
      <c r="T11" s="113">
        <f>(1-'Sales taxes'!$B$1)*T18/1000000</f>
        <v>1.8443094559971137E-5</v>
      </c>
      <c r="U11" s="113">
        <f>(1-'Sales taxes'!$B$1)*U18/1000000</f>
        <v>1.840831782917373E-5</v>
      </c>
      <c r="V11" s="113">
        <f>(1-'Sales taxes'!$B$1)*V18/1000000</f>
        <v>1.8370303048582389E-5</v>
      </c>
      <c r="W11" s="113">
        <f>(1-'Sales taxes'!$B$1)*W18/1000000</f>
        <v>1.8298458818779478E-5</v>
      </c>
      <c r="X11" s="113">
        <f>(1-'Sales taxes'!$B$1)*X18/1000000</f>
        <v>1.8228652622077513E-5</v>
      </c>
      <c r="Y11" s="113">
        <f>(1-'Sales taxes'!$B$1)*Y18/1000000</f>
        <v>1.812910729434557E-5</v>
      </c>
      <c r="Z11" s="113">
        <f>(1-'Sales taxes'!$B$1)*Z18/1000000</f>
        <v>1.7985936656669829E-5</v>
      </c>
      <c r="AA11" s="113">
        <f>(1-'Sales taxes'!$B$1)*AA18/1000000</f>
        <v>1.7925626078993847E-5</v>
      </c>
      <c r="AB11" s="113">
        <f>(1-'Sales taxes'!$B$1)*AB18/1000000</f>
        <v>1.7867291775839987E-5</v>
      </c>
      <c r="AC11" s="113">
        <f>(1-'Sales taxes'!$B$1)*AC18/1000000</f>
        <v>1.7810319011816028E-5</v>
      </c>
      <c r="AD11" s="113">
        <f>(1-'Sales taxes'!$B$1)*AD18/1000000</f>
        <v>1.7792415674883194E-5</v>
      </c>
      <c r="AE11" s="113">
        <f>(1-'Sales taxes'!$B$1)*AE18/1000000</f>
        <v>1.7736461452343711E-5</v>
      </c>
      <c r="AF11" s="113">
        <f>(1-'Sales taxes'!$B$1)*AF18/1000000</f>
        <v>1.76285464119842E-5</v>
      </c>
    </row>
    <row r="12" spans="1:32" s="113" customFormat="1">
      <c r="A12" s="113" t="s">
        <v>166</v>
      </c>
      <c r="B12" s="113">
        <f>(1-'Sales taxes'!$B$1)*B19/1000000</f>
        <v>1.8886332731203546E-5</v>
      </c>
      <c r="C12" s="113">
        <f>(1-'Sales taxes'!$B$1)*C19/1000000</f>
        <v>2.0921119196895096E-5</v>
      </c>
      <c r="D12" s="113">
        <f>(1-'Sales taxes'!$B$1)*D19/1000000</f>
        <v>2.1159577525816898E-5</v>
      </c>
      <c r="E12" s="113">
        <f>(1-'Sales taxes'!$B$1)*E19/1000000</f>
        <v>2.1682207167523357E-5</v>
      </c>
      <c r="F12" s="113">
        <f>(1-'Sales taxes'!$B$1)*F19/1000000</f>
        <v>2.1957940729662941E-5</v>
      </c>
      <c r="G12" s="113">
        <f>(1-'Sales taxes'!$B$1)*G19/1000000</f>
        <v>2.2550361899863273E-5</v>
      </c>
      <c r="H12" s="113">
        <f>(1-'Sales taxes'!$B$1)*H19/1000000</f>
        <v>2.2908952643098834E-5</v>
      </c>
      <c r="I12" s="113">
        <f>(1-'Sales taxes'!$B$1)*I19/1000000</f>
        <v>2.3047333239191349E-5</v>
      </c>
      <c r="J12" s="113">
        <f>(1-'Sales taxes'!$B$1)*J19/1000000</f>
        <v>2.34701291782162E-5</v>
      </c>
      <c r="K12" s="113">
        <f>(1-'Sales taxes'!$B$1)*K19/1000000</f>
        <v>2.3831263769267346E-5</v>
      </c>
      <c r="L12" s="113">
        <f>(1-'Sales taxes'!$B$1)*L19/1000000</f>
        <v>2.4132574266994697E-5</v>
      </c>
      <c r="M12" s="113">
        <f>(1-'Sales taxes'!$B$1)*M19/1000000</f>
        <v>2.4385791445861411E-5</v>
      </c>
      <c r="N12" s="113">
        <f>(1-'Sales taxes'!$B$1)*N19/1000000</f>
        <v>2.4659210224950531E-5</v>
      </c>
      <c r="O12" s="113">
        <f>(1-'Sales taxes'!$B$1)*O19/1000000</f>
        <v>2.49234043825667E-5</v>
      </c>
      <c r="P12" s="113">
        <f>(1-'Sales taxes'!$B$1)*P19/1000000</f>
        <v>2.5181933182063065E-5</v>
      </c>
      <c r="Q12" s="113">
        <f>(1-'Sales taxes'!$B$1)*Q19/1000000</f>
        <v>2.5416025228225696E-5</v>
      </c>
      <c r="R12" s="113">
        <f>(1-'Sales taxes'!$B$1)*R19/1000000</f>
        <v>2.5634233923239525E-5</v>
      </c>
      <c r="S12" s="113">
        <f>(1-'Sales taxes'!$B$1)*S19/1000000</f>
        <v>2.5871000518824458E-5</v>
      </c>
      <c r="T12" s="113">
        <f>(1-'Sales taxes'!$B$1)*T19/1000000</f>
        <v>2.6103344982352801E-5</v>
      </c>
      <c r="U12" s="113">
        <f>(1-'Sales taxes'!$B$1)*U19/1000000</f>
        <v>2.6275774260910121E-5</v>
      </c>
      <c r="V12" s="113">
        <f>(1-'Sales taxes'!$B$1)*V19/1000000</f>
        <v>2.655431024596748E-5</v>
      </c>
      <c r="W12" s="113">
        <f>(1-'Sales taxes'!$B$1)*W19/1000000</f>
        <v>2.6796792682455349E-5</v>
      </c>
      <c r="X12" s="113">
        <f>(1-'Sales taxes'!$B$1)*X19/1000000</f>
        <v>2.6928777329398905E-5</v>
      </c>
      <c r="Y12" s="113">
        <f>(1-'Sales taxes'!$B$1)*Y19/1000000</f>
        <v>2.7120657402851098E-5</v>
      </c>
      <c r="Z12" s="113">
        <f>(1-'Sales taxes'!$B$1)*Z19/1000000</f>
        <v>2.7353839248832712E-5</v>
      </c>
      <c r="AA12" s="113">
        <f>(1-'Sales taxes'!$B$1)*AA19/1000000</f>
        <v>2.7486570012950924E-5</v>
      </c>
      <c r="AB12" s="113">
        <f>(1-'Sales taxes'!$B$1)*AB19/1000000</f>
        <v>2.7629409582774668E-5</v>
      </c>
      <c r="AC12" s="113">
        <f>(1-'Sales taxes'!$B$1)*AC19/1000000</f>
        <v>2.7747288569336853E-5</v>
      </c>
      <c r="AD12" s="113">
        <f>(1-'Sales taxes'!$B$1)*AD19/1000000</f>
        <v>2.7831293083466372E-5</v>
      </c>
      <c r="AE12" s="113">
        <f>(1-'Sales taxes'!$B$1)*AE19/1000000</f>
        <v>2.7861470841675554E-5</v>
      </c>
      <c r="AF12" s="113">
        <f>(1-'Sales taxes'!$B$1)*AF19/1000000</f>
        <v>2.7864810962697026E-5</v>
      </c>
    </row>
    <row r="13" spans="1:32" s="113" customFormat="1">
      <c r="A13" s="113" t="s">
        <v>167</v>
      </c>
      <c r="B13" s="113">
        <f>(1-'Sales taxes'!$B$1)*B20/1000000</f>
        <v>1.7166955980773941E-5</v>
      </c>
      <c r="C13" s="113">
        <f>(1-'Sales taxes'!$B$1)*C20/1000000</f>
        <v>1.7609627820541889E-5</v>
      </c>
      <c r="D13" s="113">
        <f>(1-'Sales taxes'!$B$1)*D20/1000000</f>
        <v>1.7730594251212916E-5</v>
      </c>
      <c r="E13" s="113">
        <f>(1-'Sales taxes'!$B$1)*E20/1000000</f>
        <v>1.8073411943444998E-5</v>
      </c>
      <c r="F13" s="113">
        <f>(1-'Sales taxes'!$B$1)*F20/1000000</f>
        <v>1.8331817134607826E-5</v>
      </c>
      <c r="G13" s="113">
        <f>(1-'Sales taxes'!$B$1)*G20/1000000</f>
        <v>1.8837798393952441E-5</v>
      </c>
      <c r="H13" s="113">
        <f>(1-'Sales taxes'!$B$1)*H20/1000000</f>
        <v>1.9090492983593538E-5</v>
      </c>
      <c r="I13" s="113">
        <f>(1-'Sales taxes'!$B$1)*I20/1000000</f>
        <v>1.9218666605462688E-5</v>
      </c>
      <c r="J13" s="113">
        <f>(1-'Sales taxes'!$B$1)*J20/1000000</f>
        <v>1.9579915765984623E-5</v>
      </c>
      <c r="K13" s="113">
        <f>(1-'Sales taxes'!$B$1)*K20/1000000</f>
        <v>1.9898778793871303E-5</v>
      </c>
      <c r="L13" s="113">
        <f>(1-'Sales taxes'!$B$1)*L20/1000000</f>
        <v>2.0132779941450304E-5</v>
      </c>
      <c r="M13" s="113">
        <f>(1-'Sales taxes'!$B$1)*M20/1000000</f>
        <v>2.0319724454713744E-5</v>
      </c>
      <c r="N13" s="113">
        <f>(1-'Sales taxes'!$B$1)*N20/1000000</f>
        <v>2.0514884963288143E-5</v>
      </c>
      <c r="O13" s="113">
        <f>(1-'Sales taxes'!$B$1)*O20/1000000</f>
        <v>2.0721126313023345E-5</v>
      </c>
      <c r="P13" s="113">
        <f>(1-'Sales taxes'!$B$1)*P20/1000000</f>
        <v>2.0926999044204673E-5</v>
      </c>
      <c r="Q13" s="113">
        <f>(1-'Sales taxes'!$B$1)*Q20/1000000</f>
        <v>2.1130324158075158E-5</v>
      </c>
      <c r="R13" s="113">
        <f>(1-'Sales taxes'!$B$1)*R20/1000000</f>
        <v>2.1040785123046581E-5</v>
      </c>
      <c r="S13" s="113">
        <f>(1-'Sales taxes'!$B$1)*S20/1000000</f>
        <v>2.089521628387984E-5</v>
      </c>
      <c r="T13" s="113">
        <f>(1-'Sales taxes'!$B$1)*T20/1000000</f>
        <v>2.073460965940011E-5</v>
      </c>
      <c r="U13" s="113">
        <f>(1-'Sales taxes'!$B$1)*U20/1000000</f>
        <v>2.0735520713125935E-5</v>
      </c>
      <c r="V13" s="113">
        <f>(1-'Sales taxes'!$B$1)*V20/1000000</f>
        <v>2.0694533418283037E-5</v>
      </c>
      <c r="W13" s="113">
        <f>(1-'Sales taxes'!$B$1)*W20/1000000</f>
        <v>2.056325192610105E-5</v>
      </c>
      <c r="X13" s="113">
        <f>(1-'Sales taxes'!$B$1)*X20/1000000</f>
        <v>2.0525912220434506E-5</v>
      </c>
      <c r="Y13" s="113">
        <f>(1-'Sales taxes'!$B$1)*Y20/1000000</f>
        <v>2.0466525689457639E-5</v>
      </c>
      <c r="Z13" s="113">
        <f>(1-'Sales taxes'!$B$1)*Z20/1000000</f>
        <v>2.0259834593252683E-5</v>
      </c>
      <c r="AA13" s="113">
        <f>(1-'Sales taxes'!$B$1)*AA20/1000000</f>
        <v>2.0245991300602446E-5</v>
      </c>
      <c r="AB13" s="113">
        <f>(1-'Sales taxes'!$B$1)*AB20/1000000</f>
        <v>2.0192233057087337E-5</v>
      </c>
      <c r="AC13" s="113">
        <f>(1-'Sales taxes'!$B$1)*AC20/1000000</f>
        <v>2.0081529231725954E-5</v>
      </c>
      <c r="AD13" s="113">
        <f>(1-'Sales taxes'!$B$1)*AD20/1000000</f>
        <v>2.009647591166636E-5</v>
      </c>
      <c r="AE13" s="113">
        <f>(1-'Sales taxes'!$B$1)*AE20/1000000</f>
        <v>2.0031583916767072E-5</v>
      </c>
      <c r="AF13" s="113">
        <f>(1-'Sales taxes'!$B$1)*AF20/1000000</f>
        <v>1.9844425812443778E-5</v>
      </c>
    </row>
    <row r="14" spans="1:32" s="113" customFormat="1">
      <c r="A14" s="113" t="s">
        <v>168</v>
      </c>
      <c r="B14" s="113">
        <f>(1-'Sales taxes'!$B$1)*B21/1000000</f>
        <v>1.3038153835109933E-5</v>
      </c>
      <c r="C14" s="113">
        <f>(1-'Sales taxes'!$B$1)*C21/1000000</f>
        <v>1.366531799739181E-5</v>
      </c>
      <c r="D14" s="113">
        <f>(1-'Sales taxes'!$B$1)*D21/1000000</f>
        <v>1.4493690985407186E-5</v>
      </c>
      <c r="E14" s="113">
        <f>(1-'Sales taxes'!$B$1)*E21/1000000</f>
        <v>1.4996473434655262E-5</v>
      </c>
      <c r="F14" s="113">
        <f>(1-'Sales taxes'!$B$1)*F21/1000000</f>
        <v>1.5256085816082846E-5</v>
      </c>
      <c r="G14" s="113">
        <f>(1-'Sales taxes'!$B$1)*G21/1000000</f>
        <v>1.5800080180065483E-5</v>
      </c>
      <c r="H14" s="113">
        <f>(1-'Sales taxes'!$B$1)*H21/1000000</f>
        <v>1.6129263210393267E-5</v>
      </c>
      <c r="I14" s="113">
        <f>(1-'Sales taxes'!$B$1)*I21/1000000</f>
        <v>1.6311088432174235E-5</v>
      </c>
      <c r="J14" s="113">
        <f>(1-'Sales taxes'!$B$1)*J21/1000000</f>
        <v>1.6725131414343281E-5</v>
      </c>
      <c r="K14" s="113">
        <f>(1-'Sales taxes'!$B$1)*K21/1000000</f>
        <v>1.708542710069187E-5</v>
      </c>
      <c r="L14" s="113">
        <f>(1-'Sales taxes'!$B$1)*L21/1000000</f>
        <v>1.7396104106202097E-5</v>
      </c>
      <c r="M14" s="113">
        <f>(1-'Sales taxes'!$B$1)*M21/1000000</f>
        <v>1.7656558206488192E-5</v>
      </c>
      <c r="N14" s="113">
        <f>(1-'Sales taxes'!$B$1)*N21/1000000</f>
        <v>1.7931563934319338E-5</v>
      </c>
      <c r="O14" s="113">
        <f>(1-'Sales taxes'!$B$1)*O21/1000000</f>
        <v>1.8204498124016729E-5</v>
      </c>
      <c r="P14" s="113">
        <f>(1-'Sales taxes'!$B$1)*P21/1000000</f>
        <v>1.8462862571228464E-5</v>
      </c>
      <c r="Q14" s="113">
        <f>(1-'Sales taxes'!$B$1)*Q21/1000000</f>
        <v>1.8726862877915939E-5</v>
      </c>
      <c r="R14" s="113">
        <f>(1-'Sales taxes'!$B$1)*R21/1000000</f>
        <v>1.867709021404997E-5</v>
      </c>
      <c r="S14" s="113">
        <f>(1-'Sales taxes'!$B$1)*S21/1000000</f>
        <v>1.8543086449734519E-5</v>
      </c>
      <c r="T14" s="113">
        <f>(1-'Sales taxes'!$B$1)*T21/1000000</f>
        <v>1.8443094559971137E-5</v>
      </c>
      <c r="U14" s="113">
        <f>(1-'Sales taxes'!$B$1)*U21/1000000</f>
        <v>1.840831782917373E-5</v>
      </c>
      <c r="V14" s="113">
        <f>(1-'Sales taxes'!$B$1)*V21/1000000</f>
        <v>1.8370303048582389E-5</v>
      </c>
      <c r="W14" s="113">
        <f>(1-'Sales taxes'!$B$1)*W21/1000000</f>
        <v>1.8298458818779478E-5</v>
      </c>
      <c r="X14" s="113">
        <f>(1-'Sales taxes'!$B$1)*X21/1000000</f>
        <v>1.8228652622077513E-5</v>
      </c>
      <c r="Y14" s="113">
        <f>(1-'Sales taxes'!$B$1)*Y21/1000000</f>
        <v>1.812910729434557E-5</v>
      </c>
      <c r="Z14" s="113">
        <f>(1-'Sales taxes'!$B$1)*Z21/1000000</f>
        <v>1.7985936656669829E-5</v>
      </c>
      <c r="AA14" s="113">
        <f>(1-'Sales taxes'!$B$1)*AA21/1000000</f>
        <v>1.7925626078993847E-5</v>
      </c>
      <c r="AB14" s="113">
        <f>(1-'Sales taxes'!$B$1)*AB21/1000000</f>
        <v>1.7867291775839987E-5</v>
      </c>
      <c r="AC14" s="113">
        <f>(1-'Sales taxes'!$B$1)*AC21/1000000</f>
        <v>1.7810319011816028E-5</v>
      </c>
      <c r="AD14" s="113">
        <f>(1-'Sales taxes'!$B$1)*AD21/1000000</f>
        <v>1.7792415674883194E-5</v>
      </c>
      <c r="AE14" s="113">
        <f>(1-'Sales taxes'!$B$1)*AE21/1000000</f>
        <v>1.7736461452343711E-5</v>
      </c>
      <c r="AF14" s="113">
        <f>(1-'Sales taxes'!$B$1)*AF21/1000000</f>
        <v>1.76285464119842E-5</v>
      </c>
    </row>
    <row r="15" spans="1:32" s="113" customFormat="1"/>
    <row r="16" spans="1:32" s="113" customFormat="1">
      <c r="A16" s="37" t="s">
        <v>724</v>
      </c>
    </row>
    <row r="17" spans="1:41">
      <c r="A17" t="str">
        <f>'EIA electricity'!D25</f>
        <v>Transportation Sector</v>
      </c>
      <c r="B17" s="143">
        <f>'CEC electricity'!B56</f>
        <v>20.6389962967211</v>
      </c>
      <c r="C17" s="143">
        <f>'CEC electricity'!C56</f>
        <v>22.862612227231601</v>
      </c>
      <c r="D17" s="143">
        <f>'CEC electricity'!D56</f>
        <v>23.123199639175699</v>
      </c>
      <c r="E17" s="143">
        <f>'CEC electricity'!E56</f>
        <v>23.694329640603399</v>
      </c>
      <c r="F17" s="143">
        <f>'CEC electricity'!F56</f>
        <v>23.995651450870898</v>
      </c>
      <c r="G17" s="143">
        <f>'CEC electricity'!G56</f>
        <v>24.643049678567198</v>
      </c>
      <c r="H17" s="143">
        <f>'CEC electricity'!H56</f>
        <v>25.0349178684911</v>
      </c>
      <c r="I17" s="143">
        <f>'CEC electricity'!I56</f>
        <v>25.186140271005101</v>
      </c>
      <c r="J17" s="143">
        <f>'CEC electricity'!J56</f>
        <v>25.648171939301701</v>
      </c>
      <c r="K17" s="143">
        <f>'CEC electricity'!K56</f>
        <v>26.042820047719701</v>
      </c>
      <c r="L17" s="143">
        <f>'CEC electricity'!L56</f>
        <v>26.372092349296999</v>
      </c>
      <c r="M17" s="143">
        <f>'CEC electricity'!M56</f>
        <v>26.648808241750899</v>
      </c>
      <c r="N17" s="143">
        <f>'CEC electricity'!N56</f>
        <v>26.947600455643801</v>
      </c>
      <c r="O17" s="143">
        <f>'CEC electricity'!O56</f>
        <v>27.2363119973846</v>
      </c>
      <c r="P17" s="143">
        <f>'CEC electricity'!P56</f>
        <v>27.518832432206001</v>
      </c>
      <c r="Q17" s="143">
        <f>'CEC electricity'!Q56</f>
        <v>27.774648367602499</v>
      </c>
      <c r="R17" s="113">
        <f>Q17*(1+'AEO 2022 Pacific region Table 3'!U3)</f>
        <v>28.013106966865763</v>
      </c>
      <c r="S17" s="113">
        <f>R17*(1+'AEO 2022 Pacific region Table 3'!V3)</f>
        <v>28.271845651554464</v>
      </c>
      <c r="T17" s="113">
        <f>S17*(1+'AEO 2022 Pacific region Table 3'!W3)</f>
        <v>28.525751827548195</v>
      </c>
      <c r="U17" s="113">
        <f>T17*(1+'AEO 2022 Pacific region Table 3'!X3)</f>
        <v>28.71418265169179</v>
      </c>
      <c r="V17" s="113">
        <f>U17*(1+'AEO 2022 Pacific region Table 3'!Y3)</f>
        <v>29.018566951487824</v>
      </c>
      <c r="W17" s="113">
        <f>V17*(1+'AEO 2022 Pacific region Table 3'!Z3)</f>
        <v>29.283551910713104</v>
      </c>
      <c r="X17" s="113">
        <f>W17*(1+'AEO 2022 Pacific region Table 3'!AA3)</f>
        <v>29.427784815971176</v>
      </c>
      <c r="Y17" s="113">
        <f>X17*(1+'AEO 2022 Pacific region Table 3'!AB3)</f>
        <v>29.637471481019254</v>
      </c>
      <c r="Z17" s="113">
        <f>Y17*(1+'AEO 2022 Pacific region Table 3'!AC3)</f>
        <v>29.892292749085012</v>
      </c>
      <c r="AA17" s="113">
        <f>Z17*(1+'AEO 2022 Pacific region Table 3'!AD3)</f>
        <v>30.037341011661191</v>
      </c>
      <c r="AB17" s="113">
        <f>AA17*(1+'AEO 2022 Pacific region Table 3'!AE3)</f>
        <v>30.193436183475399</v>
      </c>
      <c r="AC17" s="113">
        <f>AB17*(1+'AEO 2022 Pacific region Table 3'!AF3)</f>
        <v>30.322254414189853</v>
      </c>
      <c r="AD17" s="113">
        <f>AC17*(1+'AEO 2022 Pacific region Table 3'!AG3)</f>
        <v>30.414054600107502</v>
      </c>
      <c r="AE17" s="113">
        <f>AD17*(1+'AEO 2022 Pacific region Table 3'!AH3)</f>
        <v>30.447032873273979</v>
      </c>
      <c r="AF17" s="113">
        <f>AE17*(1+'AEO 2022 Pacific region Table 3'!AI3)</f>
        <v>30.450682959628693</v>
      </c>
      <c r="AG17" s="113"/>
      <c r="AH17" s="113"/>
      <c r="AI17" s="113"/>
      <c r="AJ17" s="113"/>
      <c r="AK17" s="113"/>
      <c r="AL17" s="113"/>
      <c r="AM17" s="113"/>
      <c r="AN17" s="113"/>
      <c r="AO17" s="113"/>
    </row>
    <row r="18" spans="1:41">
      <c r="A18" t="str">
        <f>'EIA electricity'!D26</f>
        <v>Electricity Sector</v>
      </c>
      <c r="B18" s="143">
        <f>'CEC electricity'!B58</f>
        <v>14.2481027179153</v>
      </c>
      <c r="C18" s="143">
        <f>'CEC electricity'!C58</f>
        <v>14.9334681092274</v>
      </c>
      <c r="D18" s="143">
        <f>'CEC electricity'!D58</f>
        <v>15.8387146319526</v>
      </c>
      <c r="E18" s="143">
        <f>'CEC electricity'!E58</f>
        <v>16.388155608968901</v>
      </c>
      <c r="F18" s="143">
        <f>'CEC electricity'!F58</f>
        <v>16.6718601828068</v>
      </c>
      <c r="G18" s="143">
        <f>'CEC electricity'!G58</f>
        <v>17.266337566185999</v>
      </c>
      <c r="H18" s="143">
        <f>'CEC electricity'!H58</f>
        <v>17.6260689889335</v>
      </c>
      <c r="I18" s="143">
        <f>'CEC electricity'!I58</f>
        <v>17.824767705746201</v>
      </c>
      <c r="J18" s="143">
        <f>'CEC electricity'!J58</f>
        <v>18.277234137281201</v>
      </c>
      <c r="K18" s="143">
        <f>'CEC electricity'!K58</f>
        <v>18.670965490112199</v>
      </c>
      <c r="L18" s="143">
        <f>'CEC electricity'!L58</f>
        <v>19.0104735172904</v>
      </c>
      <c r="M18" s="143">
        <f>'CEC electricity'!M58</f>
        <v>19.295097922026699</v>
      </c>
      <c r="N18" s="143">
        <f>'CEC electricity'!N58</f>
        <v>19.595624354503801</v>
      </c>
      <c r="O18" s="143">
        <f>'CEC electricity'!O58</f>
        <v>19.893887008804398</v>
      </c>
      <c r="P18" s="143">
        <f>'CEC electricity'!P58</f>
        <v>20.1762278393457</v>
      </c>
      <c r="Q18" s="143">
        <f>'CEC electricity'!Q58</f>
        <v>20.4647275406696</v>
      </c>
      <c r="R18" s="113">
        <f t="shared" ref="R18:AF18" si="6">R21</f>
        <v>20.410335942267309</v>
      </c>
      <c r="S18" s="113">
        <f t="shared" si="6"/>
        <v>20.263896544274292</v>
      </c>
      <c r="T18" s="113">
        <f t="shared" si="6"/>
        <v>20.154625344200657</v>
      </c>
      <c r="U18" s="113">
        <f t="shared" si="6"/>
        <v>20.116621310894928</v>
      </c>
      <c r="V18" s="113">
        <f t="shared" si="6"/>
        <v>20.075078734736188</v>
      </c>
      <c r="W18" s="113">
        <f t="shared" si="6"/>
        <v>19.99656731518499</v>
      </c>
      <c r="X18" s="113">
        <f t="shared" si="6"/>
        <v>19.920283059489346</v>
      </c>
      <c r="Y18" s="113">
        <f t="shared" si="6"/>
        <v>19.811499862684759</v>
      </c>
      <c r="Z18" s="113">
        <f t="shared" si="6"/>
        <v>19.6550428997135</v>
      </c>
      <c r="AA18" s="113">
        <f t="shared" si="6"/>
        <v>19.589135462466501</v>
      </c>
      <c r="AB18" s="113">
        <f t="shared" si="6"/>
        <v>19.525387699261252</v>
      </c>
      <c r="AC18" s="113">
        <f t="shared" si="6"/>
        <v>19.463127826874182</v>
      </c>
      <c r="AD18" s="113">
        <f t="shared" si="6"/>
        <v>19.44356304900467</v>
      </c>
      <c r="AE18" s="113">
        <f t="shared" si="6"/>
        <v>19.382416239392963</v>
      </c>
      <c r="AF18" s="113">
        <f t="shared" si="6"/>
        <v>19.264486615360624</v>
      </c>
      <c r="AG18" s="113"/>
      <c r="AH18" s="113"/>
      <c r="AI18" s="113"/>
      <c r="AJ18" s="113"/>
      <c r="AK18" s="113"/>
      <c r="AL18" s="113"/>
      <c r="AM18" s="113"/>
      <c r="AN18" s="113"/>
      <c r="AO18" s="113"/>
    </row>
    <row r="19" spans="1:41">
      <c r="A19" t="str">
        <f>'EIA electricity'!D27</f>
        <v>Residential Buildings Sector</v>
      </c>
      <c r="B19" s="143">
        <f>'CEC electricity'!B56</f>
        <v>20.6389962967211</v>
      </c>
      <c r="C19" s="143">
        <f>'CEC electricity'!C56</f>
        <v>22.862612227231601</v>
      </c>
      <c r="D19" s="143">
        <f>'CEC electricity'!D56</f>
        <v>23.123199639175699</v>
      </c>
      <c r="E19" s="143">
        <f>'CEC electricity'!E56</f>
        <v>23.694329640603399</v>
      </c>
      <c r="F19" s="143">
        <f>'CEC electricity'!F56</f>
        <v>23.995651450870898</v>
      </c>
      <c r="G19" s="143">
        <f>'CEC electricity'!G56</f>
        <v>24.643049678567198</v>
      </c>
      <c r="H19" s="143">
        <f>'CEC electricity'!H56</f>
        <v>25.0349178684911</v>
      </c>
      <c r="I19" s="143">
        <f>'CEC electricity'!I56</f>
        <v>25.186140271005101</v>
      </c>
      <c r="J19" s="143">
        <f>'CEC electricity'!J56</f>
        <v>25.648171939301701</v>
      </c>
      <c r="K19" s="143">
        <f>'CEC electricity'!K56</f>
        <v>26.042820047719701</v>
      </c>
      <c r="L19" s="143">
        <f>'CEC electricity'!L56</f>
        <v>26.372092349296999</v>
      </c>
      <c r="M19" s="143">
        <f>'CEC electricity'!M56</f>
        <v>26.648808241750899</v>
      </c>
      <c r="N19" s="143">
        <f>'CEC electricity'!N56</f>
        <v>26.947600455643801</v>
      </c>
      <c r="O19" s="143">
        <f>'CEC electricity'!O56</f>
        <v>27.2363119973846</v>
      </c>
      <c r="P19" s="143">
        <f>'CEC electricity'!P56</f>
        <v>27.518832432206001</v>
      </c>
      <c r="Q19" s="143">
        <f>'CEC electricity'!Q56</f>
        <v>27.774648367602499</v>
      </c>
      <c r="R19" s="113">
        <f>Q19*(1+'AEO 2022 Pacific region Table 3'!U3)</f>
        <v>28.013106966865763</v>
      </c>
      <c r="S19" s="113">
        <f>R19*(1+'AEO 2022 Pacific region Table 3'!V3)</f>
        <v>28.271845651554464</v>
      </c>
      <c r="T19" s="113">
        <f>S19*(1+'AEO 2022 Pacific region Table 3'!W3)</f>
        <v>28.525751827548195</v>
      </c>
      <c r="U19" s="113">
        <f>T19*(1+'AEO 2022 Pacific region Table 3'!X3)</f>
        <v>28.71418265169179</v>
      </c>
      <c r="V19" s="113">
        <f>U19*(1+'AEO 2022 Pacific region Table 3'!Y3)</f>
        <v>29.018566951487824</v>
      </c>
      <c r="W19" s="113">
        <f>V19*(1+'AEO 2022 Pacific region Table 3'!Z3)</f>
        <v>29.283551910713104</v>
      </c>
      <c r="X19" s="113">
        <f>W19*(1+'AEO 2022 Pacific region Table 3'!AA3)</f>
        <v>29.427784815971176</v>
      </c>
      <c r="Y19" s="113">
        <f>X19*(1+'AEO 2022 Pacific region Table 3'!AB3)</f>
        <v>29.637471481019254</v>
      </c>
      <c r="Z19" s="113">
        <f>Y19*(1+'AEO 2022 Pacific region Table 3'!AC3)</f>
        <v>29.892292749085012</v>
      </c>
      <c r="AA19" s="113">
        <f>Z19*(1+'AEO 2022 Pacific region Table 3'!AD3)</f>
        <v>30.037341011661191</v>
      </c>
      <c r="AB19" s="113">
        <f>AA19*(1+'AEO 2022 Pacific region Table 3'!AE3)</f>
        <v>30.193436183475399</v>
      </c>
      <c r="AC19" s="113">
        <f>AB19*(1+'AEO 2022 Pacific region Table 3'!AF3)</f>
        <v>30.322254414189853</v>
      </c>
      <c r="AD19" s="113">
        <f>AC19*(1+'AEO 2022 Pacific region Table 3'!AG3)</f>
        <v>30.414054600107502</v>
      </c>
      <c r="AE19" s="113">
        <f>AD19*(1+'AEO 2022 Pacific region Table 3'!AH3)</f>
        <v>30.447032873273979</v>
      </c>
      <c r="AF19" s="113">
        <f>AE19*(1+'AEO 2022 Pacific region Table 3'!AI3)</f>
        <v>30.450682959628693</v>
      </c>
      <c r="AG19" s="113"/>
      <c r="AH19" s="113"/>
      <c r="AI19" s="113"/>
      <c r="AJ19" s="113"/>
      <c r="AK19" s="113"/>
      <c r="AL19" s="113"/>
      <c r="AM19" s="113"/>
      <c r="AN19" s="113"/>
      <c r="AO19" s="113"/>
    </row>
    <row r="20" spans="1:41">
      <c r="A20" t="str">
        <f>'EIA electricity'!D28</f>
        <v>Commercial Buildings Sector</v>
      </c>
      <c r="B20" s="143">
        <f>'CEC electricity'!B57</f>
        <v>18.760060301584499</v>
      </c>
      <c r="C20" s="143">
        <f>'CEC electricity'!C57</f>
        <v>19.2438123667241</v>
      </c>
      <c r="D20" s="143">
        <f>'CEC electricity'!D57</f>
        <v>19.3760045583041</v>
      </c>
      <c r="E20" s="143">
        <f>'CEC electricity'!E57</f>
        <v>19.750635948163001</v>
      </c>
      <c r="F20" s="143">
        <f>'CEC electricity'!F57</f>
        <v>20.0330213037197</v>
      </c>
      <c r="G20" s="143">
        <f>'CEC electricity'!G57</f>
        <v>20.585957942423001</v>
      </c>
      <c r="H20" s="143">
        <f>'CEC electricity'!H57</f>
        <v>20.862102749042201</v>
      </c>
      <c r="I20" s="143">
        <f>'CEC electricity'!I57</f>
        <v>21.002170963700099</v>
      </c>
      <c r="J20" s="143">
        <f>'CEC electricity'!J57</f>
        <v>21.396944273707899</v>
      </c>
      <c r="K20" s="143">
        <f>'CEC electricity'!K57</f>
        <v>21.745397991291799</v>
      </c>
      <c r="L20" s="143">
        <f>'CEC electricity'!L57</f>
        <v>22.001114592658901</v>
      </c>
      <c r="M20" s="143">
        <f>'CEC electricity'!M57</f>
        <v>22.205407674425999</v>
      </c>
      <c r="N20" s="143">
        <f>'CEC electricity'!N57</f>
        <v>22.418679201040501</v>
      </c>
      <c r="O20" s="143">
        <f>'CEC electricity'!O57</f>
        <v>22.644059877850399</v>
      </c>
      <c r="P20" s="143">
        <f>'CEC electricity'!P57</f>
        <v>22.869037728072598</v>
      </c>
      <c r="Q20" s="143">
        <f>'CEC electricity'!Q57</f>
        <v>23.091231540493901</v>
      </c>
      <c r="R20" s="113">
        <f>Q20*(1+'AEO 2022 Pacific region Table 3'!U12)</f>
        <v>22.993383226654043</v>
      </c>
      <c r="S20" s="113">
        <f>R20*(1+'AEO 2022 Pacific region Table 3'!V12)</f>
        <v>22.83430550758386</v>
      </c>
      <c r="T20" s="113">
        <f>S20*(1+'AEO 2022 Pacific region Table 3'!W12)</f>
        <v>22.658794487258064</v>
      </c>
      <c r="U20" s="113">
        <f>T20*(1+'AEO 2022 Pacific region Table 3'!X12)</f>
        <v>22.659790087343112</v>
      </c>
      <c r="V20" s="113">
        <f>U20*(1+'AEO 2022 Pacific region Table 3'!Y12)</f>
        <v>22.614999145739212</v>
      </c>
      <c r="W20" s="113">
        <f>V20*(1+'AEO 2022 Pacific region Table 3'!Z12)</f>
        <v>22.471534648447182</v>
      </c>
      <c r="X20" s="113">
        <f>W20*(1+'AEO 2022 Pacific region Table 3'!AA12)</f>
        <v>22.430729794591191</v>
      </c>
      <c r="Y20" s="113">
        <f>X20*(1+'AEO 2022 Pacific region Table 3'!AB12)</f>
        <v>22.365832156158632</v>
      </c>
      <c r="Z20" s="113">
        <f>Y20*(1+'AEO 2022 Pacific region Table 3'!AC12)</f>
        <v>22.139959996123491</v>
      </c>
      <c r="AA20" s="113">
        <f>Z20*(1+'AEO 2022 Pacific region Table 3'!AD12)</f>
        <v>22.124832037201607</v>
      </c>
      <c r="AB20" s="113">
        <f>AA20*(1+'AEO 2022 Pacific region Table 3'!AE12)</f>
        <v>22.066084994849998</v>
      </c>
      <c r="AC20" s="113">
        <f>AB20*(1+'AEO 2022 Pacific region Table 3'!AF12)</f>
        <v>21.945107784812208</v>
      </c>
      <c r="AD20" s="113">
        <f>AC20*(1+'AEO 2022 Pacific region Table 3'!AG12)</f>
        <v>21.961441526059318</v>
      </c>
      <c r="AE20" s="113">
        <f>AD20*(1+'AEO 2022 Pacific region Table 3'!AH12)</f>
        <v>21.890527513186903</v>
      </c>
      <c r="AF20" s="113">
        <f>AE20*(1+'AEO 2022 Pacific region Table 3'!AI12)</f>
        <v>21.686001018975148</v>
      </c>
      <c r="AG20" s="113"/>
      <c r="AH20" s="113"/>
      <c r="AI20" s="113"/>
      <c r="AJ20" s="113"/>
      <c r="AK20" s="113"/>
      <c r="AL20" s="113"/>
      <c r="AM20" s="113"/>
      <c r="AN20" s="113"/>
      <c r="AO20" s="113"/>
    </row>
    <row r="21" spans="1:41" s="113" customFormat="1">
      <c r="A21" t="str">
        <f>'EIA electricity'!D29</f>
        <v>Industry Sector</v>
      </c>
      <c r="B21" s="143">
        <f>'CEC electricity'!B58</f>
        <v>14.2481027179153</v>
      </c>
      <c r="C21" s="143">
        <f>'CEC electricity'!C58</f>
        <v>14.9334681092274</v>
      </c>
      <c r="D21" s="143">
        <f>'CEC electricity'!D58</f>
        <v>15.8387146319526</v>
      </c>
      <c r="E21" s="143">
        <f>'CEC electricity'!E58</f>
        <v>16.388155608968901</v>
      </c>
      <c r="F21" s="143">
        <f>'CEC electricity'!F58</f>
        <v>16.6718601828068</v>
      </c>
      <c r="G21" s="143">
        <f>'CEC electricity'!G58</f>
        <v>17.266337566185999</v>
      </c>
      <c r="H21" s="143">
        <f>'CEC electricity'!H58</f>
        <v>17.6260689889335</v>
      </c>
      <c r="I21" s="143">
        <f>'CEC electricity'!I58</f>
        <v>17.824767705746201</v>
      </c>
      <c r="J21" s="143">
        <f>'CEC electricity'!J58</f>
        <v>18.277234137281201</v>
      </c>
      <c r="K21" s="143">
        <f>'CEC electricity'!K58</f>
        <v>18.670965490112199</v>
      </c>
      <c r="L21" s="143">
        <f>'CEC electricity'!L58</f>
        <v>19.0104735172904</v>
      </c>
      <c r="M21" s="143">
        <f>'CEC electricity'!M58</f>
        <v>19.295097922026699</v>
      </c>
      <c r="N21" s="143">
        <f>'CEC electricity'!N58</f>
        <v>19.595624354503801</v>
      </c>
      <c r="O21" s="143">
        <f>'CEC electricity'!O58</f>
        <v>19.893887008804398</v>
      </c>
      <c r="P21" s="143">
        <f>'CEC electricity'!P58</f>
        <v>20.1762278393457</v>
      </c>
      <c r="Q21" s="143">
        <f>'CEC electricity'!Q58</f>
        <v>20.4647275406696</v>
      </c>
      <c r="R21" s="113">
        <f>Q21*(1+'AEO 2022 Pacific region Table 3'!U21)</f>
        <v>20.410335942267309</v>
      </c>
      <c r="S21" s="113">
        <f>R21*(1+'AEO 2022 Pacific region Table 3'!V21)</f>
        <v>20.263896544274292</v>
      </c>
      <c r="T21" s="113">
        <f>S21*(1+'AEO 2022 Pacific region Table 3'!W21)</f>
        <v>20.154625344200657</v>
      </c>
      <c r="U21" s="113">
        <f>T21*(1+'AEO 2022 Pacific region Table 3'!X21)</f>
        <v>20.116621310894928</v>
      </c>
      <c r="V21" s="113">
        <f>U21*(1+'AEO 2022 Pacific region Table 3'!Y21)</f>
        <v>20.075078734736188</v>
      </c>
      <c r="W21" s="113">
        <f>V21*(1+'AEO 2022 Pacific region Table 3'!Z21)</f>
        <v>19.99656731518499</v>
      </c>
      <c r="X21" s="113">
        <f>W21*(1+'AEO 2022 Pacific region Table 3'!AA21)</f>
        <v>19.920283059489346</v>
      </c>
      <c r="Y21" s="113">
        <f>X21*(1+'AEO 2022 Pacific region Table 3'!AB21)</f>
        <v>19.811499862684759</v>
      </c>
      <c r="Z21" s="113">
        <f>Y21*(1+'AEO 2022 Pacific region Table 3'!AC21)</f>
        <v>19.6550428997135</v>
      </c>
      <c r="AA21" s="113">
        <f>Z21*(1+'AEO 2022 Pacific region Table 3'!AD21)</f>
        <v>19.589135462466501</v>
      </c>
      <c r="AB21" s="113">
        <f>AA21*(1+'AEO 2022 Pacific region Table 3'!AE21)</f>
        <v>19.525387699261252</v>
      </c>
      <c r="AC21" s="113">
        <f>AB21*(1+'AEO 2022 Pacific region Table 3'!AF21)</f>
        <v>19.463127826874182</v>
      </c>
      <c r="AD21" s="113">
        <f>AC21*(1+'AEO 2022 Pacific region Table 3'!AG21)</f>
        <v>19.44356304900467</v>
      </c>
      <c r="AE21" s="113">
        <f>AD21*(1+'AEO 2022 Pacific region Table 3'!AH21)</f>
        <v>19.382416239392963</v>
      </c>
      <c r="AF21" s="113">
        <f>AE21*(1+'AEO 2022 Pacific region Table 3'!AI21)</f>
        <v>19.264486615360624</v>
      </c>
    </row>
    <row r="22" spans="1:41" s="113" customFormat="1"/>
    <row r="24" spans="1:41">
      <c r="A24" s="33" t="s">
        <v>32</v>
      </c>
    </row>
    <row r="25" spans="1:41">
      <c r="A25" t="s">
        <v>928</v>
      </c>
    </row>
    <row r="26" spans="1:41">
      <c r="A26" t="s">
        <v>929</v>
      </c>
    </row>
    <row r="33" s="113" customFormat="1"/>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ADA60-13DB-44A2-B5E1-C729E9AFD49E}">
  <sheetPr>
    <tabColor theme="9" tint="0.79998168889431442"/>
  </sheetPr>
  <dimension ref="A1:AK66"/>
  <sheetViews>
    <sheetView zoomScale="115" zoomScaleNormal="115" workbookViewId="0">
      <selection activeCell="B3" sqref="B3"/>
    </sheetView>
  </sheetViews>
  <sheetFormatPr defaultRowHeight="14.5"/>
  <cols>
    <col min="1" max="1" width="34.1796875" style="32" customWidth="1"/>
    <col min="2" max="2" width="11.81640625" bestFit="1" customWidth="1"/>
    <col min="3" max="3" width="15.54296875" customWidth="1"/>
    <col min="4" max="4" width="16.453125" customWidth="1"/>
    <col min="5" max="5" width="14.54296875" customWidth="1"/>
  </cols>
  <sheetData>
    <row r="1" spans="1:32" s="32" customFormat="1">
      <c r="B1" s="32">
        <v>2020</v>
      </c>
      <c r="C1" s="32">
        <v>2021</v>
      </c>
      <c r="D1" s="32">
        <v>2022</v>
      </c>
      <c r="E1" s="32">
        <v>2023</v>
      </c>
      <c r="F1" s="32">
        <v>2024</v>
      </c>
      <c r="G1" s="32">
        <v>2025</v>
      </c>
      <c r="H1" s="32">
        <v>2026</v>
      </c>
      <c r="I1" s="32">
        <v>2027</v>
      </c>
      <c r="J1" s="32">
        <v>2028</v>
      </c>
      <c r="K1" s="32">
        <v>2029</v>
      </c>
      <c r="L1" s="32">
        <v>2030</v>
      </c>
      <c r="M1" s="32">
        <v>2031</v>
      </c>
      <c r="N1" s="32">
        <v>2032</v>
      </c>
      <c r="O1" s="32">
        <v>2033</v>
      </c>
      <c r="P1" s="32">
        <v>2034</v>
      </c>
      <c r="Q1" s="32">
        <v>2035</v>
      </c>
      <c r="R1" s="32">
        <v>2036</v>
      </c>
      <c r="S1" s="32">
        <v>2037</v>
      </c>
      <c r="T1" s="32">
        <v>2038</v>
      </c>
      <c r="U1" s="32">
        <v>2039</v>
      </c>
      <c r="V1" s="32">
        <v>2040</v>
      </c>
      <c r="W1" s="32">
        <v>2041</v>
      </c>
      <c r="X1" s="32">
        <v>2042</v>
      </c>
      <c r="Y1" s="32">
        <v>2043</v>
      </c>
      <c r="Z1" s="32">
        <v>2044</v>
      </c>
      <c r="AA1" s="32">
        <v>2045</v>
      </c>
      <c r="AB1" s="32">
        <v>2046</v>
      </c>
      <c r="AC1" s="32">
        <v>2047</v>
      </c>
      <c r="AD1" s="32">
        <v>2048</v>
      </c>
      <c r="AE1" s="32">
        <v>2049</v>
      </c>
      <c r="AF1" s="32">
        <v>2050</v>
      </c>
    </row>
    <row r="2" spans="1:32" s="113" customFormat="1">
      <c r="A2" s="116" t="s">
        <v>730</v>
      </c>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row>
    <row r="3" spans="1:32" s="113" customFormat="1">
      <c r="A3" s="80" t="s">
        <v>725</v>
      </c>
      <c r="B3" s="21">
        <f>B27-B4</f>
        <v>1.897844206120575E-5</v>
      </c>
      <c r="C3" s="21">
        <f t="shared" ref="C3:AF3" si="0">C27-C4</f>
        <v>2.3729259248938678E-5</v>
      </c>
      <c r="D3" s="21">
        <f t="shared" si="0"/>
        <v>3.0566314487480428E-5</v>
      </c>
      <c r="E3" s="21">
        <f t="shared" si="0"/>
        <v>2.6953100054845137E-5</v>
      </c>
      <c r="F3" s="21">
        <f t="shared" si="0"/>
        <v>2.4732968481484736E-5</v>
      </c>
      <c r="G3" s="21">
        <f t="shared" si="0"/>
        <v>2.2528040595838498E-5</v>
      </c>
      <c r="H3" s="21">
        <f t="shared" si="0"/>
        <v>2.0232892602106437E-5</v>
      </c>
      <c r="I3" s="21">
        <f t="shared" si="0"/>
        <v>2.0474716641990702E-5</v>
      </c>
      <c r="J3" s="21">
        <f t="shared" si="0"/>
        <v>2.069603801531481E-5</v>
      </c>
      <c r="K3" s="21">
        <f t="shared" si="0"/>
        <v>2.0851360634719926E-5</v>
      </c>
      <c r="L3" s="21">
        <f t="shared" si="0"/>
        <v>2.1366640481871537E-5</v>
      </c>
      <c r="M3" s="21">
        <f t="shared" si="0"/>
        <v>2.2050971379704918E-5</v>
      </c>
      <c r="N3" s="21">
        <f t="shared" si="0"/>
        <v>2.227482322096632E-5</v>
      </c>
      <c r="O3" s="21">
        <f t="shared" si="0"/>
        <v>2.2459338038338914E-5</v>
      </c>
      <c r="P3" s="21">
        <f t="shared" si="0"/>
        <v>2.2633437170558873E-5</v>
      </c>
      <c r="Q3" s="21">
        <f t="shared" si="0"/>
        <v>2.2718629285058851E-5</v>
      </c>
      <c r="R3" s="21">
        <f t="shared" si="0"/>
        <v>2.2880132085772371E-5</v>
      </c>
      <c r="S3" s="21">
        <f t="shared" si="0"/>
        <v>2.3023534144499E-5</v>
      </c>
      <c r="T3" s="21">
        <f t="shared" si="0"/>
        <v>2.3276051155935423E-5</v>
      </c>
      <c r="U3" s="21">
        <f t="shared" si="0"/>
        <v>2.3288378464544326E-5</v>
      </c>
      <c r="V3" s="21">
        <f t="shared" si="0"/>
        <v>2.3471260781193948E-5</v>
      </c>
      <c r="W3" s="21">
        <f t="shared" si="0"/>
        <v>2.3619956990184169E-5</v>
      </c>
      <c r="X3" s="21">
        <f t="shared" si="0"/>
        <v>2.3657589896332906E-5</v>
      </c>
      <c r="Y3" s="21">
        <f t="shared" si="0"/>
        <v>2.3892365169034802E-5</v>
      </c>
      <c r="Z3" s="21">
        <f t="shared" si="0"/>
        <v>2.4118304003627652E-5</v>
      </c>
      <c r="AA3" s="21">
        <f t="shared" si="0"/>
        <v>2.4195608146411628E-5</v>
      </c>
      <c r="AB3" s="21">
        <f t="shared" si="0"/>
        <v>2.4389367986157462E-5</v>
      </c>
      <c r="AC3" s="21">
        <f t="shared" si="0"/>
        <v>2.4464490564420749E-5</v>
      </c>
      <c r="AD3" s="21">
        <f t="shared" si="0"/>
        <v>2.4398744306395362E-5</v>
      </c>
      <c r="AE3" s="21">
        <f t="shared" si="0"/>
        <v>2.4413178808007197E-5</v>
      </c>
      <c r="AF3" s="21">
        <f t="shared" si="0"/>
        <v>2.4408399749366551E-5</v>
      </c>
    </row>
    <row r="4" spans="1:32" s="113" customFormat="1">
      <c r="A4" s="113" t="s">
        <v>729</v>
      </c>
      <c r="B4" s="21">
        <f>'Tax-gasoline'!$I$9*'Gasoline+diesel'!B37</f>
        <v>4.1200800768020528E-6</v>
      </c>
      <c r="C4" s="21">
        <f>'Tax-gasoline'!$I$9*'Gasoline+diesel'!C37</f>
        <v>5.1514475189019674E-6</v>
      </c>
      <c r="D4" s="21">
        <f>'Tax-gasoline'!$I$9*'Gasoline+diesel'!D37</f>
        <v>4.9396264129028598E-6</v>
      </c>
      <c r="E4" s="21">
        <f>'Tax-gasoline'!$I$9*'Gasoline+diesel'!E37</f>
        <v>4.4200117070601548E-6</v>
      </c>
      <c r="F4" s="21">
        <f>'Tax-gasoline'!$I$9*'Gasoline+diesel'!F37</f>
        <v>4.390874245685288E-6</v>
      </c>
      <c r="G4" s="21">
        <f>'Tax-gasoline'!$I$9*'Gasoline+diesel'!G37</f>
        <v>4.3465330965962625E-6</v>
      </c>
      <c r="H4" s="21">
        <f>'Tax-gasoline'!$I$9*'Gasoline+diesel'!H37</f>
        <v>4.3924120555930525E-6</v>
      </c>
      <c r="I4" s="21">
        <f>'Tax-gasoline'!$I$9*'Gasoline+diesel'!I37</f>
        <v>4.444910274656859E-6</v>
      </c>
      <c r="J4" s="21">
        <f>'Tax-gasoline'!$I$9*'Gasoline+diesel'!J37</f>
        <v>4.4929575157245056E-6</v>
      </c>
      <c r="K4" s="21">
        <f>'Tax-gasoline'!$I$9*'Gasoline+diesel'!K37</f>
        <v>4.5266769131136022E-6</v>
      </c>
      <c r="L4" s="21">
        <f>'Tax-gasoline'!$I$9*'Gasoline+diesel'!L37</f>
        <v>4.6385403751080197E-6</v>
      </c>
      <c r="M4" s="21">
        <f>'Tax-gasoline'!$I$9*'Gasoline+diesel'!M37</f>
        <v>4.7871035758707831E-6</v>
      </c>
      <c r="N4" s="21">
        <f>'Tax-gasoline'!$I$9*'Gasoline+diesel'!N37</f>
        <v>4.8357001629015925E-6</v>
      </c>
      <c r="O4" s="21">
        <f>'Tax-gasoline'!$I$9*'Gasoline+diesel'!O37</f>
        <v>4.8757569715943129E-6</v>
      </c>
      <c r="P4" s="21">
        <f>'Tax-gasoline'!$I$9*'Gasoline+diesel'!P37</f>
        <v>4.9135526117071666E-6</v>
      </c>
      <c r="Q4" s="21">
        <f>'Tax-gasoline'!$I$9*'Gasoline+diesel'!Q37</f>
        <v>4.9320471926912132E-6</v>
      </c>
      <c r="R4" s="21">
        <f>'Tax-gasoline'!$I$9*'Gasoline+diesel'!R37</f>
        <v>4.96710826195188E-6</v>
      </c>
      <c r="S4" s="21">
        <f>'Tax-gasoline'!$I$9*'Gasoline+diesel'!S37</f>
        <v>4.9982397933613905E-6</v>
      </c>
      <c r="T4" s="21">
        <f>'Tax-gasoline'!$I$9*'Gasoline+diesel'!T37</f>
        <v>5.0530593778413768E-6</v>
      </c>
      <c r="U4" s="21">
        <f>'Tax-gasoline'!$I$9*'Gasoline+diesel'!U37</f>
        <v>5.0557355458027046E-6</v>
      </c>
      <c r="V4" s="21">
        <f>'Tax-gasoline'!$I$9*'Gasoline+diesel'!V37</f>
        <v>5.0954379506048224E-6</v>
      </c>
      <c r="W4" s="21">
        <f>'Tax-gasoline'!$I$9*'Gasoline+diesel'!W37</f>
        <v>5.1277188030678869E-6</v>
      </c>
      <c r="X4" s="21">
        <f>'Tax-gasoline'!$I$9*'Gasoline+diesel'!X37</f>
        <v>5.1358886299881126E-6</v>
      </c>
      <c r="Y4" s="21">
        <f>'Tax-gasoline'!$I$9*'Gasoline+diesel'!Y37</f>
        <v>5.1868566135805118E-6</v>
      </c>
      <c r="Z4" s="21">
        <f>'Tax-gasoline'!$I$9*'Gasoline+diesel'!Z37</f>
        <v>5.2359062715018396E-6</v>
      </c>
      <c r="AA4" s="21">
        <f>'Tax-gasoline'!$I$9*'Gasoline+diesel'!AA37</f>
        <v>5.2526884318873633E-6</v>
      </c>
      <c r="AB4" s="21">
        <f>'Tax-gasoline'!$I$9*'Gasoline+diesel'!AB37</f>
        <v>5.2947522668874449E-6</v>
      </c>
      <c r="AC4" s="21">
        <f>'Tax-gasoline'!$I$9*'Gasoline+diesel'!AC37</f>
        <v>5.3110608256733763E-6</v>
      </c>
      <c r="AD4" s="21">
        <f>'Tax-gasoline'!$I$9*'Gasoline+diesel'!AD37</f>
        <v>5.2967877969947792E-6</v>
      </c>
      <c r="AE4" s="21">
        <f>'Tax-gasoline'!$I$9*'Gasoline+diesel'!AE37</f>
        <v>5.2999214210466219E-6</v>
      </c>
      <c r="AF4" s="21">
        <f>'Tax-gasoline'!$I$9*'Gasoline+diesel'!AF37</f>
        <v>5.2988839225929715E-6</v>
      </c>
    </row>
    <row r="5" spans="1:32" s="113" customFormat="1"/>
    <row r="6" spans="1:32" s="113" customFormat="1">
      <c r="A6" s="116" t="s">
        <v>580</v>
      </c>
    </row>
    <row r="7" spans="1:32" s="113" customFormat="1">
      <c r="A7" s="80" t="s">
        <v>725</v>
      </c>
      <c r="B7" s="21">
        <f t="shared" ref="B7:AF7" si="1">B22-B8</f>
        <v>2.2350888251513925E-5</v>
      </c>
      <c r="C7" s="21">
        <f t="shared" si="1"/>
        <v>2.7945919905004883E-5</v>
      </c>
      <c r="D7" s="21">
        <f t="shared" si="1"/>
        <v>3.4356713931213004E-5</v>
      </c>
      <c r="E7" s="21">
        <f t="shared" si="1"/>
        <v>3.0357652792806804E-5</v>
      </c>
      <c r="F7" s="21">
        <f t="shared" si="1"/>
        <v>2.8181186240419201E-5</v>
      </c>
      <c r="G7" s="21">
        <f t="shared" si="1"/>
        <v>2.6004719688031599E-5</v>
      </c>
      <c r="H7" s="21">
        <f t="shared" si="1"/>
        <v>2.3828253135643997E-5</v>
      </c>
      <c r="I7" s="21">
        <f t="shared" si="1"/>
        <v>2.411304901480793E-5</v>
      </c>
      <c r="J7" s="21">
        <f t="shared" si="1"/>
        <v>2.4373698928372245E-5</v>
      </c>
      <c r="K7" s="21">
        <f t="shared" si="1"/>
        <v>2.4556622189304845E-5</v>
      </c>
      <c r="L7" s="21">
        <f t="shared" si="1"/>
        <v>2.5163466641805237E-5</v>
      </c>
      <c r="M7" s="21">
        <f t="shared" si="1"/>
        <v>2.5969402312141305E-5</v>
      </c>
      <c r="N7" s="21">
        <f t="shared" si="1"/>
        <v>2.6233032354733504E-5</v>
      </c>
      <c r="O7" s="21">
        <f t="shared" si="1"/>
        <v>2.6450335231889766E-5</v>
      </c>
      <c r="P7" s="21">
        <f t="shared" si="1"/>
        <v>2.6655371569244772E-5</v>
      </c>
      <c r="Q7" s="21">
        <f t="shared" si="1"/>
        <v>2.67557022194087E-5</v>
      </c>
      <c r="R7" s="21">
        <f t="shared" si="1"/>
        <v>2.6945903872390167E-5</v>
      </c>
      <c r="S7" s="21">
        <f t="shared" si="1"/>
        <v>2.7114788303435629E-5</v>
      </c>
      <c r="T7" s="21">
        <f t="shared" si="1"/>
        <v>2.7412177282258007E-5</v>
      </c>
      <c r="U7" s="21">
        <f t="shared" si="1"/>
        <v>2.7426695138690636E-5</v>
      </c>
      <c r="V7" s="21">
        <f t="shared" si="1"/>
        <v>2.764207542172078E-5</v>
      </c>
      <c r="W7" s="21">
        <f t="shared" si="1"/>
        <v>2.7817194767125735E-5</v>
      </c>
      <c r="X7" s="21">
        <f t="shared" si="1"/>
        <v>2.786151499516118E-5</v>
      </c>
      <c r="Y7" s="21">
        <f t="shared" si="1"/>
        <v>2.8138009549743463E-5</v>
      </c>
      <c r="Z7" s="21">
        <f t="shared" si="1"/>
        <v>2.8404097441856844E-5</v>
      </c>
      <c r="AA7" s="21">
        <f t="shared" si="1"/>
        <v>2.8495138437275302E-5</v>
      </c>
      <c r="AB7" s="21">
        <f t="shared" si="1"/>
        <v>2.8723329166094019E-5</v>
      </c>
      <c r="AC7" s="21">
        <f t="shared" si="1"/>
        <v>2.8811800935616165E-5</v>
      </c>
      <c r="AD7" s="21">
        <f t="shared" si="1"/>
        <v>2.8734371647092817E-5</v>
      </c>
      <c r="AE7" s="21">
        <f t="shared" si="1"/>
        <v>2.8751371142175291E-5</v>
      </c>
      <c r="AF7" s="21">
        <f t="shared" si="1"/>
        <v>2.8745742850596882E-5</v>
      </c>
    </row>
    <row r="8" spans="1:32" s="113" customFormat="1">
      <c r="A8" s="113" t="s">
        <v>729</v>
      </c>
      <c r="B8" s="21">
        <f>B22*$A$19</f>
        <v>2.0741764985777883E-6</v>
      </c>
      <c r="C8" s="21">
        <f t="shared" ref="C8:AF8" si="2">C22*$A$19</f>
        <v>2.5933989578321179E-6</v>
      </c>
      <c r="D8" s="21">
        <f t="shared" si="2"/>
        <v>3.1883246787588056E-6</v>
      </c>
      <c r="E8" s="21">
        <f t="shared" si="2"/>
        <v>2.8172092878930296E-6</v>
      </c>
      <c r="F8" s="21">
        <f t="shared" si="2"/>
        <v>2.6152318218477056E-6</v>
      </c>
      <c r="G8" s="21">
        <f t="shared" si="2"/>
        <v>2.4132543558023816E-6</v>
      </c>
      <c r="H8" s="21">
        <f t="shared" si="2"/>
        <v>2.2112768897570575E-6</v>
      </c>
      <c r="I8" s="21">
        <f t="shared" si="2"/>
        <v>2.2377061266091371E-6</v>
      </c>
      <c r="J8" s="21">
        <f t="shared" si="2"/>
        <v>2.2618946026548179E-6</v>
      </c>
      <c r="K8" s="21">
        <f t="shared" si="2"/>
        <v>2.2788699964109888E-6</v>
      </c>
      <c r="L8" s="21">
        <f t="shared" si="2"/>
        <v>2.3351855435831846E-6</v>
      </c>
      <c r="M8" s="21">
        <f t="shared" si="2"/>
        <v>2.4099768810891283E-6</v>
      </c>
      <c r="N8" s="21">
        <f t="shared" si="2"/>
        <v>2.4344419149844485E-6</v>
      </c>
      <c r="O8" s="21">
        <f t="shared" si="2"/>
        <v>2.4546077587665328E-6</v>
      </c>
      <c r="P8" s="21">
        <f t="shared" si="2"/>
        <v>2.4736352599338483E-6</v>
      </c>
      <c r="Q8" s="21">
        <f t="shared" si="2"/>
        <v>2.4829460074225056E-6</v>
      </c>
      <c r="R8" s="21">
        <f t="shared" si="2"/>
        <v>2.5005968405422182E-6</v>
      </c>
      <c r="S8" s="21">
        <f t="shared" si="2"/>
        <v>2.5162694220480761E-6</v>
      </c>
      <c r="T8" s="21">
        <f t="shared" si="2"/>
        <v>2.5438673064752262E-6</v>
      </c>
      <c r="U8" s="21">
        <f t="shared" si="2"/>
        <v>2.5452145726904845E-6</v>
      </c>
      <c r="V8" s="21">
        <f t="shared" si="2"/>
        <v>2.5652019985274824E-6</v>
      </c>
      <c r="W8" s="21">
        <f t="shared" si="2"/>
        <v>2.5814531840104877E-6</v>
      </c>
      <c r="X8" s="21">
        <f t="shared" si="2"/>
        <v>2.5855661290696851E-6</v>
      </c>
      <c r="Y8" s="21">
        <f t="shared" si="2"/>
        <v>2.6112249977752927E-6</v>
      </c>
      <c r="Z8" s="21">
        <f t="shared" si="2"/>
        <v>2.6359181216532797E-6</v>
      </c>
      <c r="AA8" s="21">
        <f t="shared" si="2"/>
        <v>2.6443667833341549E-6</v>
      </c>
      <c r="AB8" s="21">
        <f t="shared" si="2"/>
        <v>2.6655430266039075E-6</v>
      </c>
      <c r="AC8" s="21">
        <f t="shared" si="2"/>
        <v>2.6737532625043982E-6</v>
      </c>
      <c r="AD8" s="21">
        <f t="shared" si="2"/>
        <v>2.6665677757913212E-6</v>
      </c>
      <c r="AE8" s="21">
        <f t="shared" si="2"/>
        <v>2.6681453396353604E-6</v>
      </c>
      <c r="AF8" s="21">
        <f t="shared" si="2"/>
        <v>2.667623030634138E-6</v>
      </c>
    </row>
    <row r="9" spans="1:32" s="113" customFormat="1"/>
    <row r="10" spans="1:32" s="113" customFormat="1">
      <c r="A10" s="116" t="s">
        <v>575</v>
      </c>
    </row>
    <row r="11" spans="1:32" s="113" customFormat="1">
      <c r="A11" s="80" t="s">
        <v>725</v>
      </c>
      <c r="B11" s="21">
        <f t="shared" ref="B11:AF11" si="3">B23-B12</f>
        <v>2.3974612524751024E-5</v>
      </c>
      <c r="C11" s="21">
        <f t="shared" si="3"/>
        <v>2.8235324059723896E-5</v>
      </c>
      <c r="D11" s="21">
        <f t="shared" si="3"/>
        <v>3.5641449560589472E-5</v>
      </c>
      <c r="E11" s="21">
        <f t="shared" si="3"/>
        <v>3.263438754822888E-5</v>
      </c>
      <c r="F11" s="21">
        <f t="shared" si="3"/>
        <v>3.0778596563523409E-5</v>
      </c>
      <c r="G11" s="21">
        <f t="shared" si="3"/>
        <v>2.8922805578817932E-5</v>
      </c>
      <c r="H11" s="21">
        <f t="shared" si="3"/>
        <v>2.7067014594112465E-5</v>
      </c>
      <c r="I11" s="21">
        <f t="shared" si="3"/>
        <v>2.7137396059651517E-5</v>
      </c>
      <c r="J11" s="21">
        <f t="shared" si="3"/>
        <v>2.7350538529240967E-5</v>
      </c>
      <c r="K11" s="21">
        <f t="shared" si="3"/>
        <v>2.7510641568314485E-5</v>
      </c>
      <c r="L11" s="21">
        <f t="shared" si="3"/>
        <v>2.7466912586291102E-5</v>
      </c>
      <c r="M11" s="21">
        <f t="shared" si="3"/>
        <v>2.8197164200043497E-5</v>
      </c>
      <c r="N11" s="21">
        <f t="shared" si="3"/>
        <v>2.8312421336683593E-5</v>
      </c>
      <c r="O11" s="21">
        <f t="shared" si="3"/>
        <v>2.8468548472506479E-5</v>
      </c>
      <c r="P11" s="21">
        <f t="shared" si="3"/>
        <v>2.8515964006330983E-5</v>
      </c>
      <c r="Q11" s="21">
        <f t="shared" si="3"/>
        <v>2.8634250402590611E-5</v>
      </c>
      <c r="R11" s="21">
        <f t="shared" si="3"/>
        <v>2.8850765066850862E-5</v>
      </c>
      <c r="S11" s="21">
        <f t="shared" si="3"/>
        <v>2.9089290683967608E-5</v>
      </c>
      <c r="T11" s="21">
        <f t="shared" si="3"/>
        <v>2.9248760245793641E-5</v>
      </c>
      <c r="U11" s="21">
        <f t="shared" si="3"/>
        <v>2.935399724890453E-5</v>
      </c>
      <c r="V11" s="21">
        <f t="shared" si="3"/>
        <v>2.9596567832580848E-5</v>
      </c>
      <c r="W11" s="21">
        <f t="shared" si="3"/>
        <v>2.9733326282487375E-5</v>
      </c>
      <c r="X11" s="21">
        <f t="shared" si="3"/>
        <v>2.9747736699120827E-5</v>
      </c>
      <c r="Y11" s="21">
        <f t="shared" si="3"/>
        <v>3.0058182226520507E-5</v>
      </c>
      <c r="Z11" s="21">
        <f t="shared" si="3"/>
        <v>3.0398856049793331E-5</v>
      </c>
      <c r="AA11" s="21">
        <f t="shared" si="3"/>
        <v>3.0521221944266989E-5</v>
      </c>
      <c r="AB11" s="21">
        <f t="shared" si="3"/>
        <v>3.0737761614208062E-5</v>
      </c>
      <c r="AC11" s="21">
        <f t="shared" si="3"/>
        <v>3.0808799181182007E-5</v>
      </c>
      <c r="AD11" s="21">
        <f t="shared" si="3"/>
        <v>3.0748614079684629E-5</v>
      </c>
      <c r="AE11" s="21">
        <f t="shared" si="3"/>
        <v>3.0723546480034358E-5</v>
      </c>
      <c r="AF11" s="21">
        <f t="shared" si="3"/>
        <v>3.0650953797862664E-5</v>
      </c>
    </row>
    <row r="12" spans="1:32" s="113" customFormat="1">
      <c r="A12" s="113" t="s">
        <v>729</v>
      </c>
      <c r="B12" s="21">
        <f>$A$19*B23</f>
        <v>2.2248591331925699E-6</v>
      </c>
      <c r="C12" s="21">
        <f t="shared" ref="C12:E12" si="4">$A$19*C23</f>
        <v>2.6202558455564028E-6</v>
      </c>
      <c r="D12" s="21">
        <f t="shared" si="4"/>
        <v>3.3075489538458472E-6</v>
      </c>
      <c r="E12" s="21">
        <f t="shared" si="4"/>
        <v>3.0284917062940903E-6</v>
      </c>
      <c r="F12" s="21">
        <f t="shared" ref="F12:AF12" si="5">$A$19*F23</f>
        <v>2.8562731347799185E-6</v>
      </c>
      <c r="G12" s="21">
        <f t="shared" si="5"/>
        <v>2.6840545632657459E-6</v>
      </c>
      <c r="H12" s="21">
        <f t="shared" si="5"/>
        <v>2.5118359917515741E-6</v>
      </c>
      <c r="I12" s="21">
        <f t="shared" si="5"/>
        <v>2.518367436055434E-6</v>
      </c>
      <c r="J12" s="21">
        <f t="shared" si="5"/>
        <v>2.5381471913965369E-6</v>
      </c>
      <c r="K12" s="21">
        <f t="shared" si="5"/>
        <v>2.5530048541999235E-6</v>
      </c>
      <c r="L12" s="21">
        <f t="shared" si="5"/>
        <v>2.5489467771428072E-6</v>
      </c>
      <c r="M12" s="21">
        <f t="shared" si="5"/>
        <v>2.6167145865582172E-6</v>
      </c>
      <c r="N12" s="21">
        <f t="shared" si="5"/>
        <v>2.6274105213873875E-6</v>
      </c>
      <c r="O12" s="21">
        <f t="shared" si="5"/>
        <v>2.6418992178664707E-6</v>
      </c>
      <c r="P12" s="21">
        <f t="shared" si="5"/>
        <v>2.6462994092512425E-6</v>
      </c>
      <c r="Q12" s="21">
        <f t="shared" si="5"/>
        <v>2.6572764612798821E-6</v>
      </c>
      <c r="R12" s="21">
        <f t="shared" si="5"/>
        <v>2.6773691584090734E-6</v>
      </c>
      <c r="S12" s="21">
        <f t="shared" si="5"/>
        <v>2.6995044858182116E-6</v>
      </c>
      <c r="T12" s="21">
        <f t="shared" si="5"/>
        <v>2.7143033615342874E-6</v>
      </c>
      <c r="U12" s="21">
        <f t="shared" si="5"/>
        <v>2.7240694216647424E-6</v>
      </c>
      <c r="V12" s="21">
        <f t="shared" si="5"/>
        <v>2.7465801245167261E-6</v>
      </c>
      <c r="W12" s="21">
        <f t="shared" si="5"/>
        <v>2.7592713947510901E-6</v>
      </c>
      <c r="X12" s="21">
        <f t="shared" si="5"/>
        <v>2.7606086904853569E-6</v>
      </c>
      <c r="Y12" s="21">
        <f t="shared" si="5"/>
        <v>2.7894182308389664E-6</v>
      </c>
      <c r="Z12" s="21">
        <f t="shared" si="5"/>
        <v>2.8210329760768995E-6</v>
      </c>
      <c r="AA12" s="21">
        <f t="shared" si="5"/>
        <v>2.8323886081076549E-6</v>
      </c>
      <c r="AB12" s="21">
        <f t="shared" si="5"/>
        <v>2.8524836257797667E-6</v>
      </c>
      <c r="AC12" s="21">
        <f t="shared" si="5"/>
        <v>2.8590759567097695E-6</v>
      </c>
      <c r="AD12" s="21">
        <f t="shared" si="5"/>
        <v>2.8534907414071099E-6</v>
      </c>
      <c r="AE12" s="21">
        <f t="shared" si="5"/>
        <v>2.8511644523806855E-6</v>
      </c>
      <c r="AF12" s="21">
        <f t="shared" si="5"/>
        <v>2.8444278057814584E-6</v>
      </c>
    </row>
    <row r="13" spans="1:32" s="113" customFormat="1"/>
    <row r="14" spans="1:32" s="113" customFormat="1">
      <c r="A14" s="116" t="s">
        <v>728</v>
      </c>
    </row>
    <row r="15" spans="1:32" s="113" customFormat="1">
      <c r="A15" s="80" t="s">
        <v>725</v>
      </c>
      <c r="B15" s="21">
        <f>B28-B16</f>
        <v>1.5093312712685867E-5</v>
      </c>
      <c r="C15" s="21">
        <f t="shared" ref="C15:AF15" si="6">C28-C16</f>
        <v>1.7775660613387186E-5</v>
      </c>
      <c r="D15" s="21">
        <f t="shared" si="6"/>
        <v>2.4813867414567787E-5</v>
      </c>
      <c r="E15" s="21">
        <f t="shared" si="6"/>
        <v>2.234787012755596E-5</v>
      </c>
      <c r="F15" s="21">
        <f t="shared" si="6"/>
        <v>2.0399280124436528E-5</v>
      </c>
      <c r="G15" s="21">
        <f t="shared" si="6"/>
        <v>1.8719964993059583E-5</v>
      </c>
      <c r="H15" s="21">
        <f t="shared" si="6"/>
        <v>1.7040146740474345E-5</v>
      </c>
      <c r="I15" s="21">
        <f t="shared" si="6"/>
        <v>1.7084455672160365E-5</v>
      </c>
      <c r="J15" s="21">
        <f t="shared" si="6"/>
        <v>1.7218640362008703E-5</v>
      </c>
      <c r="K15" s="21">
        <f t="shared" si="6"/>
        <v>1.7319433867325762E-5</v>
      </c>
      <c r="L15" s="21">
        <f t="shared" si="6"/>
        <v>1.7291904112690314E-5</v>
      </c>
      <c r="M15" s="21">
        <f t="shared" si="6"/>
        <v>1.7751636921882934E-5</v>
      </c>
      <c r="N15" s="21">
        <f t="shared" si="6"/>
        <v>1.7824197510876053E-5</v>
      </c>
      <c r="O15" s="21">
        <f t="shared" si="6"/>
        <v>1.7922487970481106E-5</v>
      </c>
      <c r="P15" s="21">
        <f t="shared" si="6"/>
        <v>1.795233860847216E-5</v>
      </c>
      <c r="Q15" s="21">
        <f t="shared" si="6"/>
        <v>1.8026806279912525E-5</v>
      </c>
      <c r="R15" s="21">
        <f t="shared" si="6"/>
        <v>1.8163113948334213E-5</v>
      </c>
      <c r="S15" s="21">
        <f t="shared" si="6"/>
        <v>1.8313278699710807E-5</v>
      </c>
      <c r="T15" s="21">
        <f t="shared" si="6"/>
        <v>1.8413673396906035E-5</v>
      </c>
      <c r="U15" s="21">
        <f t="shared" si="6"/>
        <v>1.8479925770964585E-5</v>
      </c>
      <c r="V15" s="21">
        <f t="shared" si="6"/>
        <v>1.8632637047134141E-5</v>
      </c>
      <c r="W15" s="21">
        <f t="shared" si="6"/>
        <v>1.8718733873450331E-5</v>
      </c>
      <c r="X15" s="21">
        <f t="shared" si="6"/>
        <v>1.8727806008582619E-5</v>
      </c>
      <c r="Y15" s="21">
        <f t="shared" si="6"/>
        <v>1.8923248225655391E-5</v>
      </c>
      <c r="Z15" s="21">
        <f t="shared" si="6"/>
        <v>1.9137720786676957E-5</v>
      </c>
      <c r="AA15" s="21">
        <f t="shared" si="6"/>
        <v>1.9214756722450756E-5</v>
      </c>
      <c r="AB15" s="21">
        <f t="shared" si="6"/>
        <v>1.9351080133298304E-5</v>
      </c>
      <c r="AC15" s="21">
        <f t="shared" si="6"/>
        <v>1.9395802116253361E-5</v>
      </c>
      <c r="AD15" s="21">
        <f t="shared" si="6"/>
        <v>1.9357912346122273E-5</v>
      </c>
      <c r="AE15" s="21">
        <f t="shared" si="6"/>
        <v>1.9342130939015604E-5</v>
      </c>
      <c r="AF15" s="21">
        <f t="shared" si="6"/>
        <v>1.9296429927099814E-5</v>
      </c>
    </row>
    <row r="16" spans="1:32" s="113" customFormat="1">
      <c r="A16" s="113" t="s">
        <v>729</v>
      </c>
      <c r="B16" s="21">
        <f>B38*'Tax-diesel'!$J$9</f>
        <v>6.7129837070997621E-6</v>
      </c>
      <c r="C16" s="21">
        <f>C38*'Tax-diesel'!$J$9</f>
        <v>7.9059993224886051E-6</v>
      </c>
      <c r="D16" s="21">
        <f>D38*'Tax-diesel'!$J$9</f>
        <v>7.6040919224882212E-6</v>
      </c>
      <c r="E16" s="21">
        <f>E38*'Tax-diesel'!$J$9</f>
        <v>7.3349924263292742E-6</v>
      </c>
      <c r="F16" s="21">
        <f>F38*'Tax-diesel'!$J$9</f>
        <v>7.5956332180120302E-6</v>
      </c>
      <c r="G16" s="21">
        <f>G38*'Tax-diesel'!$J$9</f>
        <v>7.5869991379522947E-6</v>
      </c>
      <c r="H16" s="21">
        <f>H38*'Tax-diesel'!$J$9</f>
        <v>7.5788681791008599E-6</v>
      </c>
      <c r="I16" s="21">
        <f>I38*'Tax-diesel'!$J$9</f>
        <v>7.5985752601207378E-6</v>
      </c>
      <c r="J16" s="21">
        <f>J38*'Tax-diesel'!$J$9</f>
        <v>7.6582559712966882E-6</v>
      </c>
      <c r="K16" s="21">
        <f>K38*'Tax-diesel'!$J$9</f>
        <v>7.7030854379522222E-6</v>
      </c>
      <c r="L16" s="21">
        <f>L38*'Tax-diesel'!$J$9</f>
        <v>7.6908411548153015E-6</v>
      </c>
      <c r="M16" s="21">
        <f>M38*'Tax-diesel'!$J$9</f>
        <v>7.8953144150251246E-6</v>
      </c>
      <c r="N16" s="21">
        <f>N38*'Tax-diesel'!$J$9</f>
        <v>7.9275868565335417E-6</v>
      </c>
      <c r="O16" s="21">
        <f>O38*'Tax-diesel'!$J$9</f>
        <v>7.9713030549886006E-6</v>
      </c>
      <c r="P16" s="21">
        <f>P38*'Tax-diesel'!$J$9</f>
        <v>7.9845795868073622E-6</v>
      </c>
      <c r="Q16" s="21">
        <f>Q38*'Tax-diesel'!$J$9</f>
        <v>8.0177002326589962E-6</v>
      </c>
      <c r="R16" s="21">
        <f>R38*'Tax-diesel'!$J$9</f>
        <v>8.0783251713113618E-6</v>
      </c>
      <c r="S16" s="21">
        <f>S38*'Tax-diesel'!$J$9</f>
        <v>8.1451132614119857E-6</v>
      </c>
      <c r="T16" s="21">
        <f>T38*'Tax-diesel'!$J$9</f>
        <v>8.1897653520020342E-6</v>
      </c>
      <c r="U16" s="21">
        <f>U38*'Tax-diesel'!$J$9</f>
        <v>8.2192321175874245E-6</v>
      </c>
      <c r="V16" s="21">
        <f>V38*'Tax-diesel'!$J$9</f>
        <v>8.2871528138806261E-6</v>
      </c>
      <c r="W16" s="21">
        <f>W38*'Tax-diesel'!$J$9</f>
        <v>8.325445705792141E-6</v>
      </c>
      <c r="X16" s="21">
        <f>X38*'Tax-diesel'!$J$9</f>
        <v>8.3294806778682508E-6</v>
      </c>
      <c r="Y16" s="21">
        <f>Y38*'Tax-diesel'!$J$9</f>
        <v>8.4164066194335013E-6</v>
      </c>
      <c r="Z16" s="21">
        <f>Z38*'Tax-diesel'!$J$9</f>
        <v>8.5117966000934522E-6</v>
      </c>
      <c r="AA16" s="21">
        <f>AA38*'Tax-diesel'!$J$9</f>
        <v>8.5460595211337129E-6</v>
      </c>
      <c r="AB16" s="21">
        <f>AB38*'Tax-diesel'!$J$9</f>
        <v>8.6066914614728726E-6</v>
      </c>
      <c r="AC16" s="21">
        <f>AC38*'Tax-diesel'!$J$9</f>
        <v>8.6265822534177164E-6</v>
      </c>
      <c r="AD16" s="21">
        <f>AD38*'Tax-diesel'!$J$9</f>
        <v>8.6097301935420889E-6</v>
      </c>
      <c r="AE16" s="21">
        <f>AE38*'Tax-diesel'!$J$9</f>
        <v>8.6027111692364984E-6</v>
      </c>
      <c r="AF16" s="21">
        <f>AF38*'Tax-diesel'!$J$9</f>
        <v>8.5823849390557135E-6</v>
      </c>
    </row>
    <row r="17" spans="1:33" s="113" customFormat="1"/>
    <row r="18" spans="1:33" s="32" customFormat="1">
      <c r="A18" s="82" t="s">
        <v>1217</v>
      </c>
    </row>
    <row r="19" spans="1:33" s="113" customFormat="1">
      <c r="A19" s="82">
        <f>'Sales taxes'!$B$1</f>
        <v>8.4919999999999995E-2</v>
      </c>
    </row>
    <row r="20" spans="1:33" s="113" customFormat="1"/>
    <row r="21" spans="1:33" s="113" customFormat="1">
      <c r="A21" s="33" t="s">
        <v>1218</v>
      </c>
    </row>
    <row r="22" spans="1:33" s="32" customFormat="1">
      <c r="A22" s="32" t="s">
        <v>580</v>
      </c>
      <c r="B22" s="21">
        <f>B27*(1+'AFDC regional alternative fuels'!$B$14)</f>
        <v>2.4425064750091713E-5</v>
      </c>
      <c r="C22" s="21">
        <f>C27*(1+'AFDC regional alternative fuels'!$B$14)</f>
        <v>3.0539318862837E-5</v>
      </c>
      <c r="D22" s="21">
        <f>D27*(1+'AFDC regional alternative fuels'!$B$14)</f>
        <v>3.7545038609971808E-5</v>
      </c>
      <c r="E22" s="21">
        <f>E27*(1+'AFDC regional alternative fuels'!$B$14)</f>
        <v>3.3174862080699833E-5</v>
      </c>
      <c r="F22" s="21">
        <f>F27*(1+'AFDC regional alternative fuels'!$B$14)</f>
        <v>3.0796418062266908E-5</v>
      </c>
      <c r="G22" s="21">
        <f>G27*(1+'AFDC regional alternative fuels'!$B$14)</f>
        <v>2.8417974043833979E-5</v>
      </c>
      <c r="H22" s="21">
        <f>H27*(1+'AFDC regional alternative fuels'!$B$14)</f>
        <v>2.6039530025401053E-5</v>
      </c>
      <c r="I22" s="21">
        <f>I27*(1+'AFDC regional alternative fuels'!$B$14)</f>
        <v>2.6350755141417065E-5</v>
      </c>
      <c r="J22" s="21">
        <f>J27*(1+'AFDC regional alternative fuels'!$B$14)</f>
        <v>2.6635593531027063E-5</v>
      </c>
      <c r="K22" s="21">
        <f>K27*(1+'AFDC regional alternative fuels'!$B$14)</f>
        <v>2.6835492185715835E-5</v>
      </c>
      <c r="L22" s="21">
        <f>L27*(1+'AFDC regional alternative fuels'!$B$14)</f>
        <v>2.7498652185388421E-5</v>
      </c>
      <c r="M22" s="21">
        <f>M27*(1+'AFDC regional alternative fuels'!$B$14)</f>
        <v>2.8379379193230435E-5</v>
      </c>
      <c r="N22" s="21">
        <f>N27*(1+'AFDC regional alternative fuels'!$B$14)</f>
        <v>2.8667474269717952E-5</v>
      </c>
      <c r="O22" s="21">
        <f>O27*(1+'AFDC regional alternative fuels'!$B$14)</f>
        <v>2.8904942990656298E-5</v>
      </c>
      <c r="P22" s="21">
        <f>P27*(1+'AFDC regional alternative fuels'!$B$14)</f>
        <v>2.9129006829178619E-5</v>
      </c>
      <c r="Q22" s="21">
        <f>Q27*(1+'AFDC regional alternative fuels'!$B$14)</f>
        <v>2.9238648226831205E-5</v>
      </c>
      <c r="R22" s="21">
        <f>R27*(1+'AFDC regional alternative fuels'!$B$14)</f>
        <v>2.9446500712932385E-5</v>
      </c>
      <c r="S22" s="21">
        <f>S27*(1+'AFDC regional alternative fuels'!$B$14)</f>
        <v>2.9631057725483703E-5</v>
      </c>
      <c r="T22" s="21">
        <f>T27*(1+'AFDC regional alternative fuels'!$B$14)</f>
        <v>2.9956044588733234E-5</v>
      </c>
      <c r="U22" s="21">
        <f>U27*(1+'AFDC regional alternative fuels'!$B$14)</f>
        <v>2.997190971138112E-5</v>
      </c>
      <c r="V22" s="21">
        <f>V27*(1+'AFDC regional alternative fuels'!$B$14)</f>
        <v>3.0207277420248263E-5</v>
      </c>
      <c r="W22" s="21">
        <f>W27*(1+'AFDC regional alternative fuels'!$B$14)</f>
        <v>3.0398647951136223E-5</v>
      </c>
      <c r="X22" s="21">
        <f>X27*(1+'AFDC regional alternative fuels'!$B$14)</f>
        <v>3.0447081124230866E-5</v>
      </c>
      <c r="Y22" s="21">
        <f>Y27*(1+'AFDC regional alternative fuels'!$B$14)</f>
        <v>3.0749234547518756E-5</v>
      </c>
      <c r="Z22" s="21">
        <f>Z27*(1+'AFDC regional alternative fuels'!$B$14)</f>
        <v>3.1040015563510124E-5</v>
      </c>
      <c r="AA22" s="21">
        <f>AA27*(1+'AFDC regional alternative fuels'!$B$14)</f>
        <v>3.1139505220609456E-5</v>
      </c>
      <c r="AB22" s="21">
        <f>AB27*(1+'AFDC regional alternative fuels'!$B$14)</f>
        <v>3.1388872192697926E-5</v>
      </c>
      <c r="AC22" s="21">
        <f>AC27*(1+'AFDC regional alternative fuels'!$B$14)</f>
        <v>3.1485554198120562E-5</v>
      </c>
      <c r="AD22" s="21">
        <f>AD27*(1+'AFDC regional alternative fuels'!$B$14)</f>
        <v>3.1400939422884139E-5</v>
      </c>
      <c r="AE22" s="21">
        <f>AE27*(1+'AFDC regional alternative fuels'!$B$14)</f>
        <v>3.1419516481810653E-5</v>
      </c>
      <c r="AF22" s="21">
        <f>AF27*(1+'AFDC regional alternative fuels'!$B$14)</f>
        <v>3.1413365881231019E-5</v>
      </c>
    </row>
    <row r="23" spans="1:33" s="32" customFormat="1">
      <c r="A23" s="32" t="s">
        <v>575</v>
      </c>
      <c r="B23" s="21">
        <f>B28*(1+'AFDC regional alternative fuels'!$B$12)</f>
        <v>2.6199471657943595E-5</v>
      </c>
      <c r="C23" s="21">
        <f>C28*(1+'AFDC regional alternative fuels'!$B$12)</f>
        <v>3.0855579905280299E-5</v>
      </c>
      <c r="D23" s="21">
        <f>D28*(1+'AFDC regional alternative fuels'!$B$12)</f>
        <v>3.894899851443532E-5</v>
      </c>
      <c r="E23" s="21">
        <f>E28*(1+'AFDC regional alternative fuels'!$B$12)</f>
        <v>3.5662879254522968E-5</v>
      </c>
      <c r="F23" s="21">
        <f>F28*(1+'AFDC regional alternative fuels'!$B$12)</f>
        <v>3.3634869698303327E-5</v>
      </c>
      <c r="G23" s="21">
        <f>G28*(1+'AFDC regional alternative fuels'!$B$12)</f>
        <v>3.1606860142083679E-5</v>
      </c>
      <c r="H23" s="21">
        <f>H28*(1+'AFDC regional alternative fuels'!$B$12)</f>
        <v>2.9578850585864038E-5</v>
      </c>
      <c r="I23" s="21">
        <f>I28*(1+'AFDC regional alternative fuels'!$B$12)</f>
        <v>2.9655763495706951E-5</v>
      </c>
      <c r="J23" s="21">
        <f>J28*(1+'AFDC regional alternative fuels'!$B$12)</f>
        <v>2.9888685720637505E-5</v>
      </c>
      <c r="K23" s="21">
        <f>K28*(1+'AFDC regional alternative fuels'!$B$12)</f>
        <v>3.0063646422514407E-5</v>
      </c>
      <c r="L23" s="21">
        <f>L28*(1+'AFDC regional alternative fuels'!$B$12)</f>
        <v>3.0015859363433909E-5</v>
      </c>
      <c r="M23" s="21">
        <f>M28*(1+'AFDC regional alternative fuels'!$B$12)</f>
        <v>3.0813878786601713E-5</v>
      </c>
      <c r="N23" s="21">
        <f>N28*(1+'AFDC regional alternative fuels'!$B$12)</f>
        <v>3.0939831858070982E-5</v>
      </c>
      <c r="O23" s="21">
        <f>O28*(1+'AFDC regional alternative fuels'!$B$12)</f>
        <v>3.1110447690372951E-5</v>
      </c>
      <c r="P23" s="21">
        <f>P28*(1+'AFDC regional alternative fuels'!$B$12)</f>
        <v>3.1162263415582225E-5</v>
      </c>
      <c r="Q23" s="21">
        <f>Q28*(1+'AFDC regional alternative fuels'!$B$12)</f>
        <v>3.1291526863870493E-5</v>
      </c>
      <c r="R23" s="21">
        <f>R28*(1+'AFDC regional alternative fuels'!$B$12)</f>
        <v>3.1528134225259935E-5</v>
      </c>
      <c r="S23" s="21">
        <f>S28*(1+'AFDC regional alternative fuels'!$B$12)</f>
        <v>3.1788795169785819E-5</v>
      </c>
      <c r="T23" s="21">
        <f>T28*(1+'AFDC regional alternative fuels'!$B$12)</f>
        <v>3.1963063607327927E-5</v>
      </c>
      <c r="U23" s="21">
        <f>U28*(1+'AFDC regional alternative fuels'!$B$12)</f>
        <v>3.2078066670569273E-5</v>
      </c>
      <c r="V23" s="21">
        <f>V28*(1+'AFDC regional alternative fuels'!$B$12)</f>
        <v>3.2343147957097575E-5</v>
      </c>
      <c r="W23" s="21">
        <f>W28*(1+'AFDC regional alternative fuels'!$B$12)</f>
        <v>3.2492597677238464E-5</v>
      </c>
      <c r="X23" s="21">
        <f>X28*(1+'AFDC regional alternative fuels'!$B$12)</f>
        <v>3.2508345389606185E-5</v>
      </c>
      <c r="Y23" s="21">
        <f>Y28*(1+'AFDC regional alternative fuels'!$B$12)</f>
        <v>3.2847600457359472E-5</v>
      </c>
      <c r="Z23" s="21">
        <f>Z28*(1+'AFDC regional alternative fuels'!$B$12)</f>
        <v>3.3219889025870229E-5</v>
      </c>
      <c r="AA23" s="21">
        <f>AA28*(1+'AFDC regional alternative fuels'!$B$12)</f>
        <v>3.3353610552374647E-5</v>
      </c>
      <c r="AB23" s="21">
        <f>AB28*(1+'AFDC regional alternative fuels'!$B$12)</f>
        <v>3.3590245239987831E-5</v>
      </c>
      <c r="AC23" s="21">
        <f>AC28*(1+'AFDC regional alternative fuels'!$B$12)</f>
        <v>3.3667875137891775E-5</v>
      </c>
      <c r="AD23" s="21">
        <f>AD28*(1+'AFDC regional alternative fuels'!$B$12)</f>
        <v>3.3602104821091735E-5</v>
      </c>
      <c r="AE23" s="21">
        <f>AE28*(1+'AFDC regional alternative fuels'!$B$12)</f>
        <v>3.3574710932415044E-5</v>
      </c>
      <c r="AF23" s="21">
        <f>AF28*(1+'AFDC regional alternative fuels'!$B$12)</f>
        <v>3.3495381603644121E-5</v>
      </c>
    </row>
    <row r="24" spans="1:33" s="113" customFormat="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spans="1:33" s="32" customFormat="1">
      <c r="A25" s="32" t="s">
        <v>1252</v>
      </c>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row>
    <row r="26" spans="1:33" s="113" customFormat="1">
      <c r="A26" s="113" t="str">
        <f t="shared" ref="A26:AF26" si="7">A36</f>
        <v>2012 $s per Btu</v>
      </c>
      <c r="B26" s="111">
        <f t="shared" si="7"/>
        <v>2020</v>
      </c>
      <c r="C26" s="111">
        <f t="shared" si="7"/>
        <v>2021</v>
      </c>
      <c r="D26" s="111">
        <f t="shared" si="7"/>
        <v>2022</v>
      </c>
      <c r="E26" s="111">
        <f t="shared" si="7"/>
        <v>2023</v>
      </c>
      <c r="F26" s="111">
        <f t="shared" si="7"/>
        <v>2024</v>
      </c>
      <c r="G26" s="111">
        <f t="shared" si="7"/>
        <v>2025</v>
      </c>
      <c r="H26" s="111">
        <f t="shared" si="7"/>
        <v>2026</v>
      </c>
      <c r="I26" s="111">
        <f t="shared" si="7"/>
        <v>2027</v>
      </c>
      <c r="J26" s="111">
        <f t="shared" si="7"/>
        <v>2028</v>
      </c>
      <c r="K26" s="111">
        <f t="shared" si="7"/>
        <v>2029</v>
      </c>
      <c r="L26" s="111">
        <f t="shared" si="7"/>
        <v>2030</v>
      </c>
      <c r="M26" s="111">
        <f t="shared" si="7"/>
        <v>2031</v>
      </c>
      <c r="N26" s="111">
        <f t="shared" si="7"/>
        <v>2032</v>
      </c>
      <c r="O26" s="111">
        <f t="shared" si="7"/>
        <v>2033</v>
      </c>
      <c r="P26" s="111">
        <f t="shared" si="7"/>
        <v>2034</v>
      </c>
      <c r="Q26" s="111">
        <f t="shared" si="7"/>
        <v>2035</v>
      </c>
      <c r="R26" s="111">
        <f t="shared" si="7"/>
        <v>2036</v>
      </c>
      <c r="S26" s="111">
        <f t="shared" si="7"/>
        <v>2037</v>
      </c>
      <c r="T26" s="111">
        <f t="shared" si="7"/>
        <v>2038</v>
      </c>
      <c r="U26" s="111">
        <f t="shared" si="7"/>
        <v>2039</v>
      </c>
      <c r="V26" s="111">
        <f t="shared" si="7"/>
        <v>2040</v>
      </c>
      <c r="W26" s="111">
        <f t="shared" si="7"/>
        <v>2041</v>
      </c>
      <c r="X26" s="111">
        <f t="shared" si="7"/>
        <v>2042</v>
      </c>
      <c r="Y26" s="111">
        <f t="shared" si="7"/>
        <v>2043</v>
      </c>
      <c r="Z26" s="111">
        <f t="shared" si="7"/>
        <v>2044</v>
      </c>
      <c r="AA26" s="111">
        <f t="shared" si="7"/>
        <v>2045</v>
      </c>
      <c r="AB26" s="111">
        <f t="shared" si="7"/>
        <v>2046</v>
      </c>
      <c r="AC26" s="111">
        <f t="shared" si="7"/>
        <v>2047</v>
      </c>
      <c r="AD26" s="111">
        <f t="shared" si="7"/>
        <v>2048</v>
      </c>
      <c r="AE26" s="111">
        <f t="shared" si="7"/>
        <v>2049</v>
      </c>
      <c r="AF26" s="111">
        <f t="shared" si="7"/>
        <v>2050</v>
      </c>
      <c r="AG26" s="21"/>
    </row>
    <row r="27" spans="1:33" s="113" customFormat="1">
      <c r="A27" s="113" t="str">
        <f>A32</f>
        <v xml:space="preserve">Gasoline   </v>
      </c>
      <c r="B27" s="113">
        <f t="shared" ref="B27:E27" si="8">B32</f>
        <v>2.3098522138007802E-5</v>
      </c>
      <c r="C27" s="113">
        <f t="shared" si="8"/>
        <v>2.8880706767840645E-5</v>
      </c>
      <c r="D27" s="113">
        <f t="shared" si="8"/>
        <v>3.5505940900383288E-5</v>
      </c>
      <c r="E27" s="113">
        <f t="shared" si="8"/>
        <v>3.1373111761905292E-5</v>
      </c>
      <c r="F27" s="21">
        <f>E27-$G$32</f>
        <v>2.9123842727170025E-5</v>
      </c>
      <c r="G27" s="21">
        <f>F27-$G$32</f>
        <v>2.6874573692434758E-5</v>
      </c>
      <c r="H27" s="21">
        <f>H37</f>
        <v>2.4625304657699491E-5</v>
      </c>
      <c r="I27" s="21">
        <f t="shared" ref="I27:AF27" si="9">I37</f>
        <v>2.4919626916647562E-5</v>
      </c>
      <c r="J27" s="21">
        <f t="shared" si="9"/>
        <v>2.5188995531039316E-5</v>
      </c>
      <c r="K27" s="21">
        <f t="shared" si="9"/>
        <v>2.5378037547833529E-5</v>
      </c>
      <c r="L27" s="21">
        <f t="shared" si="9"/>
        <v>2.6005180856979555E-5</v>
      </c>
      <c r="M27" s="21">
        <f t="shared" si="9"/>
        <v>2.6838074955575702E-5</v>
      </c>
      <c r="N27" s="21">
        <f t="shared" si="9"/>
        <v>2.7110523383867912E-5</v>
      </c>
      <c r="O27" s="21">
        <f t="shared" si="9"/>
        <v>2.7335095009933228E-5</v>
      </c>
      <c r="P27" s="21">
        <f t="shared" si="9"/>
        <v>2.7546989782266039E-5</v>
      </c>
      <c r="Q27" s="21">
        <f t="shared" si="9"/>
        <v>2.7650676477750066E-5</v>
      </c>
      <c r="R27" s="21">
        <f t="shared" si="9"/>
        <v>2.7847240347724249E-5</v>
      </c>
      <c r="S27" s="21">
        <f t="shared" si="9"/>
        <v>2.8021773937860391E-5</v>
      </c>
      <c r="T27" s="21">
        <f t="shared" si="9"/>
        <v>2.8329110533776799E-5</v>
      </c>
      <c r="U27" s="21">
        <f t="shared" si="9"/>
        <v>2.8344114010347029E-5</v>
      </c>
      <c r="V27" s="21">
        <f t="shared" si="9"/>
        <v>2.856669873179877E-5</v>
      </c>
      <c r="W27" s="21">
        <f t="shared" si="9"/>
        <v>2.8747675793252055E-5</v>
      </c>
      <c r="X27" s="21">
        <f t="shared" si="9"/>
        <v>2.8793478526321019E-5</v>
      </c>
      <c r="Y27" s="21">
        <f t="shared" si="9"/>
        <v>2.9079221782615314E-5</v>
      </c>
      <c r="Z27" s="21">
        <f t="shared" si="9"/>
        <v>2.9354210275129493E-5</v>
      </c>
      <c r="AA27" s="21">
        <f t="shared" si="9"/>
        <v>2.9448296578298991E-5</v>
      </c>
      <c r="AB27" s="21">
        <f t="shared" si="9"/>
        <v>2.9684120253044907E-5</v>
      </c>
      <c r="AC27" s="21">
        <f t="shared" si="9"/>
        <v>2.9775551390094125E-5</v>
      </c>
      <c r="AD27" s="21">
        <f t="shared" si="9"/>
        <v>2.9695532103390141E-5</v>
      </c>
      <c r="AE27" s="21">
        <f t="shared" si="9"/>
        <v>2.9713100229053818E-5</v>
      </c>
      <c r="AF27" s="21">
        <f t="shared" si="9"/>
        <v>2.9707283671959524E-5</v>
      </c>
      <c r="AG27" s="21"/>
    </row>
    <row r="28" spans="1:33" s="113" customFormat="1">
      <c r="A28" s="113" t="str">
        <f>A33</f>
        <v xml:space="preserve">Diesel   </v>
      </c>
      <c r="B28" s="113">
        <f t="shared" ref="B28:E28" si="10">B33</f>
        <v>2.180629641978563E-5</v>
      </c>
      <c r="C28" s="113">
        <f t="shared" si="10"/>
        <v>2.568165993587579E-5</v>
      </c>
      <c r="D28" s="113">
        <f t="shared" si="10"/>
        <v>3.2417959337056007E-5</v>
      </c>
      <c r="E28" s="113">
        <f t="shared" si="10"/>
        <v>2.9682862553885235E-5</v>
      </c>
      <c r="F28" s="21">
        <f>E28-$G$33</f>
        <v>2.7994913342448557E-5</v>
      </c>
      <c r="G28" s="21">
        <f>F28-$G$33</f>
        <v>2.6306964131011879E-5</v>
      </c>
      <c r="H28" s="21">
        <f>H38</f>
        <v>2.4619014919575205E-5</v>
      </c>
      <c r="I28" s="21">
        <f t="shared" ref="I28:AF28" si="11">I38</f>
        <v>2.4683030932281104E-5</v>
      </c>
      <c r="J28" s="21">
        <f t="shared" si="11"/>
        <v>2.4876896333305389E-5</v>
      </c>
      <c r="K28" s="21">
        <f t="shared" si="11"/>
        <v>2.5022519305277984E-5</v>
      </c>
      <c r="L28" s="21">
        <f t="shared" si="11"/>
        <v>2.4982745267505616E-5</v>
      </c>
      <c r="M28" s="21">
        <f t="shared" si="11"/>
        <v>2.5646951336908059E-5</v>
      </c>
      <c r="N28" s="21">
        <f t="shared" si="11"/>
        <v>2.5751784367409597E-5</v>
      </c>
      <c r="O28" s="21">
        <f t="shared" si="11"/>
        <v>2.5893791025469706E-5</v>
      </c>
      <c r="P28" s="21">
        <f t="shared" si="11"/>
        <v>2.5936918195279521E-5</v>
      </c>
      <c r="Q28" s="21">
        <f t="shared" si="11"/>
        <v>2.6044506512571523E-5</v>
      </c>
      <c r="R28" s="21">
        <f t="shared" si="11"/>
        <v>2.6241439119645575E-5</v>
      </c>
      <c r="S28" s="21">
        <f t="shared" si="11"/>
        <v>2.6458391961122792E-5</v>
      </c>
      <c r="T28" s="21">
        <f t="shared" si="11"/>
        <v>2.6603438748908071E-5</v>
      </c>
      <c r="U28" s="21">
        <f t="shared" si="11"/>
        <v>2.6699157888552008E-5</v>
      </c>
      <c r="V28" s="21">
        <f t="shared" si="11"/>
        <v>2.6919789861014767E-5</v>
      </c>
      <c r="W28" s="21">
        <f t="shared" si="11"/>
        <v>2.7044179579242472E-5</v>
      </c>
      <c r="X28" s="21">
        <f t="shared" si="11"/>
        <v>2.705728668645087E-5</v>
      </c>
      <c r="Y28" s="21">
        <f t="shared" si="11"/>
        <v>2.7339654845088894E-5</v>
      </c>
      <c r="Z28" s="21">
        <f t="shared" si="11"/>
        <v>2.7649517386770409E-5</v>
      </c>
      <c r="AA28" s="21">
        <f t="shared" si="11"/>
        <v>2.7760816243584471E-5</v>
      </c>
      <c r="AB28" s="21">
        <f t="shared" si="11"/>
        <v>2.7957771594771176E-5</v>
      </c>
      <c r="AC28" s="21">
        <f t="shared" si="11"/>
        <v>2.8022384369671078E-5</v>
      </c>
      <c r="AD28" s="21">
        <f t="shared" si="11"/>
        <v>2.7967642539664363E-5</v>
      </c>
      <c r="AE28" s="21">
        <f t="shared" si="11"/>
        <v>2.79448421082521E-5</v>
      </c>
      <c r="AF28" s="21">
        <f t="shared" si="11"/>
        <v>2.7878814866155529E-5</v>
      </c>
      <c r="AG28" s="21"/>
    </row>
    <row r="29" spans="1:33" s="113" customFormat="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row>
    <row r="30" spans="1:33" s="113" customFormat="1">
      <c r="A30" s="33" t="s">
        <v>1251</v>
      </c>
      <c r="B30" s="21"/>
      <c r="E30" s="21"/>
      <c r="F30" s="21"/>
      <c r="G30" s="21" t="s">
        <v>1257</v>
      </c>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row>
    <row r="31" spans="1:33" s="113" customFormat="1">
      <c r="A31" s="113" t="s">
        <v>574</v>
      </c>
      <c r="B31" s="111">
        <f>B36</f>
        <v>2020</v>
      </c>
      <c r="C31" s="111">
        <f>C36</f>
        <v>2021</v>
      </c>
      <c r="D31" s="111">
        <f>D36</f>
        <v>2022</v>
      </c>
      <c r="E31" s="111">
        <f t="shared" ref="E31" si="12">E36</f>
        <v>2023</v>
      </c>
      <c r="F31" s="111"/>
      <c r="G31" s="111" t="s">
        <v>1253</v>
      </c>
      <c r="H31" s="111"/>
      <c r="I31" s="111"/>
      <c r="J31" s="111"/>
      <c r="K31" s="21"/>
      <c r="L31" s="21"/>
      <c r="M31" s="21"/>
      <c r="N31" s="21"/>
      <c r="O31" s="21"/>
      <c r="P31" s="21"/>
      <c r="Q31" s="21"/>
      <c r="R31" s="21"/>
      <c r="S31" s="21"/>
      <c r="T31" s="21"/>
      <c r="U31" s="21"/>
      <c r="V31" s="21"/>
      <c r="W31" s="21"/>
      <c r="X31" s="21"/>
      <c r="Y31" s="21"/>
      <c r="Z31" s="21"/>
      <c r="AA31" s="21"/>
      <c r="AB31" s="21"/>
      <c r="AC31" s="21"/>
      <c r="AD31" s="21"/>
      <c r="AE31" s="21"/>
      <c r="AF31" s="21"/>
      <c r="AG31" s="21"/>
    </row>
    <row r="32" spans="1:33" s="113" customFormat="1">
      <c r="A32" s="113" t="s">
        <v>1210</v>
      </c>
      <c r="B32" s="21">
        <f t="shared" ref="B32:B33" si="13">B37</f>
        <v>2.3098522138007802E-5</v>
      </c>
      <c r="C32" s="21">
        <f>C37</f>
        <v>2.8880706767840645E-5</v>
      </c>
      <c r="D32" s="21">
        <f>C32*(1+'EIA SEO'!B9/100)</f>
        <v>3.5505940900383288E-5</v>
      </c>
      <c r="E32" s="21">
        <f>C32*(1+'EIA SEO'!B8/100)</f>
        <v>3.1373111761905292E-5</v>
      </c>
      <c r="F32" s="21"/>
      <c r="G32" s="21">
        <f>(E32-H27)/3</f>
        <v>2.2492690347352669E-6</v>
      </c>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row>
    <row r="33" spans="1:37" s="113" customFormat="1">
      <c r="A33" s="113" t="s">
        <v>1211</v>
      </c>
      <c r="B33" s="21">
        <f t="shared" si="13"/>
        <v>2.180629641978563E-5</v>
      </c>
      <c r="C33" s="21">
        <f>C38</f>
        <v>2.568165993587579E-5</v>
      </c>
      <c r="D33" s="21">
        <f>C33*(1+'EIA SEO'!C19/100)</f>
        <v>3.2417959337056007E-5</v>
      </c>
      <c r="E33" s="21">
        <f>C33*(1+'EIA SEO'!C18/100)</f>
        <v>2.9682862553885235E-5</v>
      </c>
      <c r="F33" s="21"/>
      <c r="G33" s="21">
        <f>(E33-H28)/3</f>
        <v>1.6879492114366769E-6</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row>
    <row r="34" spans="1:37" s="113" customFormat="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row>
    <row r="35" spans="1:37" s="32" customFormat="1">
      <c r="A35" s="33" t="s">
        <v>1250</v>
      </c>
    </row>
    <row r="36" spans="1:37">
      <c r="A36" s="32" t="s">
        <v>574</v>
      </c>
      <c r="B36">
        <v>2020</v>
      </c>
      <c r="C36">
        <v>2021</v>
      </c>
      <c r="D36">
        <v>2022</v>
      </c>
      <c r="E36">
        <f>D36+1</f>
        <v>2023</v>
      </c>
      <c r="F36" s="32">
        <f t="shared" ref="F36:AF36" si="14">E36+1</f>
        <v>2024</v>
      </c>
      <c r="G36" s="32">
        <f t="shared" si="14"/>
        <v>2025</v>
      </c>
      <c r="H36" s="32">
        <f t="shared" si="14"/>
        <v>2026</v>
      </c>
      <c r="I36" s="32">
        <f t="shared" si="14"/>
        <v>2027</v>
      </c>
      <c r="J36" s="32">
        <f t="shared" si="14"/>
        <v>2028</v>
      </c>
      <c r="K36" s="32">
        <f t="shared" si="14"/>
        <v>2029</v>
      </c>
      <c r="L36" s="32">
        <f t="shared" si="14"/>
        <v>2030</v>
      </c>
      <c r="M36" s="32">
        <f t="shared" si="14"/>
        <v>2031</v>
      </c>
      <c r="N36" s="32">
        <f t="shared" si="14"/>
        <v>2032</v>
      </c>
      <c r="O36" s="32">
        <f t="shared" si="14"/>
        <v>2033</v>
      </c>
      <c r="P36" s="32">
        <f t="shared" si="14"/>
        <v>2034</v>
      </c>
      <c r="Q36" s="32">
        <f t="shared" si="14"/>
        <v>2035</v>
      </c>
      <c r="R36" s="32">
        <f t="shared" si="14"/>
        <v>2036</v>
      </c>
      <c r="S36" s="32">
        <f t="shared" si="14"/>
        <v>2037</v>
      </c>
      <c r="T36" s="32">
        <f t="shared" si="14"/>
        <v>2038</v>
      </c>
      <c r="U36" s="32">
        <f t="shared" si="14"/>
        <v>2039</v>
      </c>
      <c r="V36" s="32">
        <f t="shared" si="14"/>
        <v>2040</v>
      </c>
      <c r="W36" s="32">
        <f t="shared" si="14"/>
        <v>2041</v>
      </c>
      <c r="X36" s="32">
        <f t="shared" si="14"/>
        <v>2042</v>
      </c>
      <c r="Y36" s="32">
        <f t="shared" si="14"/>
        <v>2043</v>
      </c>
      <c r="Z36" s="32">
        <f t="shared" si="14"/>
        <v>2044</v>
      </c>
      <c r="AA36" s="32">
        <f t="shared" si="14"/>
        <v>2045</v>
      </c>
      <c r="AB36" s="32">
        <f t="shared" si="14"/>
        <v>2046</v>
      </c>
      <c r="AC36" s="32">
        <f t="shared" si="14"/>
        <v>2047</v>
      </c>
      <c r="AD36" s="32">
        <f t="shared" si="14"/>
        <v>2048</v>
      </c>
      <c r="AE36" s="32">
        <f t="shared" si="14"/>
        <v>2049</v>
      </c>
      <c r="AF36" s="32">
        <f t="shared" si="14"/>
        <v>2050</v>
      </c>
      <c r="AG36" s="32"/>
      <c r="AH36" s="32"/>
      <c r="AI36" s="32"/>
      <c r="AJ36" s="32"/>
      <c r="AK36" s="32"/>
    </row>
    <row r="37" spans="1:37" s="32" customFormat="1">
      <c r="A37" s="113" t="s">
        <v>1210</v>
      </c>
      <c r="B37" s="21">
        <f>B40/About!$B$127</f>
        <v>2.3098522138007802E-5</v>
      </c>
      <c r="C37" s="21">
        <f>C40/About!$B$127</f>
        <v>2.8880706767840645E-5</v>
      </c>
      <c r="D37" s="21">
        <f>D40/About!$B$127</f>
        <v>2.7693168075627804E-5</v>
      </c>
      <c r="E37" s="21">
        <f>E40/About!$B$127</f>
        <v>2.4780037368843541E-5</v>
      </c>
      <c r="F37" s="21">
        <f>F40/About!$B$127</f>
        <v>2.4616683190267694E-5</v>
      </c>
      <c r="G37" s="21">
        <f>G40/About!$B$127</f>
        <v>2.4368092144762447E-5</v>
      </c>
      <c r="H37" s="21">
        <f>H40/About!$B$127</f>
        <v>2.4625304657699491E-5</v>
      </c>
      <c r="I37" s="21">
        <f>I40/About!$B$127</f>
        <v>2.4919626916647562E-5</v>
      </c>
      <c r="J37" s="21">
        <f>J40/About!$B$127</f>
        <v>2.5188995531039316E-5</v>
      </c>
      <c r="K37" s="21">
        <f>K40/About!$B$127</f>
        <v>2.5378037547833529E-5</v>
      </c>
      <c r="L37" s="21">
        <f>L40/About!$B$127</f>
        <v>2.6005180856979555E-5</v>
      </c>
      <c r="M37" s="21">
        <f>M40/About!$B$127</f>
        <v>2.6838074955575702E-5</v>
      </c>
      <c r="N37" s="21">
        <f>N40/About!$B$127</f>
        <v>2.7110523383867912E-5</v>
      </c>
      <c r="O37" s="21">
        <f>O40/About!$B$127</f>
        <v>2.7335095009933228E-5</v>
      </c>
      <c r="P37" s="21">
        <f>P40/About!$B$127</f>
        <v>2.7546989782266039E-5</v>
      </c>
      <c r="Q37" s="21">
        <f>Q40/About!$B$127</f>
        <v>2.7650676477750066E-5</v>
      </c>
      <c r="R37" s="21">
        <f>R40/About!$B$127</f>
        <v>2.7847240347724249E-5</v>
      </c>
      <c r="S37" s="21">
        <f>S40/About!$B$127</f>
        <v>2.8021773937860391E-5</v>
      </c>
      <c r="T37" s="21">
        <f>T40/About!$B$127</f>
        <v>2.8329110533776799E-5</v>
      </c>
      <c r="U37" s="21">
        <f>U40/About!$B$127</f>
        <v>2.8344114010347029E-5</v>
      </c>
      <c r="V37" s="21">
        <f>V40/About!$B$127</f>
        <v>2.856669873179877E-5</v>
      </c>
      <c r="W37" s="21">
        <f>W40/About!$B$127</f>
        <v>2.8747675793252055E-5</v>
      </c>
      <c r="X37" s="21">
        <f>X40/About!$B$127</f>
        <v>2.8793478526321019E-5</v>
      </c>
      <c r="Y37" s="21">
        <f>Y40/About!$B$127</f>
        <v>2.9079221782615314E-5</v>
      </c>
      <c r="Z37" s="21">
        <f>Z40/About!$B$127</f>
        <v>2.9354210275129493E-5</v>
      </c>
      <c r="AA37" s="21">
        <f>AA40/About!$B$127</f>
        <v>2.9448296578298991E-5</v>
      </c>
      <c r="AB37" s="21">
        <f>AB40/About!$B$127</f>
        <v>2.9684120253044907E-5</v>
      </c>
      <c r="AC37" s="21">
        <f>AC40/About!$B$127</f>
        <v>2.9775551390094125E-5</v>
      </c>
      <c r="AD37" s="21">
        <f>AD40/About!$B$127</f>
        <v>2.9695532103390141E-5</v>
      </c>
      <c r="AE37" s="21">
        <f>AE40/About!$B$127</f>
        <v>2.9713100229053818E-5</v>
      </c>
      <c r="AF37" s="21">
        <f>AF40/About!$B$127</f>
        <v>2.9707283671959524E-5</v>
      </c>
    </row>
    <row r="38" spans="1:37" s="32" customFormat="1">
      <c r="A38" s="113" t="s">
        <v>1211</v>
      </c>
      <c r="B38" s="21">
        <f>B41/About!$B$128</f>
        <v>2.180629641978563E-5</v>
      </c>
      <c r="C38" s="21">
        <f>C41/About!$B$128</f>
        <v>2.568165993587579E-5</v>
      </c>
      <c r="D38" s="21">
        <f>D41/About!$B$128</f>
        <v>2.4700951126948936E-5</v>
      </c>
      <c r="E38" s="21">
        <f>E41/About!$B$128</f>
        <v>2.38268147316154E-5</v>
      </c>
      <c r="F38" s="21">
        <f>F41/About!$B$128</f>
        <v>2.4673474072753184E-5</v>
      </c>
      <c r="G38" s="21">
        <f>G41/About!$B$128</f>
        <v>2.4645427332688013E-5</v>
      </c>
      <c r="H38" s="21">
        <f>H41/About!$B$128</f>
        <v>2.4619014919575205E-5</v>
      </c>
      <c r="I38" s="21">
        <f>I41/About!$B$128</f>
        <v>2.4683030932281104E-5</v>
      </c>
      <c r="J38" s="21">
        <f>J41/About!$B$128</f>
        <v>2.4876896333305389E-5</v>
      </c>
      <c r="K38" s="21">
        <f>K41/About!$B$128</f>
        <v>2.5022519305277984E-5</v>
      </c>
      <c r="L38" s="21">
        <f>L41/About!$B$128</f>
        <v>2.4982745267505616E-5</v>
      </c>
      <c r="M38" s="21">
        <f>M41/About!$B$128</f>
        <v>2.5646951336908059E-5</v>
      </c>
      <c r="N38" s="21">
        <f>N41/About!$B$128</f>
        <v>2.5751784367409597E-5</v>
      </c>
      <c r="O38" s="21">
        <f>O41/About!$B$128</f>
        <v>2.5893791025469706E-5</v>
      </c>
      <c r="P38" s="21">
        <f>P41/About!$B$128</f>
        <v>2.5936918195279521E-5</v>
      </c>
      <c r="Q38" s="21">
        <f>Q41/About!$B$128</f>
        <v>2.6044506512571523E-5</v>
      </c>
      <c r="R38" s="21">
        <f>R41/About!$B$128</f>
        <v>2.6241439119645575E-5</v>
      </c>
      <c r="S38" s="21">
        <f>S41/About!$B$128</f>
        <v>2.6458391961122792E-5</v>
      </c>
      <c r="T38" s="21">
        <f>T41/About!$B$128</f>
        <v>2.6603438748908071E-5</v>
      </c>
      <c r="U38" s="21">
        <f>U41/About!$B$128</f>
        <v>2.6699157888552008E-5</v>
      </c>
      <c r="V38" s="21">
        <f>V41/About!$B$128</f>
        <v>2.6919789861014767E-5</v>
      </c>
      <c r="W38" s="21">
        <f>W41/About!$B$128</f>
        <v>2.7044179579242472E-5</v>
      </c>
      <c r="X38" s="21">
        <f>X41/About!$B$128</f>
        <v>2.705728668645087E-5</v>
      </c>
      <c r="Y38" s="21">
        <f>Y41/About!$B$128</f>
        <v>2.7339654845088894E-5</v>
      </c>
      <c r="Z38" s="21">
        <f>Z41/About!$B$128</f>
        <v>2.7649517386770409E-5</v>
      </c>
      <c r="AA38" s="21">
        <f>AA41/About!$B$128</f>
        <v>2.7760816243584471E-5</v>
      </c>
      <c r="AB38" s="21">
        <f>AB41/About!$B$128</f>
        <v>2.7957771594771176E-5</v>
      </c>
      <c r="AC38" s="21">
        <f>AC41/About!$B$128</f>
        <v>2.8022384369671078E-5</v>
      </c>
      <c r="AD38" s="21">
        <f>AD41/About!$B$128</f>
        <v>2.7967642539664363E-5</v>
      </c>
      <c r="AE38" s="21">
        <f>AE41/About!$B$128</f>
        <v>2.79448421082521E-5</v>
      </c>
      <c r="AF38" s="21">
        <f>AF41/About!$B$128</f>
        <v>2.7878814866155529E-5</v>
      </c>
    </row>
    <row r="39" spans="1:37" s="32" customFormat="1">
      <c r="A39" s="32" t="s">
        <v>655</v>
      </c>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spans="1:37" s="32" customFormat="1">
      <c r="A40" s="32" t="s">
        <v>1210</v>
      </c>
      <c r="B40" s="47">
        <f>B44*About!C185</f>
        <v>2.7784288338924066</v>
      </c>
      <c r="C40" s="47">
        <f>C44*About!$C$186</f>
        <v>3.4739446942764798</v>
      </c>
      <c r="D40" s="47">
        <f>C40*(1+D45)</f>
        <v>3.3311004151449661</v>
      </c>
      <c r="E40" s="47">
        <f t="shared" ref="E40:AF40" si="15">D40*(1+E45)</f>
        <v>2.9806915749487142</v>
      </c>
      <c r="F40" s="47">
        <f t="shared" si="15"/>
        <v>2.9610423542245399</v>
      </c>
      <c r="G40" s="47">
        <f t="shared" si="15"/>
        <v>2.9311403317248956</v>
      </c>
      <c r="H40" s="47">
        <f t="shared" si="15"/>
        <v>2.962079396056041</v>
      </c>
      <c r="I40" s="47">
        <f t="shared" si="15"/>
        <v>2.9974822432958685</v>
      </c>
      <c r="J40" s="47">
        <f t="shared" si="15"/>
        <v>3.0298835164465951</v>
      </c>
      <c r="K40" s="47">
        <f t="shared" si="15"/>
        <v>3.0526226244787038</v>
      </c>
      <c r="L40" s="47">
        <f t="shared" si="15"/>
        <v>3.1280591845626429</v>
      </c>
      <c r="M40" s="47">
        <f t="shared" si="15"/>
        <v>3.2282446841063788</v>
      </c>
      <c r="N40" s="47">
        <f t="shared" si="15"/>
        <v>3.2610164157519357</v>
      </c>
      <c r="O40" s="47">
        <f t="shared" si="15"/>
        <v>3.2880292383648282</v>
      </c>
      <c r="P40" s="47">
        <f t="shared" si="15"/>
        <v>3.3135172129496526</v>
      </c>
      <c r="Q40" s="47">
        <f t="shared" si="15"/>
        <v>3.3259892708026446</v>
      </c>
      <c r="R40" s="47">
        <f t="shared" si="15"/>
        <v>3.349633152466359</v>
      </c>
      <c r="S40" s="47">
        <f t="shared" si="15"/>
        <v>3.3706270998894752</v>
      </c>
      <c r="T40" s="47">
        <f t="shared" si="15"/>
        <v>3.4075953896658762</v>
      </c>
      <c r="U40" s="47">
        <f t="shared" si="15"/>
        <v>3.4094000978486028</v>
      </c>
      <c r="V40" s="47">
        <f t="shared" si="15"/>
        <v>3.436173923653147</v>
      </c>
      <c r="W40" s="47">
        <f t="shared" si="15"/>
        <v>3.4579429304671168</v>
      </c>
      <c r="X40" s="47">
        <f t="shared" si="15"/>
        <v>3.46345235801705</v>
      </c>
      <c r="Y40" s="47">
        <f t="shared" si="15"/>
        <v>3.4978232713436657</v>
      </c>
      <c r="Z40" s="47">
        <f t="shared" si="15"/>
        <v>3.5309005371542264</v>
      </c>
      <c r="AA40" s="47">
        <f t="shared" si="15"/>
        <v>3.5422178022172726</v>
      </c>
      <c r="AB40" s="47">
        <f t="shared" si="15"/>
        <v>3.5705840887577596</v>
      </c>
      <c r="AC40" s="47">
        <f t="shared" si="15"/>
        <v>3.581581974508862</v>
      </c>
      <c r="AD40" s="47">
        <f t="shared" si="15"/>
        <v>3.5719567745883865</v>
      </c>
      <c r="AE40" s="47">
        <f t="shared" si="15"/>
        <v>3.5740699741519677</v>
      </c>
      <c r="AF40" s="47">
        <f t="shared" si="15"/>
        <v>3.5733703237653232</v>
      </c>
    </row>
    <row r="41" spans="1:37" s="32" customFormat="1">
      <c r="A41" s="32" t="s">
        <v>1211</v>
      </c>
      <c r="B41" s="47">
        <f>B48*About!C185</f>
        <v>2.9957708084465695</v>
      </c>
      <c r="C41" s="47">
        <f>C48*About!$C$186</f>
        <v>3.5281721236505517</v>
      </c>
      <c r="D41" s="47">
        <f>C41*(1+D49)</f>
        <v>3.3934413667713716</v>
      </c>
      <c r="E41" s="47">
        <f t="shared" ref="E41:AF41" si="16">D41*(1+E49)</f>
        <v>3.2733516346440554</v>
      </c>
      <c r="F41" s="47">
        <f t="shared" si="16"/>
        <v>3.3896665415889049</v>
      </c>
      <c r="G41" s="47">
        <f t="shared" si="16"/>
        <v>3.385813452392012</v>
      </c>
      <c r="H41" s="47">
        <f t="shared" si="16"/>
        <v>3.3821848886661612</v>
      </c>
      <c r="I41" s="47">
        <f t="shared" si="16"/>
        <v>3.3909794725077105</v>
      </c>
      <c r="J41" s="47">
        <f t="shared" si="16"/>
        <v>3.4176128951658278</v>
      </c>
      <c r="K41" s="47">
        <f t="shared" si="16"/>
        <v>3.4376187246783947</v>
      </c>
      <c r="L41" s="47">
        <f t="shared" si="16"/>
        <v>3.432154527595189</v>
      </c>
      <c r="M41" s="47">
        <f t="shared" si="16"/>
        <v>3.5234038216157662</v>
      </c>
      <c r="N41" s="47">
        <f t="shared" si="16"/>
        <v>3.5378058881790979</v>
      </c>
      <c r="O41" s="47">
        <f t="shared" si="16"/>
        <v>3.5573149048700539</v>
      </c>
      <c r="P41" s="47">
        <f t="shared" si="16"/>
        <v>3.5632397585856959</v>
      </c>
      <c r="Q41" s="47">
        <f t="shared" si="16"/>
        <v>3.5780203492035882</v>
      </c>
      <c r="R41" s="47">
        <f t="shared" si="16"/>
        <v>3.6050751476960285</v>
      </c>
      <c r="S41" s="47">
        <f t="shared" si="16"/>
        <v>3.6348803460110104</v>
      </c>
      <c r="T41" s="47">
        <f t="shared" si="16"/>
        <v>3.6548070187637398</v>
      </c>
      <c r="U41" s="47">
        <f t="shared" si="16"/>
        <v>3.6679570098871634</v>
      </c>
      <c r="V41" s="47">
        <f t="shared" si="16"/>
        <v>3.6982676508960699</v>
      </c>
      <c r="W41" s="47">
        <f t="shared" si="16"/>
        <v>3.7153564347759098</v>
      </c>
      <c r="X41" s="47">
        <f t="shared" si="16"/>
        <v>3.7171571022713068</v>
      </c>
      <c r="Y41" s="47">
        <f t="shared" si="16"/>
        <v>3.7559491222731571</v>
      </c>
      <c r="Z41" s="47">
        <f t="shared" si="16"/>
        <v>3.7985183481119056</v>
      </c>
      <c r="AA41" s="47">
        <f t="shared" si="16"/>
        <v>3.8138086963598781</v>
      </c>
      <c r="AB41" s="47">
        <f t="shared" si="16"/>
        <v>3.8408666194612588</v>
      </c>
      <c r="AC41" s="47">
        <f t="shared" si="16"/>
        <v>3.8497431870897825</v>
      </c>
      <c r="AD41" s="47">
        <f t="shared" si="16"/>
        <v>3.84222269974163</v>
      </c>
      <c r="AE41" s="47">
        <f t="shared" si="16"/>
        <v>3.8390903536737819</v>
      </c>
      <c r="AF41" s="47">
        <f t="shared" si="16"/>
        <v>3.8300194651273127</v>
      </c>
    </row>
    <row r="42" spans="1:37" s="32" customFormat="1"/>
    <row r="43" spans="1:37" s="32" customFormat="1">
      <c r="A43" s="37" t="s">
        <v>1209</v>
      </c>
      <c r="B43" s="37"/>
      <c r="C43" s="37"/>
      <c r="D43" s="37"/>
    </row>
    <row r="44" spans="1:37">
      <c r="A44" s="32" t="s">
        <v>381</v>
      </c>
      <c r="B44" s="39">
        <f>'EIA gasoline 2022'!$B$29</f>
        <v>3.1320000000000001</v>
      </c>
      <c r="C44" s="47">
        <f>'EIA gasoline 2022'!B30</f>
        <v>4.0999999999999996</v>
      </c>
    </row>
    <row r="45" spans="1:37">
      <c r="A45" s="32" t="s">
        <v>1212</v>
      </c>
      <c r="D45">
        <f>'AEO 2022 Pacific region Table 3'!G25</f>
        <v>-4.1118754529068234E-2</v>
      </c>
      <c r="E45">
        <f>'AEO 2022 Pacific region Table 3'!H25</f>
        <v>-0.10519311834705004</v>
      </c>
      <c r="F45" s="32">
        <f>'AEO 2022 Pacific region Table 3'!I25</f>
        <v>-6.5921683710305932E-3</v>
      </c>
      <c r="G45" s="32">
        <f>'AEO 2022 Pacific region Table 3'!J25</f>
        <v>-1.0098478482410921E-2</v>
      </c>
      <c r="H45" s="32">
        <f>'AEO 2022 Pacific region Table 3'!K25</f>
        <v>1.0555299586403074E-2</v>
      </c>
      <c r="I45" s="32">
        <f>'AEO 2022 Pacific region Table 3'!L25</f>
        <v>1.1952025083110968E-2</v>
      </c>
      <c r="J45" s="32">
        <f>'AEO 2022 Pacific region Table 3'!M25</f>
        <v>1.080949627748252E-2</v>
      </c>
      <c r="K45" s="32">
        <f>'AEO 2022 Pacific region Table 3'!N25</f>
        <v>7.5049446319234089E-3</v>
      </c>
      <c r="L45" s="32">
        <f>'AEO 2022 Pacific region Table 3'!O25</f>
        <v>2.4712049068568259E-2</v>
      </c>
      <c r="M45" s="32">
        <f>'AEO 2022 Pacific region Table 3'!P25</f>
        <v>3.2028006387527376E-2</v>
      </c>
      <c r="N45" s="32">
        <f>'AEO 2022 Pacific region Table 3'!Q25</f>
        <v>1.0151563729633615E-2</v>
      </c>
      <c r="O45" s="32">
        <f>'AEO 2022 Pacific region Table 3'!R25</f>
        <v>8.283559224789707E-3</v>
      </c>
      <c r="P45" s="32">
        <f>'AEO 2022 Pacific region Table 3'!S25</f>
        <v>7.7517481558344748E-3</v>
      </c>
      <c r="Q45" s="32">
        <f>'AEO 2022 Pacific region Table 3'!T25</f>
        <v>3.7639936814721909E-3</v>
      </c>
      <c r="R45" s="32">
        <f>'AEO 2022 Pacific region Table 3'!U25</f>
        <v>7.1088267996752231E-3</v>
      </c>
      <c r="S45" s="32">
        <f>'AEO 2022 Pacific region Table 3'!V25</f>
        <v>6.2675363144344748E-3</v>
      </c>
      <c r="T45" s="32">
        <f>'AEO 2022 Pacific region Table 3'!W25</f>
        <v>1.0967778007129213E-2</v>
      </c>
      <c r="U45" s="32">
        <f>'AEO 2022 Pacific region Table 3'!X25</f>
        <v>5.2961340075742883E-4</v>
      </c>
      <c r="V45" s="32">
        <f>'AEO 2022 Pacific region Table 3'!Y25</f>
        <v>7.852943343739309E-3</v>
      </c>
      <c r="W45" s="32">
        <f>'AEO 2022 Pacific region Table 3'!Z25</f>
        <v>6.3352459152667805E-3</v>
      </c>
      <c r="X45" s="32">
        <f>'AEO 2022 Pacific region Table 3'!AA25</f>
        <v>1.5932673444061013E-3</v>
      </c>
      <c r="Y45" s="32">
        <f>'AEO 2022 Pacific region Table 3'!AB25</f>
        <v>9.9238880093313626E-3</v>
      </c>
      <c r="Z45" s="32">
        <f>'AEO 2022 Pacific region Table 3'!AC25</f>
        <v>9.4565286021023737E-3</v>
      </c>
      <c r="AA45" s="32">
        <f>'AEO 2022 Pacific region Table 3'!AD25</f>
        <v>3.205206418011336E-3</v>
      </c>
      <c r="AB45" s="32">
        <f>'AEO 2022 Pacific region Table 3'!AE25</f>
        <v>8.008058263026873E-3</v>
      </c>
      <c r="AC45" s="32">
        <f>'AEO 2022 Pacific region Table 3'!AF25</f>
        <v>3.0801363243987013E-3</v>
      </c>
      <c r="AD45" s="32">
        <f>'AEO 2022 Pacific region Table 3'!AG25</f>
        <v>-2.6874157813449213E-3</v>
      </c>
      <c r="AE45" s="32">
        <f>'AEO 2022 Pacific region Table 3'!AH25</f>
        <v>5.9160838076621389E-4</v>
      </c>
      <c r="AF45" s="32">
        <f>'AEO 2022 Pacific region Table 3'!AI25</f>
        <v>-1.957573275578262E-4</v>
      </c>
    </row>
    <row r="46" spans="1:37" s="32" customFormat="1"/>
    <row r="47" spans="1:37">
      <c r="A47" s="37" t="s">
        <v>383</v>
      </c>
      <c r="B47" s="37"/>
      <c r="C47" s="37"/>
      <c r="D47" s="37"/>
    </row>
    <row r="48" spans="1:37">
      <c r="A48" s="32" t="s">
        <v>381</v>
      </c>
      <c r="B48" s="39">
        <f>'EIA gasoline 2022'!K29</f>
        <v>3.3769999999999998</v>
      </c>
      <c r="C48" s="39">
        <f>'EIA gasoline 2022'!K30</f>
        <v>4.1639999999999997</v>
      </c>
    </row>
    <row r="49" spans="1:32">
      <c r="A49" s="113" t="s">
        <v>1212</v>
      </c>
      <c r="D49">
        <f>'AEO 2022 Pacific region Table 3'!G27</f>
        <v>-3.8187126976043324E-2</v>
      </c>
      <c r="E49" s="113">
        <f>'AEO 2022 Pacific region Table 3'!H27</f>
        <v>-3.5388774741546107E-2</v>
      </c>
      <c r="F49" s="113">
        <f>'AEO 2022 Pacific region Table 3'!I27</f>
        <v>3.5533886953607867E-2</v>
      </c>
      <c r="G49" s="113">
        <f>'AEO 2022 Pacific region Table 3'!J27</f>
        <v>-1.1367162963135061E-3</v>
      </c>
      <c r="H49" s="113">
        <f>'AEO 2022 Pacific region Table 3'!K27</f>
        <v>-1.071696293039165E-3</v>
      </c>
      <c r="I49" s="113">
        <f>'AEO 2022 Pacific region Table 3'!L27</f>
        <v>2.6002670259156488E-3</v>
      </c>
      <c r="J49" s="113">
        <f>'AEO 2022 Pacific region Table 3'!M27</f>
        <v>7.8541975479495939E-3</v>
      </c>
      <c r="K49" s="113">
        <f>'AEO 2022 Pacific region Table 3'!N27</f>
        <v>5.8537435708018691E-3</v>
      </c>
      <c r="L49" s="113">
        <f>'AEO 2022 Pacific region Table 3'!O27</f>
        <v>-1.5895297067061254E-3</v>
      </c>
      <c r="M49" s="113">
        <f>'AEO 2022 Pacific region Table 3'!P27</f>
        <v>2.6586592557798654E-2</v>
      </c>
      <c r="N49" s="113">
        <f>'AEO 2022 Pacific region Table 3'!Q27</f>
        <v>4.0875435495007564E-3</v>
      </c>
      <c r="O49" s="113">
        <f>'AEO 2022 Pacific region Table 3'!R27</f>
        <v>5.5144395446176482E-3</v>
      </c>
      <c r="P49" s="113">
        <f>'AEO 2022 Pacific region Table 3'!S27</f>
        <v>1.6655409695472379E-3</v>
      </c>
      <c r="Q49" s="113">
        <f>'AEO 2022 Pacific region Table 3'!T27</f>
        <v>4.1480763628880535E-3</v>
      </c>
      <c r="R49" s="113">
        <f>'AEO 2022 Pacific region Table 3'!U27</f>
        <v>7.5613875417064403E-3</v>
      </c>
      <c r="S49" s="113">
        <f>'AEO 2022 Pacific region Table 3'!V27</f>
        <v>8.2675664428327449E-3</v>
      </c>
      <c r="T49" s="113">
        <f>'AEO 2022 Pacific region Table 3'!W27</f>
        <v>5.4820711704023986E-3</v>
      </c>
      <c r="U49" s="113">
        <f>'AEO 2022 Pacific region Table 3'!X27</f>
        <v>3.5979987605124397E-3</v>
      </c>
      <c r="V49" s="113">
        <f>'AEO 2022 Pacific region Table 3'!Y27</f>
        <v>8.2636303880340399E-3</v>
      </c>
      <c r="W49" s="113">
        <f>'AEO 2022 Pacific region Table 3'!Z27</f>
        <v>4.6207536860399454E-3</v>
      </c>
      <c r="X49" s="113">
        <f>'AEO 2022 Pacific region Table 3'!AA27</f>
        <v>4.8465538287049281E-4</v>
      </c>
      <c r="Y49" s="113">
        <f>'AEO 2022 Pacific region Table 3'!AB27</f>
        <v>1.043593771652729E-2</v>
      </c>
      <c r="Z49" s="113">
        <f>'AEO 2022 Pacific region Table 3'!AC27</f>
        <v>1.1333813226145332E-2</v>
      </c>
      <c r="AA49" s="113">
        <f>'AEO 2022 Pacific region Table 3'!AD27</f>
        <v>4.0253453706687418E-3</v>
      </c>
      <c r="AB49" s="113">
        <f>'AEO 2022 Pacific region Table 3'!AE27</f>
        <v>7.0947247897374241E-3</v>
      </c>
      <c r="AC49" s="113">
        <f>'AEO 2022 Pacific region Table 3'!AF27</f>
        <v>2.3110845827206752E-3</v>
      </c>
      <c r="AD49" s="113">
        <f>'AEO 2022 Pacific region Table 3'!AG27</f>
        <v>-1.9535036449633177E-3</v>
      </c>
      <c r="AE49" s="113">
        <f>'AEO 2022 Pacific region Table 3'!AH27</f>
        <v>-8.1524323617645188E-4</v>
      </c>
      <c r="AF49" s="113">
        <f>'AEO 2022 Pacific region Table 3'!AI27</f>
        <v>-2.3627702686885139E-3</v>
      </c>
    </row>
    <row r="50" spans="1:32" s="32" customFormat="1"/>
    <row r="51" spans="1:32">
      <c r="E51" s="33"/>
      <c r="F51" s="33"/>
      <c r="G51" s="33"/>
    </row>
    <row r="52" spans="1:32">
      <c r="D52" s="82"/>
      <c r="E52" s="82"/>
      <c r="F52" s="82"/>
      <c r="G52" s="82"/>
      <c r="H52" s="33"/>
    </row>
    <row r="54" spans="1:32">
      <c r="A54" s="33"/>
      <c r="B54" s="47"/>
      <c r="C54" s="47"/>
      <c r="E54" s="21"/>
      <c r="F54" s="21"/>
      <c r="G54" s="21"/>
    </row>
    <row r="55" spans="1:32">
      <c r="A55" s="82"/>
      <c r="B55" s="47"/>
      <c r="C55" s="47"/>
      <c r="E55" s="21"/>
      <c r="F55" s="21"/>
      <c r="G55" s="21"/>
    </row>
    <row r="56" spans="1:32">
      <c r="A56" s="82"/>
      <c r="B56" s="47"/>
      <c r="C56" s="47"/>
      <c r="D56" s="32"/>
      <c r="E56" s="21"/>
      <c r="F56" s="21"/>
      <c r="G56" s="21"/>
    </row>
    <row r="57" spans="1:32">
      <c r="A57" s="82"/>
      <c r="B57" s="47"/>
      <c r="C57" s="47"/>
      <c r="D57" s="32"/>
      <c r="E57" s="21"/>
      <c r="F57" s="21"/>
      <c r="G57" s="21"/>
    </row>
    <row r="58" spans="1:32">
      <c r="A58" s="82"/>
      <c r="B58" s="47"/>
      <c r="C58" s="47"/>
      <c r="D58" s="32"/>
      <c r="E58" s="21"/>
      <c r="F58" s="21"/>
      <c r="G58" s="21"/>
    </row>
    <row r="59" spans="1:32">
      <c r="A59" s="82"/>
    </row>
    <row r="61" spans="1: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row>
    <row r="62" spans="1: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row>
    <row r="63" spans="1: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row>
    <row r="64" spans="1: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row>
    <row r="65" spans="2: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row>
    <row r="66" spans="2: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row>
  </sheetData>
  <phoneticPr fontId="33" type="noConversion"/>
  <pageMargins left="0.7" right="0.7" top="0.75" bottom="0.75" header="0.3" footer="0.3"/>
  <pageSetup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
  <sheetViews>
    <sheetView workbookViewId="0"/>
  </sheetViews>
  <sheetFormatPr defaultColWidth="8.81640625" defaultRowHeight="1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BEB0A-5B37-41E5-BEC9-58E23FA60B56}">
  <dimension ref="A1:AH2839"/>
  <sheetViews>
    <sheetView workbookViewId="0">
      <selection activeCell="C10" sqref="C10:AG10"/>
    </sheetView>
  </sheetViews>
  <sheetFormatPr defaultColWidth="9.1796875" defaultRowHeight="15" customHeight="1"/>
  <cols>
    <col min="1" max="1" width="30.26953125" style="16" customWidth="1"/>
    <col min="2" max="2" width="49" style="16" customWidth="1"/>
    <col min="3" max="3" width="9.81640625" style="16" bestFit="1" customWidth="1"/>
    <col min="4" max="16384" width="9.1796875" style="16"/>
  </cols>
  <sheetData>
    <row r="1" spans="1:34" ht="15" customHeight="1" thickBot="1">
      <c r="B1" s="121" t="s">
        <v>773</v>
      </c>
      <c r="C1" s="122">
        <v>2020</v>
      </c>
      <c r="D1" s="122">
        <v>2021</v>
      </c>
      <c r="E1" s="122">
        <v>2022</v>
      </c>
      <c r="F1" s="122">
        <v>2023</v>
      </c>
      <c r="G1" s="122">
        <v>2024</v>
      </c>
      <c r="H1" s="122">
        <v>2025</v>
      </c>
      <c r="I1" s="122">
        <v>2026</v>
      </c>
      <c r="J1" s="122">
        <v>2027</v>
      </c>
      <c r="K1" s="122">
        <v>2028</v>
      </c>
      <c r="L1" s="122">
        <v>2029</v>
      </c>
      <c r="M1" s="122">
        <v>2030</v>
      </c>
      <c r="N1" s="122">
        <v>2031</v>
      </c>
      <c r="O1" s="122">
        <v>2032</v>
      </c>
      <c r="P1" s="122">
        <v>2033</v>
      </c>
      <c r="Q1" s="122">
        <v>2034</v>
      </c>
      <c r="R1" s="122">
        <v>2035</v>
      </c>
      <c r="S1" s="122">
        <v>2036</v>
      </c>
      <c r="T1" s="122">
        <v>2037</v>
      </c>
      <c r="U1" s="122">
        <v>2038</v>
      </c>
      <c r="V1" s="122">
        <v>2039</v>
      </c>
      <c r="W1" s="122">
        <v>2040</v>
      </c>
      <c r="X1" s="122">
        <v>2041</v>
      </c>
      <c r="Y1" s="122">
        <v>2042</v>
      </c>
      <c r="Z1" s="122">
        <v>2043</v>
      </c>
      <c r="AA1" s="122">
        <v>2044</v>
      </c>
      <c r="AB1" s="122">
        <v>2045</v>
      </c>
      <c r="AC1" s="122">
        <v>2046</v>
      </c>
      <c r="AD1" s="122">
        <v>2047</v>
      </c>
      <c r="AE1" s="122">
        <v>2048</v>
      </c>
      <c r="AF1" s="122">
        <v>2049</v>
      </c>
      <c r="AG1" s="122">
        <v>2050</v>
      </c>
    </row>
    <row r="2" spans="1:34" ht="15" customHeight="1" thickTop="1"/>
    <row r="3" spans="1:34" ht="15" customHeight="1">
      <c r="C3" s="123" t="s">
        <v>76</v>
      </c>
      <c r="D3" s="123" t="s">
        <v>774</v>
      </c>
      <c r="E3" s="124"/>
      <c r="F3" s="124"/>
      <c r="G3" s="124"/>
      <c r="H3" s="124"/>
    </row>
    <row r="4" spans="1:34" ht="15" customHeight="1">
      <c r="C4" s="123" t="s">
        <v>77</v>
      </c>
      <c r="D4" s="123" t="s">
        <v>775</v>
      </c>
      <c r="E4" s="124"/>
      <c r="F4" s="124"/>
      <c r="G4" s="123" t="s">
        <v>78</v>
      </c>
      <c r="H4" s="124"/>
    </row>
    <row r="5" spans="1:34" ht="15" customHeight="1">
      <c r="C5" s="123" t="s">
        <v>79</v>
      </c>
      <c r="D5" s="123" t="s">
        <v>776</v>
      </c>
      <c r="E5" s="124"/>
      <c r="F5" s="124"/>
      <c r="G5" s="124"/>
      <c r="H5" s="124"/>
    </row>
    <row r="6" spans="1:34" ht="15" customHeight="1">
      <c r="C6" s="123" t="s">
        <v>80</v>
      </c>
      <c r="D6" s="124"/>
      <c r="E6" s="123" t="s">
        <v>777</v>
      </c>
      <c r="F6" s="124"/>
      <c r="G6" s="124"/>
      <c r="H6" s="124"/>
    </row>
    <row r="7" spans="1:34" ht="15" customHeight="1">
      <c r="B7" s="137"/>
      <c r="C7" s="124"/>
      <c r="D7" s="124"/>
      <c r="E7" s="124"/>
      <c r="F7" s="124"/>
      <c r="G7" s="124"/>
      <c r="H7" s="124"/>
    </row>
    <row r="8" spans="1:34" ht="12">
      <c r="B8" s="136" t="s">
        <v>914</v>
      </c>
      <c r="C8" s="16">
        <f>C55/1000000*About!$C$185</f>
        <v>6.086666432939846E-7</v>
      </c>
      <c r="D8" s="16">
        <f>D55/1000000*About!$C$185</f>
        <v>6.0955907605480689E-7</v>
      </c>
      <c r="E8" s="16">
        <f>E55/1000000*About!$C$185</f>
        <v>6.1045150881562939E-7</v>
      </c>
      <c r="F8" s="16">
        <f>F55/1000000*About!$C$185</f>
        <v>6.1223637433727408E-7</v>
      </c>
      <c r="G8" s="16">
        <f>G55/1000000*About!$C$185</f>
        <v>6.1312880709809658E-7</v>
      </c>
      <c r="H8" s="16">
        <f>H55/1000000*About!$C$185</f>
        <v>6.1491367261974137E-7</v>
      </c>
      <c r="I8" s="16">
        <f>I55/1000000*About!$C$185</f>
        <v>6.1580610538056376E-7</v>
      </c>
      <c r="J8" s="16">
        <f>J55/1000000*About!$C$185</f>
        <v>6.1759097090220855E-7</v>
      </c>
      <c r="K8" s="16">
        <f>K55/1000000*About!$C$185</f>
        <v>6.1848340366303095E-7</v>
      </c>
      <c r="L8" s="16">
        <f>L55/1000000*About!$C$185</f>
        <v>6.2026826918467574E-7</v>
      </c>
      <c r="M8" s="16">
        <f>M55/1000000*About!$C$185</f>
        <v>6.2205313470632053E-7</v>
      </c>
      <c r="N8" s="16">
        <f>N55/1000000*About!$C$185</f>
        <v>6.2294556746714292E-7</v>
      </c>
      <c r="O8" s="16">
        <f>O55/1000000*About!$C$185</f>
        <v>6.2473043298878782E-7</v>
      </c>
      <c r="P8" s="16">
        <f>P55/1000000*About!$C$185</f>
        <v>6.265152985104325E-7</v>
      </c>
      <c r="Q8" s="16">
        <f>Q55/1000000*About!$C$185</f>
        <v>6.2740861838135524E-7</v>
      </c>
      <c r="R8" s="16">
        <f>R55/1000000*About!$C$185</f>
        <v>6.2919348390299993E-7</v>
      </c>
      <c r="S8" s="16">
        <f>S55/1000000*About!$C$185</f>
        <v>6.3097834942464482E-7</v>
      </c>
      <c r="T8" s="16">
        <f>T55/1000000*About!$C$185</f>
        <v>6.3187078218546722E-7</v>
      </c>
      <c r="U8" s="16">
        <f>U55/1000000*About!$C$185</f>
        <v>6.3365564770711201E-7</v>
      </c>
      <c r="V8" s="16">
        <f>V55/1000000*About!$C$185</f>
        <v>6.354405132287568E-7</v>
      </c>
      <c r="W8" s="16">
        <f>W55/1000000*About!$C$185</f>
        <v>6.3722537875040159E-7</v>
      </c>
      <c r="X8" s="16">
        <f>X55/1000000*About!$C$185</f>
        <v>6.3901024427204638E-7</v>
      </c>
      <c r="Y8" s="16">
        <f>Y55/1000000*About!$C$185</f>
        <v>6.4079510979369117E-7</v>
      </c>
      <c r="Z8" s="16">
        <f>Z55/1000000*About!$C$185</f>
        <v>6.4257997531533596E-7</v>
      </c>
      <c r="AA8" s="16">
        <f>AA55/1000000*About!$C$185</f>
        <v>6.4436484083698085E-7</v>
      </c>
      <c r="AB8" s="16">
        <f>AB55/1000000*About!$C$185</f>
        <v>6.4614970635862564E-7</v>
      </c>
      <c r="AC8" s="16">
        <f>AC55/1000000*About!$C$185</f>
        <v>6.4793545899037057E-7</v>
      </c>
      <c r="AD8" s="16">
        <f>AD55/1000000*About!$C$185</f>
        <v>6.4972032451201546E-7</v>
      </c>
      <c r="AE8" s="16">
        <f>AE55/1000000*About!$C$185</f>
        <v>6.5150519003366015E-7</v>
      </c>
      <c r="AF8" s="16">
        <f>AF55/1000000*About!$C$185</f>
        <v>6.5329005555530504E-7</v>
      </c>
      <c r="AG8" s="16">
        <f>AG55/1000000*About!$C$185</f>
        <v>6.5507492107694994E-7</v>
      </c>
    </row>
    <row r="9" spans="1:34" ht="12">
      <c r="B9" s="136" t="s">
        <v>915</v>
      </c>
      <c r="C9" s="16">
        <f>C8*(1-'Sales taxes'!$B$1)</f>
        <v>5.5697867194545939E-7</v>
      </c>
      <c r="D9" s="16">
        <f>D8*(1-'Sales taxes'!$B$1)</f>
        <v>5.577953193162327E-7</v>
      </c>
      <c r="E9" s="16">
        <f>E8*(1-'Sales taxes'!$B$1)</f>
        <v>5.5861196668700612E-7</v>
      </c>
      <c r="F9" s="16">
        <f>F8*(1-'Sales taxes'!$B$1)</f>
        <v>5.6024526142855274E-7</v>
      </c>
      <c r="G9" s="16">
        <f>G8*(1-'Sales taxes'!$B$1)</f>
        <v>5.6106190879932626E-7</v>
      </c>
      <c r="H9" s="16">
        <f>H8*(1-'Sales taxes'!$B$1)</f>
        <v>5.6269520354087299E-7</v>
      </c>
      <c r="I9" s="16">
        <f>I8*(1-'Sales taxes'!$B$1)</f>
        <v>5.635118509116463E-7</v>
      </c>
      <c r="J9" s="16">
        <f>J8*(1-'Sales taxes'!$B$1)</f>
        <v>5.6514514565319302E-7</v>
      </c>
      <c r="K9" s="16">
        <f>K8*(1-'Sales taxes'!$B$1)</f>
        <v>5.6596179302396633E-7</v>
      </c>
      <c r="L9" s="16">
        <f>L8*(1-'Sales taxes'!$B$1)</f>
        <v>5.6759508776551306E-7</v>
      </c>
      <c r="M9" s="16">
        <f>M8*(1-'Sales taxes'!$B$1)</f>
        <v>5.6922838250705979E-7</v>
      </c>
      <c r="N9" s="16">
        <f>N8*(1-'Sales taxes'!$B$1)</f>
        <v>5.700450298778331E-7</v>
      </c>
      <c r="O9" s="16">
        <f>O8*(1-'Sales taxes'!$B$1)</f>
        <v>5.7167832461937993E-7</v>
      </c>
      <c r="P9" s="16">
        <f>P8*(1-'Sales taxes'!$B$1)</f>
        <v>5.7331161936092655E-7</v>
      </c>
      <c r="Q9" s="16">
        <f>Q8*(1-'Sales taxes'!$B$1)</f>
        <v>5.7412907850841052E-7</v>
      </c>
      <c r="R9" s="16">
        <f>R8*(1-'Sales taxes'!$B$1)</f>
        <v>5.7576237324995714E-7</v>
      </c>
      <c r="S9" s="16">
        <f>S8*(1-'Sales taxes'!$B$1)</f>
        <v>5.7739566799150397E-7</v>
      </c>
      <c r="T9" s="16">
        <f>T8*(1-'Sales taxes'!$B$1)</f>
        <v>5.7821231536227739E-7</v>
      </c>
      <c r="U9" s="16">
        <f>U8*(1-'Sales taxes'!$B$1)</f>
        <v>5.7984561010382401E-7</v>
      </c>
      <c r="V9" s="16">
        <f>V8*(1-'Sales taxes'!$B$1)</f>
        <v>5.8147890484537074E-7</v>
      </c>
      <c r="W9" s="16">
        <f>W8*(1-'Sales taxes'!$B$1)</f>
        <v>5.8311219958691746E-7</v>
      </c>
      <c r="X9" s="16">
        <f>X8*(1-'Sales taxes'!$B$1)</f>
        <v>5.8474549432846419E-7</v>
      </c>
      <c r="Y9" s="16">
        <f>Y8*(1-'Sales taxes'!$B$1)</f>
        <v>5.8637878907001091E-7</v>
      </c>
      <c r="Z9" s="16">
        <f>Z8*(1-'Sales taxes'!$B$1)</f>
        <v>5.8801208381155764E-7</v>
      </c>
      <c r="AA9" s="16">
        <f>AA8*(1-'Sales taxes'!$B$1)</f>
        <v>5.8964537855310447E-7</v>
      </c>
      <c r="AB9" s="16">
        <f>AB8*(1-'Sales taxes'!$B$1)</f>
        <v>5.912786732946512E-7</v>
      </c>
      <c r="AC9" s="16">
        <f>AC8*(1-'Sales taxes'!$B$1)</f>
        <v>5.9291277981290827E-7</v>
      </c>
      <c r="AD9" s="16">
        <f>AD8*(1-'Sales taxes'!$B$1)</f>
        <v>5.945460745544551E-7</v>
      </c>
      <c r="AE9" s="16">
        <f>AE8*(1-'Sales taxes'!$B$1)</f>
        <v>5.9617936929600172E-7</v>
      </c>
      <c r="AF9" s="16">
        <f>AF8*(1-'Sales taxes'!$B$1)</f>
        <v>5.9781266403754855E-7</v>
      </c>
      <c r="AG9" s="16">
        <f>AG8*(1-'Sales taxes'!$B$1)</f>
        <v>5.9944595877909539E-7</v>
      </c>
    </row>
    <row r="10" spans="1:34" ht="12">
      <c r="B10" s="136" t="s">
        <v>916</v>
      </c>
      <c r="C10" s="16">
        <f>C8-C9</f>
        <v>5.1687971348525212E-8</v>
      </c>
      <c r="D10" s="16">
        <f t="shared" ref="D10:AG10" si="0">D8-D9</f>
        <v>5.1763756738574191E-8</v>
      </c>
      <c r="E10" s="16">
        <f t="shared" si="0"/>
        <v>5.1839542128623276E-8</v>
      </c>
      <c r="F10" s="16">
        <f t="shared" si="0"/>
        <v>5.1991112908721339E-8</v>
      </c>
      <c r="G10" s="16">
        <f t="shared" si="0"/>
        <v>5.2066898298770318E-8</v>
      </c>
      <c r="H10" s="16">
        <f t="shared" si="0"/>
        <v>5.2218469078868381E-8</v>
      </c>
      <c r="I10" s="16">
        <f t="shared" si="0"/>
        <v>5.2294254468917466E-8</v>
      </c>
      <c r="J10" s="16">
        <f t="shared" si="0"/>
        <v>5.2445825249015529E-8</v>
      </c>
      <c r="K10" s="16">
        <f t="shared" si="0"/>
        <v>5.2521610639064614E-8</v>
      </c>
      <c r="L10" s="16">
        <f t="shared" si="0"/>
        <v>5.2673181419162677E-8</v>
      </c>
      <c r="M10" s="16">
        <f t="shared" si="0"/>
        <v>5.2824752199260741E-8</v>
      </c>
      <c r="N10" s="16">
        <f t="shared" si="0"/>
        <v>5.2900537589309825E-8</v>
      </c>
      <c r="O10" s="16">
        <f t="shared" si="0"/>
        <v>5.3052108369407889E-8</v>
      </c>
      <c r="P10" s="16">
        <f t="shared" si="0"/>
        <v>5.3203679149505952E-8</v>
      </c>
      <c r="Q10" s="16">
        <f t="shared" si="0"/>
        <v>5.3279539872944724E-8</v>
      </c>
      <c r="R10" s="16">
        <f t="shared" si="0"/>
        <v>5.3431110653042787E-8</v>
      </c>
      <c r="S10" s="16">
        <f t="shared" si="0"/>
        <v>5.3582681433140851E-8</v>
      </c>
      <c r="T10" s="16">
        <f t="shared" si="0"/>
        <v>5.3658466823189829E-8</v>
      </c>
      <c r="U10" s="16">
        <f t="shared" si="0"/>
        <v>5.3810037603287999E-8</v>
      </c>
      <c r="V10" s="16">
        <f t="shared" si="0"/>
        <v>5.3961608383386062E-8</v>
      </c>
      <c r="W10" s="16">
        <f t="shared" si="0"/>
        <v>5.4113179163484126E-8</v>
      </c>
      <c r="X10" s="16">
        <f t="shared" si="0"/>
        <v>5.4264749943582189E-8</v>
      </c>
      <c r="Y10" s="16">
        <f t="shared" si="0"/>
        <v>5.4416320723680252E-8</v>
      </c>
      <c r="Z10" s="16">
        <f t="shared" si="0"/>
        <v>5.4567891503778316E-8</v>
      </c>
      <c r="AA10" s="16">
        <f t="shared" si="0"/>
        <v>5.4719462283876379E-8</v>
      </c>
      <c r="AB10" s="16">
        <f t="shared" si="0"/>
        <v>5.4871033063974442E-8</v>
      </c>
      <c r="AC10" s="16">
        <f t="shared" si="0"/>
        <v>5.5022679177462299E-8</v>
      </c>
      <c r="AD10" s="16">
        <f t="shared" si="0"/>
        <v>5.5174249957560362E-8</v>
      </c>
      <c r="AE10" s="16">
        <f t="shared" si="0"/>
        <v>5.5325820737658426E-8</v>
      </c>
      <c r="AF10" s="16">
        <f t="shared" si="0"/>
        <v>5.5477391517756489E-8</v>
      </c>
      <c r="AG10" s="16">
        <f t="shared" si="0"/>
        <v>5.5628962297854552E-8</v>
      </c>
    </row>
    <row r="11" spans="1:34" ht="12"/>
    <row r="12" spans="1:34" ht="15" customHeight="1">
      <c r="A12" s="17" t="s">
        <v>778</v>
      </c>
      <c r="B12" s="125" t="s">
        <v>779</v>
      </c>
      <c r="AH12" s="126" t="s">
        <v>780</v>
      </c>
    </row>
    <row r="13" spans="1:34" ht="15" customHeight="1">
      <c r="B13" s="121" t="s">
        <v>781</v>
      </c>
      <c r="AH13" s="126" t="s">
        <v>782</v>
      </c>
    </row>
    <row r="14" spans="1:34" ht="15" customHeight="1">
      <c r="B14" s="121"/>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26" t="s">
        <v>783</v>
      </c>
    </row>
    <row r="15" spans="1:34" ht="15" customHeight="1" thickBot="1">
      <c r="B15" s="122" t="s">
        <v>784</v>
      </c>
      <c r="C15" s="122">
        <v>2020</v>
      </c>
      <c r="D15" s="122">
        <v>2021</v>
      </c>
      <c r="E15" s="122">
        <v>2022</v>
      </c>
      <c r="F15" s="122">
        <v>2023</v>
      </c>
      <c r="G15" s="122">
        <v>2024</v>
      </c>
      <c r="H15" s="122">
        <v>2025</v>
      </c>
      <c r="I15" s="122">
        <v>2026</v>
      </c>
      <c r="J15" s="122">
        <v>2027</v>
      </c>
      <c r="K15" s="122">
        <v>2028</v>
      </c>
      <c r="L15" s="122">
        <v>2029</v>
      </c>
      <c r="M15" s="122">
        <v>2030</v>
      </c>
      <c r="N15" s="122">
        <v>2031</v>
      </c>
      <c r="O15" s="122">
        <v>2032</v>
      </c>
      <c r="P15" s="122">
        <v>2033</v>
      </c>
      <c r="Q15" s="122">
        <v>2034</v>
      </c>
      <c r="R15" s="122">
        <v>2035</v>
      </c>
      <c r="S15" s="122">
        <v>2036</v>
      </c>
      <c r="T15" s="122">
        <v>2037</v>
      </c>
      <c r="U15" s="122">
        <v>2038</v>
      </c>
      <c r="V15" s="122">
        <v>2039</v>
      </c>
      <c r="W15" s="122">
        <v>2040</v>
      </c>
      <c r="X15" s="122">
        <v>2041</v>
      </c>
      <c r="Y15" s="122">
        <v>2042</v>
      </c>
      <c r="Z15" s="122">
        <v>2043</v>
      </c>
      <c r="AA15" s="122">
        <v>2044</v>
      </c>
      <c r="AB15" s="122">
        <v>2045</v>
      </c>
      <c r="AC15" s="122">
        <v>2046</v>
      </c>
      <c r="AD15" s="122">
        <v>2047</v>
      </c>
      <c r="AE15" s="122">
        <v>2048</v>
      </c>
      <c r="AF15" s="122">
        <v>2049</v>
      </c>
      <c r="AG15" s="122">
        <v>2050</v>
      </c>
      <c r="AH15" s="127" t="s">
        <v>785</v>
      </c>
    </row>
    <row r="16" spans="1:34" ht="15" customHeight="1" thickTop="1"/>
    <row r="17" spans="1:34" ht="15" customHeight="1">
      <c r="B17" s="128" t="s">
        <v>81</v>
      </c>
    </row>
    <row r="18" spans="1:34" ht="15" customHeight="1">
      <c r="A18" s="17" t="s">
        <v>786</v>
      </c>
      <c r="B18" s="129" t="s">
        <v>82</v>
      </c>
      <c r="C18" s="130">
        <v>17.296467</v>
      </c>
      <c r="D18" s="130">
        <v>17.183254000000002</v>
      </c>
      <c r="E18" s="130">
        <v>17.386811999999999</v>
      </c>
      <c r="F18" s="130">
        <v>17.278085999999998</v>
      </c>
      <c r="G18" s="130">
        <v>17.282633000000001</v>
      </c>
      <c r="H18" s="130">
        <v>17.365963000000001</v>
      </c>
      <c r="I18" s="130">
        <v>17.281718999999999</v>
      </c>
      <c r="J18" s="130">
        <v>17.232769000000001</v>
      </c>
      <c r="K18" s="130">
        <v>17.352678000000001</v>
      </c>
      <c r="L18" s="130">
        <v>17.525155999999999</v>
      </c>
      <c r="M18" s="130">
        <v>18.105442</v>
      </c>
      <c r="N18" s="130">
        <v>18.397449000000002</v>
      </c>
      <c r="O18" s="130">
        <v>18.665576999999999</v>
      </c>
      <c r="P18" s="130">
        <v>18.886859999999999</v>
      </c>
      <c r="Q18" s="130">
        <v>19.101889</v>
      </c>
      <c r="R18" s="130">
        <v>19.237110000000001</v>
      </c>
      <c r="S18" s="130">
        <v>19.411159999999999</v>
      </c>
      <c r="T18" s="130">
        <v>19.712313000000002</v>
      </c>
      <c r="U18" s="130">
        <v>19.979467</v>
      </c>
      <c r="V18" s="130">
        <v>20.173356999999999</v>
      </c>
      <c r="W18" s="130">
        <v>20.375391</v>
      </c>
      <c r="X18" s="130">
        <v>20.580265000000001</v>
      </c>
      <c r="Y18" s="130">
        <v>20.773108000000001</v>
      </c>
      <c r="Z18" s="130">
        <v>20.871334000000001</v>
      </c>
      <c r="AA18" s="130">
        <v>21.039562</v>
      </c>
      <c r="AB18" s="130">
        <v>21.186533000000001</v>
      </c>
      <c r="AC18" s="130">
        <v>21.381789999999999</v>
      </c>
      <c r="AD18" s="130">
        <v>21.587627000000001</v>
      </c>
      <c r="AE18" s="130">
        <v>21.790129</v>
      </c>
      <c r="AF18" s="130">
        <v>22.029543</v>
      </c>
      <c r="AG18" s="130">
        <v>22.264085999999999</v>
      </c>
      <c r="AH18" s="131">
        <v>8.4510000000000002E-3</v>
      </c>
    </row>
    <row r="19" spans="1:34" ht="15" customHeight="1">
      <c r="A19" s="17" t="s">
        <v>787</v>
      </c>
      <c r="B19" s="129" t="s">
        <v>84</v>
      </c>
      <c r="C19" s="130">
        <v>17.748362</v>
      </c>
      <c r="D19" s="130">
        <v>17.778863999999999</v>
      </c>
      <c r="E19" s="130">
        <v>18.840993999999998</v>
      </c>
      <c r="F19" s="130">
        <v>20.194541999999998</v>
      </c>
      <c r="G19" s="130">
        <v>20.900642000000001</v>
      </c>
      <c r="H19" s="130">
        <v>21.347785999999999</v>
      </c>
      <c r="I19" s="130">
        <v>21.959849999999999</v>
      </c>
      <c r="J19" s="130">
        <v>22.373480000000001</v>
      </c>
      <c r="K19" s="130">
        <v>22.572247000000001</v>
      </c>
      <c r="L19" s="130">
        <v>22.803101999999999</v>
      </c>
      <c r="M19" s="130">
        <v>23.134236999999999</v>
      </c>
      <c r="N19" s="130">
        <v>23.233163999999999</v>
      </c>
      <c r="O19" s="130">
        <v>23.457367000000001</v>
      </c>
      <c r="P19" s="130">
        <v>23.595133000000001</v>
      </c>
      <c r="Q19" s="130">
        <v>23.692457000000001</v>
      </c>
      <c r="R19" s="130">
        <v>23.53126</v>
      </c>
      <c r="S19" s="130">
        <v>23.427430999999999</v>
      </c>
      <c r="T19" s="130">
        <v>23.589839999999999</v>
      </c>
      <c r="U19" s="130">
        <v>23.769676</v>
      </c>
      <c r="V19" s="130">
        <v>23.632313</v>
      </c>
      <c r="W19" s="130">
        <v>24.000731999999999</v>
      </c>
      <c r="X19" s="130">
        <v>24.131430000000002</v>
      </c>
      <c r="Y19" s="130">
        <v>24.220469000000001</v>
      </c>
      <c r="Z19" s="130">
        <v>24.344158</v>
      </c>
      <c r="AA19" s="130">
        <v>24.514250000000001</v>
      </c>
      <c r="AB19" s="130">
        <v>24.754840999999999</v>
      </c>
      <c r="AC19" s="130">
        <v>24.880372999999999</v>
      </c>
      <c r="AD19" s="130">
        <v>24.974497</v>
      </c>
      <c r="AE19" s="130">
        <v>25.016258000000001</v>
      </c>
      <c r="AF19" s="130">
        <v>25.183064999999999</v>
      </c>
      <c r="AG19" s="130">
        <v>25.323920999999999</v>
      </c>
      <c r="AH19" s="131">
        <v>1.1919000000000001E-2</v>
      </c>
    </row>
    <row r="20" spans="1:34" ht="15" customHeight="1">
      <c r="A20" s="17" t="s">
        <v>788</v>
      </c>
      <c r="B20" s="129" t="s">
        <v>789</v>
      </c>
      <c r="C20" s="130">
        <v>10.141716000000001</v>
      </c>
      <c r="D20" s="130">
        <v>10.51412</v>
      </c>
      <c r="E20" s="130">
        <v>10.202188</v>
      </c>
      <c r="F20" s="130">
        <v>9.9132259999999999</v>
      </c>
      <c r="G20" s="130">
        <v>9.6494809999999998</v>
      </c>
      <c r="H20" s="130">
        <v>9.6609160000000003</v>
      </c>
      <c r="I20" s="130">
        <v>9.7374840000000003</v>
      </c>
      <c r="J20" s="130">
        <v>9.8500920000000001</v>
      </c>
      <c r="K20" s="130">
        <v>9.9233119999999992</v>
      </c>
      <c r="L20" s="130">
        <v>10.06601</v>
      </c>
      <c r="M20" s="130">
        <v>10.422234</v>
      </c>
      <c r="N20" s="130">
        <v>10.498061</v>
      </c>
      <c r="O20" s="130">
        <v>10.580394</v>
      </c>
      <c r="P20" s="130">
        <v>10.658723</v>
      </c>
      <c r="Q20" s="130">
        <v>10.693797999999999</v>
      </c>
      <c r="R20" s="130">
        <v>10.700832</v>
      </c>
      <c r="S20" s="130">
        <v>10.715192</v>
      </c>
      <c r="T20" s="130">
        <v>10.731377999999999</v>
      </c>
      <c r="U20" s="130">
        <v>10.724482</v>
      </c>
      <c r="V20" s="130">
        <v>10.712460999999999</v>
      </c>
      <c r="W20" s="130">
        <v>10.708804000000001</v>
      </c>
      <c r="X20" s="130">
        <v>10.731961</v>
      </c>
      <c r="Y20" s="130">
        <v>10.757458</v>
      </c>
      <c r="Z20" s="130">
        <v>10.775259</v>
      </c>
      <c r="AA20" s="130">
        <v>10.802486</v>
      </c>
      <c r="AB20" s="130">
        <v>10.823373999999999</v>
      </c>
      <c r="AC20" s="130">
        <v>10.832981999999999</v>
      </c>
      <c r="AD20" s="130">
        <v>10.843533000000001</v>
      </c>
      <c r="AE20" s="130">
        <v>10.825556000000001</v>
      </c>
      <c r="AF20" s="130">
        <v>10.832338999999999</v>
      </c>
      <c r="AG20" s="130">
        <v>10.859444999999999</v>
      </c>
      <c r="AH20" s="131">
        <v>2.2820000000000002E-3</v>
      </c>
    </row>
    <row r="21" spans="1:34" ht="15" customHeight="1">
      <c r="A21" s="17" t="s">
        <v>790</v>
      </c>
      <c r="B21" s="129" t="s">
        <v>791</v>
      </c>
      <c r="C21" s="130">
        <v>35.768967000000004</v>
      </c>
      <c r="D21" s="130">
        <v>36.572845000000001</v>
      </c>
      <c r="E21" s="130">
        <v>36.200896999999998</v>
      </c>
      <c r="F21" s="130">
        <v>35.847926999999999</v>
      </c>
      <c r="G21" s="130">
        <v>35.555779000000001</v>
      </c>
      <c r="H21" s="130">
        <v>35.370303999999997</v>
      </c>
      <c r="I21" s="130">
        <v>35.271217</v>
      </c>
      <c r="J21" s="130">
        <v>35.232407000000002</v>
      </c>
      <c r="K21" s="130">
        <v>35.179946999999999</v>
      </c>
      <c r="L21" s="130">
        <v>35.137309999999999</v>
      </c>
      <c r="M21" s="130">
        <v>35.114113000000003</v>
      </c>
      <c r="N21" s="130">
        <v>35.213706999999999</v>
      </c>
      <c r="O21" s="130">
        <v>35.215426999999998</v>
      </c>
      <c r="P21" s="130">
        <v>35.186942999999999</v>
      </c>
      <c r="Q21" s="130">
        <v>35.111834999999999</v>
      </c>
      <c r="R21" s="130">
        <v>34.965026999999999</v>
      </c>
      <c r="S21" s="130">
        <v>34.841293</v>
      </c>
      <c r="T21" s="130">
        <v>34.730331</v>
      </c>
      <c r="U21" s="130">
        <v>34.648322999999998</v>
      </c>
      <c r="V21" s="130">
        <v>34.567348000000003</v>
      </c>
      <c r="W21" s="130">
        <v>34.484665</v>
      </c>
      <c r="X21" s="130">
        <v>34.428879000000002</v>
      </c>
      <c r="Y21" s="130">
        <v>34.354916000000003</v>
      </c>
      <c r="Z21" s="130">
        <v>34.264564999999997</v>
      </c>
      <c r="AA21" s="130">
        <v>34.180298000000001</v>
      </c>
      <c r="AB21" s="130">
        <v>34.138596</v>
      </c>
      <c r="AC21" s="130">
        <v>34.020420000000001</v>
      </c>
      <c r="AD21" s="130">
        <v>33.894435999999999</v>
      </c>
      <c r="AE21" s="130">
        <v>33.717101999999997</v>
      </c>
      <c r="AF21" s="130">
        <v>33.468890999999999</v>
      </c>
      <c r="AG21" s="130">
        <v>33.255077</v>
      </c>
      <c r="AH21" s="131">
        <v>-2.4260000000000002E-3</v>
      </c>
    </row>
    <row r="23" spans="1:34" ht="15" customHeight="1">
      <c r="B23" s="128" t="s">
        <v>83</v>
      </c>
    </row>
    <row r="24" spans="1:34" ht="15" customHeight="1">
      <c r="A24" s="17" t="s">
        <v>792</v>
      </c>
      <c r="B24" s="129" t="s">
        <v>82</v>
      </c>
      <c r="C24" s="130">
        <v>12.770180999999999</v>
      </c>
      <c r="D24" s="130">
        <v>13.596351</v>
      </c>
      <c r="E24" s="130">
        <v>14.132167000000001</v>
      </c>
      <c r="F24" s="130">
        <v>13.946478000000001</v>
      </c>
      <c r="G24" s="130">
        <v>13.993321999999999</v>
      </c>
      <c r="H24" s="130">
        <v>14.109780000000001</v>
      </c>
      <c r="I24" s="130">
        <v>13.959495</v>
      </c>
      <c r="J24" s="130">
        <v>13.925439000000001</v>
      </c>
      <c r="K24" s="130">
        <v>14.114777</v>
      </c>
      <c r="L24" s="130">
        <v>14.294835000000001</v>
      </c>
      <c r="M24" s="130">
        <v>14.966532000000001</v>
      </c>
      <c r="N24" s="130">
        <v>15.145462999999999</v>
      </c>
      <c r="O24" s="130">
        <v>15.316516</v>
      </c>
      <c r="P24" s="130">
        <v>15.455636999999999</v>
      </c>
      <c r="Q24" s="130">
        <v>15.603415</v>
      </c>
      <c r="R24" s="130">
        <v>15.650969999999999</v>
      </c>
      <c r="S24" s="130">
        <v>15.789752</v>
      </c>
      <c r="T24" s="130">
        <v>16.088107999999998</v>
      </c>
      <c r="U24" s="130">
        <v>16.278292</v>
      </c>
      <c r="V24" s="130">
        <v>16.373463000000001</v>
      </c>
      <c r="W24" s="130">
        <v>16.514631000000001</v>
      </c>
      <c r="X24" s="130">
        <v>16.663309000000002</v>
      </c>
      <c r="Y24" s="130">
        <v>16.795403</v>
      </c>
      <c r="Z24" s="130">
        <v>16.807694999999999</v>
      </c>
      <c r="AA24" s="130">
        <v>16.958041999999999</v>
      </c>
      <c r="AB24" s="130">
        <v>17.057176999999999</v>
      </c>
      <c r="AC24" s="130">
        <v>17.224889999999998</v>
      </c>
      <c r="AD24" s="130">
        <v>17.384920000000001</v>
      </c>
      <c r="AE24" s="130">
        <v>17.530947000000001</v>
      </c>
      <c r="AF24" s="130">
        <v>17.725052000000002</v>
      </c>
      <c r="AG24" s="130">
        <v>17.895052</v>
      </c>
      <c r="AH24" s="131">
        <v>1.1311E-2</v>
      </c>
    </row>
    <row r="25" spans="1:34" ht="15" customHeight="1">
      <c r="A25" s="17" t="s">
        <v>793</v>
      </c>
      <c r="B25" s="129" t="s">
        <v>84</v>
      </c>
      <c r="C25" s="130">
        <v>17.825056</v>
      </c>
      <c r="D25" s="130">
        <v>17.904530000000001</v>
      </c>
      <c r="E25" s="130">
        <v>17.917162000000001</v>
      </c>
      <c r="F25" s="130">
        <v>18.273129000000001</v>
      </c>
      <c r="G25" s="130">
        <v>17.977633000000001</v>
      </c>
      <c r="H25" s="130">
        <v>17.420300999999998</v>
      </c>
      <c r="I25" s="130">
        <v>17.035746</v>
      </c>
      <c r="J25" s="130">
        <v>17.451329999999999</v>
      </c>
      <c r="K25" s="130">
        <v>17.649296</v>
      </c>
      <c r="L25" s="130">
        <v>17.881008000000001</v>
      </c>
      <c r="M25" s="130">
        <v>18.477827000000001</v>
      </c>
      <c r="N25" s="130">
        <v>18.582241</v>
      </c>
      <c r="O25" s="130">
        <v>18.841583</v>
      </c>
      <c r="P25" s="130">
        <v>18.984005</v>
      </c>
      <c r="Q25" s="130">
        <v>19.086586</v>
      </c>
      <c r="R25" s="130">
        <v>18.923241000000001</v>
      </c>
      <c r="S25" s="130">
        <v>18.824065999999998</v>
      </c>
      <c r="T25" s="130">
        <v>18.987247</v>
      </c>
      <c r="U25" s="130">
        <v>19.171538999999999</v>
      </c>
      <c r="V25" s="130">
        <v>19.037495</v>
      </c>
      <c r="W25" s="130">
        <v>19.410124</v>
      </c>
      <c r="X25" s="130">
        <v>19.543423000000001</v>
      </c>
      <c r="Y25" s="130">
        <v>19.633227999999999</v>
      </c>
      <c r="Z25" s="130">
        <v>19.766468</v>
      </c>
      <c r="AA25" s="130">
        <v>19.946016</v>
      </c>
      <c r="AB25" s="130">
        <v>20.193110000000001</v>
      </c>
      <c r="AC25" s="130">
        <v>20.325541000000001</v>
      </c>
      <c r="AD25" s="130">
        <v>20.426331000000001</v>
      </c>
      <c r="AE25" s="130">
        <v>20.483273000000001</v>
      </c>
      <c r="AF25" s="130">
        <v>20.656472999999998</v>
      </c>
      <c r="AG25" s="130">
        <v>20.796879000000001</v>
      </c>
      <c r="AH25" s="131">
        <v>5.1529999999999996E-3</v>
      </c>
    </row>
    <row r="26" spans="1:34" ht="15" customHeight="1">
      <c r="A26" s="17" t="s">
        <v>794</v>
      </c>
      <c r="B26" s="129" t="s">
        <v>85</v>
      </c>
      <c r="C26" s="130">
        <v>5.2465200000000003</v>
      </c>
      <c r="D26" s="130">
        <v>4.0942629999999998</v>
      </c>
      <c r="E26" s="130">
        <v>5.1555109999999997</v>
      </c>
      <c r="F26" s="130">
        <v>6.3887859999999996</v>
      </c>
      <c r="G26" s="130">
        <v>7.4177150000000003</v>
      </c>
      <c r="H26" s="130">
        <v>8.0842039999999997</v>
      </c>
      <c r="I26" s="130">
        <v>8.7977109999999996</v>
      </c>
      <c r="J26" s="130">
        <v>9.2713420000000006</v>
      </c>
      <c r="K26" s="130">
        <v>9.3801520000000007</v>
      </c>
      <c r="L26" s="130">
        <v>9.6307539999999996</v>
      </c>
      <c r="M26" s="130">
        <v>9.9774270000000005</v>
      </c>
      <c r="N26" s="130">
        <v>10.056495999999999</v>
      </c>
      <c r="O26" s="130">
        <v>10.322896</v>
      </c>
      <c r="P26" s="130">
        <v>10.494814999999999</v>
      </c>
      <c r="Q26" s="130">
        <v>10.659212</v>
      </c>
      <c r="R26" s="130">
        <v>10.565108</v>
      </c>
      <c r="S26" s="130">
        <v>10.57521</v>
      </c>
      <c r="T26" s="130">
        <v>10.757941000000001</v>
      </c>
      <c r="U26" s="130">
        <v>10.935437</v>
      </c>
      <c r="V26" s="130">
        <v>10.928781000000001</v>
      </c>
      <c r="W26" s="130">
        <v>11.256634999999999</v>
      </c>
      <c r="X26" s="130">
        <v>11.398070000000001</v>
      </c>
      <c r="Y26" s="130">
        <v>11.526395000000001</v>
      </c>
      <c r="Z26" s="130">
        <v>11.652903999999999</v>
      </c>
      <c r="AA26" s="130">
        <v>11.895937</v>
      </c>
      <c r="AB26" s="130">
        <v>12.079579000000001</v>
      </c>
      <c r="AC26" s="130">
        <v>12.282360000000001</v>
      </c>
      <c r="AD26" s="130">
        <v>12.398063</v>
      </c>
      <c r="AE26" s="130">
        <v>12.434025999999999</v>
      </c>
      <c r="AF26" s="130">
        <v>12.576523999999999</v>
      </c>
      <c r="AG26" s="130">
        <v>12.679845</v>
      </c>
      <c r="AH26" s="131">
        <v>2.9852E-2</v>
      </c>
    </row>
    <row r="27" spans="1:34" ht="15" customHeight="1">
      <c r="A27" s="17" t="s">
        <v>795</v>
      </c>
      <c r="B27" s="129" t="s">
        <v>789</v>
      </c>
      <c r="C27" s="130">
        <v>7.2274659999999997</v>
      </c>
      <c r="D27" s="130">
        <v>7.7571760000000003</v>
      </c>
      <c r="E27" s="130">
        <v>7.7584379999999999</v>
      </c>
      <c r="F27" s="130">
        <v>7.4329689999999999</v>
      </c>
      <c r="G27" s="130">
        <v>7.1538599999999999</v>
      </c>
      <c r="H27" s="130">
        <v>7.1408820000000004</v>
      </c>
      <c r="I27" s="130">
        <v>7.1871619999999998</v>
      </c>
      <c r="J27" s="130">
        <v>7.2622150000000003</v>
      </c>
      <c r="K27" s="130">
        <v>7.3037089999999996</v>
      </c>
      <c r="L27" s="130">
        <v>7.4168450000000004</v>
      </c>
      <c r="M27" s="130">
        <v>7.668393</v>
      </c>
      <c r="N27" s="130">
        <v>7.7091729999999998</v>
      </c>
      <c r="O27" s="130">
        <v>7.7567729999999999</v>
      </c>
      <c r="P27" s="130">
        <v>7.8144150000000003</v>
      </c>
      <c r="Q27" s="130">
        <v>7.8314700000000004</v>
      </c>
      <c r="R27" s="130">
        <v>7.8232949999999999</v>
      </c>
      <c r="S27" s="130">
        <v>7.8236619999999997</v>
      </c>
      <c r="T27" s="130">
        <v>7.825634</v>
      </c>
      <c r="U27" s="130">
        <v>7.8057910000000001</v>
      </c>
      <c r="V27" s="130">
        <v>7.7819539999999998</v>
      </c>
      <c r="W27" s="130">
        <v>7.7688930000000003</v>
      </c>
      <c r="X27" s="130">
        <v>7.7830769999999996</v>
      </c>
      <c r="Y27" s="130">
        <v>7.7994719999999997</v>
      </c>
      <c r="Z27" s="130">
        <v>7.8087359999999997</v>
      </c>
      <c r="AA27" s="130">
        <v>7.828284</v>
      </c>
      <c r="AB27" s="130">
        <v>7.8415439999999998</v>
      </c>
      <c r="AC27" s="130">
        <v>7.8443149999999999</v>
      </c>
      <c r="AD27" s="130">
        <v>7.8465090000000002</v>
      </c>
      <c r="AE27" s="130">
        <v>7.8194090000000003</v>
      </c>
      <c r="AF27" s="130">
        <v>7.816325</v>
      </c>
      <c r="AG27" s="130">
        <v>7.8338789999999996</v>
      </c>
      <c r="AH27" s="131">
        <v>2.689E-3</v>
      </c>
    </row>
    <row r="28" spans="1:34" ht="15" customHeight="1">
      <c r="A28" s="17" t="s">
        <v>796</v>
      </c>
      <c r="B28" s="129" t="s">
        <v>791</v>
      </c>
      <c r="C28" s="130">
        <v>31.322282999999999</v>
      </c>
      <c r="D28" s="130">
        <v>31.751370999999999</v>
      </c>
      <c r="E28" s="130">
        <v>31.36965</v>
      </c>
      <c r="F28" s="130">
        <v>30.770927</v>
      </c>
      <c r="G28" s="130">
        <v>30.355267000000001</v>
      </c>
      <c r="H28" s="130">
        <v>30.114547999999999</v>
      </c>
      <c r="I28" s="130">
        <v>29.891642000000001</v>
      </c>
      <c r="J28" s="130">
        <v>29.798216</v>
      </c>
      <c r="K28" s="130">
        <v>29.668579000000001</v>
      </c>
      <c r="L28" s="130">
        <v>29.541620000000002</v>
      </c>
      <c r="M28" s="130">
        <v>29.447769000000001</v>
      </c>
      <c r="N28" s="130">
        <v>29.516173999999999</v>
      </c>
      <c r="O28" s="130">
        <v>29.407202000000002</v>
      </c>
      <c r="P28" s="130">
        <v>29.362704999999998</v>
      </c>
      <c r="Q28" s="130">
        <v>29.207032999999999</v>
      </c>
      <c r="R28" s="130">
        <v>29.013252000000001</v>
      </c>
      <c r="S28" s="130">
        <v>28.803070000000002</v>
      </c>
      <c r="T28" s="130">
        <v>28.61985</v>
      </c>
      <c r="U28" s="130">
        <v>28.475729000000001</v>
      </c>
      <c r="V28" s="130">
        <v>28.334457</v>
      </c>
      <c r="W28" s="130">
        <v>28.186321</v>
      </c>
      <c r="X28" s="130">
        <v>28.052315</v>
      </c>
      <c r="Y28" s="130">
        <v>27.894957000000002</v>
      </c>
      <c r="Z28" s="130">
        <v>27.748570999999998</v>
      </c>
      <c r="AA28" s="130">
        <v>27.573784</v>
      </c>
      <c r="AB28" s="130">
        <v>27.437695999999999</v>
      </c>
      <c r="AC28" s="130">
        <v>27.26679</v>
      </c>
      <c r="AD28" s="130">
        <v>27.070989999999998</v>
      </c>
      <c r="AE28" s="130">
        <v>26.838395999999999</v>
      </c>
      <c r="AF28" s="130">
        <v>26.563027999999999</v>
      </c>
      <c r="AG28" s="130">
        <v>26.336114999999999</v>
      </c>
      <c r="AH28" s="131">
        <v>-5.7629999999999999E-3</v>
      </c>
    </row>
    <row r="30" spans="1:34" ht="15" customHeight="1">
      <c r="B30" s="128" t="s">
        <v>797</v>
      </c>
    </row>
    <row r="31" spans="1:34" ht="15" customHeight="1">
      <c r="A31" s="17" t="s">
        <v>798</v>
      </c>
      <c r="B31" s="129" t="s">
        <v>82</v>
      </c>
      <c r="C31" s="130">
        <v>7.6224270000000001</v>
      </c>
      <c r="D31" s="130">
        <v>8.4961190000000002</v>
      </c>
      <c r="E31" s="130">
        <v>8.9951640000000008</v>
      </c>
      <c r="F31" s="130">
        <v>8.7914549999999991</v>
      </c>
      <c r="G31" s="130">
        <v>8.8415490000000005</v>
      </c>
      <c r="H31" s="130">
        <v>8.9540679999999995</v>
      </c>
      <c r="I31" s="130">
        <v>8.8042309999999997</v>
      </c>
      <c r="J31" s="130">
        <v>8.7771810000000006</v>
      </c>
      <c r="K31" s="130">
        <v>8.9623369999999998</v>
      </c>
      <c r="L31" s="130">
        <v>9.1296269999999993</v>
      </c>
      <c r="M31" s="130">
        <v>9.5621650000000002</v>
      </c>
      <c r="N31" s="130">
        <v>9.7187319999999993</v>
      </c>
      <c r="O31" s="130">
        <v>9.8474039999999992</v>
      </c>
      <c r="P31" s="130">
        <v>9.9792590000000008</v>
      </c>
      <c r="Q31" s="130">
        <v>10.120851999999999</v>
      </c>
      <c r="R31" s="130">
        <v>10.16201</v>
      </c>
      <c r="S31" s="130">
        <v>10.299414000000001</v>
      </c>
      <c r="T31" s="130">
        <v>10.596047</v>
      </c>
      <c r="U31" s="130">
        <v>10.776484</v>
      </c>
      <c r="V31" s="130">
        <v>10.863864</v>
      </c>
      <c r="W31" s="130">
        <v>11.003838</v>
      </c>
      <c r="X31" s="130">
        <v>11.150719</v>
      </c>
      <c r="Y31" s="130">
        <v>11.280412999999999</v>
      </c>
      <c r="Z31" s="130">
        <v>11.286859</v>
      </c>
      <c r="AA31" s="130">
        <v>11.442306</v>
      </c>
      <c r="AB31" s="130">
        <v>11.53952</v>
      </c>
      <c r="AC31" s="130">
        <v>11.710324</v>
      </c>
      <c r="AD31" s="130">
        <v>11.870820999999999</v>
      </c>
      <c r="AE31" s="130">
        <v>12.016953000000001</v>
      </c>
      <c r="AF31" s="130">
        <v>12.215362000000001</v>
      </c>
      <c r="AG31" s="130">
        <v>12.386858999999999</v>
      </c>
      <c r="AH31" s="131">
        <v>1.6316000000000001E-2</v>
      </c>
    </row>
    <row r="32" spans="1:34" ht="15" customHeight="1">
      <c r="A32" s="17" t="s">
        <v>799</v>
      </c>
      <c r="B32" s="129" t="s">
        <v>84</v>
      </c>
      <c r="C32" s="130">
        <v>17.750837000000001</v>
      </c>
      <c r="D32" s="130">
        <v>17.784217999999999</v>
      </c>
      <c r="E32" s="130">
        <v>17.832457999999999</v>
      </c>
      <c r="F32" s="130">
        <v>18.255758</v>
      </c>
      <c r="G32" s="130">
        <v>17.965651999999999</v>
      </c>
      <c r="H32" s="130">
        <v>17.418257000000001</v>
      </c>
      <c r="I32" s="130">
        <v>17.043358000000001</v>
      </c>
      <c r="J32" s="130">
        <v>17.464335999999999</v>
      </c>
      <c r="K32" s="130">
        <v>17.665486999999999</v>
      </c>
      <c r="L32" s="130">
        <v>17.903829999999999</v>
      </c>
      <c r="M32" s="130">
        <v>18.228373999999999</v>
      </c>
      <c r="N32" s="130">
        <v>18.345334999999999</v>
      </c>
      <c r="O32" s="130">
        <v>18.564774</v>
      </c>
      <c r="P32" s="130">
        <v>18.711565</v>
      </c>
      <c r="Q32" s="130">
        <v>18.823149000000001</v>
      </c>
      <c r="R32" s="130">
        <v>18.657301</v>
      </c>
      <c r="S32" s="130">
        <v>18.557192000000001</v>
      </c>
      <c r="T32" s="130">
        <v>18.721062</v>
      </c>
      <c r="U32" s="130">
        <v>18.906943999999999</v>
      </c>
      <c r="V32" s="130">
        <v>18.769888000000002</v>
      </c>
      <c r="W32" s="130">
        <v>19.141383999999999</v>
      </c>
      <c r="X32" s="130">
        <v>19.276993000000001</v>
      </c>
      <c r="Y32" s="130">
        <v>19.368721000000001</v>
      </c>
      <c r="Z32" s="130">
        <v>19.507062999999999</v>
      </c>
      <c r="AA32" s="130">
        <v>19.688092999999999</v>
      </c>
      <c r="AB32" s="130">
        <v>19.940121000000001</v>
      </c>
      <c r="AC32" s="130">
        <v>20.075132</v>
      </c>
      <c r="AD32" s="130">
        <v>20.182839999999999</v>
      </c>
      <c r="AE32" s="130">
        <v>20.246756000000001</v>
      </c>
      <c r="AF32" s="130">
        <v>20.426596</v>
      </c>
      <c r="AG32" s="130">
        <v>20.570136999999999</v>
      </c>
      <c r="AH32" s="131">
        <v>4.9259999999999998E-3</v>
      </c>
    </row>
    <row r="33" spans="1:34" ht="14.5">
      <c r="A33" s="17" t="s">
        <v>800</v>
      </c>
      <c r="B33" s="129" t="s">
        <v>85</v>
      </c>
      <c r="C33" s="130">
        <v>5.4227400000000001</v>
      </c>
      <c r="D33" s="130">
        <v>4.4313440000000002</v>
      </c>
      <c r="E33" s="130">
        <v>5.8066459999999998</v>
      </c>
      <c r="F33" s="130">
        <v>7.3529660000000003</v>
      </c>
      <c r="G33" s="130">
        <v>8.6041519999999991</v>
      </c>
      <c r="H33" s="130">
        <v>9.5880430000000008</v>
      </c>
      <c r="I33" s="130">
        <v>10.678126000000001</v>
      </c>
      <c r="J33" s="130">
        <v>11.122404</v>
      </c>
      <c r="K33" s="130">
        <v>11.319103999999999</v>
      </c>
      <c r="L33" s="130">
        <v>11.560950999999999</v>
      </c>
      <c r="M33" s="130">
        <v>11.886528999999999</v>
      </c>
      <c r="N33" s="130">
        <v>11.988492000000001</v>
      </c>
      <c r="O33" s="130">
        <v>12.214651</v>
      </c>
      <c r="P33" s="130">
        <v>12.396055</v>
      </c>
      <c r="Q33" s="130">
        <v>12.541180000000001</v>
      </c>
      <c r="R33" s="130">
        <v>12.441390999999999</v>
      </c>
      <c r="S33" s="130">
        <v>12.436083</v>
      </c>
      <c r="T33" s="130">
        <v>12.619387</v>
      </c>
      <c r="U33" s="130">
        <v>12.817525</v>
      </c>
      <c r="V33" s="130">
        <v>12.799621999999999</v>
      </c>
      <c r="W33" s="130">
        <v>13.127105999999999</v>
      </c>
      <c r="X33" s="130">
        <v>13.276533000000001</v>
      </c>
      <c r="Y33" s="130">
        <v>13.389760000000001</v>
      </c>
      <c r="Z33" s="130">
        <v>13.499091999999999</v>
      </c>
      <c r="AA33" s="130">
        <v>13.732372</v>
      </c>
      <c r="AB33" s="130">
        <v>13.936438000000001</v>
      </c>
      <c r="AC33" s="130">
        <v>14.088271000000001</v>
      </c>
      <c r="AD33" s="130">
        <v>14.181101999999999</v>
      </c>
      <c r="AE33" s="130">
        <v>14.234844000000001</v>
      </c>
      <c r="AF33" s="130">
        <v>14.370006</v>
      </c>
      <c r="AG33" s="130">
        <v>14.531082</v>
      </c>
      <c r="AH33" s="131">
        <v>3.3402000000000001E-2</v>
      </c>
    </row>
    <row r="34" spans="1:34" ht="14.5">
      <c r="A34" s="17" t="s">
        <v>801</v>
      </c>
      <c r="B34" s="129" t="s">
        <v>802</v>
      </c>
      <c r="C34" s="130">
        <v>3.0584310000000001</v>
      </c>
      <c r="D34" s="130">
        <v>4.0450590000000002</v>
      </c>
      <c r="E34" s="130">
        <v>3.9792369999999999</v>
      </c>
      <c r="F34" s="130">
        <v>3.5640879999999999</v>
      </c>
      <c r="G34" s="130">
        <v>3.222769</v>
      </c>
      <c r="H34" s="130">
        <v>3.1671170000000002</v>
      </c>
      <c r="I34" s="130">
        <v>3.1963200000000001</v>
      </c>
      <c r="J34" s="130">
        <v>3.2941820000000002</v>
      </c>
      <c r="K34" s="130">
        <v>3.3580540000000001</v>
      </c>
      <c r="L34" s="130">
        <v>3.462901</v>
      </c>
      <c r="M34" s="130">
        <v>3.5161280000000001</v>
      </c>
      <c r="N34" s="130">
        <v>3.5448559999999998</v>
      </c>
      <c r="O34" s="130">
        <v>3.5678160000000001</v>
      </c>
      <c r="P34" s="130">
        <v>3.613658</v>
      </c>
      <c r="Q34" s="130">
        <v>3.6143239999999999</v>
      </c>
      <c r="R34" s="130">
        <v>3.5944099999999999</v>
      </c>
      <c r="S34" s="130">
        <v>3.5878670000000001</v>
      </c>
      <c r="T34" s="130">
        <v>3.5750280000000001</v>
      </c>
      <c r="U34" s="130">
        <v>3.5572240000000002</v>
      </c>
      <c r="V34" s="130">
        <v>3.5318700000000001</v>
      </c>
      <c r="W34" s="130">
        <v>3.5117440000000002</v>
      </c>
      <c r="X34" s="130">
        <v>3.5121660000000001</v>
      </c>
      <c r="Y34" s="130">
        <v>3.514958</v>
      </c>
      <c r="Z34" s="130">
        <v>3.5046200000000001</v>
      </c>
      <c r="AA34" s="130">
        <v>3.5171489999999999</v>
      </c>
      <c r="AB34" s="130">
        <v>3.4990869999999998</v>
      </c>
      <c r="AC34" s="130">
        <v>3.4861049999999998</v>
      </c>
      <c r="AD34" s="130">
        <v>3.499511</v>
      </c>
      <c r="AE34" s="130">
        <v>3.4690270000000001</v>
      </c>
      <c r="AF34" s="130">
        <v>3.4452410000000002</v>
      </c>
      <c r="AG34" s="130">
        <v>3.4617290000000001</v>
      </c>
      <c r="AH34" s="131">
        <v>4.1370000000000001E-3</v>
      </c>
    </row>
    <row r="35" spans="1:34" ht="14.5">
      <c r="A35" s="17" t="s">
        <v>803</v>
      </c>
      <c r="B35" s="129" t="s">
        <v>804</v>
      </c>
      <c r="C35" s="130">
        <v>4.0174000000000003</v>
      </c>
      <c r="D35" s="130">
        <v>3.598935</v>
      </c>
      <c r="E35" s="130">
        <v>3.356058</v>
      </c>
      <c r="F35" s="130">
        <v>3.2078790000000001</v>
      </c>
      <c r="G35" s="130">
        <v>3.117534</v>
      </c>
      <c r="H35" s="130">
        <v>3.070951</v>
      </c>
      <c r="I35" s="130">
        <v>3.0295830000000001</v>
      </c>
      <c r="J35" s="130">
        <v>3.0136099999999999</v>
      </c>
      <c r="K35" s="130">
        <v>3.014059</v>
      </c>
      <c r="L35" s="130">
        <v>3.0367769999999998</v>
      </c>
      <c r="M35" s="130">
        <v>3.0668120000000001</v>
      </c>
      <c r="N35" s="130">
        <v>3.1021339999999999</v>
      </c>
      <c r="O35" s="130">
        <v>3.1370369999999999</v>
      </c>
      <c r="P35" s="130">
        <v>3.1691760000000002</v>
      </c>
      <c r="Q35" s="130">
        <v>3.1995740000000001</v>
      </c>
      <c r="R35" s="130">
        <v>3.23061</v>
      </c>
      <c r="S35" s="130">
        <v>3.2614040000000002</v>
      </c>
      <c r="T35" s="130">
        <v>3.2944689999999999</v>
      </c>
      <c r="U35" s="130">
        <v>3.3282949999999998</v>
      </c>
      <c r="V35" s="130">
        <v>3.36151</v>
      </c>
      <c r="W35" s="130">
        <v>3.3950330000000002</v>
      </c>
      <c r="X35" s="130">
        <v>3.4296359999999999</v>
      </c>
      <c r="Y35" s="130">
        <v>3.4663460000000001</v>
      </c>
      <c r="Z35" s="130">
        <v>3.5055459999999998</v>
      </c>
      <c r="AA35" s="130">
        <v>3.5455589999999999</v>
      </c>
      <c r="AB35" s="130">
        <v>3.5867200000000001</v>
      </c>
      <c r="AC35" s="130">
        <v>3.6247240000000001</v>
      </c>
      <c r="AD35" s="130">
        <v>3.6615160000000002</v>
      </c>
      <c r="AE35" s="130">
        <v>3.6991040000000002</v>
      </c>
      <c r="AF35" s="130">
        <v>3.7375989999999999</v>
      </c>
      <c r="AG35" s="130">
        <v>3.7801840000000002</v>
      </c>
      <c r="AH35" s="131">
        <v>-2.0270000000000002E-3</v>
      </c>
    </row>
    <row r="36" spans="1:34" ht="14.5">
      <c r="A36" s="17" t="s">
        <v>805</v>
      </c>
      <c r="B36" s="129" t="s">
        <v>806</v>
      </c>
      <c r="C36" s="130">
        <v>2.815477</v>
      </c>
      <c r="D36" s="130">
        <v>2.8278660000000002</v>
      </c>
      <c r="E36" s="130">
        <v>2.8846579999999999</v>
      </c>
      <c r="F36" s="130">
        <v>2.8736839999999999</v>
      </c>
      <c r="G36" s="130">
        <v>2.8735629999999999</v>
      </c>
      <c r="H36" s="130">
        <v>2.861837</v>
      </c>
      <c r="I36" s="130">
        <v>2.849145</v>
      </c>
      <c r="J36" s="130">
        <v>2.8373849999999998</v>
      </c>
      <c r="K36" s="130">
        <v>2.8257639999999999</v>
      </c>
      <c r="L36" s="130">
        <v>2.8206519999999999</v>
      </c>
      <c r="M36" s="130">
        <v>2.830257</v>
      </c>
      <c r="N36" s="130">
        <v>2.8289970000000002</v>
      </c>
      <c r="O36" s="130">
        <v>2.815725</v>
      </c>
      <c r="P36" s="130">
        <v>2.8164419999999999</v>
      </c>
      <c r="Q36" s="130">
        <v>2.8170860000000002</v>
      </c>
      <c r="R36" s="130">
        <v>2.8212009999999998</v>
      </c>
      <c r="S36" s="130">
        <v>2.8233160000000002</v>
      </c>
      <c r="T36" s="130">
        <v>2.8278110000000001</v>
      </c>
      <c r="U36" s="130">
        <v>2.8272119999999998</v>
      </c>
      <c r="V36" s="130">
        <v>2.82924</v>
      </c>
      <c r="W36" s="130">
        <v>2.8376489999999999</v>
      </c>
      <c r="X36" s="130">
        <v>2.8406349999999998</v>
      </c>
      <c r="Y36" s="130">
        <v>2.8446440000000002</v>
      </c>
      <c r="Z36" s="130">
        <v>2.8497300000000001</v>
      </c>
      <c r="AA36" s="130">
        <v>2.8464550000000002</v>
      </c>
      <c r="AB36" s="130">
        <v>2.857904</v>
      </c>
      <c r="AC36" s="130">
        <v>2.8609059999999999</v>
      </c>
      <c r="AD36" s="130">
        <v>2.8697949999999999</v>
      </c>
      <c r="AE36" s="130">
        <v>2.8793570000000002</v>
      </c>
      <c r="AF36" s="130">
        <v>2.8885149999999999</v>
      </c>
      <c r="AG36" s="130">
        <v>2.900779</v>
      </c>
      <c r="AH36" s="131">
        <v>9.9500000000000001E-4</v>
      </c>
    </row>
    <row r="37" spans="1:34" ht="14.5">
      <c r="A37" s="17" t="s">
        <v>807</v>
      </c>
      <c r="B37" s="129" t="s">
        <v>808</v>
      </c>
      <c r="C37" s="131" t="s">
        <v>447</v>
      </c>
      <c r="D37" s="131" t="s">
        <v>447</v>
      </c>
      <c r="E37" s="131" t="s">
        <v>447</v>
      </c>
      <c r="F37" s="131" t="s">
        <v>447</v>
      </c>
      <c r="G37" s="131" t="s">
        <v>447</v>
      </c>
      <c r="H37" s="131" t="s">
        <v>447</v>
      </c>
      <c r="I37" s="131" t="s">
        <v>447</v>
      </c>
      <c r="J37" s="131" t="s">
        <v>447</v>
      </c>
      <c r="K37" s="131" t="s">
        <v>447</v>
      </c>
      <c r="L37" s="131" t="s">
        <v>447</v>
      </c>
      <c r="M37" s="131" t="s">
        <v>447</v>
      </c>
      <c r="N37" s="131" t="s">
        <v>447</v>
      </c>
      <c r="O37" s="131" t="s">
        <v>447</v>
      </c>
      <c r="P37" s="131" t="s">
        <v>447</v>
      </c>
      <c r="Q37" s="131" t="s">
        <v>447</v>
      </c>
      <c r="R37" s="131" t="s">
        <v>447</v>
      </c>
      <c r="S37" s="131" t="s">
        <v>447</v>
      </c>
      <c r="T37" s="131" t="s">
        <v>447</v>
      </c>
      <c r="U37" s="131" t="s">
        <v>447</v>
      </c>
      <c r="V37" s="131" t="s">
        <v>447</v>
      </c>
      <c r="W37" s="131" t="s">
        <v>447</v>
      </c>
      <c r="X37" s="131" t="s">
        <v>447</v>
      </c>
      <c r="Y37" s="131" t="s">
        <v>447</v>
      </c>
      <c r="Z37" s="131" t="s">
        <v>447</v>
      </c>
      <c r="AA37" s="131" t="s">
        <v>447</v>
      </c>
      <c r="AB37" s="131" t="s">
        <v>447</v>
      </c>
      <c r="AC37" s="131" t="s">
        <v>447</v>
      </c>
      <c r="AD37" s="131" t="s">
        <v>447</v>
      </c>
      <c r="AE37" s="131" t="s">
        <v>447</v>
      </c>
      <c r="AF37" s="131" t="s">
        <v>447</v>
      </c>
      <c r="AG37" s="131" t="s">
        <v>447</v>
      </c>
      <c r="AH37" s="131" t="s">
        <v>447</v>
      </c>
    </row>
    <row r="38" spans="1:34" ht="14.5">
      <c r="A38" s="17" t="s">
        <v>809</v>
      </c>
      <c r="B38" s="129" t="s">
        <v>791</v>
      </c>
      <c r="C38" s="130">
        <v>20.703951</v>
      </c>
      <c r="D38" s="130">
        <v>20.963263999999999</v>
      </c>
      <c r="E38" s="130">
        <v>20.467887999999999</v>
      </c>
      <c r="F38" s="130">
        <v>19.783636000000001</v>
      </c>
      <c r="G38" s="130">
        <v>19.357731000000001</v>
      </c>
      <c r="H38" s="130">
        <v>19.106280999999999</v>
      </c>
      <c r="I38" s="130">
        <v>18.963926000000001</v>
      </c>
      <c r="J38" s="130">
        <v>18.841094999999999</v>
      </c>
      <c r="K38" s="130">
        <v>18.735588</v>
      </c>
      <c r="L38" s="130">
        <v>18.663567</v>
      </c>
      <c r="M38" s="130">
        <v>18.617512000000001</v>
      </c>
      <c r="N38" s="130">
        <v>18.676767000000002</v>
      </c>
      <c r="O38" s="130">
        <v>18.634557999999998</v>
      </c>
      <c r="P38" s="130">
        <v>18.545500000000001</v>
      </c>
      <c r="Q38" s="130">
        <v>18.446601999999999</v>
      </c>
      <c r="R38" s="130">
        <v>18.351669000000001</v>
      </c>
      <c r="S38" s="130">
        <v>18.239789999999999</v>
      </c>
      <c r="T38" s="130">
        <v>18.124399</v>
      </c>
      <c r="U38" s="130">
        <v>18.044464000000001</v>
      </c>
      <c r="V38" s="130">
        <v>17.939983000000002</v>
      </c>
      <c r="W38" s="130">
        <v>17.836859</v>
      </c>
      <c r="X38" s="130">
        <v>17.750677</v>
      </c>
      <c r="Y38" s="130">
        <v>17.663349</v>
      </c>
      <c r="Z38" s="130">
        <v>17.552032000000001</v>
      </c>
      <c r="AA38" s="130">
        <v>17.488479999999999</v>
      </c>
      <c r="AB38" s="130">
        <v>17.401014</v>
      </c>
      <c r="AC38" s="130">
        <v>17.289835</v>
      </c>
      <c r="AD38" s="130">
        <v>17.180754</v>
      </c>
      <c r="AE38" s="130">
        <v>17.048691000000002</v>
      </c>
      <c r="AF38" s="130">
        <v>16.892347000000001</v>
      </c>
      <c r="AG38" s="130">
        <v>16.778521999999999</v>
      </c>
      <c r="AH38" s="131">
        <v>-6.9829999999999996E-3</v>
      </c>
    </row>
    <row r="39" spans="1:34" ht="12"/>
    <row r="40" spans="1:34" ht="12">
      <c r="B40" s="128" t="s">
        <v>87</v>
      </c>
    </row>
    <row r="41" spans="1:34" ht="14.5">
      <c r="A41" s="17" t="s">
        <v>810</v>
      </c>
      <c r="B41" s="129" t="s">
        <v>82</v>
      </c>
      <c r="C41" s="130">
        <v>11.989126000000001</v>
      </c>
      <c r="D41" s="130">
        <v>12.919199000000001</v>
      </c>
      <c r="E41" s="130">
        <v>13.387473999999999</v>
      </c>
      <c r="F41" s="130">
        <v>13.175584000000001</v>
      </c>
      <c r="G41" s="130">
        <v>13.226618</v>
      </c>
      <c r="H41" s="130">
        <v>13.334444</v>
      </c>
      <c r="I41" s="130">
        <v>13.185479000000001</v>
      </c>
      <c r="J41" s="130">
        <v>13.161032000000001</v>
      </c>
      <c r="K41" s="130">
        <v>13.340968</v>
      </c>
      <c r="L41" s="130">
        <v>13.497202</v>
      </c>
      <c r="M41" s="130">
        <v>14.332110999999999</v>
      </c>
      <c r="N41" s="130">
        <v>14.464104000000001</v>
      </c>
      <c r="O41" s="130">
        <v>14.634573</v>
      </c>
      <c r="P41" s="130">
        <v>14.748526</v>
      </c>
      <c r="Q41" s="130">
        <v>14.872234000000001</v>
      </c>
      <c r="R41" s="130">
        <v>14.902267</v>
      </c>
      <c r="S41" s="130">
        <v>15.02397</v>
      </c>
      <c r="T41" s="130">
        <v>15.289154</v>
      </c>
      <c r="U41" s="130">
        <v>15.443079000000001</v>
      </c>
      <c r="V41" s="130">
        <v>15.51417</v>
      </c>
      <c r="W41" s="130">
        <v>15.635192</v>
      </c>
      <c r="X41" s="130">
        <v>15.760916</v>
      </c>
      <c r="Y41" s="130">
        <v>15.870314</v>
      </c>
      <c r="Z41" s="130">
        <v>15.870430000000001</v>
      </c>
      <c r="AA41" s="130">
        <v>16.006077000000001</v>
      </c>
      <c r="AB41" s="130">
        <v>16.086893</v>
      </c>
      <c r="AC41" s="130">
        <v>16.233222999999999</v>
      </c>
      <c r="AD41" s="130">
        <v>16.368509</v>
      </c>
      <c r="AE41" s="130">
        <v>16.490397999999999</v>
      </c>
      <c r="AF41" s="130">
        <v>16.657537000000001</v>
      </c>
      <c r="AG41" s="130">
        <v>16.799364000000001</v>
      </c>
      <c r="AH41" s="131">
        <v>1.1308E-2</v>
      </c>
    </row>
    <row r="42" spans="1:34" ht="14.5">
      <c r="A42" s="17" t="s">
        <v>811</v>
      </c>
      <c r="B42" s="129" t="s">
        <v>88</v>
      </c>
      <c r="C42" s="130">
        <v>21.197994000000001</v>
      </c>
      <c r="D42" s="130">
        <v>22.2544</v>
      </c>
      <c r="E42" s="130">
        <v>23.610071000000001</v>
      </c>
      <c r="F42" s="130">
        <v>23.112133</v>
      </c>
      <c r="G42" s="130">
        <v>22.835497</v>
      </c>
      <c r="H42" s="130">
        <v>22.609148000000001</v>
      </c>
      <c r="I42" s="130">
        <v>22.527273000000001</v>
      </c>
      <c r="J42" s="130">
        <v>23.046517999999999</v>
      </c>
      <c r="K42" s="130">
        <v>23.283846</v>
      </c>
      <c r="L42" s="130">
        <v>23.639156</v>
      </c>
      <c r="M42" s="130">
        <v>24.640180999999998</v>
      </c>
      <c r="N42" s="130">
        <v>24.558274999999998</v>
      </c>
      <c r="O42" s="130">
        <v>24.877409</v>
      </c>
      <c r="P42" s="130">
        <v>25.090036000000001</v>
      </c>
      <c r="Q42" s="130">
        <v>25.613430000000001</v>
      </c>
      <c r="R42" s="130">
        <v>25.302700000000002</v>
      </c>
      <c r="S42" s="130">
        <v>25.378855000000001</v>
      </c>
      <c r="T42" s="130">
        <v>25.663869999999999</v>
      </c>
      <c r="U42" s="130">
        <v>25.927429</v>
      </c>
      <c r="V42" s="130">
        <v>25.975618000000001</v>
      </c>
      <c r="W42" s="130">
        <v>26.159890999999998</v>
      </c>
      <c r="X42" s="130">
        <v>26.357863999999999</v>
      </c>
      <c r="Y42" s="130">
        <v>26.34479</v>
      </c>
      <c r="Z42" s="130">
        <v>26.476631000000001</v>
      </c>
      <c r="AA42" s="130">
        <v>26.680527000000001</v>
      </c>
      <c r="AB42" s="130">
        <v>26.959340999999998</v>
      </c>
      <c r="AC42" s="130">
        <v>27.088846</v>
      </c>
      <c r="AD42" s="130">
        <v>27.212554999999998</v>
      </c>
      <c r="AE42" s="130">
        <v>27.351645000000001</v>
      </c>
      <c r="AF42" s="130">
        <v>27.548573000000001</v>
      </c>
      <c r="AG42" s="130">
        <v>27.762180000000001</v>
      </c>
      <c r="AH42" s="131">
        <v>9.0329999999999994E-3</v>
      </c>
    </row>
    <row r="43" spans="1:34" ht="14.5">
      <c r="A43" s="17" t="s">
        <v>812</v>
      </c>
      <c r="B43" s="129" t="s">
        <v>89</v>
      </c>
      <c r="C43" s="130">
        <v>18.753328</v>
      </c>
      <c r="D43" s="130">
        <v>19.581623</v>
      </c>
      <c r="E43" s="130">
        <v>19.852088999999999</v>
      </c>
      <c r="F43" s="130">
        <v>19.731396</v>
      </c>
      <c r="G43" s="130">
        <v>19.549955000000001</v>
      </c>
      <c r="H43" s="130">
        <v>19.404346</v>
      </c>
      <c r="I43" s="130">
        <v>19.369586999999999</v>
      </c>
      <c r="J43" s="130">
        <v>19.802026999999999</v>
      </c>
      <c r="K43" s="130">
        <v>19.986060999999999</v>
      </c>
      <c r="L43" s="130">
        <v>20.267641000000001</v>
      </c>
      <c r="M43" s="130">
        <v>21.249949000000001</v>
      </c>
      <c r="N43" s="130">
        <v>21.156803</v>
      </c>
      <c r="O43" s="130">
        <v>21.426884000000001</v>
      </c>
      <c r="P43" s="130">
        <v>21.582792000000001</v>
      </c>
      <c r="Q43" s="130">
        <v>22.004716999999999</v>
      </c>
      <c r="R43" s="130">
        <v>21.723973999999998</v>
      </c>
      <c r="S43" s="130">
        <v>21.772912999999999</v>
      </c>
      <c r="T43" s="130">
        <v>22.005011</v>
      </c>
      <c r="U43" s="130">
        <v>22.215183</v>
      </c>
      <c r="V43" s="130">
        <v>22.246717</v>
      </c>
      <c r="W43" s="130">
        <v>22.394072999999999</v>
      </c>
      <c r="X43" s="130">
        <v>22.547350000000002</v>
      </c>
      <c r="Y43" s="130">
        <v>22.523793999999999</v>
      </c>
      <c r="Z43" s="130">
        <v>22.623035000000002</v>
      </c>
      <c r="AA43" s="130">
        <v>22.783685999999999</v>
      </c>
      <c r="AB43" s="130">
        <v>22.996141000000001</v>
      </c>
      <c r="AC43" s="130">
        <v>23.074652</v>
      </c>
      <c r="AD43" s="130">
        <v>23.173857000000002</v>
      </c>
      <c r="AE43" s="130">
        <v>23.260543999999999</v>
      </c>
      <c r="AF43" s="130">
        <v>23.427748000000001</v>
      </c>
      <c r="AG43" s="130">
        <v>23.597351</v>
      </c>
      <c r="AH43" s="131">
        <v>7.6880000000000004E-3</v>
      </c>
    </row>
    <row r="44" spans="1:34" ht="14.5">
      <c r="A44" s="17" t="s">
        <v>813</v>
      </c>
      <c r="B44" s="129" t="s">
        <v>90</v>
      </c>
      <c r="C44" s="130">
        <v>9.5686540000000004</v>
      </c>
      <c r="D44" s="130">
        <v>10.382089000000001</v>
      </c>
      <c r="E44" s="130">
        <v>11.359349</v>
      </c>
      <c r="F44" s="130">
        <v>12.190462</v>
      </c>
      <c r="G44" s="130">
        <v>12.696320999999999</v>
      </c>
      <c r="H44" s="130">
        <v>12.903029999999999</v>
      </c>
      <c r="I44" s="130">
        <v>13.260797</v>
      </c>
      <c r="J44" s="130">
        <v>13.761744</v>
      </c>
      <c r="K44" s="130">
        <v>14.027101</v>
      </c>
      <c r="L44" s="130">
        <v>14.319986</v>
      </c>
      <c r="M44" s="130">
        <v>14.720231999999999</v>
      </c>
      <c r="N44" s="130">
        <v>14.946351</v>
      </c>
      <c r="O44" s="130">
        <v>15.259788</v>
      </c>
      <c r="P44" s="130">
        <v>15.467662000000001</v>
      </c>
      <c r="Q44" s="130">
        <v>15.60177</v>
      </c>
      <c r="R44" s="130">
        <v>15.515354</v>
      </c>
      <c r="S44" s="130">
        <v>15.477219</v>
      </c>
      <c r="T44" s="130">
        <v>15.705437999999999</v>
      </c>
      <c r="U44" s="130">
        <v>15.944727</v>
      </c>
      <c r="V44" s="130">
        <v>15.870374999999999</v>
      </c>
      <c r="W44" s="130">
        <v>16.294031</v>
      </c>
      <c r="X44" s="130">
        <v>16.474257999999999</v>
      </c>
      <c r="Y44" s="130">
        <v>16.612787000000001</v>
      </c>
      <c r="Z44" s="130">
        <v>16.803795000000001</v>
      </c>
      <c r="AA44" s="130">
        <v>17.055935000000002</v>
      </c>
      <c r="AB44" s="130">
        <v>17.333383999999999</v>
      </c>
      <c r="AC44" s="130">
        <v>17.508016999999999</v>
      </c>
      <c r="AD44" s="130">
        <v>17.640877</v>
      </c>
      <c r="AE44" s="130">
        <v>17.718878</v>
      </c>
      <c r="AF44" s="130">
        <v>17.919551999999999</v>
      </c>
      <c r="AG44" s="130">
        <v>18.078150000000001</v>
      </c>
      <c r="AH44" s="131">
        <v>2.1433000000000001E-2</v>
      </c>
    </row>
    <row r="45" spans="1:34" ht="14.5">
      <c r="A45" s="17" t="s">
        <v>814</v>
      </c>
      <c r="B45" s="129" t="s">
        <v>91</v>
      </c>
      <c r="C45" s="130">
        <v>18.329231</v>
      </c>
      <c r="D45" s="130">
        <v>18.273304</v>
      </c>
      <c r="E45" s="130">
        <v>19.018625</v>
      </c>
      <c r="F45" s="130">
        <v>20.184968999999999</v>
      </c>
      <c r="G45" s="130">
        <v>20.458480999999999</v>
      </c>
      <c r="H45" s="130">
        <v>20.666316999999999</v>
      </c>
      <c r="I45" s="130">
        <v>20.773323000000001</v>
      </c>
      <c r="J45" s="130">
        <v>21.303528</v>
      </c>
      <c r="K45" s="130">
        <v>21.534609</v>
      </c>
      <c r="L45" s="130">
        <v>21.744458999999999</v>
      </c>
      <c r="M45" s="130">
        <v>22.445812</v>
      </c>
      <c r="N45" s="130">
        <v>22.594145000000001</v>
      </c>
      <c r="O45" s="130">
        <v>22.867038999999998</v>
      </c>
      <c r="P45" s="130">
        <v>23.024622000000001</v>
      </c>
      <c r="Q45" s="130">
        <v>23.134772999999999</v>
      </c>
      <c r="R45" s="130">
        <v>22.871684999999999</v>
      </c>
      <c r="S45" s="130">
        <v>22.789750999999999</v>
      </c>
      <c r="T45" s="130">
        <v>22.977484</v>
      </c>
      <c r="U45" s="130">
        <v>23.1539</v>
      </c>
      <c r="V45" s="130">
        <v>23.013912000000001</v>
      </c>
      <c r="W45" s="130">
        <v>23.353069000000001</v>
      </c>
      <c r="X45" s="130">
        <v>23.471916</v>
      </c>
      <c r="Y45" s="130">
        <v>23.546527999999999</v>
      </c>
      <c r="Z45" s="130">
        <v>23.659164000000001</v>
      </c>
      <c r="AA45" s="130">
        <v>23.822613</v>
      </c>
      <c r="AB45" s="130">
        <v>24.034845000000001</v>
      </c>
      <c r="AC45" s="130">
        <v>24.176539999999999</v>
      </c>
      <c r="AD45" s="130">
        <v>24.286657000000002</v>
      </c>
      <c r="AE45" s="130">
        <v>24.364197000000001</v>
      </c>
      <c r="AF45" s="130">
        <v>24.512602000000001</v>
      </c>
      <c r="AG45" s="130">
        <v>24.657568000000001</v>
      </c>
      <c r="AH45" s="131">
        <v>9.9349999999999994E-3</v>
      </c>
    </row>
    <row r="46" spans="1:34" ht="14.5">
      <c r="A46" s="17" t="s">
        <v>815</v>
      </c>
      <c r="B46" s="129" t="s">
        <v>85</v>
      </c>
      <c r="C46" s="130">
        <v>9.2080660000000005</v>
      </c>
      <c r="D46" s="130">
        <v>6.989611</v>
      </c>
      <c r="E46" s="130">
        <v>7.144215</v>
      </c>
      <c r="F46" s="130">
        <v>8.1884130000000006</v>
      </c>
      <c r="G46" s="130">
        <v>9.3499669999999995</v>
      </c>
      <c r="H46" s="130">
        <v>9.3756959999999996</v>
      </c>
      <c r="I46" s="130">
        <v>9.6402699999999992</v>
      </c>
      <c r="J46" s="130">
        <v>10.126381</v>
      </c>
      <c r="K46" s="130">
        <v>10.226327</v>
      </c>
      <c r="L46" s="130">
        <v>10.968683</v>
      </c>
      <c r="M46" s="130">
        <v>11.327226</v>
      </c>
      <c r="N46" s="130">
        <v>11.050945</v>
      </c>
      <c r="O46" s="130">
        <v>11.334099</v>
      </c>
      <c r="P46" s="130">
        <v>11.461785000000001</v>
      </c>
      <c r="Q46" s="130">
        <v>11.880727</v>
      </c>
      <c r="R46" s="130">
        <v>11.526116999999999</v>
      </c>
      <c r="S46" s="130">
        <v>11.641574</v>
      </c>
      <c r="T46" s="130">
        <v>11.783689000000001</v>
      </c>
      <c r="U46" s="130">
        <v>11.978284</v>
      </c>
      <c r="V46" s="130">
        <v>12.118925000000001</v>
      </c>
      <c r="W46" s="130">
        <v>12.296306</v>
      </c>
      <c r="X46" s="130">
        <v>12.352102</v>
      </c>
      <c r="Y46" s="130">
        <v>12.596482999999999</v>
      </c>
      <c r="Z46" s="130">
        <v>12.935369</v>
      </c>
      <c r="AA46" s="130">
        <v>13.238238000000001</v>
      </c>
      <c r="AB46" s="130">
        <v>13.200082</v>
      </c>
      <c r="AC46" s="130">
        <v>13.803732</v>
      </c>
      <c r="AD46" s="130">
        <v>13.884045</v>
      </c>
      <c r="AE46" s="130">
        <v>13.935924999999999</v>
      </c>
      <c r="AF46" s="130">
        <v>14.105252</v>
      </c>
      <c r="AG46" s="130">
        <v>14.331807</v>
      </c>
      <c r="AH46" s="131">
        <v>1.4855999999999999E-2</v>
      </c>
    </row>
    <row r="47" spans="1:34" ht="14.5">
      <c r="A47" s="17" t="s">
        <v>816</v>
      </c>
      <c r="B47" s="129" t="s">
        <v>817</v>
      </c>
      <c r="C47" s="130">
        <v>12.999203</v>
      </c>
      <c r="D47" s="130">
        <v>13.612721000000001</v>
      </c>
      <c r="E47" s="130">
        <v>13.962173</v>
      </c>
      <c r="F47" s="130">
        <v>13.394043999999999</v>
      </c>
      <c r="G47" s="130">
        <v>12.701124999999999</v>
      </c>
      <c r="H47" s="130">
        <v>12.455730000000001</v>
      </c>
      <c r="I47" s="130">
        <v>12.231553999999999</v>
      </c>
      <c r="J47" s="130">
        <v>12.004652</v>
      </c>
      <c r="K47" s="130">
        <v>11.749408000000001</v>
      </c>
      <c r="L47" s="130">
        <v>11.559972</v>
      </c>
      <c r="M47" s="130">
        <v>12.036060000000001</v>
      </c>
      <c r="N47" s="130">
        <v>11.756859</v>
      </c>
      <c r="O47" s="130">
        <v>11.637912999999999</v>
      </c>
      <c r="P47" s="130">
        <v>11.466904</v>
      </c>
      <c r="Q47" s="130">
        <v>11.297943</v>
      </c>
      <c r="R47" s="130">
        <v>11.078620000000001</v>
      </c>
      <c r="S47" s="130">
        <v>10.936546</v>
      </c>
      <c r="T47" s="130">
        <v>10.797910999999999</v>
      </c>
      <c r="U47" s="130">
        <v>10.667474</v>
      </c>
      <c r="V47" s="130">
        <v>10.546728999999999</v>
      </c>
      <c r="W47" s="130">
        <v>10.458061000000001</v>
      </c>
      <c r="X47" s="130">
        <v>10.372773</v>
      </c>
      <c r="Y47" s="130">
        <v>10.336288</v>
      </c>
      <c r="Z47" s="130">
        <v>10.268269</v>
      </c>
      <c r="AA47" s="130">
        <v>10.251918</v>
      </c>
      <c r="AB47" s="130">
        <v>10.198373</v>
      </c>
      <c r="AC47" s="130">
        <v>10.155938000000001</v>
      </c>
      <c r="AD47" s="130">
        <v>10.137851</v>
      </c>
      <c r="AE47" s="130">
        <v>10.073518</v>
      </c>
      <c r="AF47" s="130">
        <v>10.031018</v>
      </c>
      <c r="AG47" s="130">
        <v>10.035291000000001</v>
      </c>
      <c r="AH47" s="131">
        <v>-8.5889999999999994E-3</v>
      </c>
    </row>
    <row r="48" spans="1:34" ht="14.5">
      <c r="A48" s="17" t="s">
        <v>818</v>
      </c>
      <c r="B48" s="129" t="s">
        <v>791</v>
      </c>
      <c r="C48" s="130">
        <v>34.881683000000002</v>
      </c>
      <c r="D48" s="130">
        <v>36.432147999999998</v>
      </c>
      <c r="E48" s="130">
        <v>35.382660000000001</v>
      </c>
      <c r="F48" s="130">
        <v>34.505398</v>
      </c>
      <c r="G48" s="130">
        <v>33.776938999999999</v>
      </c>
      <c r="H48" s="130">
        <v>33.571579</v>
      </c>
      <c r="I48" s="130">
        <v>33.493298000000003</v>
      </c>
      <c r="J48" s="130">
        <v>33.463439999999999</v>
      </c>
      <c r="K48" s="130">
        <v>33.426532999999999</v>
      </c>
      <c r="L48" s="130">
        <v>33.438160000000003</v>
      </c>
      <c r="M48" s="130">
        <v>33.332622999999998</v>
      </c>
      <c r="N48" s="130">
        <v>33.562083999999999</v>
      </c>
      <c r="O48" s="130">
        <v>33.609898000000001</v>
      </c>
      <c r="P48" s="130">
        <v>33.642971000000003</v>
      </c>
      <c r="Q48" s="130">
        <v>33.577801000000001</v>
      </c>
      <c r="R48" s="130">
        <v>33.383285999999998</v>
      </c>
      <c r="S48" s="130">
        <v>33.236187000000001</v>
      </c>
      <c r="T48" s="130">
        <v>33.116970000000002</v>
      </c>
      <c r="U48" s="130">
        <v>32.992995999999998</v>
      </c>
      <c r="V48" s="130">
        <v>32.848633</v>
      </c>
      <c r="W48" s="130">
        <v>32.697341999999999</v>
      </c>
      <c r="X48" s="130">
        <v>32.558188999999999</v>
      </c>
      <c r="Y48" s="130">
        <v>32.407673000000003</v>
      </c>
      <c r="Z48" s="130">
        <v>32.201774999999998</v>
      </c>
      <c r="AA48" s="130">
        <v>32.014209999999999</v>
      </c>
      <c r="AB48" s="130">
        <v>31.856124999999999</v>
      </c>
      <c r="AC48" s="130">
        <v>31.642790000000002</v>
      </c>
      <c r="AD48" s="130">
        <v>31.444817</v>
      </c>
      <c r="AE48" s="130">
        <v>31.182276000000002</v>
      </c>
      <c r="AF48" s="130">
        <v>30.867584000000001</v>
      </c>
      <c r="AG48" s="130">
        <v>30.581862999999998</v>
      </c>
      <c r="AH48" s="131">
        <v>-4.3759999999999997E-3</v>
      </c>
    </row>
    <row r="49" spans="1:34" ht="12"/>
    <row r="50" spans="1:34" ht="12">
      <c r="B50" s="128" t="s">
        <v>819</v>
      </c>
    </row>
    <row r="51" spans="1:34" ht="14.5">
      <c r="A51" s="17" t="s">
        <v>820</v>
      </c>
      <c r="B51" s="129" t="s">
        <v>84</v>
      </c>
      <c r="C51" s="130">
        <v>17.708587999999999</v>
      </c>
      <c r="D51" s="130">
        <v>17.735790000000001</v>
      </c>
      <c r="E51" s="130">
        <v>17.772366999999999</v>
      </c>
      <c r="F51" s="130">
        <v>17.757168</v>
      </c>
      <c r="G51" s="130">
        <v>17.440514</v>
      </c>
      <c r="H51" s="130">
        <v>16.906562999999998</v>
      </c>
      <c r="I51" s="130">
        <v>16.321712000000002</v>
      </c>
      <c r="J51" s="130">
        <v>16.740919000000002</v>
      </c>
      <c r="K51" s="130">
        <v>16.886804999999999</v>
      </c>
      <c r="L51" s="130">
        <v>17.092268000000001</v>
      </c>
      <c r="M51" s="130">
        <v>17.428493</v>
      </c>
      <c r="N51" s="130">
        <v>17.382967000000001</v>
      </c>
      <c r="O51" s="130">
        <v>17.607697000000002</v>
      </c>
      <c r="P51" s="130">
        <v>17.753260000000001</v>
      </c>
      <c r="Q51" s="130">
        <v>17.881567</v>
      </c>
      <c r="R51" s="130">
        <v>17.759588000000001</v>
      </c>
      <c r="S51" s="130">
        <v>17.726186999999999</v>
      </c>
      <c r="T51" s="130">
        <v>17.897390000000001</v>
      </c>
      <c r="U51" s="130">
        <v>17.993275000000001</v>
      </c>
      <c r="V51" s="130">
        <v>17.910706999999999</v>
      </c>
      <c r="W51" s="130">
        <v>18.340789999999998</v>
      </c>
      <c r="X51" s="130">
        <v>18.489763</v>
      </c>
      <c r="Y51" s="130">
        <v>18.573277000000001</v>
      </c>
      <c r="Z51" s="130">
        <v>18.707031000000001</v>
      </c>
      <c r="AA51" s="130">
        <v>18.910122000000001</v>
      </c>
      <c r="AB51" s="130">
        <v>19.160456</v>
      </c>
      <c r="AC51" s="130">
        <v>19.332260000000002</v>
      </c>
      <c r="AD51" s="130">
        <v>19.448906000000001</v>
      </c>
      <c r="AE51" s="130">
        <v>19.543752999999999</v>
      </c>
      <c r="AF51" s="130">
        <v>19.758375000000001</v>
      </c>
      <c r="AG51" s="130">
        <v>19.904820999999998</v>
      </c>
      <c r="AH51" s="131">
        <v>3.9050000000000001E-3</v>
      </c>
    </row>
    <row r="52" spans="1:34" ht="15" customHeight="1">
      <c r="A52" s="17" t="s">
        <v>821</v>
      </c>
      <c r="B52" s="129" t="s">
        <v>85</v>
      </c>
      <c r="C52" s="130">
        <v>8.2907299999999999</v>
      </c>
      <c r="D52" s="130">
        <v>8.8536610000000007</v>
      </c>
      <c r="E52" s="130">
        <v>9.7206170000000007</v>
      </c>
      <c r="F52" s="130">
        <v>10.69387</v>
      </c>
      <c r="G52" s="130">
        <v>11.372703</v>
      </c>
      <c r="H52" s="130">
        <v>11.701245</v>
      </c>
      <c r="I52" s="130">
        <v>12.102871</v>
      </c>
      <c r="J52" s="130">
        <v>12.510104999999999</v>
      </c>
      <c r="K52" s="130">
        <v>12.626429</v>
      </c>
      <c r="L52" s="130">
        <v>12.84155</v>
      </c>
      <c r="M52" s="130">
        <v>13.156910999999999</v>
      </c>
      <c r="N52" s="130">
        <v>13.264642</v>
      </c>
      <c r="O52" s="130">
        <v>13.461684999999999</v>
      </c>
      <c r="P52" s="130">
        <v>13.653866000000001</v>
      </c>
      <c r="Q52" s="130">
        <v>13.733962</v>
      </c>
      <c r="R52" s="130">
        <v>13.649095000000001</v>
      </c>
      <c r="S52" s="130">
        <v>13.591269</v>
      </c>
      <c r="T52" s="130">
        <v>13.757904999999999</v>
      </c>
      <c r="U52" s="130">
        <v>13.930717</v>
      </c>
      <c r="V52" s="130">
        <v>13.97852</v>
      </c>
      <c r="W52" s="130">
        <v>14.261134</v>
      </c>
      <c r="X52" s="130">
        <v>14.30029</v>
      </c>
      <c r="Y52" s="130">
        <v>14.296969000000001</v>
      </c>
      <c r="Z52" s="130">
        <v>14.277528999999999</v>
      </c>
      <c r="AA52" s="130">
        <v>14.328882</v>
      </c>
      <c r="AB52" s="130">
        <v>14.239768</v>
      </c>
      <c r="AC52" s="130">
        <v>14.427329</v>
      </c>
      <c r="AD52" s="130">
        <v>14.57197</v>
      </c>
      <c r="AE52" s="130">
        <v>14.66136</v>
      </c>
      <c r="AF52" s="130">
        <v>14.848314999999999</v>
      </c>
      <c r="AG52" s="130">
        <v>15.050549</v>
      </c>
      <c r="AH52" s="131">
        <v>2.0074999999999999E-2</v>
      </c>
    </row>
    <row r="53" spans="1:34" ht="15" customHeight="1">
      <c r="A53" s="17" t="s">
        <v>822</v>
      </c>
      <c r="B53" s="129" t="s">
        <v>789</v>
      </c>
      <c r="C53" s="130">
        <v>2.4475359999999999</v>
      </c>
      <c r="D53" s="130">
        <v>3.5377540000000001</v>
      </c>
      <c r="E53" s="130">
        <v>3.433262</v>
      </c>
      <c r="F53" s="130">
        <v>3.015679</v>
      </c>
      <c r="G53" s="130">
        <v>2.6849409999999998</v>
      </c>
      <c r="H53" s="130">
        <v>2.64967</v>
      </c>
      <c r="I53" s="130">
        <v>2.6746370000000002</v>
      </c>
      <c r="J53" s="130">
        <v>2.7499859999999998</v>
      </c>
      <c r="K53" s="130">
        <v>2.8047689999999998</v>
      </c>
      <c r="L53" s="130">
        <v>2.9016790000000001</v>
      </c>
      <c r="M53" s="130">
        <v>2.9613369999999999</v>
      </c>
      <c r="N53" s="130">
        <v>2.9948389999999998</v>
      </c>
      <c r="O53" s="130">
        <v>3.0135689999999999</v>
      </c>
      <c r="P53" s="130">
        <v>3.046341</v>
      </c>
      <c r="Q53" s="130">
        <v>3.0397609999999999</v>
      </c>
      <c r="R53" s="130">
        <v>3.0194350000000001</v>
      </c>
      <c r="S53" s="130">
        <v>3.0151469999999998</v>
      </c>
      <c r="T53" s="130">
        <v>2.99057</v>
      </c>
      <c r="U53" s="130">
        <v>2.965697</v>
      </c>
      <c r="V53" s="130">
        <v>2.9375529999999999</v>
      </c>
      <c r="W53" s="130">
        <v>2.921646</v>
      </c>
      <c r="X53" s="130">
        <v>2.9222980000000001</v>
      </c>
      <c r="Y53" s="130">
        <v>2.9232429999999998</v>
      </c>
      <c r="Z53" s="130">
        <v>2.9078240000000002</v>
      </c>
      <c r="AA53" s="130">
        <v>2.9255339999999999</v>
      </c>
      <c r="AB53" s="130">
        <v>2.9019879999999998</v>
      </c>
      <c r="AC53" s="130">
        <v>2.885729</v>
      </c>
      <c r="AD53" s="130">
        <v>2.8889610000000001</v>
      </c>
      <c r="AE53" s="130">
        <v>2.8487960000000001</v>
      </c>
      <c r="AF53" s="130">
        <v>2.8097089999999998</v>
      </c>
      <c r="AG53" s="130">
        <v>2.824214</v>
      </c>
      <c r="AH53" s="131">
        <v>4.7829999999999999E-3</v>
      </c>
    </row>
    <row r="54" spans="1:34" ht="15" customHeight="1">
      <c r="A54" s="17" t="s">
        <v>823</v>
      </c>
      <c r="B54" s="129" t="s">
        <v>824</v>
      </c>
      <c r="C54" s="130">
        <v>1.9139900000000001</v>
      </c>
      <c r="D54" s="130">
        <v>1.992829</v>
      </c>
      <c r="E54" s="130">
        <v>1.9976529999999999</v>
      </c>
      <c r="F54" s="130">
        <v>1.922558</v>
      </c>
      <c r="G54" s="130">
        <v>1.8888240000000001</v>
      </c>
      <c r="H54" s="130">
        <v>1.808135</v>
      </c>
      <c r="I54" s="130">
        <v>1.7887230000000001</v>
      </c>
      <c r="J54" s="130">
        <v>1.771312</v>
      </c>
      <c r="K54" s="130">
        <v>1.730594</v>
      </c>
      <c r="L54" s="130">
        <v>1.7246509999999999</v>
      </c>
      <c r="M54" s="130">
        <v>1.720315</v>
      </c>
      <c r="N54" s="130">
        <v>1.7246379999999999</v>
      </c>
      <c r="O54" s="130">
        <v>1.700455</v>
      </c>
      <c r="P54" s="130">
        <v>1.6854579999999999</v>
      </c>
      <c r="Q54" s="130">
        <v>1.6802440000000001</v>
      </c>
      <c r="R54" s="130">
        <v>1.665702</v>
      </c>
      <c r="S54" s="130">
        <v>1.655894</v>
      </c>
      <c r="T54" s="130">
        <v>1.6545019999999999</v>
      </c>
      <c r="U54" s="130">
        <v>1.6677360000000001</v>
      </c>
      <c r="V54" s="130">
        <v>1.664871</v>
      </c>
      <c r="W54" s="130">
        <v>1.6638310000000001</v>
      </c>
      <c r="X54" s="130">
        <v>1.66272</v>
      </c>
      <c r="Y54" s="130">
        <v>1.6576850000000001</v>
      </c>
      <c r="Z54" s="130">
        <v>1.6561950000000001</v>
      </c>
      <c r="AA54" s="130">
        <v>1.6538379999999999</v>
      </c>
      <c r="AB54" s="130">
        <v>1.64913</v>
      </c>
      <c r="AC54" s="130">
        <v>1.647008</v>
      </c>
      <c r="AD54" s="130">
        <v>1.6447270000000001</v>
      </c>
      <c r="AE54" s="130">
        <v>1.6342840000000001</v>
      </c>
      <c r="AF54" s="130">
        <v>1.631901</v>
      </c>
      <c r="AG54" s="130">
        <v>1.6306769999999999</v>
      </c>
      <c r="AH54" s="131">
        <v>-5.326E-3</v>
      </c>
    </row>
    <row r="55" spans="1:34" ht="15" customHeight="1">
      <c r="A55" s="17" t="s">
        <v>825</v>
      </c>
      <c r="B55" s="129" t="s">
        <v>826</v>
      </c>
      <c r="C55" s="130">
        <v>0.68612300000000004</v>
      </c>
      <c r="D55" s="130">
        <v>0.68712899999999999</v>
      </c>
      <c r="E55" s="130">
        <v>0.68813500000000005</v>
      </c>
      <c r="F55" s="130">
        <v>0.69014699999999995</v>
      </c>
      <c r="G55" s="130">
        <v>0.69115300000000002</v>
      </c>
      <c r="H55" s="130">
        <v>0.69316500000000003</v>
      </c>
      <c r="I55" s="130">
        <v>0.69417099999999998</v>
      </c>
      <c r="J55" s="130">
        <v>0.696183</v>
      </c>
      <c r="K55" s="130">
        <v>0.69718899999999995</v>
      </c>
      <c r="L55" s="130">
        <v>0.69920099999999996</v>
      </c>
      <c r="M55" s="130">
        <v>0.70121299999999998</v>
      </c>
      <c r="N55" s="130">
        <v>0.70221900000000004</v>
      </c>
      <c r="O55" s="130">
        <v>0.70423100000000005</v>
      </c>
      <c r="P55" s="130">
        <v>0.70624299999999995</v>
      </c>
      <c r="Q55" s="130">
        <v>0.70725000000000005</v>
      </c>
      <c r="R55" s="130">
        <v>0.70926199999999995</v>
      </c>
      <c r="S55" s="130">
        <v>0.71127399999999996</v>
      </c>
      <c r="T55" s="130">
        <v>0.71228000000000002</v>
      </c>
      <c r="U55" s="130">
        <v>0.71429200000000004</v>
      </c>
      <c r="V55" s="130">
        <v>0.71630400000000005</v>
      </c>
      <c r="W55" s="130">
        <v>0.71831599999999995</v>
      </c>
      <c r="X55" s="130">
        <v>0.72032799999999997</v>
      </c>
      <c r="Y55" s="130">
        <v>0.72233999999999998</v>
      </c>
      <c r="Z55" s="130">
        <v>0.724352</v>
      </c>
      <c r="AA55" s="130">
        <v>0.72636400000000001</v>
      </c>
      <c r="AB55" s="130">
        <v>0.72837600000000002</v>
      </c>
      <c r="AC55" s="130">
        <v>0.73038899999999995</v>
      </c>
      <c r="AD55" s="130">
        <v>0.73240099999999997</v>
      </c>
      <c r="AE55" s="130">
        <v>0.73441299999999998</v>
      </c>
      <c r="AF55" s="130">
        <v>0.736425</v>
      </c>
      <c r="AG55" s="130">
        <v>0.73843700000000001</v>
      </c>
      <c r="AH55" s="131">
        <v>2.4520000000000002E-3</v>
      </c>
    </row>
    <row r="58" spans="1:34" ht="15" customHeight="1">
      <c r="B58" s="128" t="s">
        <v>827</v>
      </c>
    </row>
    <row r="59" spans="1:34" ht="15" customHeight="1">
      <c r="A59" s="17" t="s">
        <v>828</v>
      </c>
      <c r="B59" s="129" t="s">
        <v>82</v>
      </c>
      <c r="C59" s="130">
        <v>14.345898999999999</v>
      </c>
      <c r="D59" s="130">
        <v>14.713685</v>
      </c>
      <c r="E59" s="130">
        <v>15.243047000000001</v>
      </c>
      <c r="F59" s="130">
        <v>14.460915</v>
      </c>
      <c r="G59" s="130">
        <v>14.477819999999999</v>
      </c>
      <c r="H59" s="130">
        <v>14.54909</v>
      </c>
      <c r="I59" s="130">
        <v>14.412589000000001</v>
      </c>
      <c r="J59" s="130">
        <v>14.35487</v>
      </c>
      <c r="K59" s="130">
        <v>14.495398</v>
      </c>
      <c r="L59" s="130">
        <v>14.655359000000001</v>
      </c>
      <c r="M59" s="130">
        <v>15.206007</v>
      </c>
      <c r="N59" s="130">
        <v>15.418426999999999</v>
      </c>
      <c r="O59" s="130">
        <v>15.603514000000001</v>
      </c>
      <c r="P59" s="130">
        <v>15.762777</v>
      </c>
      <c r="Q59" s="130">
        <v>15.921435000000001</v>
      </c>
      <c r="R59" s="130">
        <v>15.985692</v>
      </c>
      <c r="S59" s="130">
        <v>16.117588000000001</v>
      </c>
      <c r="T59" s="130">
        <v>16.395572999999999</v>
      </c>
      <c r="U59" s="130">
        <v>16.597930999999999</v>
      </c>
      <c r="V59" s="130">
        <v>16.714835999999998</v>
      </c>
      <c r="W59" s="130">
        <v>16.862282</v>
      </c>
      <c r="X59" s="130">
        <v>17.012253000000001</v>
      </c>
      <c r="Y59" s="130">
        <v>17.148232</v>
      </c>
      <c r="Z59" s="130">
        <v>17.174129000000001</v>
      </c>
      <c r="AA59" s="130">
        <v>17.310279999999999</v>
      </c>
      <c r="AB59" s="130">
        <v>17.405563000000001</v>
      </c>
      <c r="AC59" s="130">
        <v>17.561202999999999</v>
      </c>
      <c r="AD59" s="130">
        <v>17.719315000000002</v>
      </c>
      <c r="AE59" s="130">
        <v>17.866385999999999</v>
      </c>
      <c r="AF59" s="130">
        <v>18.056528</v>
      </c>
      <c r="AG59" s="130">
        <v>18.228179999999998</v>
      </c>
      <c r="AH59" s="131">
        <v>8.0149999999999996E-3</v>
      </c>
    </row>
    <row r="60" spans="1:34" ht="15" customHeight="1">
      <c r="A60" s="17" t="s">
        <v>829</v>
      </c>
      <c r="B60" s="129" t="s">
        <v>88</v>
      </c>
      <c r="C60" s="130">
        <v>21.197994000000001</v>
      </c>
      <c r="D60" s="130">
        <v>22.2544</v>
      </c>
      <c r="E60" s="130">
        <v>23.610071000000001</v>
      </c>
      <c r="F60" s="130">
        <v>23.112133</v>
      </c>
      <c r="G60" s="130">
        <v>22.835497</v>
      </c>
      <c r="H60" s="130">
        <v>22.609148000000001</v>
      </c>
      <c r="I60" s="130">
        <v>22.527273000000001</v>
      </c>
      <c r="J60" s="130">
        <v>23.046517999999999</v>
      </c>
      <c r="K60" s="130">
        <v>23.283846</v>
      </c>
      <c r="L60" s="130">
        <v>23.639156</v>
      </c>
      <c r="M60" s="130">
        <v>24.640180999999998</v>
      </c>
      <c r="N60" s="130">
        <v>24.558274999999998</v>
      </c>
      <c r="O60" s="130">
        <v>24.877409</v>
      </c>
      <c r="P60" s="130">
        <v>25.090036000000001</v>
      </c>
      <c r="Q60" s="130">
        <v>25.613430000000001</v>
      </c>
      <c r="R60" s="130">
        <v>25.302700000000002</v>
      </c>
      <c r="S60" s="130">
        <v>25.378855000000001</v>
      </c>
      <c r="T60" s="130">
        <v>25.663869999999999</v>
      </c>
      <c r="U60" s="130">
        <v>25.927429</v>
      </c>
      <c r="V60" s="130">
        <v>25.975618000000001</v>
      </c>
      <c r="W60" s="130">
        <v>26.159890999999998</v>
      </c>
      <c r="X60" s="130">
        <v>26.357863999999999</v>
      </c>
      <c r="Y60" s="130">
        <v>26.34479</v>
      </c>
      <c r="Z60" s="130">
        <v>26.476631000000001</v>
      </c>
      <c r="AA60" s="130">
        <v>26.680527000000001</v>
      </c>
      <c r="AB60" s="130">
        <v>26.959340999999998</v>
      </c>
      <c r="AC60" s="130">
        <v>27.088846</v>
      </c>
      <c r="AD60" s="130">
        <v>27.212554999999998</v>
      </c>
      <c r="AE60" s="130">
        <v>27.351645000000001</v>
      </c>
      <c r="AF60" s="130">
        <v>27.548573000000001</v>
      </c>
      <c r="AG60" s="130">
        <v>27.762180000000001</v>
      </c>
      <c r="AH60" s="131">
        <v>9.0329999999999994E-3</v>
      </c>
    </row>
    <row r="61" spans="1:34" ht="15" customHeight="1">
      <c r="A61" s="17" t="s">
        <v>830</v>
      </c>
      <c r="B61" s="129" t="s">
        <v>89</v>
      </c>
      <c r="C61" s="130">
        <v>18.741726</v>
      </c>
      <c r="D61" s="130">
        <v>19.573618</v>
      </c>
      <c r="E61" s="130">
        <v>19.847180999999999</v>
      </c>
      <c r="F61" s="130">
        <v>19.730119999999999</v>
      </c>
      <c r="G61" s="130">
        <v>19.552361000000001</v>
      </c>
      <c r="H61" s="130">
        <v>19.410413999999999</v>
      </c>
      <c r="I61" s="130">
        <v>19.379324</v>
      </c>
      <c r="J61" s="130">
        <v>19.811895</v>
      </c>
      <c r="K61" s="130">
        <v>19.996117000000002</v>
      </c>
      <c r="L61" s="130">
        <v>20.277868000000002</v>
      </c>
      <c r="M61" s="130">
        <v>21.256985</v>
      </c>
      <c r="N61" s="130">
        <v>21.163912</v>
      </c>
      <c r="O61" s="130">
        <v>21.433541999999999</v>
      </c>
      <c r="P61" s="130">
        <v>21.589587999999999</v>
      </c>
      <c r="Q61" s="130">
        <v>22.011628999999999</v>
      </c>
      <c r="R61" s="130">
        <v>21.731033</v>
      </c>
      <c r="S61" s="130">
        <v>21.780111000000002</v>
      </c>
      <c r="T61" s="130">
        <v>22.012319999999999</v>
      </c>
      <c r="U61" s="130">
        <v>22.22261</v>
      </c>
      <c r="V61" s="130">
        <v>22.25421</v>
      </c>
      <c r="W61" s="130">
        <v>22.401754</v>
      </c>
      <c r="X61" s="130">
        <v>22.555140000000002</v>
      </c>
      <c r="Y61" s="130">
        <v>22.531652000000001</v>
      </c>
      <c r="Z61" s="130">
        <v>22.631084000000001</v>
      </c>
      <c r="AA61" s="130">
        <v>22.791840000000001</v>
      </c>
      <c r="AB61" s="130">
        <v>23.004425000000001</v>
      </c>
      <c r="AC61" s="130">
        <v>23.083075000000001</v>
      </c>
      <c r="AD61" s="130">
        <v>23.182410999999998</v>
      </c>
      <c r="AE61" s="130">
        <v>23.269247</v>
      </c>
      <c r="AF61" s="130">
        <v>23.436558000000002</v>
      </c>
      <c r="AG61" s="130">
        <v>23.606294999999999</v>
      </c>
      <c r="AH61" s="131">
        <v>7.7219999999999997E-3</v>
      </c>
    </row>
    <row r="62" spans="1:34" ht="15" customHeight="1">
      <c r="A62" s="17" t="s">
        <v>831</v>
      </c>
      <c r="B62" s="129" t="s">
        <v>90</v>
      </c>
      <c r="C62" s="130">
        <v>9.5686540000000004</v>
      </c>
      <c r="D62" s="130">
        <v>10.382089000000001</v>
      </c>
      <c r="E62" s="130">
        <v>11.359349</v>
      </c>
      <c r="F62" s="130">
        <v>12.190462</v>
      </c>
      <c r="G62" s="130">
        <v>12.696320999999999</v>
      </c>
      <c r="H62" s="130">
        <v>12.903029999999999</v>
      </c>
      <c r="I62" s="130">
        <v>13.260797</v>
      </c>
      <c r="J62" s="130">
        <v>13.761744</v>
      </c>
      <c r="K62" s="130">
        <v>14.027101</v>
      </c>
      <c r="L62" s="130">
        <v>14.319986</v>
      </c>
      <c r="M62" s="130">
        <v>14.720231999999999</v>
      </c>
      <c r="N62" s="130">
        <v>14.946351</v>
      </c>
      <c r="O62" s="130">
        <v>15.259788</v>
      </c>
      <c r="P62" s="130">
        <v>15.467662000000001</v>
      </c>
      <c r="Q62" s="130">
        <v>15.60177</v>
      </c>
      <c r="R62" s="130">
        <v>15.515354</v>
      </c>
      <c r="S62" s="130">
        <v>15.477219</v>
      </c>
      <c r="T62" s="130">
        <v>15.705437999999999</v>
      </c>
      <c r="U62" s="130">
        <v>15.944727</v>
      </c>
      <c r="V62" s="130">
        <v>15.870374999999999</v>
      </c>
      <c r="W62" s="130">
        <v>16.294031</v>
      </c>
      <c r="X62" s="130">
        <v>16.474257999999999</v>
      </c>
      <c r="Y62" s="130">
        <v>16.612787000000001</v>
      </c>
      <c r="Z62" s="130">
        <v>16.803795000000001</v>
      </c>
      <c r="AA62" s="130">
        <v>17.055935000000002</v>
      </c>
      <c r="AB62" s="130">
        <v>17.333383999999999</v>
      </c>
      <c r="AC62" s="130">
        <v>17.508016999999999</v>
      </c>
      <c r="AD62" s="130">
        <v>17.640877</v>
      </c>
      <c r="AE62" s="130">
        <v>17.718878</v>
      </c>
      <c r="AF62" s="130">
        <v>17.919551999999999</v>
      </c>
      <c r="AG62" s="130">
        <v>18.078150000000001</v>
      </c>
      <c r="AH62" s="131">
        <v>2.1433000000000001E-2</v>
      </c>
    </row>
    <row r="63" spans="1:34" ht="15" customHeight="1">
      <c r="A63" s="17" t="s">
        <v>832</v>
      </c>
      <c r="B63" s="129" t="s">
        <v>84</v>
      </c>
      <c r="C63" s="130">
        <v>18.18478</v>
      </c>
      <c r="D63" s="130">
        <v>18.15044</v>
      </c>
      <c r="E63" s="130">
        <v>18.691106999999999</v>
      </c>
      <c r="F63" s="130">
        <v>19.695511</v>
      </c>
      <c r="G63" s="130">
        <v>19.908745</v>
      </c>
      <c r="H63" s="130">
        <v>19.860835999999999</v>
      </c>
      <c r="I63" s="130">
        <v>19.983017</v>
      </c>
      <c r="J63" s="130">
        <v>20.39817</v>
      </c>
      <c r="K63" s="130">
        <v>20.586687000000001</v>
      </c>
      <c r="L63" s="130">
        <v>20.817989000000001</v>
      </c>
      <c r="M63" s="130">
        <v>21.381784</v>
      </c>
      <c r="N63" s="130">
        <v>21.479427000000001</v>
      </c>
      <c r="O63" s="130">
        <v>21.722721</v>
      </c>
      <c r="P63" s="130">
        <v>21.850819000000001</v>
      </c>
      <c r="Q63" s="130">
        <v>21.951104999999998</v>
      </c>
      <c r="R63" s="130">
        <v>21.765625</v>
      </c>
      <c r="S63" s="130">
        <v>21.643816000000001</v>
      </c>
      <c r="T63" s="130">
        <v>21.794834000000002</v>
      </c>
      <c r="U63" s="130">
        <v>21.965029000000001</v>
      </c>
      <c r="V63" s="130">
        <v>21.811845999999999</v>
      </c>
      <c r="W63" s="130">
        <v>22.161391999999999</v>
      </c>
      <c r="X63" s="130">
        <v>22.279399999999999</v>
      </c>
      <c r="Y63" s="130">
        <v>22.364939</v>
      </c>
      <c r="Z63" s="130">
        <v>22.489794</v>
      </c>
      <c r="AA63" s="130">
        <v>22.653406</v>
      </c>
      <c r="AB63" s="130">
        <v>22.892004</v>
      </c>
      <c r="AC63" s="130">
        <v>23.013697000000001</v>
      </c>
      <c r="AD63" s="130">
        <v>23.111158</v>
      </c>
      <c r="AE63" s="130">
        <v>23.160799000000001</v>
      </c>
      <c r="AF63" s="130">
        <v>23.327538000000001</v>
      </c>
      <c r="AG63" s="130">
        <v>23.461897</v>
      </c>
      <c r="AH63" s="131">
        <v>8.5290000000000001E-3</v>
      </c>
    </row>
    <row r="64" spans="1:34" ht="15" customHeight="1">
      <c r="A64" s="17" t="s">
        <v>833</v>
      </c>
      <c r="B64" s="129" t="s">
        <v>85</v>
      </c>
      <c r="C64" s="130">
        <v>8.8440189999999994</v>
      </c>
      <c r="D64" s="130">
        <v>6.948499</v>
      </c>
      <c r="E64" s="130">
        <v>7.2065910000000004</v>
      </c>
      <c r="F64" s="130">
        <v>8.2569800000000004</v>
      </c>
      <c r="G64" s="130">
        <v>9.4059039999999996</v>
      </c>
      <c r="H64" s="130">
        <v>9.4920840000000002</v>
      </c>
      <c r="I64" s="130">
        <v>9.7995339999999995</v>
      </c>
      <c r="J64" s="130">
        <v>10.292654000000001</v>
      </c>
      <c r="K64" s="130">
        <v>10.398303</v>
      </c>
      <c r="L64" s="130">
        <v>11.087937</v>
      </c>
      <c r="M64" s="130">
        <v>11.440716999999999</v>
      </c>
      <c r="N64" s="130">
        <v>11.198093</v>
      </c>
      <c r="O64" s="130">
        <v>11.482384</v>
      </c>
      <c r="P64" s="130">
        <v>11.61646</v>
      </c>
      <c r="Q64" s="130">
        <v>12.002509</v>
      </c>
      <c r="R64" s="130">
        <v>11.670424000000001</v>
      </c>
      <c r="S64" s="130">
        <v>11.776406</v>
      </c>
      <c r="T64" s="130">
        <v>11.921858</v>
      </c>
      <c r="U64" s="130">
        <v>12.109484</v>
      </c>
      <c r="V64" s="130">
        <v>12.24009</v>
      </c>
      <c r="W64" s="130">
        <v>12.432967</v>
      </c>
      <c r="X64" s="130">
        <v>12.48371</v>
      </c>
      <c r="Y64" s="130">
        <v>12.711926</v>
      </c>
      <c r="Z64" s="130">
        <v>13.016185999999999</v>
      </c>
      <c r="AA64" s="130">
        <v>13.303496000000001</v>
      </c>
      <c r="AB64" s="130">
        <v>13.280557999999999</v>
      </c>
      <c r="AC64" s="130">
        <v>13.835614</v>
      </c>
      <c r="AD64" s="130">
        <v>13.919657000000001</v>
      </c>
      <c r="AE64" s="130">
        <v>13.972842999999999</v>
      </c>
      <c r="AF64" s="130">
        <v>14.140262999999999</v>
      </c>
      <c r="AG64" s="130">
        <v>14.360459000000001</v>
      </c>
      <c r="AH64" s="131">
        <v>1.6289000000000001E-2</v>
      </c>
    </row>
    <row r="65" spans="1:34" ht="15" customHeight="1">
      <c r="A65" s="17" t="s">
        <v>834</v>
      </c>
      <c r="B65" s="129" t="s">
        <v>789</v>
      </c>
      <c r="C65" s="130">
        <v>4.5302720000000001</v>
      </c>
      <c r="D65" s="130">
        <v>5.5292370000000002</v>
      </c>
      <c r="E65" s="130">
        <v>5.4028390000000002</v>
      </c>
      <c r="F65" s="130">
        <v>4.9624069999999998</v>
      </c>
      <c r="G65" s="130">
        <v>4.6136220000000003</v>
      </c>
      <c r="H65" s="130">
        <v>4.5179109999999998</v>
      </c>
      <c r="I65" s="130">
        <v>4.5198349999999996</v>
      </c>
      <c r="J65" s="130">
        <v>4.5829969999999998</v>
      </c>
      <c r="K65" s="130">
        <v>4.6368559999999999</v>
      </c>
      <c r="L65" s="130">
        <v>4.7259060000000002</v>
      </c>
      <c r="M65" s="130">
        <v>4.8611329999999997</v>
      </c>
      <c r="N65" s="130">
        <v>4.8851959999999996</v>
      </c>
      <c r="O65" s="130">
        <v>4.9055540000000004</v>
      </c>
      <c r="P65" s="130">
        <v>4.9442839999999997</v>
      </c>
      <c r="Q65" s="130">
        <v>4.9354050000000003</v>
      </c>
      <c r="R65" s="130">
        <v>4.9149750000000001</v>
      </c>
      <c r="S65" s="130">
        <v>4.9045930000000002</v>
      </c>
      <c r="T65" s="130">
        <v>4.8734120000000001</v>
      </c>
      <c r="U65" s="130">
        <v>4.838724</v>
      </c>
      <c r="V65" s="130">
        <v>4.80314</v>
      </c>
      <c r="W65" s="130">
        <v>4.7789950000000001</v>
      </c>
      <c r="X65" s="130">
        <v>4.7718860000000003</v>
      </c>
      <c r="Y65" s="130">
        <v>4.7653359999999996</v>
      </c>
      <c r="Z65" s="130">
        <v>4.7378220000000004</v>
      </c>
      <c r="AA65" s="130">
        <v>4.7295059999999998</v>
      </c>
      <c r="AB65" s="130">
        <v>4.7014699999999996</v>
      </c>
      <c r="AC65" s="130">
        <v>4.6844190000000001</v>
      </c>
      <c r="AD65" s="130">
        <v>4.6855640000000003</v>
      </c>
      <c r="AE65" s="130">
        <v>4.6444729999999996</v>
      </c>
      <c r="AF65" s="130">
        <v>4.6179170000000003</v>
      </c>
      <c r="AG65" s="130">
        <v>4.6252959999999996</v>
      </c>
      <c r="AH65" s="131">
        <v>6.9200000000000002E-4</v>
      </c>
    </row>
    <row r="66" spans="1:34" ht="15" customHeight="1">
      <c r="A66" s="17" t="s">
        <v>835</v>
      </c>
      <c r="B66" s="129" t="s">
        <v>804</v>
      </c>
      <c r="C66" s="130">
        <v>4.0174000000000003</v>
      </c>
      <c r="D66" s="130">
        <v>3.598935</v>
      </c>
      <c r="E66" s="130">
        <v>3.356058</v>
      </c>
      <c r="F66" s="130">
        <v>3.2078790000000001</v>
      </c>
      <c r="G66" s="130">
        <v>3.117534</v>
      </c>
      <c r="H66" s="130">
        <v>3.070951</v>
      </c>
      <c r="I66" s="130">
        <v>3.0295830000000001</v>
      </c>
      <c r="J66" s="130">
        <v>3.0136099999999999</v>
      </c>
      <c r="K66" s="130">
        <v>3.014059</v>
      </c>
      <c r="L66" s="130">
        <v>3.0367769999999998</v>
      </c>
      <c r="M66" s="130">
        <v>3.0668120000000001</v>
      </c>
      <c r="N66" s="130">
        <v>3.1021339999999999</v>
      </c>
      <c r="O66" s="130">
        <v>3.1370369999999999</v>
      </c>
      <c r="P66" s="130">
        <v>3.1691760000000002</v>
      </c>
      <c r="Q66" s="130">
        <v>3.1995740000000001</v>
      </c>
      <c r="R66" s="130">
        <v>3.23061</v>
      </c>
      <c r="S66" s="130">
        <v>3.2614040000000002</v>
      </c>
      <c r="T66" s="130">
        <v>3.2944689999999999</v>
      </c>
      <c r="U66" s="130">
        <v>3.3282949999999998</v>
      </c>
      <c r="V66" s="130">
        <v>3.36151</v>
      </c>
      <c r="W66" s="130">
        <v>3.3950330000000002</v>
      </c>
      <c r="X66" s="130">
        <v>3.4296359999999999</v>
      </c>
      <c r="Y66" s="130">
        <v>3.4663460000000001</v>
      </c>
      <c r="Z66" s="130">
        <v>3.5055459999999998</v>
      </c>
      <c r="AA66" s="130">
        <v>3.5455589999999999</v>
      </c>
      <c r="AB66" s="130">
        <v>3.5867200000000001</v>
      </c>
      <c r="AC66" s="130">
        <v>3.6247240000000001</v>
      </c>
      <c r="AD66" s="130">
        <v>3.6615160000000002</v>
      </c>
      <c r="AE66" s="130">
        <v>3.6991040000000002</v>
      </c>
      <c r="AF66" s="130">
        <v>3.7375989999999999</v>
      </c>
      <c r="AG66" s="130">
        <v>3.7801840000000002</v>
      </c>
      <c r="AH66" s="131">
        <v>-2.0270000000000002E-3</v>
      </c>
    </row>
    <row r="67" spans="1:34" ht="15" customHeight="1">
      <c r="A67" s="17" t="s">
        <v>836</v>
      </c>
      <c r="B67" s="129" t="s">
        <v>837</v>
      </c>
      <c r="C67" s="130">
        <v>1.9738340000000001</v>
      </c>
      <c r="D67" s="130">
        <v>2.0376210000000001</v>
      </c>
      <c r="E67" s="130">
        <v>2.0439189999999998</v>
      </c>
      <c r="F67" s="130">
        <v>1.983716</v>
      </c>
      <c r="G67" s="130">
        <v>1.96444</v>
      </c>
      <c r="H67" s="130">
        <v>1.912539</v>
      </c>
      <c r="I67" s="130">
        <v>1.892117</v>
      </c>
      <c r="J67" s="130">
        <v>1.877834</v>
      </c>
      <c r="K67" s="130">
        <v>1.838427</v>
      </c>
      <c r="L67" s="130">
        <v>1.831164</v>
      </c>
      <c r="M67" s="130">
        <v>1.826424</v>
      </c>
      <c r="N67" s="130">
        <v>1.8310340000000001</v>
      </c>
      <c r="O67" s="130">
        <v>1.8095950000000001</v>
      </c>
      <c r="P67" s="130">
        <v>1.7954570000000001</v>
      </c>
      <c r="Q67" s="130">
        <v>1.792116</v>
      </c>
      <c r="R67" s="130">
        <v>1.7822800000000001</v>
      </c>
      <c r="S67" s="130">
        <v>1.7752669999999999</v>
      </c>
      <c r="T67" s="130">
        <v>1.77634</v>
      </c>
      <c r="U67" s="130">
        <v>1.7911250000000001</v>
      </c>
      <c r="V67" s="130">
        <v>1.789499</v>
      </c>
      <c r="W67" s="130">
        <v>1.7905279999999999</v>
      </c>
      <c r="X67" s="130">
        <v>1.791391</v>
      </c>
      <c r="Y67" s="130">
        <v>1.7899910000000001</v>
      </c>
      <c r="Z67" s="130">
        <v>1.7912699999999999</v>
      </c>
      <c r="AA67" s="130">
        <v>1.7920750000000001</v>
      </c>
      <c r="AB67" s="130">
        <v>1.7937190000000001</v>
      </c>
      <c r="AC67" s="130">
        <v>1.794313</v>
      </c>
      <c r="AD67" s="130">
        <v>1.7947979999999999</v>
      </c>
      <c r="AE67" s="130">
        <v>1.7898829999999999</v>
      </c>
      <c r="AF67" s="130">
        <v>1.791704</v>
      </c>
      <c r="AG67" s="130">
        <v>1.792621</v>
      </c>
      <c r="AH67" s="131">
        <v>-3.2049999999999999E-3</v>
      </c>
    </row>
    <row r="68" spans="1:34" ht="14.5">
      <c r="A68" s="17" t="s">
        <v>838</v>
      </c>
      <c r="B68" s="129" t="s">
        <v>808</v>
      </c>
      <c r="C68" s="131" t="s">
        <v>447</v>
      </c>
      <c r="D68" s="131" t="s">
        <v>447</v>
      </c>
      <c r="E68" s="131" t="s">
        <v>447</v>
      </c>
      <c r="F68" s="131" t="s">
        <v>447</v>
      </c>
      <c r="G68" s="131" t="s">
        <v>447</v>
      </c>
      <c r="H68" s="131" t="s">
        <v>447</v>
      </c>
      <c r="I68" s="131" t="s">
        <v>447</v>
      </c>
      <c r="J68" s="131" t="s">
        <v>447</v>
      </c>
      <c r="K68" s="131" t="s">
        <v>447</v>
      </c>
      <c r="L68" s="131" t="s">
        <v>447</v>
      </c>
      <c r="M68" s="131" t="s">
        <v>447</v>
      </c>
      <c r="N68" s="131" t="s">
        <v>447</v>
      </c>
      <c r="O68" s="131" t="s">
        <v>447</v>
      </c>
      <c r="P68" s="131" t="s">
        <v>447</v>
      </c>
      <c r="Q68" s="131" t="s">
        <v>447</v>
      </c>
      <c r="R68" s="131" t="s">
        <v>447</v>
      </c>
      <c r="S68" s="131" t="s">
        <v>447</v>
      </c>
      <c r="T68" s="131" t="s">
        <v>447</v>
      </c>
      <c r="U68" s="131" t="s">
        <v>447</v>
      </c>
      <c r="V68" s="131" t="s">
        <v>447</v>
      </c>
      <c r="W68" s="131" t="s">
        <v>447</v>
      </c>
      <c r="X68" s="131" t="s">
        <v>447</v>
      </c>
      <c r="Y68" s="131" t="s">
        <v>447</v>
      </c>
      <c r="Z68" s="131" t="s">
        <v>447</v>
      </c>
      <c r="AA68" s="131" t="s">
        <v>447</v>
      </c>
      <c r="AB68" s="131" t="s">
        <v>447</v>
      </c>
      <c r="AC68" s="131" t="s">
        <v>447</v>
      </c>
      <c r="AD68" s="131" t="s">
        <v>447</v>
      </c>
      <c r="AE68" s="131" t="s">
        <v>447</v>
      </c>
      <c r="AF68" s="131" t="s">
        <v>447</v>
      </c>
      <c r="AG68" s="131" t="s">
        <v>447</v>
      </c>
      <c r="AH68" s="131" t="s">
        <v>447</v>
      </c>
    </row>
    <row r="69" spans="1:34" ht="15" customHeight="1">
      <c r="A69" s="17" t="s">
        <v>839</v>
      </c>
      <c r="B69" s="129" t="s">
        <v>791</v>
      </c>
      <c r="C69" s="130">
        <v>30.523893000000001</v>
      </c>
      <c r="D69" s="130">
        <v>31.073757000000001</v>
      </c>
      <c r="E69" s="130">
        <v>30.644400000000001</v>
      </c>
      <c r="F69" s="130">
        <v>30.064250999999999</v>
      </c>
      <c r="G69" s="130">
        <v>29.625053000000001</v>
      </c>
      <c r="H69" s="130">
        <v>29.354122</v>
      </c>
      <c r="I69" s="130">
        <v>29.175063999999999</v>
      </c>
      <c r="J69" s="130">
        <v>29.083216</v>
      </c>
      <c r="K69" s="130">
        <v>28.980820000000001</v>
      </c>
      <c r="L69" s="130">
        <v>28.902287999999999</v>
      </c>
      <c r="M69" s="130">
        <v>28.841974</v>
      </c>
      <c r="N69" s="130">
        <v>28.919063999999999</v>
      </c>
      <c r="O69" s="130">
        <v>28.865849999999998</v>
      </c>
      <c r="P69" s="130">
        <v>28.825009999999999</v>
      </c>
      <c r="Q69" s="130">
        <v>28.718841999999999</v>
      </c>
      <c r="R69" s="130">
        <v>28.568573000000001</v>
      </c>
      <c r="S69" s="130">
        <v>28.420290000000001</v>
      </c>
      <c r="T69" s="130">
        <v>28.288022999999999</v>
      </c>
      <c r="U69" s="130">
        <v>28.189094999999998</v>
      </c>
      <c r="V69" s="130">
        <v>28.082899000000001</v>
      </c>
      <c r="W69" s="130">
        <v>27.978746000000001</v>
      </c>
      <c r="X69" s="130">
        <v>27.888967999999998</v>
      </c>
      <c r="Y69" s="130">
        <v>27.78153</v>
      </c>
      <c r="Z69" s="130">
        <v>27.658246999999999</v>
      </c>
      <c r="AA69" s="130">
        <v>27.550391999999999</v>
      </c>
      <c r="AB69" s="130">
        <v>27.461987000000001</v>
      </c>
      <c r="AC69" s="130">
        <v>27.334007</v>
      </c>
      <c r="AD69" s="130">
        <v>27.199771999999999</v>
      </c>
      <c r="AE69" s="130">
        <v>27.024487000000001</v>
      </c>
      <c r="AF69" s="130">
        <v>26.797374999999999</v>
      </c>
      <c r="AG69" s="130">
        <v>26.609511999999999</v>
      </c>
      <c r="AH69" s="131">
        <v>-4.5640000000000003E-3</v>
      </c>
    </row>
    <row r="71" spans="1:34" ht="15" customHeight="1">
      <c r="B71" s="128" t="s">
        <v>92</v>
      </c>
    </row>
    <row r="72" spans="1:34" ht="15" customHeight="1">
      <c r="B72" s="128" t="s">
        <v>840</v>
      </c>
    </row>
    <row r="73" spans="1:34" ht="15" customHeight="1">
      <c r="A73" s="17" t="s">
        <v>841</v>
      </c>
      <c r="B73" s="129" t="s">
        <v>81</v>
      </c>
      <c r="C73" s="132">
        <v>246.62069700000001</v>
      </c>
      <c r="D73" s="132">
        <v>253.130234</v>
      </c>
      <c r="E73" s="132">
        <v>252.01663199999999</v>
      </c>
      <c r="F73" s="132">
        <v>249.833527</v>
      </c>
      <c r="G73" s="132">
        <v>248.12788399999999</v>
      </c>
      <c r="H73" s="132">
        <v>248.284515</v>
      </c>
      <c r="I73" s="132">
        <v>249.34051500000001</v>
      </c>
      <c r="J73" s="132">
        <v>250.656158</v>
      </c>
      <c r="K73" s="132">
        <v>251.75119000000001</v>
      </c>
      <c r="L73" s="132">
        <v>253.27865600000001</v>
      </c>
      <c r="M73" s="132">
        <v>256.011414</v>
      </c>
      <c r="N73" s="132">
        <v>257.78015099999999</v>
      </c>
      <c r="O73" s="132">
        <v>259.22811899999999</v>
      </c>
      <c r="P73" s="132">
        <v>260.54663099999999</v>
      </c>
      <c r="Q73" s="132">
        <v>261.635651</v>
      </c>
      <c r="R73" s="132">
        <v>262.25628699999999</v>
      </c>
      <c r="S73" s="132">
        <v>263.13259900000003</v>
      </c>
      <c r="T73" s="132">
        <v>264.25726300000002</v>
      </c>
      <c r="U73" s="132">
        <v>265.39077800000001</v>
      </c>
      <c r="V73" s="132">
        <v>266.38806199999999</v>
      </c>
      <c r="W73" s="132">
        <v>267.52377300000001</v>
      </c>
      <c r="X73" s="132">
        <v>268.83184799999998</v>
      </c>
      <c r="Y73" s="132">
        <v>270.06149299999998</v>
      </c>
      <c r="Z73" s="132">
        <v>271.15643299999999</v>
      </c>
      <c r="AA73" s="132">
        <v>272.41125499999998</v>
      </c>
      <c r="AB73" s="132">
        <v>273.90283199999999</v>
      </c>
      <c r="AC73" s="132">
        <v>274.91461199999998</v>
      </c>
      <c r="AD73" s="132">
        <v>275.87060500000001</v>
      </c>
      <c r="AE73" s="132">
        <v>276.51177999999999</v>
      </c>
      <c r="AF73" s="132">
        <v>276.92877199999998</v>
      </c>
      <c r="AG73" s="132">
        <v>277.669556</v>
      </c>
      <c r="AH73" s="131">
        <v>3.96E-3</v>
      </c>
    </row>
    <row r="74" spans="1:34" ht="15" customHeight="1">
      <c r="A74" s="17" t="s">
        <v>842</v>
      </c>
      <c r="B74" s="129" t="s">
        <v>83</v>
      </c>
      <c r="C74" s="132">
        <v>173.48147599999999</v>
      </c>
      <c r="D74" s="132">
        <v>181.113373</v>
      </c>
      <c r="E74" s="132">
        <v>182.814392</v>
      </c>
      <c r="F74" s="132">
        <v>182.45297199999999</v>
      </c>
      <c r="G74" s="132">
        <v>182.736572</v>
      </c>
      <c r="H74" s="132">
        <v>184.55038500000001</v>
      </c>
      <c r="I74" s="132">
        <v>184.27929700000001</v>
      </c>
      <c r="J74" s="132">
        <v>184.96017499999999</v>
      </c>
      <c r="K74" s="132">
        <v>185.21028100000001</v>
      </c>
      <c r="L74" s="132">
        <v>185.74584999999999</v>
      </c>
      <c r="M74" s="132">
        <v>187.11746199999999</v>
      </c>
      <c r="N74" s="132">
        <v>187.964935</v>
      </c>
      <c r="O74" s="132">
        <v>188.467331</v>
      </c>
      <c r="P74" s="132">
        <v>189.28500399999999</v>
      </c>
      <c r="Q74" s="132">
        <v>189.63021900000001</v>
      </c>
      <c r="R74" s="132">
        <v>189.46244799999999</v>
      </c>
      <c r="S74" s="132">
        <v>189.41784699999999</v>
      </c>
      <c r="T74" s="132">
        <v>189.78436300000001</v>
      </c>
      <c r="U74" s="132">
        <v>190.24285900000001</v>
      </c>
      <c r="V74" s="132">
        <v>190.58105499999999</v>
      </c>
      <c r="W74" s="132">
        <v>191.092209</v>
      </c>
      <c r="X74" s="132">
        <v>191.863373</v>
      </c>
      <c r="Y74" s="132">
        <v>192.50102200000001</v>
      </c>
      <c r="Z74" s="132">
        <v>193.29667699999999</v>
      </c>
      <c r="AA74" s="132">
        <v>194.11904899999999</v>
      </c>
      <c r="AB74" s="132">
        <v>195.205658</v>
      </c>
      <c r="AC74" s="132">
        <v>196.03663599999999</v>
      </c>
      <c r="AD74" s="132">
        <v>196.93029799999999</v>
      </c>
      <c r="AE74" s="132">
        <v>197.60815400000001</v>
      </c>
      <c r="AF74" s="132">
        <v>198.31926000000001</v>
      </c>
      <c r="AG74" s="132">
        <v>199.38540599999999</v>
      </c>
      <c r="AH74" s="131">
        <v>4.6499999999999996E-3</v>
      </c>
    </row>
    <row r="75" spans="1:34" ht="14.5">
      <c r="A75" s="17" t="s">
        <v>843</v>
      </c>
      <c r="B75" s="129" t="s">
        <v>797</v>
      </c>
      <c r="C75" s="132">
        <v>151.848038</v>
      </c>
      <c r="D75" s="132">
        <v>165.11462399999999</v>
      </c>
      <c r="E75" s="132">
        <v>170.16429099999999</v>
      </c>
      <c r="F75" s="132">
        <v>170.95889299999999</v>
      </c>
      <c r="G75" s="132">
        <v>172.68073999999999</v>
      </c>
      <c r="H75" s="132">
        <v>175.70645099999999</v>
      </c>
      <c r="I75" s="132">
        <v>177.856247</v>
      </c>
      <c r="J75" s="132">
        <v>181.78732299999999</v>
      </c>
      <c r="K75" s="132">
        <v>185.88343800000001</v>
      </c>
      <c r="L75" s="132">
        <v>190.063965</v>
      </c>
      <c r="M75" s="132">
        <v>195.25730899999999</v>
      </c>
      <c r="N75" s="132">
        <v>199.51869199999999</v>
      </c>
      <c r="O75" s="132">
        <v>203.37735000000001</v>
      </c>
      <c r="P75" s="132">
        <v>206.16082800000001</v>
      </c>
      <c r="Q75" s="132">
        <v>209.285583</v>
      </c>
      <c r="R75" s="132">
        <v>212.13353000000001</v>
      </c>
      <c r="S75" s="132">
        <v>214.53504899999999</v>
      </c>
      <c r="T75" s="132">
        <v>218.42817700000001</v>
      </c>
      <c r="U75" s="132">
        <v>221.85586499999999</v>
      </c>
      <c r="V75" s="132">
        <v>223.43197599999999</v>
      </c>
      <c r="W75" s="132">
        <v>226.55085800000001</v>
      </c>
      <c r="X75" s="132">
        <v>230.105133</v>
      </c>
      <c r="Y75" s="132">
        <v>233.68272400000001</v>
      </c>
      <c r="Z75" s="132">
        <v>237.015839</v>
      </c>
      <c r="AA75" s="132">
        <v>241.07835399999999</v>
      </c>
      <c r="AB75" s="132">
        <v>245.14498900000001</v>
      </c>
      <c r="AC75" s="132">
        <v>248.453461</v>
      </c>
      <c r="AD75" s="132">
        <v>251.573746</v>
      </c>
      <c r="AE75" s="132">
        <v>254.08210800000001</v>
      </c>
      <c r="AF75" s="132">
        <v>258.03216600000002</v>
      </c>
      <c r="AG75" s="132">
        <v>262.57321200000001</v>
      </c>
      <c r="AH75" s="131">
        <v>1.8422999999999998E-2</v>
      </c>
    </row>
    <row r="76" spans="1:34" ht="15" customHeight="1">
      <c r="A76" s="17" t="s">
        <v>844</v>
      </c>
      <c r="B76" s="129" t="s">
        <v>87</v>
      </c>
      <c r="C76" s="132">
        <v>411.84991500000001</v>
      </c>
      <c r="D76" s="132">
        <v>447.95297199999999</v>
      </c>
      <c r="E76" s="132">
        <v>465.37207000000001</v>
      </c>
      <c r="F76" s="132">
        <v>477.469604</v>
      </c>
      <c r="G76" s="132">
        <v>482.10873400000003</v>
      </c>
      <c r="H76" s="132">
        <v>482.54916400000002</v>
      </c>
      <c r="I76" s="132">
        <v>484.44396999999998</v>
      </c>
      <c r="J76" s="132">
        <v>494.09118699999999</v>
      </c>
      <c r="K76" s="132">
        <v>497.25134300000002</v>
      </c>
      <c r="L76" s="132">
        <v>502.08032200000002</v>
      </c>
      <c r="M76" s="132">
        <v>520.23266599999999</v>
      </c>
      <c r="N76" s="132">
        <v>517.75805700000001</v>
      </c>
      <c r="O76" s="132">
        <v>523.00543200000004</v>
      </c>
      <c r="P76" s="132">
        <v>525.63324</v>
      </c>
      <c r="Q76" s="132">
        <v>532.64874299999997</v>
      </c>
      <c r="R76" s="132">
        <v>527.36926300000005</v>
      </c>
      <c r="S76" s="132">
        <v>527.97564699999998</v>
      </c>
      <c r="T76" s="132">
        <v>533.87902799999995</v>
      </c>
      <c r="U76" s="132">
        <v>539.88324</v>
      </c>
      <c r="V76" s="132">
        <v>540.74920699999996</v>
      </c>
      <c r="W76" s="132">
        <v>548.76000999999997</v>
      </c>
      <c r="X76" s="132">
        <v>554.73199499999998</v>
      </c>
      <c r="Y76" s="132">
        <v>558.28698699999995</v>
      </c>
      <c r="Z76" s="132">
        <v>564.58496100000002</v>
      </c>
      <c r="AA76" s="132">
        <v>571.83953899999995</v>
      </c>
      <c r="AB76" s="132">
        <v>580.52154499999995</v>
      </c>
      <c r="AC76" s="132">
        <v>586.19775400000003</v>
      </c>
      <c r="AD76" s="132">
        <v>591.22277799999995</v>
      </c>
      <c r="AE76" s="132">
        <v>595.93066399999998</v>
      </c>
      <c r="AF76" s="132">
        <v>603.30053699999996</v>
      </c>
      <c r="AG76" s="132">
        <v>610.66247599999997</v>
      </c>
      <c r="AH76" s="131">
        <v>1.3216E-2</v>
      </c>
    </row>
    <row r="77" spans="1:34" ht="15" customHeight="1">
      <c r="A77" s="17" t="s">
        <v>845</v>
      </c>
      <c r="B77" s="129" t="s">
        <v>846</v>
      </c>
      <c r="C77" s="132">
        <v>983.80011000000002</v>
      </c>
      <c r="D77" s="132">
        <v>1047.3111570000001</v>
      </c>
      <c r="E77" s="132">
        <v>1070.367432</v>
      </c>
      <c r="F77" s="132">
        <v>1080.714966</v>
      </c>
      <c r="G77" s="132">
        <v>1085.6539310000001</v>
      </c>
      <c r="H77" s="132">
        <v>1091.0905760000001</v>
      </c>
      <c r="I77" s="132">
        <v>1095.920044</v>
      </c>
      <c r="J77" s="132">
        <v>1111.4948730000001</v>
      </c>
      <c r="K77" s="132">
        <v>1120.0961910000001</v>
      </c>
      <c r="L77" s="132">
        <v>1131.168823</v>
      </c>
      <c r="M77" s="132">
        <v>1158.6188959999999</v>
      </c>
      <c r="N77" s="132">
        <v>1163.021851</v>
      </c>
      <c r="O77" s="132">
        <v>1174.078125</v>
      </c>
      <c r="P77" s="132">
        <v>1181.625732</v>
      </c>
      <c r="Q77" s="132">
        <v>1193.2001949999999</v>
      </c>
      <c r="R77" s="132">
        <v>1191.221558</v>
      </c>
      <c r="S77" s="132">
        <v>1195.0611570000001</v>
      </c>
      <c r="T77" s="132">
        <v>1206.3488769999999</v>
      </c>
      <c r="U77" s="132">
        <v>1217.372803</v>
      </c>
      <c r="V77" s="132">
        <v>1221.1503909999999</v>
      </c>
      <c r="W77" s="132">
        <v>1233.9267580000001</v>
      </c>
      <c r="X77" s="132">
        <v>1245.5323490000001</v>
      </c>
      <c r="Y77" s="132">
        <v>1254.5322269999999</v>
      </c>
      <c r="Z77" s="132">
        <v>1266.0539550000001</v>
      </c>
      <c r="AA77" s="132">
        <v>1279.4482419999999</v>
      </c>
      <c r="AB77" s="132">
        <v>1294.775024</v>
      </c>
      <c r="AC77" s="132">
        <v>1305.6024170000001</v>
      </c>
      <c r="AD77" s="132">
        <v>1315.5974120000001</v>
      </c>
      <c r="AE77" s="132">
        <v>1324.1326899999999</v>
      </c>
      <c r="AF77" s="132">
        <v>1336.580811</v>
      </c>
      <c r="AG77" s="132">
        <v>1350.290649</v>
      </c>
      <c r="AH77" s="131">
        <v>1.0611000000000001E-2</v>
      </c>
    </row>
    <row r="78" spans="1:34" ht="15" customHeight="1">
      <c r="A78" s="17" t="s">
        <v>847</v>
      </c>
      <c r="B78" s="129" t="s">
        <v>848</v>
      </c>
      <c r="C78" s="132">
        <v>0.64150499999999999</v>
      </c>
      <c r="D78" s="132">
        <v>0.72432700000000005</v>
      </c>
      <c r="E78" s="132">
        <v>0.7319</v>
      </c>
      <c r="F78" s="132">
        <v>0.74716300000000002</v>
      </c>
      <c r="G78" s="132">
        <v>0.73789499999999997</v>
      </c>
      <c r="H78" s="132">
        <v>0.72590600000000005</v>
      </c>
      <c r="I78" s="132">
        <v>0.71561699999999995</v>
      </c>
      <c r="J78" s="132">
        <v>0.71817699999999995</v>
      </c>
      <c r="K78" s="132">
        <v>0.71192500000000003</v>
      </c>
      <c r="L78" s="132">
        <v>0.70856200000000003</v>
      </c>
      <c r="M78" s="132">
        <v>0.72455599999999998</v>
      </c>
      <c r="N78" s="132">
        <v>0.71118700000000001</v>
      </c>
      <c r="O78" s="132">
        <v>0.70987500000000003</v>
      </c>
      <c r="P78" s="132">
        <v>0.70798099999999997</v>
      </c>
      <c r="Q78" s="132">
        <v>0.71608000000000005</v>
      </c>
      <c r="R78" s="132">
        <v>0.70723599999999998</v>
      </c>
      <c r="S78" s="132">
        <v>0.70961600000000002</v>
      </c>
      <c r="T78" s="132">
        <v>0.71983299999999995</v>
      </c>
      <c r="U78" s="132">
        <v>0.73004999999999998</v>
      </c>
      <c r="V78" s="132">
        <v>0.738035</v>
      </c>
      <c r="W78" s="132">
        <v>0.75117500000000004</v>
      </c>
      <c r="X78" s="132">
        <v>0.76513399999999998</v>
      </c>
      <c r="Y78" s="132">
        <v>0.77443899999999999</v>
      </c>
      <c r="Z78" s="132">
        <v>0.78794600000000004</v>
      </c>
      <c r="AA78" s="132">
        <v>0.80436600000000003</v>
      </c>
      <c r="AB78" s="132">
        <v>0.82130800000000004</v>
      </c>
      <c r="AC78" s="132">
        <v>0.83407200000000004</v>
      </c>
      <c r="AD78" s="132">
        <v>0.85039399999999998</v>
      </c>
      <c r="AE78" s="132">
        <v>0.86407100000000003</v>
      </c>
      <c r="AF78" s="132">
        <v>0.88452600000000003</v>
      </c>
      <c r="AG78" s="132">
        <v>0.904505</v>
      </c>
      <c r="AH78" s="131">
        <v>1.1518E-2</v>
      </c>
    </row>
    <row r="79" spans="1:34" ht="15" customHeight="1">
      <c r="A79" s="17" t="s">
        <v>849</v>
      </c>
      <c r="B79" s="128" t="s">
        <v>850</v>
      </c>
      <c r="C79" s="133">
        <v>984.44158900000002</v>
      </c>
      <c r="D79" s="133">
        <v>1048.0355219999999</v>
      </c>
      <c r="E79" s="133">
        <v>1071.099365</v>
      </c>
      <c r="F79" s="133">
        <v>1081.462158</v>
      </c>
      <c r="G79" s="133">
        <v>1086.391846</v>
      </c>
      <c r="H79" s="133">
        <v>1091.8165280000001</v>
      </c>
      <c r="I79" s="133">
        <v>1096.63562</v>
      </c>
      <c r="J79" s="133">
        <v>1112.213013</v>
      </c>
      <c r="K79" s="133">
        <v>1120.8081050000001</v>
      </c>
      <c r="L79" s="133">
        <v>1131.8774410000001</v>
      </c>
      <c r="M79" s="133">
        <v>1159.3435059999999</v>
      </c>
      <c r="N79" s="133">
        <v>1163.7330320000001</v>
      </c>
      <c r="O79" s="133">
        <v>1174.7879640000001</v>
      </c>
      <c r="P79" s="133">
        <v>1182.33374</v>
      </c>
      <c r="Q79" s="133">
        <v>1193.91626</v>
      </c>
      <c r="R79" s="133">
        <v>1191.9288329999999</v>
      </c>
      <c r="S79" s="133">
        <v>1195.7707519999999</v>
      </c>
      <c r="T79" s="133">
        <v>1207.068726</v>
      </c>
      <c r="U79" s="133">
        <v>1218.102905</v>
      </c>
      <c r="V79" s="133">
        <v>1221.888428</v>
      </c>
      <c r="W79" s="133">
        <v>1234.6779790000001</v>
      </c>
      <c r="X79" s="133">
        <v>1246.2974850000001</v>
      </c>
      <c r="Y79" s="133">
        <v>1255.3066409999999</v>
      </c>
      <c r="Z79" s="133">
        <v>1266.841919</v>
      </c>
      <c r="AA79" s="133">
        <v>1280.252563</v>
      </c>
      <c r="AB79" s="133">
        <v>1295.596313</v>
      </c>
      <c r="AC79" s="133">
        <v>1306.4365230000001</v>
      </c>
      <c r="AD79" s="133">
        <v>1316.447754</v>
      </c>
      <c r="AE79" s="133">
        <v>1324.9967039999999</v>
      </c>
      <c r="AF79" s="133">
        <v>1337.465332</v>
      </c>
      <c r="AG79" s="133">
        <v>1351.1951899999999</v>
      </c>
      <c r="AH79" s="134">
        <v>1.0612E-2</v>
      </c>
    </row>
    <row r="81" spans="1:34" ht="12"/>
    <row r="82" spans="1:34" ht="15" customHeight="1">
      <c r="B82" s="128" t="s">
        <v>93</v>
      </c>
    </row>
    <row r="83" spans="1:34" ht="12">
      <c r="B83" s="128" t="s">
        <v>81</v>
      </c>
    </row>
    <row r="84" spans="1:34" ht="15" customHeight="1">
      <c r="A84" s="17" t="s">
        <v>851</v>
      </c>
      <c r="B84" s="129" t="s">
        <v>82</v>
      </c>
      <c r="C84" s="130">
        <v>17.296467</v>
      </c>
      <c r="D84" s="130">
        <v>17.364542</v>
      </c>
      <c r="E84" s="130">
        <v>17.773216000000001</v>
      </c>
      <c r="F84" s="130">
        <v>17.895593999999999</v>
      </c>
      <c r="G84" s="130">
        <v>18.205120000000001</v>
      </c>
      <c r="H84" s="130">
        <v>18.688912999999999</v>
      </c>
      <c r="I84" s="130">
        <v>19.072323000000001</v>
      </c>
      <c r="J84" s="130">
        <v>19.563379000000001</v>
      </c>
      <c r="K84" s="130">
        <v>20.288091999999999</v>
      </c>
      <c r="L84" s="130">
        <v>21.121528999999999</v>
      </c>
      <c r="M84" s="130">
        <v>22.49015</v>
      </c>
      <c r="N84" s="130">
        <v>23.541407</v>
      </c>
      <c r="O84" s="130">
        <v>24.573855999999999</v>
      </c>
      <c r="P84" s="130">
        <v>25.557503000000001</v>
      </c>
      <c r="Q84" s="130">
        <v>26.529509999999998</v>
      </c>
      <c r="R84" s="130">
        <v>27.389928999999999</v>
      </c>
      <c r="S84" s="130">
        <v>28.309729000000001</v>
      </c>
      <c r="T84" s="130">
        <v>29.424144999999999</v>
      </c>
      <c r="U84" s="130">
        <v>30.513109</v>
      </c>
      <c r="V84" s="130">
        <v>31.496549999999999</v>
      </c>
      <c r="W84" s="130">
        <v>32.537384000000003</v>
      </c>
      <c r="X84" s="130">
        <v>33.617427999999997</v>
      </c>
      <c r="Y84" s="130">
        <v>34.722183000000001</v>
      </c>
      <c r="Z84" s="130">
        <v>35.721493000000002</v>
      </c>
      <c r="AA84" s="130">
        <v>36.903725000000001</v>
      </c>
      <c r="AB84" s="130">
        <v>38.092830999999997</v>
      </c>
      <c r="AC84" s="130">
        <v>39.457756000000003</v>
      </c>
      <c r="AD84" s="130">
        <v>40.901833000000003</v>
      </c>
      <c r="AE84" s="130">
        <v>42.397967999999999</v>
      </c>
      <c r="AF84" s="130">
        <v>44.048859</v>
      </c>
      <c r="AG84" s="130">
        <v>45.773941000000001</v>
      </c>
      <c r="AH84" s="131">
        <v>3.2972000000000001E-2</v>
      </c>
    </row>
    <row r="85" spans="1:34" ht="15" customHeight="1">
      <c r="A85" s="17" t="s">
        <v>852</v>
      </c>
      <c r="B85" s="129" t="s">
        <v>84</v>
      </c>
      <c r="C85" s="130">
        <v>17.748362</v>
      </c>
      <c r="D85" s="130">
        <v>17.966434</v>
      </c>
      <c r="E85" s="130">
        <v>19.259716000000001</v>
      </c>
      <c r="F85" s="130">
        <v>20.916284999999998</v>
      </c>
      <c r="G85" s="130">
        <v>22.016247</v>
      </c>
      <c r="H85" s="130">
        <v>22.974073000000001</v>
      </c>
      <c r="I85" s="130">
        <v>24.235168000000002</v>
      </c>
      <c r="J85" s="130">
        <v>25.399334</v>
      </c>
      <c r="K85" s="130">
        <v>26.390613999999999</v>
      </c>
      <c r="L85" s="130">
        <v>27.482574</v>
      </c>
      <c r="M85" s="130">
        <v>28.736801</v>
      </c>
      <c r="N85" s="130">
        <v>29.729196999999999</v>
      </c>
      <c r="O85" s="130">
        <v>30.882408000000002</v>
      </c>
      <c r="P85" s="130">
        <v>31.928685999999999</v>
      </c>
      <c r="Q85" s="130">
        <v>32.905087000000002</v>
      </c>
      <c r="R85" s="130">
        <v>33.503971</v>
      </c>
      <c r="S85" s="130">
        <v>34.167160000000003</v>
      </c>
      <c r="T85" s="130">
        <v>35.212048000000003</v>
      </c>
      <c r="U85" s="130">
        <v>36.301605000000002</v>
      </c>
      <c r="V85" s="130">
        <v>36.896996000000001</v>
      </c>
      <c r="W85" s="130">
        <v>38.326675000000002</v>
      </c>
      <c r="X85" s="130">
        <v>39.418179000000002</v>
      </c>
      <c r="Y85" s="130">
        <v>40.484431999999998</v>
      </c>
      <c r="Z85" s="130">
        <v>41.665267999999998</v>
      </c>
      <c r="AA85" s="130">
        <v>42.998382999999997</v>
      </c>
      <c r="AB85" s="130">
        <v>44.508552999999999</v>
      </c>
      <c r="AC85" s="130">
        <v>45.914009</v>
      </c>
      <c r="AD85" s="130">
        <v>47.318893000000003</v>
      </c>
      <c r="AE85" s="130">
        <v>48.675185999999997</v>
      </c>
      <c r="AF85" s="130">
        <v>50.354438999999999</v>
      </c>
      <c r="AG85" s="130">
        <v>52.064827000000001</v>
      </c>
      <c r="AH85" s="131">
        <v>3.6524000000000001E-2</v>
      </c>
    </row>
    <row r="86" spans="1:34" ht="15" customHeight="1">
      <c r="A86" s="17" t="s">
        <v>853</v>
      </c>
      <c r="B86" s="129" t="s">
        <v>789</v>
      </c>
      <c r="C86" s="130">
        <v>10.141716000000001</v>
      </c>
      <c r="D86" s="130">
        <v>10.625045999999999</v>
      </c>
      <c r="E86" s="130">
        <v>10.428921000000001</v>
      </c>
      <c r="F86" s="130">
        <v>10.267519</v>
      </c>
      <c r="G86" s="130">
        <v>10.164536</v>
      </c>
      <c r="H86" s="130">
        <v>10.396891</v>
      </c>
      <c r="I86" s="130">
        <v>10.746409999999999</v>
      </c>
      <c r="J86" s="130">
        <v>11.182247</v>
      </c>
      <c r="K86" s="130">
        <v>11.60196</v>
      </c>
      <c r="L86" s="130">
        <v>12.131678000000001</v>
      </c>
      <c r="M86" s="130">
        <v>12.946251</v>
      </c>
      <c r="N86" s="130">
        <v>13.433337999999999</v>
      </c>
      <c r="O86" s="130">
        <v>13.929442</v>
      </c>
      <c r="P86" s="130">
        <v>14.423272000000001</v>
      </c>
      <c r="Q86" s="130">
        <v>14.851998999999999</v>
      </c>
      <c r="R86" s="130">
        <v>15.235919000000001</v>
      </c>
      <c r="S86" s="130">
        <v>15.627309</v>
      </c>
      <c r="T86" s="130">
        <v>16.018497</v>
      </c>
      <c r="U86" s="130">
        <v>16.378679000000002</v>
      </c>
      <c r="V86" s="130">
        <v>16.725304000000001</v>
      </c>
      <c r="W86" s="130">
        <v>17.100847000000002</v>
      </c>
      <c r="X86" s="130">
        <v>17.530432000000001</v>
      </c>
      <c r="Y86" s="130">
        <v>17.981055999999999</v>
      </c>
      <c r="Z86" s="130">
        <v>18.441963000000001</v>
      </c>
      <c r="AA86" s="130">
        <v>18.947731000000001</v>
      </c>
      <c r="AB86" s="130">
        <v>19.460142000000001</v>
      </c>
      <c r="AC86" s="130">
        <v>19.991085000000002</v>
      </c>
      <c r="AD86" s="130">
        <v>20.545117999999999</v>
      </c>
      <c r="AE86" s="130">
        <v>21.063739999999999</v>
      </c>
      <c r="AF86" s="130">
        <v>21.659649000000002</v>
      </c>
      <c r="AG86" s="130">
        <v>22.326521</v>
      </c>
      <c r="AH86" s="131">
        <v>2.6653E-2</v>
      </c>
    </row>
    <row r="87" spans="1:34" ht="15" customHeight="1">
      <c r="A87" s="17" t="s">
        <v>854</v>
      </c>
      <c r="B87" s="129" t="s">
        <v>791</v>
      </c>
      <c r="C87" s="130">
        <v>35.768967000000004</v>
      </c>
      <c r="D87" s="130">
        <v>36.958694000000001</v>
      </c>
      <c r="E87" s="130">
        <v>37.005428000000002</v>
      </c>
      <c r="F87" s="130">
        <v>37.129111999999999</v>
      </c>
      <c r="G87" s="130">
        <v>37.453620999999998</v>
      </c>
      <c r="H87" s="130">
        <v>38.064835000000002</v>
      </c>
      <c r="I87" s="130">
        <v>38.925761999999999</v>
      </c>
      <c r="J87" s="130">
        <v>39.997340999999999</v>
      </c>
      <c r="K87" s="130">
        <v>41.131058000000003</v>
      </c>
      <c r="L87" s="130">
        <v>42.347912000000001</v>
      </c>
      <c r="M87" s="130">
        <v>43.617919999999998</v>
      </c>
      <c r="N87" s="130">
        <v>45.059520999999997</v>
      </c>
      <c r="O87" s="130">
        <v>46.362288999999997</v>
      </c>
      <c r="P87" s="130">
        <v>47.614604999999997</v>
      </c>
      <c r="Q87" s="130">
        <v>48.764800999999999</v>
      </c>
      <c r="R87" s="130">
        <v>49.783447000000002</v>
      </c>
      <c r="S87" s="130">
        <v>50.813431000000001</v>
      </c>
      <c r="T87" s="130">
        <v>51.841217</v>
      </c>
      <c r="U87" s="130">
        <v>52.915725999999999</v>
      </c>
      <c r="V87" s="130">
        <v>53.969807000000003</v>
      </c>
      <c r="W87" s="130">
        <v>55.068424</v>
      </c>
      <c r="X87" s="130">
        <v>56.238846000000002</v>
      </c>
      <c r="Y87" s="130">
        <v>57.424132999999998</v>
      </c>
      <c r="Z87" s="130">
        <v>58.644145999999999</v>
      </c>
      <c r="AA87" s="130">
        <v>59.952781999999999</v>
      </c>
      <c r="AB87" s="130">
        <v>61.380294999999997</v>
      </c>
      <c r="AC87" s="130">
        <v>62.780963999999997</v>
      </c>
      <c r="AD87" s="130">
        <v>64.219397999999998</v>
      </c>
      <c r="AE87" s="130">
        <v>65.604782</v>
      </c>
      <c r="AF87" s="130">
        <v>66.922248999999994</v>
      </c>
      <c r="AG87" s="130">
        <v>68.370925999999997</v>
      </c>
      <c r="AH87" s="131">
        <v>2.1829999999999999E-2</v>
      </c>
    </row>
    <row r="89" spans="1:34" ht="15" customHeight="1">
      <c r="B89" s="128" t="s">
        <v>83</v>
      </c>
    </row>
    <row r="90" spans="1:34" ht="15" customHeight="1">
      <c r="A90" s="17" t="s">
        <v>855</v>
      </c>
      <c r="B90" s="129" t="s">
        <v>82</v>
      </c>
      <c r="C90" s="130">
        <v>12.770180999999999</v>
      </c>
      <c r="D90" s="130">
        <v>13.739795000000001</v>
      </c>
      <c r="E90" s="130">
        <v>14.44624</v>
      </c>
      <c r="F90" s="130">
        <v>14.444917999999999</v>
      </c>
      <c r="G90" s="130">
        <v>14.740237</v>
      </c>
      <c r="H90" s="130">
        <v>15.184672000000001</v>
      </c>
      <c r="I90" s="130">
        <v>15.405874000000001</v>
      </c>
      <c r="J90" s="130">
        <v>15.808756000000001</v>
      </c>
      <c r="K90" s="130">
        <v>16.502459999999999</v>
      </c>
      <c r="L90" s="130">
        <v>17.228307999999998</v>
      </c>
      <c r="M90" s="130">
        <v>18.591069999999998</v>
      </c>
      <c r="N90" s="130">
        <v>19.380161000000001</v>
      </c>
      <c r="O90" s="130">
        <v>20.164705000000001</v>
      </c>
      <c r="P90" s="130">
        <v>20.914408000000002</v>
      </c>
      <c r="Q90" s="130">
        <v>21.670684999999999</v>
      </c>
      <c r="R90" s="130">
        <v>22.283957999999998</v>
      </c>
      <c r="S90" s="130">
        <v>23.028175000000001</v>
      </c>
      <c r="T90" s="130">
        <v>24.014372000000002</v>
      </c>
      <c r="U90" s="130">
        <v>24.860586000000001</v>
      </c>
      <c r="V90" s="130">
        <v>25.563794999999999</v>
      </c>
      <c r="W90" s="130">
        <v>26.372150000000001</v>
      </c>
      <c r="X90" s="130">
        <v>27.219159999999999</v>
      </c>
      <c r="Y90" s="130">
        <v>28.073461999999999</v>
      </c>
      <c r="Z90" s="130">
        <v>28.766537</v>
      </c>
      <c r="AA90" s="130">
        <v>29.744672999999999</v>
      </c>
      <c r="AB90" s="130">
        <v>30.668355999999999</v>
      </c>
      <c r="AC90" s="130">
        <v>31.786650000000002</v>
      </c>
      <c r="AD90" s="130">
        <v>32.939011000000001</v>
      </c>
      <c r="AE90" s="130">
        <v>34.110698999999997</v>
      </c>
      <c r="AF90" s="130">
        <v>35.441875000000003</v>
      </c>
      <c r="AG90" s="130">
        <v>36.791409000000002</v>
      </c>
      <c r="AH90" s="131">
        <v>3.5901000000000002E-2</v>
      </c>
    </row>
    <row r="91" spans="1:34" ht="15" customHeight="1">
      <c r="A91" s="17" t="s">
        <v>856</v>
      </c>
      <c r="B91" s="129" t="s">
        <v>84</v>
      </c>
      <c r="C91" s="130">
        <v>17.825056</v>
      </c>
      <c r="D91" s="130">
        <v>18.093426000000001</v>
      </c>
      <c r="E91" s="130">
        <v>18.315351</v>
      </c>
      <c r="F91" s="130">
        <v>18.926200999999999</v>
      </c>
      <c r="G91" s="130">
        <v>18.937215999999999</v>
      </c>
      <c r="H91" s="130">
        <v>18.747388999999998</v>
      </c>
      <c r="I91" s="130">
        <v>18.800863</v>
      </c>
      <c r="J91" s="130">
        <v>19.811499000000001</v>
      </c>
      <c r="K91" s="130">
        <v>20.634888</v>
      </c>
      <c r="L91" s="130">
        <v>21.550405999999999</v>
      </c>
      <c r="M91" s="130">
        <v>22.952717</v>
      </c>
      <c r="N91" s="130">
        <v>23.777868000000002</v>
      </c>
      <c r="O91" s="130">
        <v>24.805574</v>
      </c>
      <c r="P91" s="130">
        <v>25.688956999999998</v>
      </c>
      <c r="Q91" s="130">
        <v>26.508257</v>
      </c>
      <c r="R91" s="130">
        <v>26.943041000000001</v>
      </c>
      <c r="S91" s="130">
        <v>27.453496999999999</v>
      </c>
      <c r="T91" s="130">
        <v>28.341854000000001</v>
      </c>
      <c r="U91" s="130">
        <v>29.279222000000001</v>
      </c>
      <c r="V91" s="130">
        <v>29.723133000000001</v>
      </c>
      <c r="W91" s="130">
        <v>30.995951000000002</v>
      </c>
      <c r="X91" s="130">
        <v>31.923767000000002</v>
      </c>
      <c r="Y91" s="130">
        <v>32.816875000000003</v>
      </c>
      <c r="Z91" s="130">
        <v>33.830505000000002</v>
      </c>
      <c r="AA91" s="130">
        <v>34.985626000000003</v>
      </c>
      <c r="AB91" s="130">
        <v>36.306683</v>
      </c>
      <c r="AC91" s="130">
        <v>37.508560000000003</v>
      </c>
      <c r="AD91" s="130">
        <v>38.701534000000002</v>
      </c>
      <c r="AE91" s="130">
        <v>39.855164000000002</v>
      </c>
      <c r="AF91" s="130">
        <v>41.303359999999998</v>
      </c>
      <c r="AG91" s="130">
        <v>42.757435000000001</v>
      </c>
      <c r="AH91" s="131">
        <v>2.9593999999999999E-2</v>
      </c>
    </row>
    <row r="92" spans="1:34" ht="15" customHeight="1">
      <c r="A92" s="17" t="s">
        <v>857</v>
      </c>
      <c r="B92" s="129" t="s">
        <v>85</v>
      </c>
      <c r="C92" s="130">
        <v>5.2465200000000003</v>
      </c>
      <c r="D92" s="130">
        <v>4.1374570000000004</v>
      </c>
      <c r="E92" s="130">
        <v>5.2700870000000002</v>
      </c>
      <c r="F92" s="130">
        <v>6.6171170000000004</v>
      </c>
      <c r="G92" s="130">
        <v>7.8136460000000003</v>
      </c>
      <c r="H92" s="130">
        <v>8.7000630000000001</v>
      </c>
      <c r="I92" s="130">
        <v>9.7092659999999995</v>
      </c>
      <c r="J92" s="130">
        <v>10.525226</v>
      </c>
      <c r="K92" s="130">
        <v>10.966917</v>
      </c>
      <c r="L92" s="130">
        <v>11.607101</v>
      </c>
      <c r="M92" s="130">
        <v>12.393723</v>
      </c>
      <c r="N92" s="130">
        <v>12.868309999999999</v>
      </c>
      <c r="O92" s="130">
        <v>13.590438000000001</v>
      </c>
      <c r="P92" s="130">
        <v>14.201473</v>
      </c>
      <c r="Q92" s="130">
        <v>14.803964000000001</v>
      </c>
      <c r="R92" s="130">
        <v>15.042674</v>
      </c>
      <c r="S92" s="130">
        <v>15.423155</v>
      </c>
      <c r="T92" s="130">
        <v>16.058147000000002</v>
      </c>
      <c r="U92" s="130">
        <v>16.700855000000001</v>
      </c>
      <c r="V92" s="130">
        <v>17.063044000000001</v>
      </c>
      <c r="W92" s="130">
        <v>17.975677000000001</v>
      </c>
      <c r="X92" s="130">
        <v>18.618504999999999</v>
      </c>
      <c r="Y92" s="130">
        <v>19.266331000000001</v>
      </c>
      <c r="Z92" s="130">
        <v>19.944061000000001</v>
      </c>
      <c r="AA92" s="130">
        <v>20.865662</v>
      </c>
      <c r="AB92" s="130">
        <v>21.718767</v>
      </c>
      <c r="AC92" s="130">
        <v>22.665752000000001</v>
      </c>
      <c r="AD92" s="130">
        <v>23.490469000000001</v>
      </c>
      <c r="AE92" s="130">
        <v>24.193407000000001</v>
      </c>
      <c r="AF92" s="130">
        <v>25.147209</v>
      </c>
      <c r="AG92" s="130">
        <v>26.069181</v>
      </c>
      <c r="AH92" s="131">
        <v>5.4892999999999997E-2</v>
      </c>
    </row>
    <row r="93" spans="1:34" ht="15" customHeight="1">
      <c r="A93" s="17" t="s">
        <v>858</v>
      </c>
      <c r="B93" s="129" t="s">
        <v>789</v>
      </c>
      <c r="C93" s="130">
        <v>7.2274659999999997</v>
      </c>
      <c r="D93" s="130">
        <v>7.8390149999999998</v>
      </c>
      <c r="E93" s="130">
        <v>7.9308610000000002</v>
      </c>
      <c r="F93" s="130">
        <v>7.6986189999999999</v>
      </c>
      <c r="G93" s="130">
        <v>7.5357079999999996</v>
      </c>
      <c r="H93" s="130">
        <v>7.6848780000000003</v>
      </c>
      <c r="I93" s="130">
        <v>7.9318429999999998</v>
      </c>
      <c r="J93" s="130">
        <v>8.2443770000000001</v>
      </c>
      <c r="K93" s="130">
        <v>8.5392189999999992</v>
      </c>
      <c r="L93" s="130">
        <v>8.9388699999999996</v>
      </c>
      <c r="M93" s="130">
        <v>9.5254960000000004</v>
      </c>
      <c r="N93" s="130">
        <v>9.8646720000000006</v>
      </c>
      <c r="O93" s="130">
        <v>10.212051000000001</v>
      </c>
      <c r="P93" s="130">
        <v>10.574384</v>
      </c>
      <c r="Q93" s="130">
        <v>10.876677000000001</v>
      </c>
      <c r="R93" s="130">
        <v>11.138861</v>
      </c>
      <c r="S93" s="130">
        <v>11.410228</v>
      </c>
      <c r="T93" s="130">
        <v>11.681153999999999</v>
      </c>
      <c r="U93" s="130">
        <v>11.921187</v>
      </c>
      <c r="V93" s="130">
        <v>12.14992</v>
      </c>
      <c r="W93" s="130">
        <v>12.406116000000001</v>
      </c>
      <c r="X93" s="130">
        <v>12.713490999999999</v>
      </c>
      <c r="Y93" s="130">
        <v>13.036792</v>
      </c>
      <c r="Z93" s="130">
        <v>13.364729000000001</v>
      </c>
      <c r="AA93" s="130">
        <v>13.730934</v>
      </c>
      <c r="AB93" s="130">
        <v>14.098891</v>
      </c>
      <c r="AC93" s="130">
        <v>14.475825</v>
      </c>
      <c r="AD93" s="130">
        <v>14.866690999999999</v>
      </c>
      <c r="AE93" s="130">
        <v>15.214554</v>
      </c>
      <c r="AF93" s="130">
        <v>15.629021</v>
      </c>
      <c r="AG93" s="130">
        <v>16.106097999999999</v>
      </c>
      <c r="AH93" s="131">
        <v>2.707E-2</v>
      </c>
    </row>
    <row r="94" spans="1:34" ht="14.5">
      <c r="A94" s="17" t="s">
        <v>859</v>
      </c>
      <c r="B94" s="129" t="s">
        <v>791</v>
      </c>
      <c r="C94" s="130">
        <v>31.322282999999999</v>
      </c>
      <c r="D94" s="130">
        <v>32.086353000000003</v>
      </c>
      <c r="E94" s="130">
        <v>32.066811000000001</v>
      </c>
      <c r="F94" s="130">
        <v>31.870663</v>
      </c>
      <c r="G94" s="130">
        <v>31.975525000000001</v>
      </c>
      <c r="H94" s="130">
        <v>32.408690999999997</v>
      </c>
      <c r="I94" s="130">
        <v>32.988791999999997</v>
      </c>
      <c r="J94" s="130">
        <v>33.828212999999998</v>
      </c>
      <c r="K94" s="130">
        <v>34.687373999999998</v>
      </c>
      <c r="L94" s="130">
        <v>35.603915999999998</v>
      </c>
      <c r="M94" s="130">
        <v>36.579318999999998</v>
      </c>
      <c r="N94" s="130">
        <v>37.768948000000002</v>
      </c>
      <c r="O94" s="130">
        <v>38.715564999999998</v>
      </c>
      <c r="P94" s="130">
        <v>39.733307000000003</v>
      </c>
      <c r="Q94" s="130">
        <v>40.563960999999999</v>
      </c>
      <c r="R94" s="130">
        <v>41.309269</v>
      </c>
      <c r="S94" s="130">
        <v>42.007129999999997</v>
      </c>
      <c r="T94" s="130">
        <v>42.720233999999998</v>
      </c>
      <c r="U94" s="130">
        <v>43.488796000000001</v>
      </c>
      <c r="V94" s="130">
        <v>44.238425999999997</v>
      </c>
      <c r="W94" s="130">
        <v>45.010627999999997</v>
      </c>
      <c r="X94" s="130">
        <v>45.822861000000003</v>
      </c>
      <c r="Y94" s="130">
        <v>46.626328000000001</v>
      </c>
      <c r="Z94" s="130">
        <v>47.491954999999997</v>
      </c>
      <c r="AA94" s="130">
        <v>48.364852999999997</v>
      </c>
      <c r="AB94" s="130">
        <v>49.332256000000001</v>
      </c>
      <c r="AC94" s="130">
        <v>50.317883000000002</v>
      </c>
      <c r="AD94" s="130">
        <v>51.291096000000003</v>
      </c>
      <c r="AE94" s="130">
        <v>52.220596</v>
      </c>
      <c r="AF94" s="130">
        <v>53.113723999999998</v>
      </c>
      <c r="AG94" s="130">
        <v>54.145847000000003</v>
      </c>
      <c r="AH94" s="131">
        <v>1.8412000000000001E-2</v>
      </c>
    </row>
    <row r="96" spans="1:34" ht="15" customHeight="1">
      <c r="B96" s="128" t="s">
        <v>797</v>
      </c>
    </row>
    <row r="97" spans="1:34" ht="15" customHeight="1">
      <c r="A97" s="17" t="s">
        <v>860</v>
      </c>
      <c r="B97" s="129" t="s">
        <v>82</v>
      </c>
      <c r="C97" s="130">
        <v>7.6224270000000001</v>
      </c>
      <c r="D97" s="130">
        <v>8.5857550000000007</v>
      </c>
      <c r="E97" s="130">
        <v>9.1950730000000007</v>
      </c>
      <c r="F97" s="130">
        <v>9.105658</v>
      </c>
      <c r="G97" s="130">
        <v>9.3134800000000002</v>
      </c>
      <c r="H97" s="130">
        <v>9.6361939999999997</v>
      </c>
      <c r="I97" s="130">
        <v>9.7164590000000004</v>
      </c>
      <c r="J97" s="130">
        <v>9.9642320000000009</v>
      </c>
      <c r="K97" s="130">
        <v>10.478424</v>
      </c>
      <c r="L97" s="130">
        <v>11.003137000000001</v>
      </c>
      <c r="M97" s="130">
        <v>11.877894</v>
      </c>
      <c r="N97" s="130">
        <v>12.436106000000001</v>
      </c>
      <c r="O97" s="130">
        <v>12.964437</v>
      </c>
      <c r="P97" s="130">
        <v>13.503829</v>
      </c>
      <c r="Q97" s="130">
        <v>14.056269</v>
      </c>
      <c r="R97" s="130">
        <v>14.46874</v>
      </c>
      <c r="S97" s="130">
        <v>15.020927</v>
      </c>
      <c r="T97" s="130">
        <v>15.816492</v>
      </c>
      <c r="U97" s="130">
        <v>16.458099000000001</v>
      </c>
      <c r="V97" s="130">
        <v>16.961690999999998</v>
      </c>
      <c r="W97" s="130">
        <v>17.571985000000002</v>
      </c>
      <c r="X97" s="130">
        <v>18.214462000000001</v>
      </c>
      <c r="Y97" s="130">
        <v>18.855173000000001</v>
      </c>
      <c r="Z97" s="130">
        <v>19.31757</v>
      </c>
      <c r="AA97" s="130">
        <v>20.069984000000002</v>
      </c>
      <c r="AB97" s="130">
        <v>20.747752999999999</v>
      </c>
      <c r="AC97" s="130">
        <v>21.610123000000002</v>
      </c>
      <c r="AD97" s="130">
        <v>22.491508</v>
      </c>
      <c r="AE97" s="130">
        <v>23.381889000000001</v>
      </c>
      <c r="AF97" s="130">
        <v>24.425052999999998</v>
      </c>
      <c r="AG97" s="130">
        <v>25.466816000000001</v>
      </c>
      <c r="AH97" s="131">
        <v>4.1029000000000003E-2</v>
      </c>
    </row>
    <row r="98" spans="1:34" ht="15" customHeight="1">
      <c r="A98" s="17" t="s">
        <v>861</v>
      </c>
      <c r="B98" s="129" t="s">
        <v>84</v>
      </c>
      <c r="C98" s="130">
        <v>17.750837000000001</v>
      </c>
      <c r="D98" s="130">
        <v>17.971844000000001</v>
      </c>
      <c r="E98" s="130">
        <v>18.228767000000001</v>
      </c>
      <c r="F98" s="130">
        <v>18.908208999999999</v>
      </c>
      <c r="G98" s="130">
        <v>18.924596999999999</v>
      </c>
      <c r="H98" s="130">
        <v>18.745190000000001</v>
      </c>
      <c r="I98" s="130">
        <v>18.809263000000001</v>
      </c>
      <c r="J98" s="130">
        <v>19.826264999999999</v>
      </c>
      <c r="K98" s="130">
        <v>20.653815999999999</v>
      </c>
      <c r="L98" s="130">
        <v>21.577911</v>
      </c>
      <c r="M98" s="130">
        <v>22.642855000000001</v>
      </c>
      <c r="N98" s="130">
        <v>23.474722</v>
      </c>
      <c r="O98" s="130">
        <v>24.441144999999999</v>
      </c>
      <c r="P98" s="130">
        <v>25.320295000000002</v>
      </c>
      <c r="Q98" s="130">
        <v>26.142385000000001</v>
      </c>
      <c r="R98" s="130">
        <v>26.564394</v>
      </c>
      <c r="S98" s="130">
        <v>27.064281000000001</v>
      </c>
      <c r="T98" s="130">
        <v>27.944524999999999</v>
      </c>
      <c r="U98" s="130">
        <v>28.875128</v>
      </c>
      <c r="V98" s="130">
        <v>29.305320999999999</v>
      </c>
      <c r="W98" s="130">
        <v>30.566803</v>
      </c>
      <c r="X98" s="130">
        <v>31.488558000000001</v>
      </c>
      <c r="Y98" s="130">
        <v>32.374752000000001</v>
      </c>
      <c r="Z98" s="130">
        <v>33.386532000000003</v>
      </c>
      <c r="AA98" s="130">
        <v>34.533225999999999</v>
      </c>
      <c r="AB98" s="130">
        <v>35.851813999999997</v>
      </c>
      <c r="AC98" s="130">
        <v>37.046463000000003</v>
      </c>
      <c r="AD98" s="130">
        <v>38.240195999999997</v>
      </c>
      <c r="AE98" s="130">
        <v>39.394962</v>
      </c>
      <c r="AF98" s="130">
        <v>40.843707999999999</v>
      </c>
      <c r="AG98" s="130">
        <v>42.291260000000001</v>
      </c>
      <c r="AH98" s="131">
        <v>2.9361000000000002E-2</v>
      </c>
    </row>
    <row r="99" spans="1:34" ht="15" customHeight="1">
      <c r="A99" s="17" t="s">
        <v>862</v>
      </c>
      <c r="B99" s="129" t="s">
        <v>85</v>
      </c>
      <c r="C99" s="130">
        <v>5.4227400000000001</v>
      </c>
      <c r="D99" s="130">
        <v>4.4780959999999999</v>
      </c>
      <c r="E99" s="130">
        <v>5.9356929999999997</v>
      </c>
      <c r="F99" s="130">
        <v>7.6157570000000003</v>
      </c>
      <c r="G99" s="130">
        <v>9.0634119999999996</v>
      </c>
      <c r="H99" s="130">
        <v>10.318466000000001</v>
      </c>
      <c r="I99" s="130">
        <v>11.784514</v>
      </c>
      <c r="J99" s="130">
        <v>12.62663</v>
      </c>
      <c r="K99" s="130">
        <v>13.233867</v>
      </c>
      <c r="L99" s="130">
        <v>13.933396999999999</v>
      </c>
      <c r="M99" s="130">
        <v>14.765164</v>
      </c>
      <c r="N99" s="130">
        <v>15.340495000000001</v>
      </c>
      <c r="O99" s="130">
        <v>16.080995999999999</v>
      </c>
      <c r="P99" s="130">
        <v>16.774211999999999</v>
      </c>
      <c r="Q99" s="130">
        <v>17.417721</v>
      </c>
      <c r="R99" s="130">
        <v>17.714137999999998</v>
      </c>
      <c r="S99" s="130">
        <v>18.1371</v>
      </c>
      <c r="T99" s="130">
        <v>18.836687000000001</v>
      </c>
      <c r="U99" s="130">
        <v>19.575223999999999</v>
      </c>
      <c r="V99" s="130">
        <v>19.983975999999998</v>
      </c>
      <c r="W99" s="130">
        <v>20.962624000000002</v>
      </c>
      <c r="X99" s="130">
        <v>21.686934999999998</v>
      </c>
      <c r="Y99" s="130">
        <v>22.380941</v>
      </c>
      <c r="Z99" s="130">
        <v>23.103829999999999</v>
      </c>
      <c r="AA99" s="130">
        <v>24.086798000000002</v>
      </c>
      <c r="AB99" s="130">
        <v>25.05735</v>
      </c>
      <c r="AC99" s="130">
        <v>25.998363000000001</v>
      </c>
      <c r="AD99" s="130">
        <v>26.868773000000001</v>
      </c>
      <c r="AE99" s="130">
        <v>27.697334000000001</v>
      </c>
      <c r="AF99" s="130">
        <v>28.733340999999999</v>
      </c>
      <c r="AG99" s="130">
        <v>29.875240000000002</v>
      </c>
      <c r="AH99" s="131">
        <v>5.8529999999999999E-2</v>
      </c>
    </row>
    <row r="100" spans="1:34" ht="15" customHeight="1">
      <c r="A100" s="17" t="s">
        <v>863</v>
      </c>
      <c r="B100" s="129" t="s">
        <v>802</v>
      </c>
      <c r="C100" s="130">
        <v>3.0584310000000001</v>
      </c>
      <c r="D100" s="130">
        <v>4.0877359999999996</v>
      </c>
      <c r="E100" s="130">
        <v>4.067672</v>
      </c>
      <c r="F100" s="130">
        <v>3.6914660000000001</v>
      </c>
      <c r="G100" s="130">
        <v>3.3947889999999998</v>
      </c>
      <c r="H100" s="130">
        <v>3.4083899999999998</v>
      </c>
      <c r="I100" s="130">
        <v>3.527498</v>
      </c>
      <c r="J100" s="130">
        <v>3.739697</v>
      </c>
      <c r="K100" s="130">
        <v>3.9261089999999998</v>
      </c>
      <c r="L100" s="130">
        <v>4.1735300000000004</v>
      </c>
      <c r="M100" s="130">
        <v>4.3676500000000003</v>
      </c>
      <c r="N100" s="130">
        <v>4.5360040000000001</v>
      </c>
      <c r="O100" s="130">
        <v>4.6971499999999997</v>
      </c>
      <c r="P100" s="130">
        <v>4.8899650000000001</v>
      </c>
      <c r="Q100" s="130">
        <v>5.0197260000000004</v>
      </c>
      <c r="R100" s="130">
        <v>5.1177450000000002</v>
      </c>
      <c r="S100" s="130">
        <v>5.2326360000000003</v>
      </c>
      <c r="T100" s="130">
        <v>5.3363680000000002</v>
      </c>
      <c r="U100" s="130">
        <v>5.4326759999999998</v>
      </c>
      <c r="V100" s="130">
        <v>5.5142879999999996</v>
      </c>
      <c r="W100" s="130">
        <v>5.6078900000000003</v>
      </c>
      <c r="X100" s="130">
        <v>5.7370489999999998</v>
      </c>
      <c r="Y100" s="130">
        <v>5.8752420000000001</v>
      </c>
      <c r="Z100" s="130">
        <v>5.9981920000000004</v>
      </c>
      <c r="AA100" s="130">
        <v>6.1691339999999997</v>
      </c>
      <c r="AB100" s="130">
        <v>6.2912670000000004</v>
      </c>
      <c r="AC100" s="130">
        <v>6.4332250000000002</v>
      </c>
      <c r="AD100" s="130">
        <v>6.630484</v>
      </c>
      <c r="AE100" s="130">
        <v>6.7498300000000002</v>
      </c>
      <c r="AF100" s="130">
        <v>6.888884</v>
      </c>
      <c r="AG100" s="130">
        <v>7.1171569999999997</v>
      </c>
      <c r="AH100" s="131">
        <v>2.8554E-2</v>
      </c>
    </row>
    <row r="101" spans="1:34" ht="15" customHeight="1">
      <c r="A101" s="17" t="s">
        <v>864</v>
      </c>
      <c r="B101" s="129" t="s">
        <v>804</v>
      </c>
      <c r="C101" s="130">
        <v>4.0174000000000003</v>
      </c>
      <c r="D101" s="130">
        <v>3.6369050000000001</v>
      </c>
      <c r="E101" s="130">
        <v>3.4306429999999999</v>
      </c>
      <c r="F101" s="130">
        <v>3.3225259999999999</v>
      </c>
      <c r="G101" s="130">
        <v>3.2839369999999999</v>
      </c>
      <c r="H101" s="130">
        <v>3.3048980000000001</v>
      </c>
      <c r="I101" s="130">
        <v>3.3434870000000001</v>
      </c>
      <c r="J101" s="130">
        <v>3.4211800000000001</v>
      </c>
      <c r="K101" s="130">
        <v>3.5239240000000001</v>
      </c>
      <c r="L101" s="130">
        <v>3.6599599999999999</v>
      </c>
      <c r="M101" s="130">
        <v>3.8095210000000002</v>
      </c>
      <c r="N101" s="130">
        <v>3.9694959999999999</v>
      </c>
      <c r="O101" s="130">
        <v>4.1300129999999999</v>
      </c>
      <c r="P101" s="130">
        <v>4.2884950000000002</v>
      </c>
      <c r="Q101" s="130">
        <v>4.4437040000000003</v>
      </c>
      <c r="R101" s="130">
        <v>4.5997649999999997</v>
      </c>
      <c r="S101" s="130">
        <v>4.7565150000000003</v>
      </c>
      <c r="T101" s="130">
        <v>4.9175829999999996</v>
      </c>
      <c r="U101" s="130">
        <v>5.0830500000000001</v>
      </c>
      <c r="V101" s="130">
        <v>5.2483069999999996</v>
      </c>
      <c r="W101" s="130">
        <v>5.4215150000000003</v>
      </c>
      <c r="X101" s="130">
        <v>5.6022369999999997</v>
      </c>
      <c r="Y101" s="130">
        <v>5.7939860000000003</v>
      </c>
      <c r="Z101" s="130">
        <v>5.9997759999999998</v>
      </c>
      <c r="AA101" s="130">
        <v>6.218966</v>
      </c>
      <c r="AB101" s="130">
        <v>6.4488289999999999</v>
      </c>
      <c r="AC101" s="130">
        <v>6.6890320000000001</v>
      </c>
      <c r="AD101" s="130">
        <v>6.9374320000000003</v>
      </c>
      <c r="AE101" s="130">
        <v>7.1975020000000001</v>
      </c>
      <c r="AF101" s="130">
        <v>7.4734619999999996</v>
      </c>
      <c r="AG101" s="130">
        <v>7.7718850000000002</v>
      </c>
      <c r="AH101" s="131">
        <v>2.2239999999999999E-2</v>
      </c>
    </row>
    <row r="102" spans="1:34" ht="15" customHeight="1">
      <c r="A102" s="17" t="s">
        <v>865</v>
      </c>
      <c r="B102" s="129" t="s">
        <v>806</v>
      </c>
      <c r="C102" s="130">
        <v>2.815477</v>
      </c>
      <c r="D102" s="130">
        <v>2.8576999999999999</v>
      </c>
      <c r="E102" s="130">
        <v>2.948766</v>
      </c>
      <c r="F102" s="130">
        <v>2.976388</v>
      </c>
      <c r="G102" s="130">
        <v>3.0269430000000002</v>
      </c>
      <c r="H102" s="130">
        <v>3.079853</v>
      </c>
      <c r="I102" s="130">
        <v>3.144352</v>
      </c>
      <c r="J102" s="130">
        <v>3.2211210000000001</v>
      </c>
      <c r="K102" s="130">
        <v>3.303776</v>
      </c>
      <c r="L102" s="130">
        <v>3.3994840000000002</v>
      </c>
      <c r="M102" s="130">
        <v>3.5156779999999999</v>
      </c>
      <c r="N102" s="130">
        <v>3.61999</v>
      </c>
      <c r="O102" s="130">
        <v>3.7069960000000002</v>
      </c>
      <c r="P102" s="130">
        <v>3.8111790000000001</v>
      </c>
      <c r="Q102" s="130">
        <v>3.9124880000000002</v>
      </c>
      <c r="R102" s="130">
        <v>4.016845</v>
      </c>
      <c r="S102" s="130">
        <v>4.1175959999999998</v>
      </c>
      <c r="T102" s="130">
        <v>4.2210140000000003</v>
      </c>
      <c r="U102" s="130">
        <v>4.3177849999999998</v>
      </c>
      <c r="V102" s="130">
        <v>4.4172770000000003</v>
      </c>
      <c r="W102" s="130">
        <v>4.5314300000000003</v>
      </c>
      <c r="X102" s="130">
        <v>4.640117</v>
      </c>
      <c r="Y102" s="130">
        <v>4.7548139999999997</v>
      </c>
      <c r="Z102" s="130">
        <v>4.8773419999999996</v>
      </c>
      <c r="AA102" s="130">
        <v>4.9927279999999996</v>
      </c>
      <c r="AB102" s="130">
        <v>5.1384359999999996</v>
      </c>
      <c r="AC102" s="130">
        <v>5.2794889999999999</v>
      </c>
      <c r="AD102" s="130">
        <v>5.4373670000000001</v>
      </c>
      <c r="AE102" s="130">
        <v>5.602487</v>
      </c>
      <c r="AF102" s="130">
        <v>5.77569</v>
      </c>
      <c r="AG102" s="130">
        <v>5.9638689999999999</v>
      </c>
      <c r="AH102" s="131">
        <v>2.5335E-2</v>
      </c>
    </row>
    <row r="103" spans="1:34" ht="14.5">
      <c r="A103" s="17" t="s">
        <v>866</v>
      </c>
      <c r="B103" s="129" t="s">
        <v>808</v>
      </c>
      <c r="C103" s="131" t="s">
        <v>447</v>
      </c>
      <c r="D103" s="131" t="s">
        <v>447</v>
      </c>
      <c r="E103" s="131" t="s">
        <v>447</v>
      </c>
      <c r="F103" s="131" t="s">
        <v>447</v>
      </c>
      <c r="G103" s="131" t="s">
        <v>447</v>
      </c>
      <c r="H103" s="131" t="s">
        <v>447</v>
      </c>
      <c r="I103" s="131" t="s">
        <v>447</v>
      </c>
      <c r="J103" s="131" t="s">
        <v>447</v>
      </c>
      <c r="K103" s="131" t="s">
        <v>447</v>
      </c>
      <c r="L103" s="131" t="s">
        <v>447</v>
      </c>
      <c r="M103" s="131" t="s">
        <v>447</v>
      </c>
      <c r="N103" s="131" t="s">
        <v>447</v>
      </c>
      <c r="O103" s="131" t="s">
        <v>447</v>
      </c>
      <c r="P103" s="131" t="s">
        <v>447</v>
      </c>
      <c r="Q103" s="131" t="s">
        <v>447</v>
      </c>
      <c r="R103" s="131" t="s">
        <v>447</v>
      </c>
      <c r="S103" s="131" t="s">
        <v>447</v>
      </c>
      <c r="T103" s="131" t="s">
        <v>447</v>
      </c>
      <c r="U103" s="131" t="s">
        <v>447</v>
      </c>
      <c r="V103" s="131" t="s">
        <v>447</v>
      </c>
      <c r="W103" s="131" t="s">
        <v>447</v>
      </c>
      <c r="X103" s="131" t="s">
        <v>447</v>
      </c>
      <c r="Y103" s="131" t="s">
        <v>447</v>
      </c>
      <c r="Z103" s="131" t="s">
        <v>447</v>
      </c>
      <c r="AA103" s="131" t="s">
        <v>447</v>
      </c>
      <c r="AB103" s="131" t="s">
        <v>447</v>
      </c>
      <c r="AC103" s="131" t="s">
        <v>447</v>
      </c>
      <c r="AD103" s="131" t="s">
        <v>447</v>
      </c>
      <c r="AE103" s="131" t="s">
        <v>447</v>
      </c>
      <c r="AF103" s="131" t="s">
        <v>447</v>
      </c>
      <c r="AG103" s="131" t="s">
        <v>447</v>
      </c>
      <c r="AH103" s="131" t="s">
        <v>447</v>
      </c>
    </row>
    <row r="104" spans="1:34" ht="14.5">
      <c r="A104" s="17" t="s">
        <v>867</v>
      </c>
      <c r="B104" s="129" t="s">
        <v>791</v>
      </c>
      <c r="C104" s="130">
        <v>20.703951</v>
      </c>
      <c r="D104" s="130">
        <v>21.184431</v>
      </c>
      <c r="E104" s="130">
        <v>20.922765999999999</v>
      </c>
      <c r="F104" s="130">
        <v>20.490691999999999</v>
      </c>
      <c r="G104" s="130">
        <v>20.390978</v>
      </c>
      <c r="H104" s="130">
        <v>20.561810000000001</v>
      </c>
      <c r="I104" s="130">
        <v>20.928826999999998</v>
      </c>
      <c r="J104" s="130">
        <v>21.389219000000001</v>
      </c>
      <c r="K104" s="130">
        <v>21.904938000000001</v>
      </c>
      <c r="L104" s="130">
        <v>22.493555000000001</v>
      </c>
      <c r="M104" s="130">
        <v>23.126232000000002</v>
      </c>
      <c r="N104" s="130">
        <v>23.898823</v>
      </c>
      <c r="O104" s="130">
        <v>24.533017999999998</v>
      </c>
      <c r="P104" s="130">
        <v>25.095576999999999</v>
      </c>
      <c r="Q104" s="130">
        <v>25.619420999999999</v>
      </c>
      <c r="R104" s="130">
        <v>26.129231999999998</v>
      </c>
      <c r="S104" s="130">
        <v>26.601374</v>
      </c>
      <c r="T104" s="130">
        <v>27.053902000000001</v>
      </c>
      <c r="U104" s="130">
        <v>27.557925999999998</v>
      </c>
      <c r="V104" s="130">
        <v>28.009595999999998</v>
      </c>
      <c r="W104" s="130">
        <v>28.483612000000001</v>
      </c>
      <c r="X104" s="130">
        <v>28.995356000000001</v>
      </c>
      <c r="Y104" s="130">
        <v>29.524231</v>
      </c>
      <c r="Z104" s="130">
        <v>30.040479999999999</v>
      </c>
      <c r="AA104" s="130">
        <v>30.675072</v>
      </c>
      <c r="AB104" s="130">
        <v>31.286566000000001</v>
      </c>
      <c r="AC104" s="130">
        <v>31.906497999999999</v>
      </c>
      <c r="AD104" s="130">
        <v>32.552177</v>
      </c>
      <c r="AE104" s="130">
        <v>33.172356000000001</v>
      </c>
      <c r="AF104" s="130">
        <v>33.776854999999998</v>
      </c>
      <c r="AG104" s="130">
        <v>34.495876000000003</v>
      </c>
      <c r="AH104" s="131">
        <v>1.7163000000000001E-2</v>
      </c>
    </row>
    <row r="107" spans="1:34" ht="15" customHeight="1">
      <c r="B107" s="128" t="s">
        <v>87</v>
      </c>
    </row>
    <row r="108" spans="1:34" ht="15" customHeight="1">
      <c r="A108" s="17" t="s">
        <v>868</v>
      </c>
      <c r="B108" s="129" t="s">
        <v>82</v>
      </c>
      <c r="C108" s="130">
        <v>11.989126000000001</v>
      </c>
      <c r="D108" s="130">
        <v>13.055498</v>
      </c>
      <c r="E108" s="130">
        <v>13.684998</v>
      </c>
      <c r="F108" s="130">
        <v>13.646471999999999</v>
      </c>
      <c r="G108" s="130">
        <v>13.932608999999999</v>
      </c>
      <c r="H108" s="130">
        <v>14.35027</v>
      </c>
      <c r="I108" s="130">
        <v>14.551660999999999</v>
      </c>
      <c r="J108" s="130">
        <v>14.940968</v>
      </c>
      <c r="K108" s="130">
        <v>15.597754</v>
      </c>
      <c r="L108" s="130">
        <v>16.266991000000001</v>
      </c>
      <c r="M108" s="130">
        <v>17.803008999999999</v>
      </c>
      <c r="N108" s="130">
        <v>18.508292999999998</v>
      </c>
      <c r="O108" s="130">
        <v>19.266905000000001</v>
      </c>
      <c r="P108" s="130">
        <v>19.957550000000001</v>
      </c>
      <c r="Q108" s="130">
        <v>20.655187999999999</v>
      </c>
      <c r="R108" s="130">
        <v>21.217950999999999</v>
      </c>
      <c r="S108" s="130">
        <v>21.911341</v>
      </c>
      <c r="T108" s="130">
        <v>22.821793</v>
      </c>
      <c r="U108" s="130">
        <v>23.585032000000002</v>
      </c>
      <c r="V108" s="130">
        <v>24.222187000000002</v>
      </c>
      <c r="W108" s="130">
        <v>24.967777000000002</v>
      </c>
      <c r="X108" s="130">
        <v>25.745121000000001</v>
      </c>
      <c r="Y108" s="130">
        <v>26.527177999999999</v>
      </c>
      <c r="Z108" s="130">
        <v>27.162399000000001</v>
      </c>
      <c r="AA108" s="130">
        <v>28.074911</v>
      </c>
      <c r="AB108" s="130">
        <v>28.923811000000001</v>
      </c>
      <c r="AC108" s="130">
        <v>29.956638000000002</v>
      </c>
      <c r="AD108" s="130">
        <v>31.013227000000001</v>
      </c>
      <c r="AE108" s="130">
        <v>32.086063000000003</v>
      </c>
      <c r="AF108" s="130">
        <v>33.307343000000003</v>
      </c>
      <c r="AG108" s="130">
        <v>34.538722999999997</v>
      </c>
      <c r="AH108" s="131">
        <v>3.5899E-2</v>
      </c>
    </row>
    <row r="109" spans="1:34" ht="15" customHeight="1">
      <c r="A109" s="17" t="s">
        <v>869</v>
      </c>
      <c r="B109" s="129" t="s">
        <v>88</v>
      </c>
      <c r="C109" s="130">
        <v>21.197994000000001</v>
      </c>
      <c r="D109" s="130">
        <v>22.489187000000001</v>
      </c>
      <c r="E109" s="130">
        <v>24.134782999999999</v>
      </c>
      <c r="F109" s="130">
        <v>23.938148000000002</v>
      </c>
      <c r="G109" s="130">
        <v>24.054376999999999</v>
      </c>
      <c r="H109" s="130">
        <v>24.331526</v>
      </c>
      <c r="I109" s="130">
        <v>24.861383</v>
      </c>
      <c r="J109" s="130">
        <v>26.163397</v>
      </c>
      <c r="K109" s="130">
        <v>27.222588999999999</v>
      </c>
      <c r="L109" s="130">
        <v>28.490193999999999</v>
      </c>
      <c r="M109" s="130">
        <v>30.607447000000001</v>
      </c>
      <c r="N109" s="130">
        <v>31.424811999999999</v>
      </c>
      <c r="O109" s="130">
        <v>32.751942</v>
      </c>
      <c r="P109" s="130">
        <v>33.951576000000003</v>
      </c>
      <c r="Q109" s="130">
        <v>35.573013000000003</v>
      </c>
      <c r="R109" s="130">
        <v>36.026156999999998</v>
      </c>
      <c r="S109" s="130">
        <v>37.013168</v>
      </c>
      <c r="T109" s="130">
        <v>38.307907</v>
      </c>
      <c r="U109" s="130">
        <v>39.596972999999998</v>
      </c>
      <c r="V109" s="130">
        <v>40.555588</v>
      </c>
      <c r="W109" s="130">
        <v>41.774628</v>
      </c>
      <c r="X109" s="130">
        <v>43.055011999999998</v>
      </c>
      <c r="Y109" s="130">
        <v>44.035229000000001</v>
      </c>
      <c r="Z109" s="130">
        <v>45.315018000000002</v>
      </c>
      <c r="AA109" s="130">
        <v>46.798065000000001</v>
      </c>
      <c r="AB109" s="130">
        <v>48.472186999999998</v>
      </c>
      <c r="AC109" s="130">
        <v>49.989505999999999</v>
      </c>
      <c r="AD109" s="130">
        <v>51.559319000000002</v>
      </c>
      <c r="AE109" s="130">
        <v>53.219242000000001</v>
      </c>
      <c r="AF109" s="130">
        <v>55.084353999999998</v>
      </c>
      <c r="AG109" s="130">
        <v>57.077778000000002</v>
      </c>
      <c r="AH109" s="131">
        <v>3.3568000000000001E-2</v>
      </c>
    </row>
    <row r="110" spans="1:34" ht="15" customHeight="1">
      <c r="A110" s="17" t="s">
        <v>870</v>
      </c>
      <c r="B110" s="129" t="s">
        <v>89</v>
      </c>
      <c r="C110" s="130">
        <v>18.753328</v>
      </c>
      <c r="D110" s="130">
        <v>19.788212000000001</v>
      </c>
      <c r="E110" s="130">
        <v>20.293282000000001</v>
      </c>
      <c r="F110" s="130">
        <v>20.436584</v>
      </c>
      <c r="G110" s="130">
        <v>20.593464000000001</v>
      </c>
      <c r="H110" s="130">
        <v>20.882581999999999</v>
      </c>
      <c r="I110" s="130">
        <v>21.376519999999999</v>
      </c>
      <c r="J110" s="130">
        <v>22.48011</v>
      </c>
      <c r="K110" s="130">
        <v>23.366942999999999</v>
      </c>
      <c r="L110" s="130">
        <v>24.426805000000002</v>
      </c>
      <c r="M110" s="130">
        <v>26.396180999999999</v>
      </c>
      <c r="N110" s="130">
        <v>27.072281</v>
      </c>
      <c r="O110" s="130">
        <v>28.209209000000001</v>
      </c>
      <c r="P110" s="130">
        <v>29.205608000000002</v>
      </c>
      <c r="Q110" s="130">
        <v>30.561083</v>
      </c>
      <c r="R110" s="130">
        <v>30.930744000000001</v>
      </c>
      <c r="S110" s="130">
        <v>31.754170999999999</v>
      </c>
      <c r="T110" s="130">
        <v>32.846404999999997</v>
      </c>
      <c r="U110" s="130">
        <v>33.927546999999997</v>
      </c>
      <c r="V110" s="130">
        <v>34.733677</v>
      </c>
      <c r="W110" s="130">
        <v>35.761009000000001</v>
      </c>
      <c r="X110" s="130">
        <v>36.830620000000003</v>
      </c>
      <c r="Y110" s="130">
        <v>37.648448999999999</v>
      </c>
      <c r="Z110" s="130">
        <v>38.719551000000003</v>
      </c>
      <c r="AA110" s="130">
        <v>39.962944</v>
      </c>
      <c r="AB110" s="130">
        <v>41.346457999999998</v>
      </c>
      <c r="AC110" s="130">
        <v>42.581744999999998</v>
      </c>
      <c r="AD110" s="130">
        <v>43.907246000000001</v>
      </c>
      <c r="AE110" s="130">
        <v>45.259014000000001</v>
      </c>
      <c r="AF110" s="130">
        <v>46.844619999999999</v>
      </c>
      <c r="AG110" s="130">
        <v>48.515076000000001</v>
      </c>
      <c r="AH110" s="131">
        <v>3.2190999999999997E-2</v>
      </c>
    </row>
    <row r="111" spans="1:34" ht="15" customHeight="1">
      <c r="A111" s="17" t="s">
        <v>871</v>
      </c>
      <c r="B111" s="129" t="s">
        <v>90</v>
      </c>
      <c r="C111" s="130">
        <v>9.5686540000000004</v>
      </c>
      <c r="D111" s="130">
        <v>10.491621</v>
      </c>
      <c r="E111" s="130">
        <v>11.611799</v>
      </c>
      <c r="F111" s="130">
        <v>12.626143000000001</v>
      </c>
      <c r="G111" s="130">
        <v>13.374006</v>
      </c>
      <c r="H111" s="130">
        <v>13.885991000000001</v>
      </c>
      <c r="I111" s="130">
        <v>14.634782</v>
      </c>
      <c r="J111" s="130">
        <v>15.622922000000001</v>
      </c>
      <c r="K111" s="130">
        <v>16.399954000000001</v>
      </c>
      <c r="L111" s="130">
        <v>17.258618999999999</v>
      </c>
      <c r="M111" s="130">
        <v>18.285124</v>
      </c>
      <c r="N111" s="130">
        <v>19.125378000000001</v>
      </c>
      <c r="O111" s="130">
        <v>20.090021</v>
      </c>
      <c r="P111" s="130">
        <v>20.930676999999999</v>
      </c>
      <c r="Q111" s="130">
        <v>21.668398</v>
      </c>
      <c r="R111" s="130">
        <v>22.090868</v>
      </c>
      <c r="S111" s="130">
        <v>22.572368999999998</v>
      </c>
      <c r="T111" s="130">
        <v>23.443169000000001</v>
      </c>
      <c r="U111" s="130">
        <v>24.351158000000002</v>
      </c>
      <c r="V111" s="130">
        <v>24.778327999999998</v>
      </c>
      <c r="W111" s="130">
        <v>26.019874999999999</v>
      </c>
      <c r="X111" s="130">
        <v>26.910350999999999</v>
      </c>
      <c r="Y111" s="130">
        <v>27.768221</v>
      </c>
      <c r="Z111" s="130">
        <v>28.759862999999999</v>
      </c>
      <c r="AA111" s="130">
        <v>29.916378000000002</v>
      </c>
      <c r="AB111" s="130">
        <v>31.164967999999998</v>
      </c>
      <c r="AC111" s="130">
        <v>32.309131999999998</v>
      </c>
      <c r="AD111" s="130">
        <v>33.423969</v>
      </c>
      <c r="AE111" s="130">
        <v>34.476363999999997</v>
      </c>
      <c r="AF111" s="130">
        <v>35.830787999999998</v>
      </c>
      <c r="AG111" s="130">
        <v>37.167850000000001</v>
      </c>
      <c r="AH111" s="131">
        <v>4.6269999999999999E-2</v>
      </c>
    </row>
    <row r="112" spans="1:34" ht="15" customHeight="1">
      <c r="A112" s="17" t="s">
        <v>872</v>
      </c>
      <c r="B112" s="129" t="s">
        <v>91</v>
      </c>
      <c r="C112" s="130">
        <v>18.329231</v>
      </c>
      <c r="D112" s="130">
        <v>18.466090999999999</v>
      </c>
      <c r="E112" s="130">
        <v>19.441296000000001</v>
      </c>
      <c r="F112" s="130">
        <v>20.906368000000001</v>
      </c>
      <c r="G112" s="130">
        <v>21.550484000000001</v>
      </c>
      <c r="H112" s="130">
        <v>22.240687999999999</v>
      </c>
      <c r="I112" s="130">
        <v>22.925701</v>
      </c>
      <c r="J112" s="130">
        <v>24.184678999999999</v>
      </c>
      <c r="K112" s="130">
        <v>25.177447999999998</v>
      </c>
      <c r="L112" s="130">
        <v>26.206683999999999</v>
      </c>
      <c r="M112" s="130">
        <v>27.881654999999999</v>
      </c>
      <c r="N112" s="130">
        <v>28.911507</v>
      </c>
      <c r="O112" s="130">
        <v>30.105221</v>
      </c>
      <c r="P112" s="130">
        <v>31.156676999999998</v>
      </c>
      <c r="Q112" s="130">
        <v>32.130553999999997</v>
      </c>
      <c r="R112" s="130">
        <v>32.564861000000001</v>
      </c>
      <c r="S112" s="130">
        <v>33.237152000000002</v>
      </c>
      <c r="T112" s="130">
        <v>34.297997000000002</v>
      </c>
      <c r="U112" s="130">
        <v>35.361176</v>
      </c>
      <c r="V112" s="130">
        <v>35.931491999999999</v>
      </c>
      <c r="W112" s="130">
        <v>37.292427000000004</v>
      </c>
      <c r="X112" s="130">
        <v>38.340877999999996</v>
      </c>
      <c r="Y112" s="130">
        <v>39.357944000000003</v>
      </c>
      <c r="Z112" s="130">
        <v>40.492893000000002</v>
      </c>
      <c r="AA112" s="130">
        <v>41.785235999999998</v>
      </c>
      <c r="AB112" s="130">
        <v>43.214019999999998</v>
      </c>
      <c r="AC112" s="130">
        <v>44.615161999999998</v>
      </c>
      <c r="AD112" s="130">
        <v>46.015656</v>
      </c>
      <c r="AE112" s="130">
        <v>47.406441000000001</v>
      </c>
      <c r="AF112" s="130">
        <v>49.013824</v>
      </c>
      <c r="AG112" s="130">
        <v>50.694831999999998</v>
      </c>
      <c r="AH112" s="131">
        <v>3.4492000000000002E-2</v>
      </c>
    </row>
    <row r="113" spans="1:34" ht="15" customHeight="1">
      <c r="A113" s="17" t="s">
        <v>873</v>
      </c>
      <c r="B113" s="129" t="s">
        <v>85</v>
      </c>
      <c r="C113" s="130">
        <v>9.2080660000000005</v>
      </c>
      <c r="D113" s="130">
        <v>7.0633520000000001</v>
      </c>
      <c r="E113" s="130">
        <v>7.302988</v>
      </c>
      <c r="F113" s="130">
        <v>8.4810619999999997</v>
      </c>
      <c r="G113" s="130">
        <v>9.8490350000000007</v>
      </c>
      <c r="H113" s="130">
        <v>10.089943</v>
      </c>
      <c r="I113" s="130">
        <v>10.639123</v>
      </c>
      <c r="J113" s="130">
        <v>11.495901</v>
      </c>
      <c r="K113" s="130">
        <v>11.956232999999999</v>
      </c>
      <c r="L113" s="130">
        <v>13.219588</v>
      </c>
      <c r="M113" s="130">
        <v>14.070411999999999</v>
      </c>
      <c r="N113" s="130">
        <v>14.140808</v>
      </c>
      <c r="O113" s="130">
        <v>14.921721</v>
      </c>
      <c r="P113" s="130">
        <v>15.509969</v>
      </c>
      <c r="Q113" s="130">
        <v>16.500456</v>
      </c>
      <c r="R113" s="130">
        <v>16.410965000000001</v>
      </c>
      <c r="S113" s="130">
        <v>16.978366999999999</v>
      </c>
      <c r="T113" s="130">
        <v>17.589258000000001</v>
      </c>
      <c r="U113" s="130">
        <v>18.293513999999998</v>
      </c>
      <c r="V113" s="130">
        <v>18.921209000000001</v>
      </c>
      <c r="W113" s="130">
        <v>19.635922999999998</v>
      </c>
      <c r="X113" s="130">
        <v>20.176897</v>
      </c>
      <c r="Y113" s="130">
        <v>21.054981000000002</v>
      </c>
      <c r="Z113" s="130">
        <v>22.139012999999998</v>
      </c>
      <c r="AA113" s="130">
        <v>23.220078999999998</v>
      </c>
      <c r="AB113" s="130">
        <v>23.7334</v>
      </c>
      <c r="AC113" s="130">
        <v>25.473278000000001</v>
      </c>
      <c r="AD113" s="130">
        <v>26.305942999999999</v>
      </c>
      <c r="AE113" s="130">
        <v>27.115713</v>
      </c>
      <c r="AF113" s="130">
        <v>28.203956999999999</v>
      </c>
      <c r="AG113" s="130">
        <v>29.465541999999999</v>
      </c>
      <c r="AH113" s="131">
        <v>3.9532999999999999E-2</v>
      </c>
    </row>
    <row r="114" spans="1:34" ht="15" customHeight="1">
      <c r="A114" s="17" t="s">
        <v>874</v>
      </c>
      <c r="B114" s="207" t="s">
        <v>817</v>
      </c>
      <c r="C114" s="208">
        <v>12.999203</v>
      </c>
      <c r="D114" s="208">
        <v>13.756338</v>
      </c>
      <c r="E114" s="208">
        <v>14.272468</v>
      </c>
      <c r="F114" s="208">
        <v>13.87274</v>
      </c>
      <c r="G114" s="208">
        <v>13.379066999999999</v>
      </c>
      <c r="H114" s="208">
        <v>13.404615</v>
      </c>
      <c r="I114" s="208">
        <v>13.498896999999999</v>
      </c>
      <c r="J114" s="208">
        <v>13.628196000000001</v>
      </c>
      <c r="K114" s="208">
        <v>13.736962</v>
      </c>
      <c r="L114" s="208">
        <v>13.932218000000001</v>
      </c>
      <c r="M114" s="208">
        <v>14.950908999999999</v>
      </c>
      <c r="N114" s="208">
        <v>15.044097000000001</v>
      </c>
      <c r="O114" s="208">
        <v>15.321702</v>
      </c>
      <c r="P114" s="208">
        <v>15.516894000000001</v>
      </c>
      <c r="Q114" s="208">
        <v>15.691060999999999</v>
      </c>
      <c r="R114" s="208">
        <v>15.773815000000001</v>
      </c>
      <c r="S114" s="208">
        <v>15.950137</v>
      </c>
      <c r="T114" s="208">
        <v>16.117809000000001</v>
      </c>
      <c r="U114" s="208">
        <v>16.291615</v>
      </c>
      <c r="V114" s="208">
        <v>16.466549000000001</v>
      </c>
      <c r="W114" s="208">
        <v>16.700437999999998</v>
      </c>
      <c r="X114" s="208">
        <v>16.943705000000001</v>
      </c>
      <c r="Y114" s="208">
        <v>17.277073000000001</v>
      </c>
      <c r="Z114" s="208">
        <v>17.574244</v>
      </c>
      <c r="AA114" s="208">
        <v>17.982026999999999</v>
      </c>
      <c r="AB114" s="208">
        <v>18.336407000000001</v>
      </c>
      <c r="AC114" s="208">
        <v>18.741672999999999</v>
      </c>
      <c r="AD114" s="208">
        <v>19.208071</v>
      </c>
      <c r="AE114" s="208">
        <v>19.600466000000001</v>
      </c>
      <c r="AF114" s="208">
        <v>20.057380999999999</v>
      </c>
      <c r="AG114" s="208">
        <v>20.632099</v>
      </c>
      <c r="AH114" s="209">
        <v>1.5518000000000001E-2</v>
      </c>
    </row>
    <row r="115" spans="1:34" ht="15" customHeight="1">
      <c r="A115" s="17" t="s">
        <v>875</v>
      </c>
      <c r="B115" s="129" t="s">
        <v>791</v>
      </c>
      <c r="C115" s="130">
        <v>34.881683000000002</v>
      </c>
      <c r="D115" s="130">
        <v>36.816513</v>
      </c>
      <c r="E115" s="130">
        <v>36.169002999999996</v>
      </c>
      <c r="F115" s="130">
        <v>35.738602</v>
      </c>
      <c r="G115" s="130">
        <v>35.579833999999998</v>
      </c>
      <c r="H115" s="130">
        <v>36.129081999999997</v>
      </c>
      <c r="I115" s="130">
        <v>36.963622999999998</v>
      </c>
      <c r="J115" s="130">
        <v>37.989131999999998</v>
      </c>
      <c r="K115" s="130">
        <v>39.081032</v>
      </c>
      <c r="L115" s="130">
        <v>40.300075999999997</v>
      </c>
      <c r="M115" s="130">
        <v>41.404995</v>
      </c>
      <c r="N115" s="130">
        <v>42.946102000000003</v>
      </c>
      <c r="O115" s="130">
        <v>44.248558000000003</v>
      </c>
      <c r="P115" s="130">
        <v>45.525314000000002</v>
      </c>
      <c r="Q115" s="130">
        <v>46.634273999999998</v>
      </c>
      <c r="R115" s="130">
        <v>47.531353000000003</v>
      </c>
      <c r="S115" s="130">
        <v>48.472499999999997</v>
      </c>
      <c r="T115" s="130">
        <v>49.432986999999997</v>
      </c>
      <c r="U115" s="130">
        <v>50.387675999999999</v>
      </c>
      <c r="V115" s="130">
        <v>51.286388000000002</v>
      </c>
      <c r="W115" s="130">
        <v>52.214260000000003</v>
      </c>
      <c r="X115" s="130">
        <v>53.183109000000002</v>
      </c>
      <c r="Y115" s="130">
        <v>54.169322999999999</v>
      </c>
      <c r="Z115" s="130">
        <v>55.113655000000001</v>
      </c>
      <c r="AA115" s="130">
        <v>56.153427000000001</v>
      </c>
      <c r="AB115" s="130">
        <v>57.276477999999997</v>
      </c>
      <c r="AC115" s="130">
        <v>58.393307</v>
      </c>
      <c r="AD115" s="130">
        <v>59.578139999999998</v>
      </c>
      <c r="AE115" s="130">
        <v>60.672660999999998</v>
      </c>
      <c r="AF115" s="130">
        <v>61.720840000000003</v>
      </c>
      <c r="AG115" s="130">
        <v>62.874915999999999</v>
      </c>
      <c r="AH115" s="131">
        <v>1.9834000000000001E-2</v>
      </c>
    </row>
    <row r="117" spans="1:34" ht="15" customHeight="1">
      <c r="B117" s="128" t="s">
        <v>819</v>
      </c>
    </row>
    <row r="118" spans="1:34" ht="15" customHeight="1">
      <c r="A118" s="17" t="s">
        <v>876</v>
      </c>
      <c r="B118" s="129" t="s">
        <v>84</v>
      </c>
      <c r="C118" s="130">
        <v>17.708587999999999</v>
      </c>
      <c r="D118" s="130">
        <v>17.922906999999999</v>
      </c>
      <c r="E118" s="130">
        <v>18.167338999999998</v>
      </c>
      <c r="F118" s="130">
        <v>18.391798000000001</v>
      </c>
      <c r="G118" s="130">
        <v>18.371428000000002</v>
      </c>
      <c r="H118" s="130">
        <v>18.194514999999999</v>
      </c>
      <c r="I118" s="130">
        <v>18.012846</v>
      </c>
      <c r="J118" s="130">
        <v>19.005011</v>
      </c>
      <c r="K118" s="130">
        <v>19.743411999999999</v>
      </c>
      <c r="L118" s="130">
        <v>20.599807999999999</v>
      </c>
      <c r="M118" s="130">
        <v>21.649260999999999</v>
      </c>
      <c r="N118" s="130">
        <v>22.243275000000001</v>
      </c>
      <c r="O118" s="130">
        <v>23.181121999999998</v>
      </c>
      <c r="P118" s="130">
        <v>24.023527000000001</v>
      </c>
      <c r="Q118" s="130">
        <v>24.834676999999999</v>
      </c>
      <c r="R118" s="130">
        <v>25.286221999999999</v>
      </c>
      <c r="S118" s="130">
        <v>25.852322000000001</v>
      </c>
      <c r="T118" s="130">
        <v>26.715047999999999</v>
      </c>
      <c r="U118" s="130">
        <v>27.479749999999999</v>
      </c>
      <c r="V118" s="130">
        <v>27.963885999999999</v>
      </c>
      <c r="W118" s="130">
        <v>29.288336000000001</v>
      </c>
      <c r="X118" s="130">
        <v>30.202635000000001</v>
      </c>
      <c r="Y118" s="130">
        <v>31.045172000000001</v>
      </c>
      <c r="Z118" s="130">
        <v>32.017268999999999</v>
      </c>
      <c r="AA118" s="130">
        <v>33.168652000000002</v>
      </c>
      <c r="AB118" s="130">
        <v>34.449997000000003</v>
      </c>
      <c r="AC118" s="130">
        <v>35.675570999999998</v>
      </c>
      <c r="AD118" s="130">
        <v>36.849620999999999</v>
      </c>
      <c r="AE118" s="130">
        <v>38.027099999999997</v>
      </c>
      <c r="AF118" s="130">
        <v>39.507576</v>
      </c>
      <c r="AG118" s="130">
        <v>40.923405000000002</v>
      </c>
      <c r="AH118" s="131">
        <v>2.8315E-2</v>
      </c>
    </row>
    <row r="119" spans="1:34" ht="15" customHeight="1">
      <c r="A119" s="17" t="s">
        <v>877</v>
      </c>
      <c r="B119" s="129" t="s">
        <v>85</v>
      </c>
      <c r="C119" s="130">
        <v>8.2907299999999999</v>
      </c>
      <c r="D119" s="130">
        <v>8.9470679999999998</v>
      </c>
      <c r="E119" s="130">
        <v>9.9366479999999999</v>
      </c>
      <c r="F119" s="130">
        <v>11.076062</v>
      </c>
      <c r="G119" s="130">
        <v>11.979737999999999</v>
      </c>
      <c r="H119" s="130">
        <v>12.592653</v>
      </c>
      <c r="I119" s="130">
        <v>13.356881</v>
      </c>
      <c r="J119" s="130">
        <v>14.202007999999999</v>
      </c>
      <c r="K119" s="130">
        <v>14.762340999999999</v>
      </c>
      <c r="L119" s="130">
        <v>15.476789999999999</v>
      </c>
      <c r="M119" s="130">
        <v>16.343202999999999</v>
      </c>
      <c r="N119" s="130">
        <v>16.973457</v>
      </c>
      <c r="O119" s="130">
        <v>17.722759</v>
      </c>
      <c r="P119" s="130">
        <v>18.476268999999998</v>
      </c>
      <c r="Q119" s="130">
        <v>19.074306</v>
      </c>
      <c r="R119" s="130">
        <v>19.433674</v>
      </c>
      <c r="S119" s="130">
        <v>19.821852</v>
      </c>
      <c r="T119" s="130">
        <v>20.536128999999999</v>
      </c>
      <c r="U119" s="130">
        <v>21.275314000000002</v>
      </c>
      <c r="V119" s="130">
        <v>21.824587000000001</v>
      </c>
      <c r="W119" s="130">
        <v>22.77355</v>
      </c>
      <c r="X119" s="130">
        <v>23.359221000000002</v>
      </c>
      <c r="Y119" s="130">
        <v>23.897337</v>
      </c>
      <c r="Z119" s="130">
        <v>24.436132000000001</v>
      </c>
      <c r="AA119" s="130">
        <v>25.133085000000001</v>
      </c>
      <c r="AB119" s="130">
        <v>25.602730000000001</v>
      </c>
      <c r="AC119" s="130">
        <v>26.62406</v>
      </c>
      <c r="AD119" s="130">
        <v>27.609345999999999</v>
      </c>
      <c r="AE119" s="130">
        <v>28.527224</v>
      </c>
      <c r="AF119" s="130">
        <v>29.689737000000001</v>
      </c>
      <c r="AG119" s="130">
        <v>30.943238999999998</v>
      </c>
      <c r="AH119" s="131">
        <v>4.4878000000000001E-2</v>
      </c>
    </row>
    <row r="120" spans="1:34" ht="15" customHeight="1">
      <c r="A120" s="17" t="s">
        <v>878</v>
      </c>
      <c r="B120" s="129" t="s">
        <v>789</v>
      </c>
      <c r="C120" s="130">
        <v>2.4475359999999999</v>
      </c>
      <c r="D120" s="130">
        <v>3.575078</v>
      </c>
      <c r="E120" s="130">
        <v>3.509563</v>
      </c>
      <c r="F120" s="130">
        <v>3.1234579999999998</v>
      </c>
      <c r="G120" s="130">
        <v>2.8282539999999998</v>
      </c>
      <c r="H120" s="130">
        <v>2.8515229999999998</v>
      </c>
      <c r="I120" s="130">
        <v>2.9517630000000001</v>
      </c>
      <c r="J120" s="130">
        <v>3.121902</v>
      </c>
      <c r="K120" s="130">
        <v>3.2792289999999999</v>
      </c>
      <c r="L120" s="130">
        <v>3.4971390000000002</v>
      </c>
      <c r="M120" s="130">
        <v>3.6785019999999999</v>
      </c>
      <c r="N120" s="130">
        <v>3.832201</v>
      </c>
      <c r="O120" s="130">
        <v>3.9674640000000001</v>
      </c>
      <c r="P120" s="130">
        <v>4.1222770000000004</v>
      </c>
      <c r="Q120" s="130">
        <v>4.2217479999999998</v>
      </c>
      <c r="R120" s="130">
        <v>4.2990930000000001</v>
      </c>
      <c r="S120" s="130">
        <v>4.397367</v>
      </c>
      <c r="T120" s="130">
        <v>4.4639600000000002</v>
      </c>
      <c r="U120" s="130">
        <v>4.5292820000000003</v>
      </c>
      <c r="V120" s="130">
        <v>4.5863860000000001</v>
      </c>
      <c r="W120" s="130">
        <v>4.665565</v>
      </c>
      <c r="X120" s="130">
        <v>4.7735110000000001</v>
      </c>
      <c r="Y120" s="130">
        <v>4.8861920000000003</v>
      </c>
      <c r="Z120" s="130">
        <v>4.9767700000000001</v>
      </c>
      <c r="AA120" s="130">
        <v>5.1314330000000004</v>
      </c>
      <c r="AB120" s="130">
        <v>5.2176989999999996</v>
      </c>
      <c r="AC120" s="130">
        <v>5.3252980000000001</v>
      </c>
      <c r="AD120" s="130">
        <v>5.473681</v>
      </c>
      <c r="AE120" s="130">
        <v>5.5430219999999997</v>
      </c>
      <c r="AF120" s="130">
        <v>5.6181130000000001</v>
      </c>
      <c r="AG120" s="130">
        <v>5.8064549999999997</v>
      </c>
      <c r="AH120" s="131">
        <v>2.9215000000000001E-2</v>
      </c>
    </row>
    <row r="121" spans="1:34" ht="15" customHeight="1">
      <c r="A121" s="17" t="s">
        <v>879</v>
      </c>
      <c r="B121" s="129" t="s">
        <v>824</v>
      </c>
      <c r="C121" s="130">
        <v>1.9139900000000001</v>
      </c>
      <c r="D121" s="130">
        <v>2.0138539999999998</v>
      </c>
      <c r="E121" s="130">
        <v>2.0420479999999999</v>
      </c>
      <c r="F121" s="130">
        <v>1.991269</v>
      </c>
      <c r="G121" s="130">
        <v>1.9896430000000001</v>
      </c>
      <c r="H121" s="130">
        <v>1.9458800000000001</v>
      </c>
      <c r="I121" s="130">
        <v>1.974057</v>
      </c>
      <c r="J121" s="130">
        <v>2.0108700000000002</v>
      </c>
      <c r="K121" s="130">
        <v>2.0233449999999999</v>
      </c>
      <c r="L121" s="130">
        <v>2.0785710000000002</v>
      </c>
      <c r="M121" s="130">
        <v>2.1369340000000001</v>
      </c>
      <c r="N121" s="130">
        <v>2.2068490000000001</v>
      </c>
      <c r="O121" s="130">
        <v>2.2387060000000001</v>
      </c>
      <c r="P121" s="130">
        <v>2.280745</v>
      </c>
      <c r="Q121" s="130">
        <v>2.3335940000000002</v>
      </c>
      <c r="R121" s="130">
        <v>2.3716379999999999</v>
      </c>
      <c r="S121" s="130">
        <v>2.4149980000000002</v>
      </c>
      <c r="T121" s="130">
        <v>2.4696400000000001</v>
      </c>
      <c r="U121" s="130">
        <v>2.547005</v>
      </c>
      <c r="V121" s="130">
        <v>2.5993539999999999</v>
      </c>
      <c r="W121" s="130">
        <v>2.656965</v>
      </c>
      <c r="X121" s="130">
        <v>2.716018</v>
      </c>
      <c r="Y121" s="130">
        <v>2.7708159999999999</v>
      </c>
      <c r="Z121" s="130">
        <v>2.8345940000000001</v>
      </c>
      <c r="AA121" s="130">
        <v>2.9008579999999999</v>
      </c>
      <c r="AB121" s="130">
        <v>2.9650919999999998</v>
      </c>
      <c r="AC121" s="130">
        <v>3.0393720000000002</v>
      </c>
      <c r="AD121" s="130">
        <v>3.1162450000000002</v>
      </c>
      <c r="AE121" s="130">
        <v>3.1798959999999998</v>
      </c>
      <c r="AF121" s="130">
        <v>3.263045</v>
      </c>
      <c r="AG121" s="130">
        <v>3.3525969999999998</v>
      </c>
      <c r="AH121" s="131">
        <v>1.8859999999999998E-2</v>
      </c>
    </row>
    <row r="122" spans="1:34" ht="15" customHeight="1">
      <c r="A122" s="17" t="s">
        <v>880</v>
      </c>
      <c r="B122" s="129" t="s">
        <v>826</v>
      </c>
      <c r="C122" s="130">
        <v>0.68612300000000004</v>
      </c>
      <c r="D122" s="130">
        <v>0.69437800000000005</v>
      </c>
      <c r="E122" s="130">
        <v>0.70342800000000005</v>
      </c>
      <c r="F122" s="130">
        <v>0.714812</v>
      </c>
      <c r="G122" s="130">
        <v>0.72804400000000002</v>
      </c>
      <c r="H122" s="130">
        <v>0.74597000000000002</v>
      </c>
      <c r="I122" s="130">
        <v>0.766096</v>
      </c>
      <c r="J122" s="130">
        <v>0.79033699999999996</v>
      </c>
      <c r="K122" s="130">
        <v>0.81512700000000005</v>
      </c>
      <c r="L122" s="130">
        <v>0.84268600000000005</v>
      </c>
      <c r="M122" s="130">
        <v>0.87102999999999997</v>
      </c>
      <c r="N122" s="130">
        <v>0.89856100000000005</v>
      </c>
      <c r="O122" s="130">
        <v>0.92714399999999997</v>
      </c>
      <c r="P122" s="130">
        <v>0.955681</v>
      </c>
      <c r="Q122" s="130">
        <v>0.98225799999999996</v>
      </c>
      <c r="R122" s="130">
        <v>1.0098510000000001</v>
      </c>
      <c r="S122" s="130">
        <v>1.0373399999999999</v>
      </c>
      <c r="T122" s="130">
        <v>1.063205</v>
      </c>
      <c r="U122" s="130">
        <v>1.090883</v>
      </c>
      <c r="V122" s="130">
        <v>1.1183609999999999</v>
      </c>
      <c r="W122" s="130">
        <v>1.147076</v>
      </c>
      <c r="X122" s="130">
        <v>1.176641</v>
      </c>
      <c r="Y122" s="130">
        <v>1.207389</v>
      </c>
      <c r="Z122" s="130">
        <v>1.2397359999999999</v>
      </c>
      <c r="AA122" s="130">
        <v>1.2740549999999999</v>
      </c>
      <c r="AB122" s="130">
        <v>1.3096019999999999</v>
      </c>
      <c r="AC122" s="130">
        <v>1.3478520000000001</v>
      </c>
      <c r="AD122" s="130">
        <v>1.3876710000000001</v>
      </c>
      <c r="AE122" s="130">
        <v>1.4289780000000001</v>
      </c>
      <c r="AF122" s="130">
        <v>1.4725079999999999</v>
      </c>
      <c r="AG122" s="130">
        <v>1.518192</v>
      </c>
      <c r="AH122" s="131">
        <v>2.6828000000000001E-2</v>
      </c>
    </row>
    <row r="124" spans="1:34" ht="15" customHeight="1">
      <c r="B124" s="128" t="s">
        <v>827</v>
      </c>
    </row>
    <row r="125" spans="1:34" ht="15" customHeight="1">
      <c r="A125" s="17" t="s">
        <v>881</v>
      </c>
      <c r="B125" s="129" t="s">
        <v>82</v>
      </c>
      <c r="C125" s="130">
        <v>14.345898999999999</v>
      </c>
      <c r="D125" s="130">
        <v>14.868917</v>
      </c>
      <c r="E125" s="130">
        <v>15.581808000000001</v>
      </c>
      <c r="F125" s="130">
        <v>14.977739</v>
      </c>
      <c r="G125" s="130">
        <v>15.250596</v>
      </c>
      <c r="H125" s="130">
        <v>15.657450000000001</v>
      </c>
      <c r="I125" s="130">
        <v>15.905913999999999</v>
      </c>
      <c r="J125" s="130">
        <v>16.296264999999998</v>
      </c>
      <c r="K125" s="130">
        <v>16.947468000000001</v>
      </c>
      <c r="L125" s="130">
        <v>17.662814999999998</v>
      </c>
      <c r="M125" s="130">
        <v>18.888542000000001</v>
      </c>
      <c r="N125" s="130">
        <v>19.729445999999999</v>
      </c>
      <c r="O125" s="130">
        <v>20.542546999999999</v>
      </c>
      <c r="P125" s="130">
        <v>21.330027000000001</v>
      </c>
      <c r="Q125" s="130">
        <v>22.112363999999999</v>
      </c>
      <c r="R125" s="130">
        <v>22.760538</v>
      </c>
      <c r="S125" s="130">
        <v>23.506302000000002</v>
      </c>
      <c r="T125" s="130">
        <v>24.473317999999999</v>
      </c>
      <c r="U125" s="130">
        <v>25.348746999999999</v>
      </c>
      <c r="V125" s="130">
        <v>26.096779000000002</v>
      </c>
      <c r="W125" s="130">
        <v>26.927315</v>
      </c>
      <c r="X125" s="130">
        <v>27.789152000000001</v>
      </c>
      <c r="Y125" s="130">
        <v>28.663212000000001</v>
      </c>
      <c r="Z125" s="130">
        <v>29.393692000000001</v>
      </c>
      <c r="AA125" s="130">
        <v>30.362504999999999</v>
      </c>
      <c r="AB125" s="130">
        <v>31.294746</v>
      </c>
      <c r="AC125" s="130">
        <v>32.40728</v>
      </c>
      <c r="AD125" s="130">
        <v>33.572581999999997</v>
      </c>
      <c r="AE125" s="130">
        <v>34.763378000000003</v>
      </c>
      <c r="AF125" s="130">
        <v>36.104675</v>
      </c>
      <c r="AG125" s="130">
        <v>37.476303000000001</v>
      </c>
      <c r="AH125" s="131">
        <v>3.2525999999999999E-2</v>
      </c>
    </row>
    <row r="126" spans="1:34" ht="15" customHeight="1">
      <c r="A126" s="17" t="s">
        <v>882</v>
      </c>
      <c r="B126" s="129" t="s">
        <v>88</v>
      </c>
      <c r="C126" s="130">
        <v>21.197994000000001</v>
      </c>
      <c r="D126" s="130">
        <v>22.489187000000001</v>
      </c>
      <c r="E126" s="130">
        <v>24.134782999999999</v>
      </c>
      <c r="F126" s="130">
        <v>23.938148000000002</v>
      </c>
      <c r="G126" s="130">
        <v>24.054376999999999</v>
      </c>
      <c r="H126" s="130">
        <v>24.331526</v>
      </c>
      <c r="I126" s="130">
        <v>24.861383</v>
      </c>
      <c r="J126" s="130">
        <v>26.163397</v>
      </c>
      <c r="K126" s="130">
        <v>27.222588999999999</v>
      </c>
      <c r="L126" s="130">
        <v>28.490193999999999</v>
      </c>
      <c r="M126" s="130">
        <v>30.607447000000001</v>
      </c>
      <c r="N126" s="130">
        <v>31.424811999999999</v>
      </c>
      <c r="O126" s="130">
        <v>32.751942</v>
      </c>
      <c r="P126" s="130">
        <v>33.951576000000003</v>
      </c>
      <c r="Q126" s="130">
        <v>35.573013000000003</v>
      </c>
      <c r="R126" s="130">
        <v>36.026156999999998</v>
      </c>
      <c r="S126" s="130">
        <v>37.013168</v>
      </c>
      <c r="T126" s="130">
        <v>38.307907</v>
      </c>
      <c r="U126" s="130">
        <v>39.596972999999998</v>
      </c>
      <c r="V126" s="130">
        <v>40.555588</v>
      </c>
      <c r="W126" s="130">
        <v>41.774628</v>
      </c>
      <c r="X126" s="130">
        <v>43.055011999999998</v>
      </c>
      <c r="Y126" s="130">
        <v>44.035229000000001</v>
      </c>
      <c r="Z126" s="130">
        <v>45.315018000000002</v>
      </c>
      <c r="AA126" s="130">
        <v>46.798065000000001</v>
      </c>
      <c r="AB126" s="130">
        <v>48.472186999999998</v>
      </c>
      <c r="AC126" s="130">
        <v>49.989505999999999</v>
      </c>
      <c r="AD126" s="130">
        <v>51.559319000000002</v>
      </c>
      <c r="AE126" s="130">
        <v>53.219242000000001</v>
      </c>
      <c r="AF126" s="130">
        <v>55.084353999999998</v>
      </c>
      <c r="AG126" s="130">
        <v>57.077778000000002</v>
      </c>
      <c r="AH126" s="131">
        <v>3.3568000000000001E-2</v>
      </c>
    </row>
    <row r="127" spans="1:34" ht="15" customHeight="1">
      <c r="A127" s="17" t="s">
        <v>883</v>
      </c>
      <c r="B127" s="129" t="s">
        <v>89</v>
      </c>
      <c r="C127" s="130">
        <v>18.741726</v>
      </c>
      <c r="D127" s="130">
        <v>19.780123</v>
      </c>
      <c r="E127" s="130">
        <v>20.288264999999999</v>
      </c>
      <c r="F127" s="130">
        <v>20.435262999999999</v>
      </c>
      <c r="G127" s="130">
        <v>20.595998999999999</v>
      </c>
      <c r="H127" s="130">
        <v>20.889111</v>
      </c>
      <c r="I127" s="130">
        <v>21.387266</v>
      </c>
      <c r="J127" s="130">
        <v>22.491313999999999</v>
      </c>
      <c r="K127" s="130">
        <v>23.378699999999998</v>
      </c>
      <c r="L127" s="130">
        <v>24.439133000000002</v>
      </c>
      <c r="M127" s="130">
        <v>26.404921000000002</v>
      </c>
      <c r="N127" s="130">
        <v>27.081378999999998</v>
      </c>
      <c r="O127" s="130">
        <v>28.217976</v>
      </c>
      <c r="P127" s="130">
        <v>29.214804000000001</v>
      </c>
      <c r="Q127" s="130">
        <v>30.570681</v>
      </c>
      <c r="R127" s="130">
        <v>30.940794</v>
      </c>
      <c r="S127" s="130">
        <v>31.764669000000001</v>
      </c>
      <c r="T127" s="130">
        <v>32.857315</v>
      </c>
      <c r="U127" s="130">
        <v>33.938889000000003</v>
      </c>
      <c r="V127" s="130">
        <v>34.745373000000001</v>
      </c>
      <c r="W127" s="130">
        <v>35.773273000000003</v>
      </c>
      <c r="X127" s="130">
        <v>36.843342</v>
      </c>
      <c r="Y127" s="130">
        <v>37.661583</v>
      </c>
      <c r="Z127" s="130">
        <v>38.733325999999998</v>
      </c>
      <c r="AA127" s="130">
        <v>39.977245000000003</v>
      </c>
      <c r="AB127" s="130">
        <v>41.361350999999999</v>
      </c>
      <c r="AC127" s="130">
        <v>42.597290000000001</v>
      </c>
      <c r="AD127" s="130">
        <v>43.923450000000003</v>
      </c>
      <c r="AE127" s="130">
        <v>45.275948</v>
      </c>
      <c r="AF127" s="130">
        <v>46.862236000000003</v>
      </c>
      <c r="AG127" s="130">
        <v>48.533465999999997</v>
      </c>
      <c r="AH127" s="131">
        <v>3.2224999999999997E-2</v>
      </c>
    </row>
    <row r="128" spans="1:34" ht="15" customHeight="1">
      <c r="A128" s="17" t="s">
        <v>884</v>
      </c>
      <c r="B128" s="129" t="s">
        <v>90</v>
      </c>
      <c r="C128" s="130">
        <v>9.5686540000000004</v>
      </c>
      <c r="D128" s="130">
        <v>10.491621</v>
      </c>
      <c r="E128" s="130">
        <v>11.611799</v>
      </c>
      <c r="F128" s="130">
        <v>12.626143000000001</v>
      </c>
      <c r="G128" s="130">
        <v>13.374006</v>
      </c>
      <c r="H128" s="130">
        <v>13.885991000000001</v>
      </c>
      <c r="I128" s="130">
        <v>14.634782</v>
      </c>
      <c r="J128" s="130">
        <v>15.622922000000001</v>
      </c>
      <c r="K128" s="130">
        <v>16.399954000000001</v>
      </c>
      <c r="L128" s="130">
        <v>17.258618999999999</v>
      </c>
      <c r="M128" s="130">
        <v>18.285124</v>
      </c>
      <c r="N128" s="130">
        <v>19.125378000000001</v>
      </c>
      <c r="O128" s="130">
        <v>20.090021</v>
      </c>
      <c r="P128" s="130">
        <v>20.930676999999999</v>
      </c>
      <c r="Q128" s="130">
        <v>21.668398</v>
      </c>
      <c r="R128" s="130">
        <v>22.090868</v>
      </c>
      <c r="S128" s="130">
        <v>22.572368999999998</v>
      </c>
      <c r="T128" s="130">
        <v>23.443169000000001</v>
      </c>
      <c r="U128" s="130">
        <v>24.351158000000002</v>
      </c>
      <c r="V128" s="130">
        <v>24.778327999999998</v>
      </c>
      <c r="W128" s="130">
        <v>26.019874999999999</v>
      </c>
      <c r="X128" s="130">
        <v>26.910350999999999</v>
      </c>
      <c r="Y128" s="130">
        <v>27.768221</v>
      </c>
      <c r="Z128" s="130">
        <v>28.759862999999999</v>
      </c>
      <c r="AA128" s="130">
        <v>29.916378000000002</v>
      </c>
      <c r="AB128" s="130">
        <v>31.164967999999998</v>
      </c>
      <c r="AC128" s="130">
        <v>32.309131999999998</v>
      </c>
      <c r="AD128" s="130">
        <v>33.423969</v>
      </c>
      <c r="AE128" s="130">
        <v>34.476363999999997</v>
      </c>
      <c r="AF128" s="130">
        <v>35.830787999999998</v>
      </c>
      <c r="AG128" s="130">
        <v>37.167850000000001</v>
      </c>
      <c r="AH128" s="131">
        <v>4.6269999999999999E-2</v>
      </c>
    </row>
    <row r="129" spans="1:34" ht="15" customHeight="1">
      <c r="A129" s="17" t="s">
        <v>885</v>
      </c>
      <c r="B129" s="129" t="s">
        <v>84</v>
      </c>
      <c r="C129" s="130">
        <v>18.18478</v>
      </c>
      <c r="D129" s="130">
        <v>18.341930000000001</v>
      </c>
      <c r="E129" s="130">
        <v>19.106498999999999</v>
      </c>
      <c r="F129" s="130">
        <v>20.399415999999999</v>
      </c>
      <c r="G129" s="130">
        <v>20.971402999999999</v>
      </c>
      <c r="H129" s="130">
        <v>21.373846</v>
      </c>
      <c r="I129" s="130">
        <v>22.053508999999998</v>
      </c>
      <c r="J129" s="130">
        <v>23.156879</v>
      </c>
      <c r="K129" s="130">
        <v>24.069171999999998</v>
      </c>
      <c r="L129" s="130">
        <v>25.090091999999999</v>
      </c>
      <c r="M129" s="130">
        <v>26.559946</v>
      </c>
      <c r="N129" s="130">
        <v>27.485112999999998</v>
      </c>
      <c r="O129" s="130">
        <v>28.598687999999999</v>
      </c>
      <c r="P129" s="130">
        <v>29.568297999999999</v>
      </c>
      <c r="Q129" s="130">
        <v>30.486623999999999</v>
      </c>
      <c r="R129" s="130">
        <v>30.990047000000001</v>
      </c>
      <c r="S129" s="130">
        <v>31.565892999999999</v>
      </c>
      <c r="T129" s="130">
        <v>32.532680999999997</v>
      </c>
      <c r="U129" s="130">
        <v>33.545501999999999</v>
      </c>
      <c r="V129" s="130">
        <v>34.05471</v>
      </c>
      <c r="W129" s="130">
        <v>35.389442000000003</v>
      </c>
      <c r="X129" s="130">
        <v>36.392929000000002</v>
      </c>
      <c r="Y129" s="130">
        <v>37.382919000000001</v>
      </c>
      <c r="Z129" s="130">
        <v>38.491504999999997</v>
      </c>
      <c r="AA129" s="130">
        <v>39.734431999999998</v>
      </c>
      <c r="AB129" s="130">
        <v>41.159222</v>
      </c>
      <c r="AC129" s="130">
        <v>42.469261000000003</v>
      </c>
      <c r="AD129" s="130">
        <v>43.788451999999999</v>
      </c>
      <c r="AE129" s="130">
        <v>45.064937999999998</v>
      </c>
      <c r="AF129" s="130">
        <v>46.644249000000002</v>
      </c>
      <c r="AG129" s="130">
        <v>48.236587999999998</v>
      </c>
      <c r="AH129" s="131">
        <v>3.3051999999999998E-2</v>
      </c>
    </row>
    <row r="130" spans="1:34" ht="15" customHeight="1">
      <c r="A130" s="17" t="s">
        <v>886</v>
      </c>
      <c r="B130" s="129" t="s">
        <v>85</v>
      </c>
      <c r="C130" s="130">
        <v>8.8440189999999994</v>
      </c>
      <c r="D130" s="130">
        <v>7.0218069999999999</v>
      </c>
      <c r="E130" s="130">
        <v>7.3667499999999997</v>
      </c>
      <c r="F130" s="130">
        <v>8.5520800000000001</v>
      </c>
      <c r="G130" s="130">
        <v>9.9079580000000007</v>
      </c>
      <c r="H130" s="130">
        <v>10.215197</v>
      </c>
      <c r="I130" s="130">
        <v>10.814889000000001</v>
      </c>
      <c r="J130" s="130">
        <v>11.684661999999999</v>
      </c>
      <c r="K130" s="130">
        <v>12.157301</v>
      </c>
      <c r="L130" s="130">
        <v>13.363315999999999</v>
      </c>
      <c r="M130" s="130">
        <v>14.211387</v>
      </c>
      <c r="N130" s="130">
        <v>14.329101</v>
      </c>
      <c r="O130" s="130">
        <v>15.116942</v>
      </c>
      <c r="P130" s="130">
        <v>15.719272999999999</v>
      </c>
      <c r="Q130" s="130">
        <v>16.669592000000002</v>
      </c>
      <c r="R130" s="130">
        <v>16.616427999999999</v>
      </c>
      <c r="S130" s="130">
        <v>17.175011000000001</v>
      </c>
      <c r="T130" s="130">
        <v>17.795501999999999</v>
      </c>
      <c r="U130" s="130">
        <v>18.493887000000001</v>
      </c>
      <c r="V130" s="130">
        <v>19.110384</v>
      </c>
      <c r="W130" s="130">
        <v>19.854156</v>
      </c>
      <c r="X130" s="130">
        <v>20.391876</v>
      </c>
      <c r="Y130" s="130">
        <v>21.247944</v>
      </c>
      <c r="Z130" s="130">
        <v>22.277329999999999</v>
      </c>
      <c r="AA130" s="130">
        <v>23.334541000000002</v>
      </c>
      <c r="AB130" s="130">
        <v>23.878094000000001</v>
      </c>
      <c r="AC130" s="130">
        <v>25.532112000000001</v>
      </c>
      <c r="AD130" s="130">
        <v>26.373415000000001</v>
      </c>
      <c r="AE130" s="130">
        <v>27.187548</v>
      </c>
      <c r="AF130" s="130">
        <v>28.273959999999999</v>
      </c>
      <c r="AG130" s="130">
        <v>29.524448</v>
      </c>
      <c r="AH130" s="131">
        <v>4.1001000000000003E-2</v>
      </c>
    </row>
    <row r="131" spans="1:34" ht="15" customHeight="1">
      <c r="A131" s="17" t="s">
        <v>887</v>
      </c>
      <c r="B131" s="129" t="s">
        <v>789</v>
      </c>
      <c r="C131" s="130">
        <v>4.5302720000000001</v>
      </c>
      <c r="D131" s="130">
        <v>5.5875709999999996</v>
      </c>
      <c r="E131" s="130">
        <v>5.5229119999999998</v>
      </c>
      <c r="F131" s="130">
        <v>5.1397599999999999</v>
      </c>
      <c r="G131" s="130">
        <v>4.8598800000000004</v>
      </c>
      <c r="H131" s="130">
        <v>4.862088</v>
      </c>
      <c r="I131" s="130">
        <v>4.9881469999999997</v>
      </c>
      <c r="J131" s="130">
        <v>5.2028150000000002</v>
      </c>
      <c r="K131" s="130">
        <v>5.4212360000000004</v>
      </c>
      <c r="L131" s="130">
        <v>5.6957190000000004</v>
      </c>
      <c r="M131" s="130">
        <v>6.0383839999999998</v>
      </c>
      <c r="N131" s="130">
        <v>6.2511049999999999</v>
      </c>
      <c r="O131" s="130">
        <v>6.4583269999999997</v>
      </c>
      <c r="P131" s="130">
        <v>6.6905539999999997</v>
      </c>
      <c r="Q131" s="130">
        <v>6.8544989999999997</v>
      </c>
      <c r="R131" s="130">
        <v>6.9979750000000003</v>
      </c>
      <c r="S131" s="130">
        <v>7.1529829999999999</v>
      </c>
      <c r="T131" s="130">
        <v>7.2744369999999998</v>
      </c>
      <c r="U131" s="130">
        <v>7.389812</v>
      </c>
      <c r="V131" s="130">
        <v>7.4991159999999999</v>
      </c>
      <c r="W131" s="130">
        <v>7.6315569999999999</v>
      </c>
      <c r="X131" s="130">
        <v>7.7947749999999996</v>
      </c>
      <c r="Y131" s="130">
        <v>7.9652430000000001</v>
      </c>
      <c r="Z131" s="130">
        <v>8.1088290000000001</v>
      </c>
      <c r="AA131" s="130">
        <v>8.2956299999999992</v>
      </c>
      <c r="AB131" s="130">
        <v>8.4531189999999992</v>
      </c>
      <c r="AC131" s="130">
        <v>8.644584</v>
      </c>
      <c r="AD131" s="130">
        <v>8.8776840000000004</v>
      </c>
      <c r="AE131" s="130">
        <v>9.0369460000000004</v>
      </c>
      <c r="AF131" s="130">
        <v>9.233689</v>
      </c>
      <c r="AG131" s="130">
        <v>9.5093969999999999</v>
      </c>
      <c r="AH131" s="131">
        <v>2.5024999999999999E-2</v>
      </c>
    </row>
    <row r="132" spans="1:34" ht="15" customHeight="1">
      <c r="A132" s="17" t="s">
        <v>888</v>
      </c>
      <c r="B132" s="129" t="s">
        <v>804</v>
      </c>
      <c r="C132" s="130">
        <v>4.0174000000000003</v>
      </c>
      <c r="D132" s="130">
        <v>3.6369050000000001</v>
      </c>
      <c r="E132" s="130">
        <v>3.4306429999999999</v>
      </c>
      <c r="F132" s="130">
        <v>3.3225259999999999</v>
      </c>
      <c r="G132" s="130">
        <v>3.2839369999999999</v>
      </c>
      <c r="H132" s="130">
        <v>3.3048980000000001</v>
      </c>
      <c r="I132" s="130">
        <v>3.3434870000000001</v>
      </c>
      <c r="J132" s="130">
        <v>3.4211800000000001</v>
      </c>
      <c r="K132" s="130">
        <v>3.5239240000000001</v>
      </c>
      <c r="L132" s="130">
        <v>3.6599599999999999</v>
      </c>
      <c r="M132" s="130">
        <v>3.8095210000000002</v>
      </c>
      <c r="N132" s="130">
        <v>3.9694959999999999</v>
      </c>
      <c r="O132" s="130">
        <v>4.1300129999999999</v>
      </c>
      <c r="P132" s="130">
        <v>4.2884950000000002</v>
      </c>
      <c r="Q132" s="130">
        <v>4.4437040000000003</v>
      </c>
      <c r="R132" s="130">
        <v>4.5997649999999997</v>
      </c>
      <c r="S132" s="130">
        <v>4.7565150000000003</v>
      </c>
      <c r="T132" s="130">
        <v>4.9175829999999996</v>
      </c>
      <c r="U132" s="130">
        <v>5.0830500000000001</v>
      </c>
      <c r="V132" s="130">
        <v>5.2483069999999996</v>
      </c>
      <c r="W132" s="130">
        <v>5.4215150000000003</v>
      </c>
      <c r="X132" s="130">
        <v>5.6022369999999997</v>
      </c>
      <c r="Y132" s="130">
        <v>5.7939860000000003</v>
      </c>
      <c r="Z132" s="130">
        <v>5.9997759999999998</v>
      </c>
      <c r="AA132" s="130">
        <v>6.218966</v>
      </c>
      <c r="AB132" s="130">
        <v>6.4488289999999999</v>
      </c>
      <c r="AC132" s="130">
        <v>6.6890320000000001</v>
      </c>
      <c r="AD132" s="130">
        <v>6.9374320000000003</v>
      </c>
      <c r="AE132" s="130">
        <v>7.1975020000000001</v>
      </c>
      <c r="AF132" s="130">
        <v>7.4734619999999996</v>
      </c>
      <c r="AG132" s="130">
        <v>7.7718850000000002</v>
      </c>
      <c r="AH132" s="131">
        <v>2.2239999999999999E-2</v>
      </c>
    </row>
    <row r="133" spans="1:34" ht="15" customHeight="1">
      <c r="A133" s="17" t="s">
        <v>889</v>
      </c>
      <c r="B133" s="129" t="s">
        <v>837</v>
      </c>
      <c r="C133" s="130">
        <v>1.9738340000000001</v>
      </c>
      <c r="D133" s="130">
        <v>2.0591179999999998</v>
      </c>
      <c r="E133" s="130">
        <v>2.089343</v>
      </c>
      <c r="F133" s="130">
        <v>2.0546129999999998</v>
      </c>
      <c r="G133" s="130">
        <v>2.0692949999999999</v>
      </c>
      <c r="H133" s="130">
        <v>2.0582370000000001</v>
      </c>
      <c r="I133" s="130">
        <v>2.0881639999999999</v>
      </c>
      <c r="J133" s="130">
        <v>2.1317979999999999</v>
      </c>
      <c r="K133" s="130">
        <v>2.149419</v>
      </c>
      <c r="L133" s="130">
        <v>2.2069420000000002</v>
      </c>
      <c r="M133" s="130">
        <v>2.2687400000000002</v>
      </c>
      <c r="N133" s="130">
        <v>2.342994</v>
      </c>
      <c r="O133" s="130">
        <v>2.3823919999999998</v>
      </c>
      <c r="P133" s="130">
        <v>2.4295939999999998</v>
      </c>
      <c r="Q133" s="130">
        <v>2.488966</v>
      </c>
      <c r="R133" s="130">
        <v>2.5376219999999998</v>
      </c>
      <c r="S133" s="130">
        <v>2.5890939999999998</v>
      </c>
      <c r="T133" s="130">
        <v>2.6515049999999998</v>
      </c>
      <c r="U133" s="130">
        <v>2.735449</v>
      </c>
      <c r="V133" s="130">
        <v>2.7939340000000001</v>
      </c>
      <c r="W133" s="130">
        <v>2.8592879999999998</v>
      </c>
      <c r="X133" s="130">
        <v>2.9262000000000001</v>
      </c>
      <c r="Y133" s="130">
        <v>2.991965</v>
      </c>
      <c r="Z133" s="130">
        <v>3.0657760000000001</v>
      </c>
      <c r="AA133" s="130">
        <v>3.1433279999999999</v>
      </c>
      <c r="AB133" s="130">
        <v>3.22506</v>
      </c>
      <c r="AC133" s="130">
        <v>3.3112080000000002</v>
      </c>
      <c r="AD133" s="130">
        <v>3.4005830000000001</v>
      </c>
      <c r="AE133" s="130">
        <v>3.4826510000000002</v>
      </c>
      <c r="AF133" s="130">
        <v>3.582576</v>
      </c>
      <c r="AG133" s="130">
        <v>3.685546</v>
      </c>
      <c r="AH133" s="131">
        <v>2.1033E-2</v>
      </c>
    </row>
    <row r="134" spans="1:34" ht="15" customHeight="1">
      <c r="A134" s="17" t="s">
        <v>890</v>
      </c>
      <c r="B134" s="129" t="s">
        <v>808</v>
      </c>
      <c r="C134" s="131" t="s">
        <v>447</v>
      </c>
      <c r="D134" s="131" t="s">
        <v>447</v>
      </c>
      <c r="E134" s="131" t="s">
        <v>447</v>
      </c>
      <c r="F134" s="131" t="s">
        <v>447</v>
      </c>
      <c r="G134" s="131" t="s">
        <v>447</v>
      </c>
      <c r="H134" s="131" t="s">
        <v>447</v>
      </c>
      <c r="I134" s="131" t="s">
        <v>447</v>
      </c>
      <c r="J134" s="131" t="s">
        <v>447</v>
      </c>
      <c r="K134" s="131" t="s">
        <v>447</v>
      </c>
      <c r="L134" s="131" t="s">
        <v>447</v>
      </c>
      <c r="M134" s="131" t="s">
        <v>447</v>
      </c>
      <c r="N134" s="131" t="s">
        <v>447</v>
      </c>
      <c r="O134" s="131" t="s">
        <v>447</v>
      </c>
      <c r="P134" s="131" t="s">
        <v>447</v>
      </c>
      <c r="Q134" s="131" t="s">
        <v>447</v>
      </c>
      <c r="R134" s="131" t="s">
        <v>447</v>
      </c>
      <c r="S134" s="131" t="s">
        <v>447</v>
      </c>
      <c r="T134" s="131" t="s">
        <v>447</v>
      </c>
      <c r="U134" s="131" t="s">
        <v>447</v>
      </c>
      <c r="V134" s="131" t="s">
        <v>447</v>
      </c>
      <c r="W134" s="131" t="s">
        <v>447</v>
      </c>
      <c r="X134" s="131" t="s">
        <v>447</v>
      </c>
      <c r="Y134" s="131" t="s">
        <v>447</v>
      </c>
      <c r="Z134" s="131" t="s">
        <v>447</v>
      </c>
      <c r="AA134" s="131" t="s">
        <v>447</v>
      </c>
      <c r="AB134" s="131" t="s">
        <v>447</v>
      </c>
      <c r="AC134" s="131" t="s">
        <v>447</v>
      </c>
      <c r="AD134" s="131" t="s">
        <v>447</v>
      </c>
      <c r="AE134" s="131" t="s">
        <v>447</v>
      </c>
      <c r="AF134" s="131" t="s">
        <v>447</v>
      </c>
      <c r="AG134" s="131" t="s">
        <v>447</v>
      </c>
      <c r="AH134" s="131" t="s">
        <v>447</v>
      </c>
    </row>
    <row r="135" spans="1:34" ht="15" customHeight="1">
      <c r="A135" s="17" t="s">
        <v>891</v>
      </c>
      <c r="B135" s="129" t="s">
        <v>791</v>
      </c>
      <c r="C135" s="130">
        <v>30.523893000000001</v>
      </c>
      <c r="D135" s="130">
        <v>31.401592000000001</v>
      </c>
      <c r="E135" s="130">
        <v>31.325438999999999</v>
      </c>
      <c r="F135" s="130">
        <v>31.138731</v>
      </c>
      <c r="G135" s="130">
        <v>31.206337000000001</v>
      </c>
      <c r="H135" s="130">
        <v>31.590336000000001</v>
      </c>
      <c r="I135" s="130">
        <v>32.197968000000003</v>
      </c>
      <c r="J135" s="130">
        <v>33.016514000000001</v>
      </c>
      <c r="K135" s="130">
        <v>33.883274</v>
      </c>
      <c r="L135" s="130">
        <v>34.833385</v>
      </c>
      <c r="M135" s="130">
        <v>35.826816999999998</v>
      </c>
      <c r="N135" s="130">
        <v>37.004886999999997</v>
      </c>
      <c r="O135" s="130">
        <v>38.002856999999999</v>
      </c>
      <c r="P135" s="130">
        <v>39.005702999999997</v>
      </c>
      <c r="Q135" s="130">
        <v>39.885941000000003</v>
      </c>
      <c r="R135" s="130">
        <v>40.676127999999999</v>
      </c>
      <c r="S135" s="130">
        <v>41.448872000000001</v>
      </c>
      <c r="T135" s="130">
        <v>42.224921999999999</v>
      </c>
      <c r="U135" s="130">
        <v>43.051040999999998</v>
      </c>
      <c r="V135" s="130">
        <v>43.845672999999998</v>
      </c>
      <c r="W135" s="130">
        <v>44.67915</v>
      </c>
      <c r="X135" s="130">
        <v>45.556038000000001</v>
      </c>
      <c r="Y135" s="130">
        <v>46.436737000000001</v>
      </c>
      <c r="Z135" s="130">
        <v>47.337364000000001</v>
      </c>
      <c r="AA135" s="130">
        <v>48.323822</v>
      </c>
      <c r="AB135" s="130">
        <v>49.375931000000001</v>
      </c>
      <c r="AC135" s="130">
        <v>50.441921000000001</v>
      </c>
      <c r="AD135" s="130">
        <v>51.535099000000002</v>
      </c>
      <c r="AE135" s="130">
        <v>52.582680000000003</v>
      </c>
      <c r="AF135" s="130">
        <v>53.58231</v>
      </c>
      <c r="AG135" s="130">
        <v>54.707943</v>
      </c>
      <c r="AH135" s="131">
        <v>1.9640000000000001E-2</v>
      </c>
    </row>
    <row r="137" spans="1:34" ht="15" customHeight="1">
      <c r="B137" s="128" t="s">
        <v>92</v>
      </c>
    </row>
    <row r="138" spans="1:34" ht="15" customHeight="1">
      <c r="B138" s="128" t="s">
        <v>94</v>
      </c>
    </row>
    <row r="139" spans="1:34" ht="15" customHeight="1">
      <c r="A139" s="17" t="s">
        <v>892</v>
      </c>
      <c r="B139" s="129" t="s">
        <v>81</v>
      </c>
      <c r="C139" s="132">
        <v>246.62069700000001</v>
      </c>
      <c r="D139" s="132">
        <v>255.80079699999999</v>
      </c>
      <c r="E139" s="132">
        <v>257.61743200000001</v>
      </c>
      <c r="F139" s="132">
        <v>258.76242100000002</v>
      </c>
      <c r="G139" s="132">
        <v>261.37207000000001</v>
      </c>
      <c r="H139" s="132">
        <v>267.19897500000002</v>
      </c>
      <c r="I139" s="132">
        <v>275.17532299999999</v>
      </c>
      <c r="J139" s="132">
        <v>284.555634</v>
      </c>
      <c r="K139" s="132">
        <v>294.33792099999999</v>
      </c>
      <c r="L139" s="132">
        <v>305.25448599999999</v>
      </c>
      <c r="M139" s="132">
        <v>318.01129200000003</v>
      </c>
      <c r="N139" s="132">
        <v>329.85592700000001</v>
      </c>
      <c r="O139" s="132">
        <v>341.28250100000002</v>
      </c>
      <c r="P139" s="132">
        <v>352.56900000000002</v>
      </c>
      <c r="Q139" s="132">
        <v>363.37063599999999</v>
      </c>
      <c r="R139" s="132">
        <v>373.40228300000001</v>
      </c>
      <c r="S139" s="132">
        <v>383.75924700000002</v>
      </c>
      <c r="T139" s="132">
        <v>394.45114100000001</v>
      </c>
      <c r="U139" s="132">
        <v>405.31100500000002</v>
      </c>
      <c r="V139" s="132">
        <v>415.91018700000001</v>
      </c>
      <c r="W139" s="132">
        <v>427.207672</v>
      </c>
      <c r="X139" s="132">
        <v>439.13110399999999</v>
      </c>
      <c r="Y139" s="132">
        <v>451.40689099999997</v>
      </c>
      <c r="Z139" s="132">
        <v>464.08691399999998</v>
      </c>
      <c r="AA139" s="132">
        <v>477.81366000000003</v>
      </c>
      <c r="AB139" s="132">
        <v>492.470123</v>
      </c>
      <c r="AC139" s="132">
        <v>507.32486</v>
      </c>
      <c r="AD139" s="132">
        <v>522.68890399999998</v>
      </c>
      <c r="AE139" s="132">
        <v>538.02062999999998</v>
      </c>
      <c r="AF139" s="132">
        <v>553.72900400000003</v>
      </c>
      <c r="AG139" s="132">
        <v>570.87591599999996</v>
      </c>
      <c r="AH139" s="131">
        <v>2.8372000000000001E-2</v>
      </c>
    </row>
    <row r="140" spans="1:34" ht="15" customHeight="1">
      <c r="A140" s="17" t="s">
        <v>893</v>
      </c>
      <c r="B140" s="129" t="s">
        <v>83</v>
      </c>
      <c r="C140" s="132">
        <v>173.48147599999999</v>
      </c>
      <c r="D140" s="132">
        <v>183.02415500000001</v>
      </c>
      <c r="E140" s="132">
        <v>186.87725800000001</v>
      </c>
      <c r="F140" s="132">
        <v>188.97373999999999</v>
      </c>
      <c r="G140" s="132">
        <v>192.49041700000001</v>
      </c>
      <c r="H140" s="132">
        <v>198.609543</v>
      </c>
      <c r="I140" s="132">
        <v>203.37295499999999</v>
      </c>
      <c r="J140" s="132">
        <v>209.97473099999999</v>
      </c>
      <c r="K140" s="132">
        <v>216.540817</v>
      </c>
      <c r="L140" s="132">
        <v>223.86312899999999</v>
      </c>
      <c r="M140" s="132">
        <v>232.43287699999999</v>
      </c>
      <c r="N140" s="132">
        <v>240.520264</v>
      </c>
      <c r="O140" s="132">
        <v>248.123535</v>
      </c>
      <c r="P140" s="132">
        <v>256.13848899999999</v>
      </c>
      <c r="Q140" s="132">
        <v>263.36645499999997</v>
      </c>
      <c r="R140" s="132">
        <v>269.75793499999997</v>
      </c>
      <c r="S140" s="132">
        <v>276.251801</v>
      </c>
      <c r="T140" s="132">
        <v>283.28701799999999</v>
      </c>
      <c r="U140" s="132">
        <v>290.54333500000001</v>
      </c>
      <c r="V140" s="132">
        <v>297.55313100000001</v>
      </c>
      <c r="W140" s="132">
        <v>305.15441900000002</v>
      </c>
      <c r="X140" s="132">
        <v>313.40475500000002</v>
      </c>
      <c r="Y140" s="132">
        <v>321.76483200000001</v>
      </c>
      <c r="Z140" s="132">
        <v>330.82919299999998</v>
      </c>
      <c r="AA140" s="132">
        <v>340.48788500000001</v>
      </c>
      <c r="AB140" s="132">
        <v>350.97464000000002</v>
      </c>
      <c r="AC140" s="132">
        <v>361.76419099999998</v>
      </c>
      <c r="AD140" s="132">
        <v>373.12158199999999</v>
      </c>
      <c r="AE140" s="132">
        <v>384.49447600000002</v>
      </c>
      <c r="AF140" s="132">
        <v>396.546448</v>
      </c>
      <c r="AG140" s="132">
        <v>409.927277</v>
      </c>
      <c r="AH140" s="131">
        <v>2.9078E-2</v>
      </c>
    </row>
    <row r="141" spans="1:34" ht="15" customHeight="1">
      <c r="A141" s="17" t="s">
        <v>894</v>
      </c>
      <c r="B141" s="129" t="s">
        <v>797</v>
      </c>
      <c r="C141" s="132">
        <v>151.848038</v>
      </c>
      <c r="D141" s="132">
        <v>166.85661300000001</v>
      </c>
      <c r="E141" s="132">
        <v>173.94603000000001</v>
      </c>
      <c r="F141" s="132">
        <v>177.06886299999999</v>
      </c>
      <c r="G141" s="132">
        <v>181.897842</v>
      </c>
      <c r="H141" s="132">
        <v>189.09188800000001</v>
      </c>
      <c r="I141" s="132">
        <v>196.28439299999999</v>
      </c>
      <c r="J141" s="132">
        <v>206.37275700000001</v>
      </c>
      <c r="K141" s="132">
        <v>217.32785000000001</v>
      </c>
      <c r="L141" s="132">
        <v>229.06736799999999</v>
      </c>
      <c r="M141" s="132">
        <v>242.54399100000001</v>
      </c>
      <c r="N141" s="132">
        <v>255.30445900000001</v>
      </c>
      <c r="O141" s="132">
        <v>267.75308200000001</v>
      </c>
      <c r="P141" s="132">
        <v>278.97467</v>
      </c>
      <c r="Q141" s="132">
        <v>290.66467299999999</v>
      </c>
      <c r="R141" s="132">
        <v>302.03717</v>
      </c>
      <c r="S141" s="132">
        <v>312.88336199999998</v>
      </c>
      <c r="T141" s="132">
        <v>326.04302999999999</v>
      </c>
      <c r="U141" s="132">
        <v>338.82345600000002</v>
      </c>
      <c r="V141" s="132">
        <v>348.84307899999999</v>
      </c>
      <c r="W141" s="132">
        <v>361.77819799999997</v>
      </c>
      <c r="X141" s="132">
        <v>375.87185699999998</v>
      </c>
      <c r="Y141" s="132">
        <v>390.59991500000001</v>
      </c>
      <c r="Z141" s="132">
        <v>405.654968</v>
      </c>
      <c r="AA141" s="132">
        <v>422.855255</v>
      </c>
      <c r="AB141" s="132">
        <v>440.764252</v>
      </c>
      <c r="AC141" s="132">
        <v>458.49368299999998</v>
      </c>
      <c r="AD141" s="132">
        <v>476.653931</v>
      </c>
      <c r="AE141" s="132">
        <v>494.37823500000002</v>
      </c>
      <c r="AF141" s="132">
        <v>515.94451900000001</v>
      </c>
      <c r="AG141" s="132">
        <v>539.83850099999995</v>
      </c>
      <c r="AH141" s="131">
        <v>4.3186000000000002E-2</v>
      </c>
    </row>
    <row r="142" spans="1:34" ht="15" customHeight="1">
      <c r="A142" s="17" t="s">
        <v>895</v>
      </c>
      <c r="B142" s="129" t="s">
        <v>87</v>
      </c>
      <c r="C142" s="132">
        <v>411.84991500000001</v>
      </c>
      <c r="D142" s="132">
        <v>452.67895499999997</v>
      </c>
      <c r="E142" s="132">
        <v>475.71450800000002</v>
      </c>
      <c r="F142" s="132">
        <v>494.534088</v>
      </c>
      <c r="G142" s="132">
        <v>507.84201000000002</v>
      </c>
      <c r="H142" s="132">
        <v>519.31005900000002</v>
      </c>
      <c r="I142" s="132">
        <v>534.63848900000005</v>
      </c>
      <c r="J142" s="132">
        <v>560.91351299999997</v>
      </c>
      <c r="K142" s="132">
        <v>581.36737100000005</v>
      </c>
      <c r="L142" s="132">
        <v>605.11321999999996</v>
      </c>
      <c r="M142" s="132">
        <v>646.220642</v>
      </c>
      <c r="N142" s="132">
        <v>662.52410899999995</v>
      </c>
      <c r="O142" s="132">
        <v>688.55419900000004</v>
      </c>
      <c r="P142" s="132">
        <v>711.28143299999999</v>
      </c>
      <c r="Q142" s="132">
        <v>739.76507600000002</v>
      </c>
      <c r="R142" s="132">
        <v>750.87200900000005</v>
      </c>
      <c r="S142" s="132">
        <v>770.01312299999995</v>
      </c>
      <c r="T142" s="132">
        <v>796.90972899999997</v>
      </c>
      <c r="U142" s="132">
        <v>824.52233899999999</v>
      </c>
      <c r="V142" s="132">
        <v>844.26873799999998</v>
      </c>
      <c r="W142" s="132">
        <v>876.31274399999995</v>
      </c>
      <c r="X142" s="132">
        <v>906.14294400000006</v>
      </c>
      <c r="Y142" s="132">
        <v>933.17486599999995</v>
      </c>
      <c r="Z142" s="132">
        <v>966.29278599999998</v>
      </c>
      <c r="AA142" s="132">
        <v>1003.015503</v>
      </c>
      <c r="AB142" s="132">
        <v>1043.7624510000001</v>
      </c>
      <c r="AC142" s="132">
        <v>1081.7639160000001</v>
      </c>
      <c r="AD142" s="132">
        <v>1120.1831050000001</v>
      </c>
      <c r="AE142" s="132">
        <v>1159.5272219999999</v>
      </c>
      <c r="AF142" s="132">
        <v>1206.3210449999999</v>
      </c>
      <c r="AG142" s="132">
        <v>1255.4941409999999</v>
      </c>
      <c r="AH142" s="131">
        <v>3.7852999999999998E-2</v>
      </c>
    </row>
    <row r="143" spans="1:34" ht="14.5">
      <c r="A143" s="17" t="s">
        <v>896</v>
      </c>
      <c r="B143" s="129" t="s">
        <v>846</v>
      </c>
      <c r="C143" s="132">
        <v>983.80011000000002</v>
      </c>
      <c r="D143" s="132">
        <v>1058.3604740000001</v>
      </c>
      <c r="E143" s="132">
        <v>1094.1552730000001</v>
      </c>
      <c r="F143" s="132">
        <v>1119.339111</v>
      </c>
      <c r="G143" s="132">
        <v>1143.6022949999999</v>
      </c>
      <c r="H143" s="132">
        <v>1174.2104489999999</v>
      </c>
      <c r="I143" s="132">
        <v>1209.4710689999999</v>
      </c>
      <c r="J143" s="132">
        <v>1261.81665</v>
      </c>
      <c r="K143" s="132">
        <v>1309.5738530000001</v>
      </c>
      <c r="L143" s="132">
        <v>1363.2982179999999</v>
      </c>
      <c r="M143" s="132">
        <v>1439.2089840000001</v>
      </c>
      <c r="N143" s="132">
        <v>1488.2048339999999</v>
      </c>
      <c r="O143" s="132">
        <v>1545.713135</v>
      </c>
      <c r="P143" s="132">
        <v>1598.9636230000001</v>
      </c>
      <c r="Q143" s="132">
        <v>1657.16687</v>
      </c>
      <c r="R143" s="132">
        <v>1696.0694579999999</v>
      </c>
      <c r="S143" s="132">
        <v>1742.9075929999999</v>
      </c>
      <c r="T143" s="132">
        <v>1800.690918</v>
      </c>
      <c r="U143" s="132">
        <v>1859.2001949999999</v>
      </c>
      <c r="V143" s="132">
        <v>1906.575317</v>
      </c>
      <c r="W143" s="132">
        <v>1970.4528809999999</v>
      </c>
      <c r="X143" s="132">
        <v>2034.5507809999999</v>
      </c>
      <c r="Y143" s="132">
        <v>2096.9465329999998</v>
      </c>
      <c r="Z143" s="132">
        <v>2166.8637699999999</v>
      </c>
      <c r="AA143" s="132">
        <v>2244.1723630000001</v>
      </c>
      <c r="AB143" s="132">
        <v>2327.9714359999998</v>
      </c>
      <c r="AC143" s="132">
        <v>2409.3464359999998</v>
      </c>
      <c r="AD143" s="132">
        <v>2492.647461</v>
      </c>
      <c r="AE143" s="132">
        <v>2576.4204100000002</v>
      </c>
      <c r="AF143" s="132">
        <v>2672.5410160000001</v>
      </c>
      <c r="AG143" s="132">
        <v>2776.1359859999998</v>
      </c>
      <c r="AH143" s="131">
        <v>3.5185000000000001E-2</v>
      </c>
    </row>
    <row r="144" spans="1:34" ht="14.5">
      <c r="A144" s="17" t="s">
        <v>897</v>
      </c>
      <c r="B144" s="129" t="s">
        <v>848</v>
      </c>
      <c r="C144" s="132">
        <v>0.64150499999999999</v>
      </c>
      <c r="D144" s="132">
        <v>0.73196899999999998</v>
      </c>
      <c r="E144" s="132">
        <v>0.748166</v>
      </c>
      <c r="F144" s="132">
        <v>0.77386600000000005</v>
      </c>
      <c r="G144" s="132">
        <v>0.777281</v>
      </c>
      <c r="H144" s="132">
        <v>0.78120599999999996</v>
      </c>
      <c r="I144" s="132">
        <v>0.78976400000000002</v>
      </c>
      <c r="J144" s="132">
        <v>0.81530599999999998</v>
      </c>
      <c r="K144" s="132">
        <v>0.83235499999999996</v>
      </c>
      <c r="L144" s="132">
        <v>0.85396799999999995</v>
      </c>
      <c r="M144" s="132">
        <v>0.90002700000000002</v>
      </c>
      <c r="N144" s="132">
        <v>0.91003599999999996</v>
      </c>
      <c r="O144" s="132">
        <v>0.93457400000000002</v>
      </c>
      <c r="P144" s="132">
        <v>0.95803199999999999</v>
      </c>
      <c r="Q144" s="132">
        <v>0.99452200000000002</v>
      </c>
      <c r="R144" s="132">
        <v>1.0069669999999999</v>
      </c>
      <c r="S144" s="132">
        <v>1.034923</v>
      </c>
      <c r="T144" s="132">
        <v>1.074479</v>
      </c>
      <c r="U144" s="132">
        <v>1.1149500000000001</v>
      </c>
      <c r="V144" s="132">
        <v>1.15229</v>
      </c>
      <c r="W144" s="132">
        <v>1.1995480000000001</v>
      </c>
      <c r="X144" s="132">
        <v>1.24983</v>
      </c>
      <c r="Y144" s="132">
        <v>1.294473</v>
      </c>
      <c r="Z144" s="132">
        <v>1.3485780000000001</v>
      </c>
      <c r="AA144" s="132">
        <v>1.4108700000000001</v>
      </c>
      <c r="AB144" s="132">
        <v>1.4766900000000001</v>
      </c>
      <c r="AC144" s="132">
        <v>1.539188</v>
      </c>
      <c r="AD144" s="132">
        <v>1.6112310000000001</v>
      </c>
      <c r="AE144" s="132">
        <v>1.68126</v>
      </c>
      <c r="AF144" s="132">
        <v>1.7686409999999999</v>
      </c>
      <c r="AG144" s="132">
        <v>1.8596200000000001</v>
      </c>
      <c r="AH144" s="131">
        <v>3.6114E-2</v>
      </c>
    </row>
    <row r="145" spans="1:34" ht="12">
      <c r="A145" s="17" t="s">
        <v>898</v>
      </c>
      <c r="B145" s="128" t="s">
        <v>850</v>
      </c>
      <c r="C145" s="133">
        <v>984.44158900000002</v>
      </c>
      <c r="D145" s="133">
        <v>1059.0924070000001</v>
      </c>
      <c r="E145" s="133">
        <v>1094.903564</v>
      </c>
      <c r="F145" s="133">
        <v>1120.1130370000001</v>
      </c>
      <c r="G145" s="133">
        <v>1144.379639</v>
      </c>
      <c r="H145" s="133">
        <v>1174.9918210000001</v>
      </c>
      <c r="I145" s="133">
        <v>1210.260986</v>
      </c>
      <c r="J145" s="133">
        <v>1262.631836</v>
      </c>
      <c r="K145" s="133">
        <v>1310.40625</v>
      </c>
      <c r="L145" s="133">
        <v>1364.1523440000001</v>
      </c>
      <c r="M145" s="133">
        <v>1440.109009</v>
      </c>
      <c r="N145" s="133">
        <v>1489.114746</v>
      </c>
      <c r="O145" s="133">
        <v>1546.6475829999999</v>
      </c>
      <c r="P145" s="133">
        <v>1599.9216309999999</v>
      </c>
      <c r="Q145" s="133">
        <v>1658.161255</v>
      </c>
      <c r="R145" s="133">
        <v>1697.076538</v>
      </c>
      <c r="S145" s="133">
        <v>1743.942505</v>
      </c>
      <c r="T145" s="133">
        <v>1801.7655030000001</v>
      </c>
      <c r="U145" s="133">
        <v>1860.315186</v>
      </c>
      <c r="V145" s="133">
        <v>1907.727539</v>
      </c>
      <c r="W145" s="133">
        <v>1971.652466</v>
      </c>
      <c r="X145" s="133">
        <v>2035.8005370000001</v>
      </c>
      <c r="Y145" s="133">
        <v>2098.2409670000002</v>
      </c>
      <c r="Z145" s="133">
        <v>2168.2126459999999</v>
      </c>
      <c r="AA145" s="133">
        <v>2245.5832519999999</v>
      </c>
      <c r="AB145" s="133">
        <v>2329.4479980000001</v>
      </c>
      <c r="AC145" s="133">
        <v>2410.8857419999999</v>
      </c>
      <c r="AD145" s="133">
        <v>2494.2585450000001</v>
      </c>
      <c r="AE145" s="133">
        <v>2578.101807</v>
      </c>
      <c r="AF145" s="133">
        <v>2674.3098140000002</v>
      </c>
      <c r="AG145" s="133">
        <v>2777.9956050000001</v>
      </c>
      <c r="AH145" s="134">
        <v>3.5185000000000001E-2</v>
      </c>
    </row>
    <row r="146" spans="1:34" ht="12"/>
    <row r="147" spans="1:34" ht="12.5" thickBot="1"/>
    <row r="148" spans="1:34" ht="12">
      <c r="B148" s="210" t="s">
        <v>899</v>
      </c>
      <c r="C148" s="211"/>
      <c r="D148" s="211"/>
      <c r="E148" s="211"/>
      <c r="F148" s="211"/>
      <c r="G148" s="211"/>
      <c r="H148" s="211"/>
      <c r="I148" s="211"/>
      <c r="J148" s="211"/>
      <c r="K148" s="211"/>
      <c r="L148" s="211"/>
      <c r="M148" s="211"/>
      <c r="N148" s="211"/>
      <c r="O148" s="211"/>
      <c r="P148" s="211"/>
      <c r="Q148" s="211"/>
      <c r="R148" s="211"/>
      <c r="S148" s="211"/>
      <c r="T148" s="211"/>
      <c r="U148" s="211"/>
      <c r="V148" s="211"/>
      <c r="W148" s="211"/>
      <c r="X148" s="211"/>
      <c r="Y148" s="211"/>
      <c r="Z148" s="211"/>
      <c r="AA148" s="211"/>
      <c r="AB148" s="211"/>
      <c r="AC148" s="211"/>
      <c r="AD148" s="211"/>
      <c r="AE148" s="211"/>
      <c r="AF148" s="211"/>
      <c r="AG148" s="211"/>
      <c r="AH148" s="135"/>
    </row>
    <row r="149" spans="1:34" ht="12">
      <c r="B149" s="18" t="s">
        <v>900</v>
      </c>
    </row>
    <row r="150" spans="1:34" ht="12">
      <c r="B150" s="18" t="s">
        <v>901</v>
      </c>
    </row>
    <row r="151" spans="1:34" ht="12">
      <c r="B151" s="18" t="s">
        <v>902</v>
      </c>
    </row>
    <row r="152" spans="1:34" ht="15" customHeight="1">
      <c r="B152" s="18" t="s">
        <v>903</v>
      </c>
    </row>
    <row r="153" spans="1:34" ht="15" customHeight="1">
      <c r="B153" s="18" t="s">
        <v>904</v>
      </c>
    </row>
    <row r="154" spans="1:34" ht="15" customHeight="1">
      <c r="B154" s="18" t="s">
        <v>905</v>
      </c>
    </row>
    <row r="155" spans="1:34" ht="15" customHeight="1">
      <c r="B155" s="18" t="s">
        <v>906</v>
      </c>
    </row>
    <row r="156" spans="1:34" ht="15" customHeight="1">
      <c r="B156" s="18" t="s">
        <v>907</v>
      </c>
    </row>
    <row r="157" spans="1:34" ht="15" customHeight="1">
      <c r="B157" s="18" t="s">
        <v>908</v>
      </c>
    </row>
    <row r="158" spans="1:34" ht="15" customHeight="1">
      <c r="B158" s="18" t="s">
        <v>909</v>
      </c>
    </row>
    <row r="159" spans="1:34" ht="15" customHeight="1">
      <c r="B159" s="18" t="s">
        <v>910</v>
      </c>
    </row>
    <row r="160" spans="1:34" ht="15" customHeight="1">
      <c r="B160" s="18" t="s">
        <v>911</v>
      </c>
    </row>
    <row r="161" spans="2:2" ht="15" customHeight="1">
      <c r="B161" s="18" t="s">
        <v>912</v>
      </c>
    </row>
    <row r="162" spans="2:2" ht="15" customHeight="1">
      <c r="B162" s="18" t="s">
        <v>913</v>
      </c>
    </row>
    <row r="167" spans="2:2" ht="12"/>
    <row r="182" ht="12"/>
    <row r="207" ht="12"/>
    <row r="208" ht="12"/>
    <row r="310" spans="2:34" ht="15" customHeight="1">
      <c r="B310" s="206"/>
      <c r="C310" s="206"/>
      <c r="D310" s="206"/>
      <c r="E310" s="206"/>
      <c r="F310" s="206"/>
      <c r="G310" s="206"/>
      <c r="H310" s="206"/>
      <c r="I310" s="206"/>
      <c r="J310" s="206"/>
      <c r="K310" s="206"/>
      <c r="L310" s="206"/>
      <c r="M310" s="206"/>
      <c r="N310" s="206"/>
      <c r="O310" s="206"/>
      <c r="P310" s="206"/>
      <c r="Q310" s="206"/>
      <c r="R310" s="206"/>
      <c r="S310" s="206"/>
      <c r="T310" s="206"/>
      <c r="U310" s="206"/>
      <c r="V310" s="206"/>
      <c r="W310" s="206"/>
      <c r="X310" s="206"/>
      <c r="Y310" s="206"/>
      <c r="Z310" s="206"/>
      <c r="AA310" s="206"/>
      <c r="AB310" s="206"/>
      <c r="AC310" s="206"/>
      <c r="AD310" s="206"/>
      <c r="AE310" s="206"/>
      <c r="AF310" s="206"/>
      <c r="AG310" s="206"/>
      <c r="AH310" s="206"/>
    </row>
    <row r="513" spans="2:34" ht="15" customHeight="1">
      <c r="B513" s="206"/>
      <c r="C513" s="206"/>
      <c r="D513" s="206"/>
      <c r="E513" s="206"/>
      <c r="F513" s="206"/>
      <c r="G513" s="206"/>
      <c r="H513" s="206"/>
      <c r="I513" s="206"/>
      <c r="J513" s="206"/>
      <c r="K513" s="206"/>
      <c r="L513" s="206"/>
      <c r="M513" s="206"/>
      <c r="N513" s="206"/>
      <c r="O513" s="206"/>
      <c r="P513" s="206"/>
      <c r="Q513" s="206"/>
      <c r="R513" s="206"/>
      <c r="S513" s="206"/>
      <c r="T513" s="206"/>
      <c r="U513" s="206"/>
      <c r="V513" s="206"/>
      <c r="W513" s="206"/>
      <c r="X513" s="206"/>
      <c r="Y513" s="206"/>
      <c r="Z513" s="206"/>
      <c r="AA513" s="206"/>
      <c r="AB513" s="206"/>
      <c r="AC513" s="206"/>
      <c r="AD513" s="206"/>
      <c r="AE513" s="206"/>
      <c r="AF513" s="206"/>
      <c r="AG513" s="206"/>
      <c r="AH513" s="206"/>
    </row>
    <row r="714" spans="2:34" ht="15" customHeight="1">
      <c r="B714" s="206"/>
      <c r="C714" s="206"/>
      <c r="D714" s="206"/>
      <c r="E714" s="206"/>
      <c r="F714" s="206"/>
      <c r="G714" s="206"/>
      <c r="H714" s="206"/>
      <c r="I714" s="206"/>
      <c r="J714" s="206"/>
      <c r="K714" s="206"/>
      <c r="L714" s="206"/>
      <c r="M714" s="206"/>
      <c r="N714" s="206"/>
      <c r="O714" s="206"/>
      <c r="P714" s="206"/>
      <c r="Q714" s="206"/>
      <c r="R714" s="206"/>
      <c r="S714" s="206"/>
      <c r="T714" s="206"/>
      <c r="U714" s="206"/>
      <c r="V714" s="206"/>
      <c r="W714" s="206"/>
      <c r="X714" s="206"/>
      <c r="Y714" s="206"/>
      <c r="Z714" s="206"/>
      <c r="AA714" s="206"/>
      <c r="AB714" s="206"/>
      <c r="AC714" s="206"/>
      <c r="AD714" s="206"/>
      <c r="AE714" s="206"/>
      <c r="AF714" s="206"/>
      <c r="AG714" s="206"/>
      <c r="AH714" s="206"/>
    </row>
    <row r="889" spans="2:34" ht="15" customHeight="1">
      <c r="B889" s="206"/>
      <c r="C889" s="206"/>
      <c r="D889" s="206"/>
      <c r="E889" s="206"/>
      <c r="F889" s="206"/>
      <c r="G889" s="206"/>
      <c r="H889" s="206"/>
      <c r="I889" s="206"/>
      <c r="J889" s="206"/>
      <c r="K889" s="206"/>
      <c r="L889" s="206"/>
      <c r="M889" s="206"/>
      <c r="N889" s="206"/>
      <c r="O889" s="206"/>
      <c r="P889" s="206"/>
      <c r="Q889" s="206"/>
      <c r="R889" s="206"/>
      <c r="S889" s="206"/>
      <c r="T889" s="206"/>
      <c r="U889" s="206"/>
      <c r="V889" s="206"/>
      <c r="W889" s="206"/>
      <c r="X889" s="206"/>
      <c r="Y889" s="206"/>
      <c r="Z889" s="206"/>
      <c r="AA889" s="206"/>
      <c r="AB889" s="206"/>
      <c r="AC889" s="206"/>
      <c r="AD889" s="206"/>
      <c r="AE889" s="206"/>
      <c r="AF889" s="206"/>
      <c r="AG889" s="206"/>
      <c r="AH889" s="206"/>
    </row>
    <row r="1102" spans="2:34" ht="15" customHeight="1">
      <c r="B1102" s="206"/>
      <c r="C1102" s="206"/>
      <c r="D1102" s="206"/>
      <c r="E1102" s="206"/>
      <c r="F1102" s="206"/>
      <c r="G1102" s="206"/>
      <c r="H1102" s="206"/>
      <c r="I1102" s="206"/>
      <c r="J1102" s="206"/>
      <c r="K1102" s="206"/>
      <c r="L1102" s="206"/>
      <c r="M1102" s="206"/>
      <c r="N1102" s="206"/>
      <c r="O1102" s="206"/>
      <c r="P1102" s="206"/>
      <c r="Q1102" s="206"/>
      <c r="R1102" s="206"/>
      <c r="S1102" s="206"/>
      <c r="T1102" s="206"/>
      <c r="U1102" s="206"/>
      <c r="V1102" s="206"/>
      <c r="W1102" s="206"/>
      <c r="X1102" s="206"/>
      <c r="Y1102" s="206"/>
      <c r="Z1102" s="206"/>
      <c r="AA1102" s="206"/>
      <c r="AB1102" s="206"/>
      <c r="AC1102" s="206"/>
      <c r="AD1102" s="206"/>
      <c r="AE1102" s="206"/>
      <c r="AF1102" s="206"/>
      <c r="AG1102" s="206"/>
      <c r="AH1102" s="206"/>
    </row>
    <row r="1229" spans="2:34" ht="15" customHeight="1">
      <c r="B1229" s="206"/>
      <c r="C1229" s="206"/>
      <c r="D1229" s="206"/>
      <c r="E1229" s="206"/>
      <c r="F1229" s="206"/>
      <c r="G1229" s="206"/>
      <c r="H1229" s="206"/>
      <c r="I1229" s="206"/>
      <c r="J1229" s="206"/>
      <c r="K1229" s="206"/>
      <c r="L1229" s="206"/>
      <c r="M1229" s="206"/>
      <c r="N1229" s="206"/>
      <c r="O1229" s="206"/>
      <c r="P1229" s="206"/>
      <c r="Q1229" s="206"/>
      <c r="R1229" s="206"/>
      <c r="S1229" s="206"/>
      <c r="T1229" s="206"/>
      <c r="U1229" s="206"/>
      <c r="V1229" s="206"/>
      <c r="W1229" s="206"/>
      <c r="X1229" s="206"/>
      <c r="Y1229" s="206"/>
      <c r="Z1229" s="206"/>
      <c r="AA1229" s="206"/>
      <c r="AB1229" s="206"/>
      <c r="AC1229" s="206"/>
      <c r="AD1229" s="206"/>
      <c r="AE1229" s="206"/>
      <c r="AF1229" s="206"/>
      <c r="AG1229" s="206"/>
      <c r="AH1229" s="206"/>
    </row>
    <row r="1392" spans="2:34" ht="15" customHeight="1">
      <c r="B1392" s="206"/>
      <c r="C1392" s="206"/>
      <c r="D1392" s="206"/>
      <c r="E1392" s="206"/>
      <c r="F1392" s="206"/>
      <c r="G1392" s="206"/>
      <c r="H1392" s="206"/>
      <c r="I1392" s="206"/>
      <c r="J1392" s="206"/>
      <c r="K1392" s="206"/>
      <c r="L1392" s="206"/>
      <c r="M1392" s="206"/>
      <c r="N1392" s="206"/>
      <c r="O1392" s="206"/>
      <c r="P1392" s="206"/>
      <c r="Q1392" s="206"/>
      <c r="R1392" s="206"/>
      <c r="S1392" s="206"/>
      <c r="T1392" s="206"/>
      <c r="U1392" s="206"/>
      <c r="V1392" s="206"/>
      <c r="W1392" s="206"/>
      <c r="X1392" s="206"/>
      <c r="Y1392" s="206"/>
      <c r="Z1392" s="206"/>
      <c r="AA1392" s="206"/>
      <c r="AB1392" s="206"/>
      <c r="AC1392" s="206"/>
      <c r="AD1392" s="206"/>
      <c r="AE1392" s="206"/>
      <c r="AF1392" s="206"/>
      <c r="AG1392" s="206"/>
      <c r="AH1392" s="206"/>
    </row>
    <row r="1504" spans="2:34" ht="15" customHeight="1">
      <c r="B1504" s="206"/>
      <c r="C1504" s="206"/>
      <c r="D1504" s="206"/>
      <c r="E1504" s="206"/>
      <c r="F1504" s="206"/>
      <c r="G1504" s="206"/>
      <c r="H1504" s="206"/>
      <c r="I1504" s="206"/>
      <c r="J1504" s="206"/>
      <c r="K1504" s="206"/>
      <c r="L1504" s="206"/>
      <c r="M1504" s="206"/>
      <c r="N1504" s="206"/>
      <c r="O1504" s="206"/>
      <c r="P1504" s="206"/>
      <c r="Q1504" s="206"/>
      <c r="R1504" s="206"/>
      <c r="S1504" s="206"/>
      <c r="T1504" s="206"/>
      <c r="U1504" s="206"/>
      <c r="V1504" s="206"/>
      <c r="W1504" s="206"/>
      <c r="X1504" s="206"/>
      <c r="Y1504" s="206"/>
      <c r="Z1504" s="206"/>
      <c r="AA1504" s="206"/>
      <c r="AB1504" s="206"/>
      <c r="AC1504" s="206"/>
      <c r="AD1504" s="206"/>
      <c r="AE1504" s="206"/>
      <c r="AF1504" s="206"/>
      <c r="AG1504" s="206"/>
      <c r="AH1504" s="206"/>
    </row>
    <row r="1606" spans="2:34" ht="15" customHeight="1">
      <c r="B1606" s="206"/>
      <c r="C1606" s="206"/>
      <c r="D1606" s="206"/>
      <c r="E1606" s="206"/>
      <c r="F1606" s="206"/>
      <c r="G1606" s="206"/>
      <c r="H1606" s="206"/>
      <c r="I1606" s="206"/>
      <c r="J1606" s="206"/>
      <c r="K1606" s="206"/>
      <c r="L1606" s="206"/>
      <c r="M1606" s="206"/>
      <c r="N1606" s="206"/>
      <c r="O1606" s="206"/>
      <c r="P1606" s="206"/>
      <c r="Q1606" s="206"/>
      <c r="R1606" s="206"/>
      <c r="S1606" s="206"/>
      <c r="T1606" s="206"/>
      <c r="U1606" s="206"/>
      <c r="V1606" s="206"/>
      <c r="W1606" s="206"/>
      <c r="X1606" s="206"/>
      <c r="Y1606" s="206"/>
      <c r="Z1606" s="206"/>
      <c r="AA1606" s="206"/>
      <c r="AB1606" s="206"/>
      <c r="AC1606" s="206"/>
      <c r="AD1606" s="206"/>
      <c r="AE1606" s="206"/>
      <c r="AF1606" s="206"/>
      <c r="AG1606" s="206"/>
      <c r="AH1606" s="206"/>
    </row>
    <row r="1700" spans="2:34" ht="15" customHeight="1">
      <c r="B1700" s="206"/>
      <c r="C1700" s="206"/>
      <c r="D1700" s="206"/>
      <c r="E1700" s="206"/>
      <c r="F1700" s="206"/>
      <c r="G1700" s="206"/>
      <c r="H1700" s="206"/>
      <c r="I1700" s="206"/>
      <c r="J1700" s="206"/>
      <c r="K1700" s="206"/>
      <c r="L1700" s="206"/>
      <c r="M1700" s="206"/>
      <c r="N1700" s="206"/>
      <c r="O1700" s="206"/>
      <c r="P1700" s="206"/>
      <c r="Q1700" s="206"/>
      <c r="R1700" s="206"/>
      <c r="S1700" s="206"/>
      <c r="T1700" s="206"/>
      <c r="U1700" s="206"/>
      <c r="V1700" s="206"/>
      <c r="W1700" s="206"/>
      <c r="X1700" s="206"/>
      <c r="Y1700" s="206"/>
      <c r="Z1700" s="206"/>
      <c r="AA1700" s="206"/>
      <c r="AB1700" s="206"/>
      <c r="AC1700" s="206"/>
      <c r="AD1700" s="206"/>
      <c r="AE1700" s="206"/>
      <c r="AF1700" s="206"/>
      <c r="AG1700" s="206"/>
      <c r="AH1700" s="206"/>
    </row>
    <row r="1947" spans="2:34" ht="15" customHeight="1">
      <c r="B1947" s="206"/>
      <c r="C1947" s="206"/>
      <c r="D1947" s="206"/>
      <c r="E1947" s="206"/>
      <c r="F1947" s="206"/>
      <c r="G1947" s="206"/>
      <c r="H1947" s="206"/>
      <c r="I1947" s="206"/>
      <c r="J1947" s="206"/>
      <c r="K1947" s="206"/>
      <c r="L1947" s="206"/>
      <c r="M1947" s="206"/>
      <c r="N1947" s="206"/>
      <c r="O1947" s="206"/>
      <c r="P1947" s="206"/>
      <c r="Q1947" s="206"/>
      <c r="R1947" s="206"/>
      <c r="S1947" s="206"/>
      <c r="T1947" s="206"/>
      <c r="U1947" s="206"/>
      <c r="V1947" s="206"/>
      <c r="W1947" s="206"/>
      <c r="X1947" s="206"/>
      <c r="Y1947" s="206"/>
      <c r="Z1947" s="206"/>
      <c r="AA1947" s="206"/>
      <c r="AB1947" s="206"/>
      <c r="AC1947" s="206"/>
      <c r="AD1947" s="206"/>
      <c r="AE1947" s="206"/>
      <c r="AF1947" s="206"/>
      <c r="AG1947" s="206"/>
      <c r="AH1947" s="206"/>
    </row>
    <row r="2033" spans="2:34" ht="15" customHeight="1">
      <c r="B2033" s="206"/>
      <c r="C2033" s="206"/>
      <c r="D2033" s="206"/>
      <c r="E2033" s="206"/>
      <c r="F2033" s="206"/>
      <c r="G2033" s="206"/>
      <c r="H2033" s="206"/>
      <c r="I2033" s="206"/>
      <c r="J2033" s="206"/>
      <c r="K2033" s="206"/>
      <c r="L2033" s="206"/>
      <c r="M2033" s="206"/>
      <c r="N2033" s="206"/>
      <c r="O2033" s="206"/>
      <c r="P2033" s="206"/>
      <c r="Q2033" s="206"/>
      <c r="R2033" s="206"/>
      <c r="S2033" s="206"/>
      <c r="T2033" s="206"/>
      <c r="U2033" s="206"/>
      <c r="V2033" s="206"/>
      <c r="W2033" s="206"/>
      <c r="X2033" s="206"/>
      <c r="Y2033" s="206"/>
      <c r="Z2033" s="206"/>
      <c r="AA2033" s="206"/>
      <c r="AB2033" s="206"/>
      <c r="AC2033" s="206"/>
      <c r="AD2033" s="206"/>
      <c r="AE2033" s="206"/>
      <c r="AF2033" s="206"/>
      <c r="AG2033" s="206"/>
      <c r="AH2033" s="206"/>
    </row>
    <row r="2155" spans="2:34" ht="15" customHeight="1">
      <c r="B2155" s="206"/>
      <c r="C2155" s="206"/>
      <c r="D2155" s="206"/>
      <c r="E2155" s="206"/>
      <c r="F2155" s="206"/>
      <c r="G2155" s="206"/>
      <c r="H2155" s="206"/>
      <c r="I2155" s="206"/>
      <c r="J2155" s="206"/>
      <c r="K2155" s="206"/>
      <c r="L2155" s="206"/>
      <c r="M2155" s="206"/>
      <c r="N2155" s="206"/>
      <c r="O2155" s="206"/>
      <c r="P2155" s="206"/>
      <c r="Q2155" s="206"/>
      <c r="R2155" s="206"/>
      <c r="S2155" s="206"/>
      <c r="T2155" s="206"/>
      <c r="U2155" s="206"/>
      <c r="V2155" s="206"/>
      <c r="W2155" s="206"/>
      <c r="X2155" s="206"/>
      <c r="Y2155" s="206"/>
      <c r="Z2155" s="206"/>
      <c r="AA2155" s="206"/>
      <c r="AB2155" s="206"/>
      <c r="AC2155" s="206"/>
      <c r="AD2155" s="206"/>
      <c r="AE2155" s="206"/>
      <c r="AF2155" s="206"/>
      <c r="AG2155" s="206"/>
      <c r="AH2155" s="206"/>
    </row>
    <row r="2319" spans="2:34" ht="15" customHeight="1">
      <c r="B2319" s="206"/>
      <c r="C2319" s="206"/>
      <c r="D2319" s="206"/>
      <c r="E2319" s="206"/>
      <c r="F2319" s="206"/>
      <c r="G2319" s="206"/>
      <c r="H2319" s="206"/>
      <c r="I2319" s="206"/>
      <c r="J2319" s="206"/>
      <c r="K2319" s="206"/>
      <c r="L2319" s="206"/>
      <c r="M2319" s="206"/>
      <c r="N2319" s="206"/>
      <c r="O2319" s="206"/>
      <c r="P2319" s="206"/>
      <c r="Q2319" s="206"/>
      <c r="R2319" s="206"/>
      <c r="S2319" s="206"/>
      <c r="T2319" s="206"/>
      <c r="U2319" s="206"/>
      <c r="V2319" s="206"/>
      <c r="W2319" s="206"/>
      <c r="X2319" s="206"/>
      <c r="Y2319" s="206"/>
      <c r="Z2319" s="206"/>
      <c r="AA2319" s="206"/>
      <c r="AB2319" s="206"/>
      <c r="AC2319" s="206"/>
      <c r="AD2319" s="206"/>
      <c r="AE2319" s="206"/>
      <c r="AF2319" s="206"/>
      <c r="AG2319" s="206"/>
      <c r="AH2319" s="206"/>
    </row>
    <row r="2421" spans="2:34" ht="15" customHeight="1">
      <c r="B2421" s="206"/>
      <c r="C2421" s="206"/>
      <c r="D2421" s="206"/>
      <c r="E2421" s="206"/>
      <c r="F2421" s="206"/>
      <c r="G2421" s="206"/>
      <c r="H2421" s="206"/>
      <c r="I2421" s="206"/>
      <c r="J2421" s="206"/>
      <c r="K2421" s="206"/>
      <c r="L2421" s="206"/>
      <c r="M2421" s="206"/>
      <c r="N2421" s="206"/>
      <c r="O2421" s="206"/>
      <c r="P2421" s="206"/>
      <c r="Q2421" s="206"/>
      <c r="R2421" s="206"/>
      <c r="S2421" s="206"/>
      <c r="T2421" s="206"/>
      <c r="U2421" s="206"/>
      <c r="V2421" s="206"/>
      <c r="W2421" s="206"/>
      <c r="X2421" s="206"/>
      <c r="Y2421" s="206"/>
      <c r="Z2421" s="206"/>
      <c r="AA2421" s="206"/>
      <c r="AB2421" s="206"/>
      <c r="AC2421" s="206"/>
      <c r="AD2421" s="206"/>
      <c r="AE2421" s="206"/>
      <c r="AF2421" s="206"/>
      <c r="AG2421" s="206"/>
      <c r="AH2421" s="206"/>
    </row>
    <row r="2511" spans="2:34" ht="15" customHeight="1">
      <c r="B2511" s="206"/>
      <c r="C2511" s="206"/>
      <c r="D2511" s="206"/>
      <c r="E2511" s="206"/>
      <c r="F2511" s="206"/>
      <c r="G2511" s="206"/>
      <c r="H2511" s="206"/>
      <c r="I2511" s="206"/>
      <c r="J2511" s="206"/>
      <c r="K2511" s="206"/>
      <c r="L2511" s="206"/>
      <c r="M2511" s="206"/>
      <c r="N2511" s="206"/>
      <c r="O2511" s="206"/>
      <c r="P2511" s="206"/>
      <c r="Q2511" s="206"/>
      <c r="R2511" s="206"/>
      <c r="S2511" s="206"/>
      <c r="T2511" s="206"/>
      <c r="U2511" s="206"/>
      <c r="V2511" s="206"/>
      <c r="W2511" s="206"/>
      <c r="X2511" s="206"/>
      <c r="Y2511" s="206"/>
      <c r="Z2511" s="206"/>
      <c r="AA2511" s="206"/>
      <c r="AB2511" s="206"/>
      <c r="AC2511" s="206"/>
      <c r="AD2511" s="206"/>
      <c r="AE2511" s="206"/>
      <c r="AF2511" s="206"/>
      <c r="AG2511" s="206"/>
      <c r="AH2511" s="206"/>
    </row>
    <row r="2600" spans="2:34" ht="15" customHeight="1">
      <c r="B2600" s="206"/>
      <c r="C2600" s="206"/>
      <c r="D2600" s="206"/>
      <c r="E2600" s="206"/>
      <c r="F2600" s="206"/>
      <c r="G2600" s="206"/>
      <c r="H2600" s="206"/>
      <c r="I2600" s="206"/>
      <c r="J2600" s="206"/>
      <c r="K2600" s="206"/>
      <c r="L2600" s="206"/>
      <c r="M2600" s="206"/>
      <c r="N2600" s="206"/>
      <c r="O2600" s="206"/>
      <c r="P2600" s="206"/>
      <c r="Q2600" s="206"/>
      <c r="R2600" s="206"/>
      <c r="S2600" s="206"/>
      <c r="T2600" s="206"/>
      <c r="U2600" s="206"/>
      <c r="V2600" s="206"/>
      <c r="W2600" s="206"/>
      <c r="X2600" s="206"/>
      <c r="Y2600" s="206"/>
      <c r="Z2600" s="206"/>
      <c r="AA2600" s="206"/>
      <c r="AB2600" s="206"/>
      <c r="AC2600" s="206"/>
      <c r="AD2600" s="206"/>
      <c r="AE2600" s="206"/>
      <c r="AF2600" s="206"/>
      <c r="AG2600" s="206"/>
      <c r="AH2600" s="206"/>
    </row>
    <row r="2721" spans="2:34" ht="15" customHeight="1">
      <c r="B2721" s="206"/>
      <c r="C2721" s="206"/>
      <c r="D2721" s="206"/>
      <c r="E2721" s="206"/>
      <c r="F2721" s="206"/>
      <c r="G2721" s="206"/>
      <c r="H2721" s="206"/>
      <c r="I2721" s="206"/>
      <c r="J2721" s="206"/>
      <c r="K2721" s="206"/>
      <c r="L2721" s="206"/>
      <c r="M2721" s="206"/>
      <c r="N2721" s="206"/>
      <c r="O2721" s="206"/>
      <c r="P2721" s="206"/>
      <c r="Q2721" s="206"/>
      <c r="R2721" s="206"/>
      <c r="S2721" s="206"/>
      <c r="T2721" s="206"/>
      <c r="U2721" s="206"/>
      <c r="V2721" s="206"/>
      <c r="W2721" s="206"/>
      <c r="X2721" s="206"/>
      <c r="Y2721" s="206"/>
      <c r="Z2721" s="206"/>
      <c r="AA2721" s="206"/>
      <c r="AB2721" s="206"/>
      <c r="AC2721" s="206"/>
      <c r="AD2721" s="206"/>
      <c r="AE2721" s="206"/>
      <c r="AF2721" s="206"/>
      <c r="AG2721" s="206"/>
      <c r="AH2721" s="206"/>
    </row>
    <row r="2839" spans="2:34" ht="15" customHeight="1">
      <c r="B2839" s="206"/>
      <c r="C2839" s="206"/>
      <c r="D2839" s="206"/>
      <c r="E2839" s="206"/>
      <c r="F2839" s="206"/>
      <c r="G2839" s="206"/>
      <c r="H2839" s="206"/>
      <c r="I2839" s="206"/>
      <c r="J2839" s="206"/>
      <c r="K2839" s="206"/>
      <c r="L2839" s="206"/>
      <c r="M2839" s="206"/>
      <c r="N2839" s="206"/>
      <c r="O2839" s="206"/>
      <c r="P2839" s="206"/>
      <c r="Q2839" s="206"/>
      <c r="R2839" s="206"/>
      <c r="S2839" s="206"/>
      <c r="T2839" s="206"/>
      <c r="U2839" s="206"/>
      <c r="V2839" s="206"/>
      <c r="W2839" s="206"/>
      <c r="X2839" s="206"/>
      <c r="Y2839" s="206"/>
      <c r="Z2839" s="206"/>
      <c r="AA2839" s="206"/>
      <c r="AB2839" s="206"/>
      <c r="AC2839" s="206"/>
      <c r="AD2839" s="206"/>
      <c r="AE2839" s="206"/>
      <c r="AF2839" s="206"/>
      <c r="AG2839" s="206"/>
      <c r="AH2839" s="206"/>
    </row>
  </sheetData>
  <mergeCells count="21">
    <mergeCell ref="B2600:AH2600"/>
    <mergeCell ref="B2721:AH2721"/>
    <mergeCell ref="B2839:AH2839"/>
    <mergeCell ref="B1947:AH1947"/>
    <mergeCell ref="B2033:AH2033"/>
    <mergeCell ref="B2155:AH2155"/>
    <mergeCell ref="B2319:AH2319"/>
    <mergeCell ref="B2421:AH2421"/>
    <mergeCell ref="B2511:AH2511"/>
    <mergeCell ref="B1700:AH1700"/>
    <mergeCell ref="B114:AH114"/>
    <mergeCell ref="B148:AG148"/>
    <mergeCell ref="B310:AH310"/>
    <mergeCell ref="B513:AH513"/>
    <mergeCell ref="B714:AH714"/>
    <mergeCell ref="B889:AH889"/>
    <mergeCell ref="B1102:AH1102"/>
    <mergeCell ref="B1229:AH1229"/>
    <mergeCell ref="B1392:AH1392"/>
    <mergeCell ref="B1504:AH1504"/>
    <mergeCell ref="B1606:AH1606"/>
  </mergeCells>
  <pageMargins left="0.75" right="0.75" top="1" bottom="1" header="0.5" footer="0.5"/>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2060"/>
  </sheetPr>
  <dimension ref="A1:AH9"/>
  <sheetViews>
    <sheetView topLeftCell="X1" workbookViewId="0">
      <selection activeCell="AF9" sqref="B2:AF9"/>
    </sheetView>
  </sheetViews>
  <sheetFormatPr defaultColWidth="9.1796875" defaultRowHeight="14.5"/>
  <cols>
    <col min="1" max="1" width="41.453125" style="14" customWidth="1"/>
    <col min="2" max="32" width="10" style="14" customWidth="1"/>
    <col min="33" max="34" width="9.1796875" style="14" customWidth="1"/>
    <col min="35" max="16384" width="9.1796875" style="14"/>
  </cols>
  <sheetData>
    <row r="1" spans="1:34">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181">
        <f>Electricity!B10</f>
        <v>1.8886332731203546E-5</v>
      </c>
      <c r="C2" s="181">
        <f>Electricity!C10</f>
        <v>2.0921119196895096E-5</v>
      </c>
      <c r="D2" s="181">
        <f>Electricity!D10</f>
        <v>2.1159577525816898E-5</v>
      </c>
      <c r="E2" s="181">
        <f>Electricity!E10</f>
        <v>2.1682207167523357E-5</v>
      </c>
      <c r="F2" s="181">
        <f>Electricity!F10</f>
        <v>2.1957940729662941E-5</v>
      </c>
      <c r="G2" s="181">
        <f>Electricity!G10</f>
        <v>2.2550361899863273E-5</v>
      </c>
      <c r="H2" s="181">
        <f>Electricity!H10</f>
        <v>2.2908952643098834E-5</v>
      </c>
      <c r="I2" s="181">
        <f>Electricity!I10</f>
        <v>2.3047333239191349E-5</v>
      </c>
      <c r="J2" s="181">
        <f>Electricity!J10</f>
        <v>2.34701291782162E-5</v>
      </c>
      <c r="K2" s="181">
        <f>Electricity!K10</f>
        <v>2.3831263769267346E-5</v>
      </c>
      <c r="L2" s="181">
        <f>Electricity!L10</f>
        <v>2.4132574266994697E-5</v>
      </c>
      <c r="M2" s="181">
        <f>Electricity!M10</f>
        <v>2.4385791445861411E-5</v>
      </c>
      <c r="N2" s="181">
        <f>Electricity!N10</f>
        <v>2.4659210224950531E-5</v>
      </c>
      <c r="O2" s="181">
        <f>Electricity!O10</f>
        <v>2.49234043825667E-5</v>
      </c>
      <c r="P2" s="181">
        <f>Electricity!P10</f>
        <v>2.5181933182063065E-5</v>
      </c>
      <c r="Q2" s="181">
        <f>Electricity!Q10</f>
        <v>2.5416025228225696E-5</v>
      </c>
      <c r="R2" s="181">
        <f>Electricity!R10</f>
        <v>2.5634233923239525E-5</v>
      </c>
      <c r="S2" s="181">
        <f>Electricity!S10</f>
        <v>2.5871000518824458E-5</v>
      </c>
      <c r="T2" s="181">
        <f>Electricity!T10</f>
        <v>2.6103344982352801E-5</v>
      </c>
      <c r="U2" s="181">
        <f>Electricity!U10</f>
        <v>2.6275774260910121E-5</v>
      </c>
      <c r="V2" s="181">
        <f>Electricity!V10</f>
        <v>2.655431024596748E-5</v>
      </c>
      <c r="W2" s="181">
        <f>Electricity!W10</f>
        <v>2.6796792682455349E-5</v>
      </c>
      <c r="X2" s="181">
        <f>Electricity!X10</f>
        <v>2.6928777329398905E-5</v>
      </c>
      <c r="Y2" s="181">
        <f>Electricity!Y10</f>
        <v>2.7120657402851098E-5</v>
      </c>
      <c r="Z2" s="181">
        <f>Electricity!Z10</f>
        <v>2.7353839248832712E-5</v>
      </c>
      <c r="AA2" s="181">
        <f>Electricity!AA10</f>
        <v>2.7486570012950924E-5</v>
      </c>
      <c r="AB2" s="181">
        <f>Electricity!AB10</f>
        <v>2.7629409582774668E-5</v>
      </c>
      <c r="AC2" s="181">
        <f>Electricity!AC10</f>
        <v>2.7747288569336853E-5</v>
      </c>
      <c r="AD2" s="181">
        <f>Electricity!AD10</f>
        <v>2.7831293083466372E-5</v>
      </c>
      <c r="AE2" s="181">
        <f>Electricity!AE10</f>
        <v>2.7861470841675554E-5</v>
      </c>
      <c r="AF2" s="181">
        <f>Electricity!AF10</f>
        <v>2.7864810962697026E-5</v>
      </c>
    </row>
    <row r="3" spans="1:34">
      <c r="A3" s="13" t="s">
        <v>165</v>
      </c>
      <c r="B3" s="181">
        <f>Electricity!B11</f>
        <v>1.3038153835109933E-5</v>
      </c>
      <c r="C3" s="181">
        <f>Electricity!C11</f>
        <v>1.366531799739181E-5</v>
      </c>
      <c r="D3" s="181">
        <f>Electricity!D11</f>
        <v>1.4493690985407186E-5</v>
      </c>
      <c r="E3" s="181">
        <f>Electricity!E11</f>
        <v>1.4996473434655262E-5</v>
      </c>
      <c r="F3" s="181">
        <f>Electricity!F11</f>
        <v>1.5256085816082846E-5</v>
      </c>
      <c r="G3" s="181">
        <f>Electricity!G11</f>
        <v>1.5800080180065483E-5</v>
      </c>
      <c r="H3" s="181">
        <f>Electricity!H11</f>
        <v>1.6129263210393267E-5</v>
      </c>
      <c r="I3" s="181">
        <f>Electricity!I11</f>
        <v>1.6311088432174235E-5</v>
      </c>
      <c r="J3" s="181">
        <f>Electricity!J11</f>
        <v>1.6725131414343281E-5</v>
      </c>
      <c r="K3" s="181">
        <f>Electricity!K11</f>
        <v>1.708542710069187E-5</v>
      </c>
      <c r="L3" s="181">
        <f>Electricity!L11</f>
        <v>1.7396104106202097E-5</v>
      </c>
      <c r="M3" s="181">
        <f>Electricity!M11</f>
        <v>1.7656558206488192E-5</v>
      </c>
      <c r="N3" s="181">
        <f>Electricity!N11</f>
        <v>1.7931563934319338E-5</v>
      </c>
      <c r="O3" s="181">
        <f>Electricity!O11</f>
        <v>1.8204498124016729E-5</v>
      </c>
      <c r="P3" s="181">
        <f>Electricity!P11</f>
        <v>1.8462862571228464E-5</v>
      </c>
      <c r="Q3" s="181">
        <f>Electricity!Q11</f>
        <v>1.8726862877915939E-5</v>
      </c>
      <c r="R3" s="181">
        <f>Electricity!R11</f>
        <v>1.867709021404997E-5</v>
      </c>
      <c r="S3" s="181">
        <f>Electricity!S11</f>
        <v>1.8543086449734519E-5</v>
      </c>
      <c r="T3" s="181">
        <f>Electricity!T11</f>
        <v>1.8443094559971137E-5</v>
      </c>
      <c r="U3" s="181">
        <f>Electricity!U11</f>
        <v>1.840831782917373E-5</v>
      </c>
      <c r="V3" s="181">
        <f>Electricity!V11</f>
        <v>1.8370303048582389E-5</v>
      </c>
      <c r="W3" s="181">
        <f>Electricity!W11</f>
        <v>1.8298458818779478E-5</v>
      </c>
      <c r="X3" s="181">
        <f>Electricity!X11</f>
        <v>1.8228652622077513E-5</v>
      </c>
      <c r="Y3" s="181">
        <f>Electricity!Y11</f>
        <v>1.812910729434557E-5</v>
      </c>
      <c r="Z3" s="181">
        <f>Electricity!Z11</f>
        <v>1.7985936656669829E-5</v>
      </c>
      <c r="AA3" s="181">
        <f>Electricity!AA11</f>
        <v>1.7925626078993847E-5</v>
      </c>
      <c r="AB3" s="181">
        <f>Electricity!AB11</f>
        <v>1.7867291775839987E-5</v>
      </c>
      <c r="AC3" s="181">
        <f>Electricity!AC11</f>
        <v>1.7810319011816028E-5</v>
      </c>
      <c r="AD3" s="181">
        <f>Electricity!AD11</f>
        <v>1.7792415674883194E-5</v>
      </c>
      <c r="AE3" s="181">
        <f>Electricity!AE11</f>
        <v>1.7736461452343711E-5</v>
      </c>
      <c r="AF3" s="181">
        <f>Electricity!AF11</f>
        <v>1.76285464119842E-5</v>
      </c>
    </row>
    <row r="4" spans="1:34">
      <c r="A4" s="13" t="s">
        <v>166</v>
      </c>
      <c r="B4" s="181">
        <f>Electricity!B12</f>
        <v>1.8886332731203546E-5</v>
      </c>
      <c r="C4" s="181">
        <f>Electricity!C12</f>
        <v>2.0921119196895096E-5</v>
      </c>
      <c r="D4" s="181">
        <f>Electricity!D12</f>
        <v>2.1159577525816898E-5</v>
      </c>
      <c r="E4" s="181">
        <f>Electricity!E12</f>
        <v>2.1682207167523357E-5</v>
      </c>
      <c r="F4" s="181">
        <f>Electricity!F12</f>
        <v>2.1957940729662941E-5</v>
      </c>
      <c r="G4" s="181">
        <f>Electricity!G12</f>
        <v>2.2550361899863273E-5</v>
      </c>
      <c r="H4" s="181">
        <f>Electricity!H12</f>
        <v>2.2908952643098834E-5</v>
      </c>
      <c r="I4" s="181">
        <f>Electricity!I12</f>
        <v>2.3047333239191349E-5</v>
      </c>
      <c r="J4" s="181">
        <f>Electricity!J12</f>
        <v>2.34701291782162E-5</v>
      </c>
      <c r="K4" s="181">
        <f>Electricity!K12</f>
        <v>2.3831263769267346E-5</v>
      </c>
      <c r="L4" s="181">
        <f>Electricity!L12</f>
        <v>2.4132574266994697E-5</v>
      </c>
      <c r="M4" s="181">
        <f>Electricity!M12</f>
        <v>2.4385791445861411E-5</v>
      </c>
      <c r="N4" s="181">
        <f>Electricity!N12</f>
        <v>2.4659210224950531E-5</v>
      </c>
      <c r="O4" s="181">
        <f>Electricity!O12</f>
        <v>2.49234043825667E-5</v>
      </c>
      <c r="P4" s="181">
        <f>Electricity!P12</f>
        <v>2.5181933182063065E-5</v>
      </c>
      <c r="Q4" s="181">
        <f>Electricity!Q12</f>
        <v>2.5416025228225696E-5</v>
      </c>
      <c r="R4" s="181">
        <f>Electricity!R12</f>
        <v>2.5634233923239525E-5</v>
      </c>
      <c r="S4" s="181">
        <f>Electricity!S12</f>
        <v>2.5871000518824458E-5</v>
      </c>
      <c r="T4" s="181">
        <f>Electricity!T12</f>
        <v>2.6103344982352801E-5</v>
      </c>
      <c r="U4" s="181">
        <f>Electricity!U12</f>
        <v>2.6275774260910121E-5</v>
      </c>
      <c r="V4" s="181">
        <f>Electricity!V12</f>
        <v>2.655431024596748E-5</v>
      </c>
      <c r="W4" s="181">
        <f>Electricity!W12</f>
        <v>2.6796792682455349E-5</v>
      </c>
      <c r="X4" s="181">
        <f>Electricity!X12</f>
        <v>2.6928777329398905E-5</v>
      </c>
      <c r="Y4" s="181">
        <f>Electricity!Y12</f>
        <v>2.7120657402851098E-5</v>
      </c>
      <c r="Z4" s="181">
        <f>Electricity!Z12</f>
        <v>2.7353839248832712E-5</v>
      </c>
      <c r="AA4" s="181">
        <f>Electricity!AA12</f>
        <v>2.7486570012950924E-5</v>
      </c>
      <c r="AB4" s="181">
        <f>Electricity!AB12</f>
        <v>2.7629409582774668E-5</v>
      </c>
      <c r="AC4" s="181">
        <f>Electricity!AC12</f>
        <v>2.7747288569336853E-5</v>
      </c>
      <c r="AD4" s="181">
        <f>Electricity!AD12</f>
        <v>2.7831293083466372E-5</v>
      </c>
      <c r="AE4" s="181">
        <f>Electricity!AE12</f>
        <v>2.7861470841675554E-5</v>
      </c>
      <c r="AF4" s="181">
        <f>Electricity!AF12</f>
        <v>2.7864810962697026E-5</v>
      </c>
    </row>
    <row r="5" spans="1:34">
      <c r="A5" s="13" t="s">
        <v>167</v>
      </c>
      <c r="B5" s="181">
        <f>Electricity!B13</f>
        <v>1.7166955980773941E-5</v>
      </c>
      <c r="C5" s="181">
        <f>Electricity!C13</f>
        <v>1.7609627820541889E-5</v>
      </c>
      <c r="D5" s="181">
        <f>Electricity!D13</f>
        <v>1.7730594251212916E-5</v>
      </c>
      <c r="E5" s="181">
        <f>Electricity!E13</f>
        <v>1.8073411943444998E-5</v>
      </c>
      <c r="F5" s="181">
        <f>Electricity!F13</f>
        <v>1.8331817134607826E-5</v>
      </c>
      <c r="G5" s="181">
        <f>Electricity!G13</f>
        <v>1.8837798393952441E-5</v>
      </c>
      <c r="H5" s="181">
        <f>Electricity!H13</f>
        <v>1.9090492983593538E-5</v>
      </c>
      <c r="I5" s="181">
        <f>Electricity!I13</f>
        <v>1.9218666605462688E-5</v>
      </c>
      <c r="J5" s="181">
        <f>Electricity!J13</f>
        <v>1.9579915765984623E-5</v>
      </c>
      <c r="K5" s="181">
        <f>Electricity!K13</f>
        <v>1.9898778793871303E-5</v>
      </c>
      <c r="L5" s="181">
        <f>Electricity!L13</f>
        <v>2.0132779941450304E-5</v>
      </c>
      <c r="M5" s="181">
        <f>Electricity!M13</f>
        <v>2.0319724454713744E-5</v>
      </c>
      <c r="N5" s="181">
        <f>Electricity!N13</f>
        <v>2.0514884963288143E-5</v>
      </c>
      <c r="O5" s="181">
        <f>Electricity!O13</f>
        <v>2.0721126313023345E-5</v>
      </c>
      <c r="P5" s="181">
        <f>Electricity!P13</f>
        <v>2.0926999044204673E-5</v>
      </c>
      <c r="Q5" s="181">
        <f>Electricity!Q13</f>
        <v>2.1130324158075158E-5</v>
      </c>
      <c r="R5" s="181">
        <f>Electricity!R13</f>
        <v>2.1040785123046581E-5</v>
      </c>
      <c r="S5" s="181">
        <f>Electricity!S13</f>
        <v>2.089521628387984E-5</v>
      </c>
      <c r="T5" s="181">
        <f>Electricity!T13</f>
        <v>2.073460965940011E-5</v>
      </c>
      <c r="U5" s="181">
        <f>Electricity!U13</f>
        <v>2.0735520713125935E-5</v>
      </c>
      <c r="V5" s="181">
        <f>Electricity!V13</f>
        <v>2.0694533418283037E-5</v>
      </c>
      <c r="W5" s="181">
        <f>Electricity!W13</f>
        <v>2.056325192610105E-5</v>
      </c>
      <c r="X5" s="181">
        <f>Electricity!X13</f>
        <v>2.0525912220434506E-5</v>
      </c>
      <c r="Y5" s="181">
        <f>Electricity!Y13</f>
        <v>2.0466525689457639E-5</v>
      </c>
      <c r="Z5" s="181">
        <f>Electricity!Z13</f>
        <v>2.0259834593252683E-5</v>
      </c>
      <c r="AA5" s="181">
        <f>Electricity!AA13</f>
        <v>2.0245991300602446E-5</v>
      </c>
      <c r="AB5" s="181">
        <f>Electricity!AB13</f>
        <v>2.0192233057087337E-5</v>
      </c>
      <c r="AC5" s="181">
        <f>Electricity!AC13</f>
        <v>2.0081529231725954E-5</v>
      </c>
      <c r="AD5" s="181">
        <f>Electricity!AD13</f>
        <v>2.009647591166636E-5</v>
      </c>
      <c r="AE5" s="181">
        <f>Electricity!AE13</f>
        <v>2.0031583916767072E-5</v>
      </c>
      <c r="AF5" s="181">
        <f>Electricity!AF13</f>
        <v>1.9844425812443778E-5</v>
      </c>
    </row>
    <row r="6" spans="1:34">
      <c r="A6" s="13" t="s">
        <v>168</v>
      </c>
      <c r="B6" s="181">
        <f>Electricity!B14</f>
        <v>1.3038153835109933E-5</v>
      </c>
      <c r="C6" s="181">
        <f>Electricity!C14</f>
        <v>1.366531799739181E-5</v>
      </c>
      <c r="D6" s="181">
        <f>Electricity!D14</f>
        <v>1.4493690985407186E-5</v>
      </c>
      <c r="E6" s="181">
        <f>Electricity!E14</f>
        <v>1.4996473434655262E-5</v>
      </c>
      <c r="F6" s="181">
        <f>Electricity!F14</f>
        <v>1.5256085816082846E-5</v>
      </c>
      <c r="G6" s="181">
        <f>Electricity!G14</f>
        <v>1.5800080180065483E-5</v>
      </c>
      <c r="H6" s="181">
        <f>Electricity!H14</f>
        <v>1.6129263210393267E-5</v>
      </c>
      <c r="I6" s="181">
        <f>Electricity!I14</f>
        <v>1.6311088432174235E-5</v>
      </c>
      <c r="J6" s="181">
        <f>Electricity!J14</f>
        <v>1.6725131414343281E-5</v>
      </c>
      <c r="K6" s="181">
        <f>Electricity!K14</f>
        <v>1.708542710069187E-5</v>
      </c>
      <c r="L6" s="181">
        <f>Electricity!L14</f>
        <v>1.7396104106202097E-5</v>
      </c>
      <c r="M6" s="181">
        <f>Electricity!M14</f>
        <v>1.7656558206488192E-5</v>
      </c>
      <c r="N6" s="181">
        <f>Electricity!N14</f>
        <v>1.7931563934319338E-5</v>
      </c>
      <c r="O6" s="181">
        <f>Electricity!O14</f>
        <v>1.8204498124016729E-5</v>
      </c>
      <c r="P6" s="181">
        <f>Electricity!P14</f>
        <v>1.8462862571228464E-5</v>
      </c>
      <c r="Q6" s="181">
        <f>Electricity!Q14</f>
        <v>1.8726862877915939E-5</v>
      </c>
      <c r="R6" s="181">
        <f>Electricity!R14</f>
        <v>1.867709021404997E-5</v>
      </c>
      <c r="S6" s="181">
        <f>Electricity!S14</f>
        <v>1.8543086449734519E-5</v>
      </c>
      <c r="T6" s="181">
        <f>Electricity!T14</f>
        <v>1.8443094559971137E-5</v>
      </c>
      <c r="U6" s="181">
        <f>Electricity!U14</f>
        <v>1.840831782917373E-5</v>
      </c>
      <c r="V6" s="181">
        <f>Electricity!V14</f>
        <v>1.8370303048582389E-5</v>
      </c>
      <c r="W6" s="181">
        <f>Electricity!W14</f>
        <v>1.8298458818779478E-5</v>
      </c>
      <c r="X6" s="181">
        <f>Electricity!X14</f>
        <v>1.8228652622077513E-5</v>
      </c>
      <c r="Y6" s="181">
        <f>Electricity!Y14</f>
        <v>1.812910729434557E-5</v>
      </c>
      <c r="Z6" s="181">
        <f>Electricity!Z14</f>
        <v>1.7985936656669829E-5</v>
      </c>
      <c r="AA6" s="181">
        <f>Electricity!AA14</f>
        <v>1.7925626078993847E-5</v>
      </c>
      <c r="AB6" s="181">
        <f>Electricity!AB14</f>
        <v>1.7867291775839987E-5</v>
      </c>
      <c r="AC6" s="181">
        <f>Electricity!AC14</f>
        <v>1.7810319011816028E-5</v>
      </c>
      <c r="AD6" s="181">
        <f>Electricity!AD14</f>
        <v>1.7792415674883194E-5</v>
      </c>
      <c r="AE6" s="181">
        <f>Electricity!AE14</f>
        <v>1.7736461452343711E-5</v>
      </c>
      <c r="AF6" s="181">
        <f>Electricity!AF14</f>
        <v>1.76285464119842E-5</v>
      </c>
    </row>
    <row r="7" spans="1:34">
      <c r="A7" s="13" t="s">
        <v>169</v>
      </c>
      <c r="B7" s="181">
        <f>B6</f>
        <v>1.3038153835109933E-5</v>
      </c>
      <c r="C7" s="181">
        <f t="shared" ref="C7:AF8" si="0">C6</f>
        <v>1.366531799739181E-5</v>
      </c>
      <c r="D7" s="181">
        <f t="shared" si="0"/>
        <v>1.4493690985407186E-5</v>
      </c>
      <c r="E7" s="181">
        <f t="shared" si="0"/>
        <v>1.4996473434655262E-5</v>
      </c>
      <c r="F7" s="181">
        <f t="shared" si="0"/>
        <v>1.5256085816082846E-5</v>
      </c>
      <c r="G7" s="181">
        <f t="shared" si="0"/>
        <v>1.5800080180065483E-5</v>
      </c>
      <c r="H7" s="181">
        <f t="shared" si="0"/>
        <v>1.6129263210393267E-5</v>
      </c>
      <c r="I7" s="181">
        <f t="shared" si="0"/>
        <v>1.6311088432174235E-5</v>
      </c>
      <c r="J7" s="181">
        <f t="shared" si="0"/>
        <v>1.6725131414343281E-5</v>
      </c>
      <c r="K7" s="181">
        <f t="shared" si="0"/>
        <v>1.708542710069187E-5</v>
      </c>
      <c r="L7" s="181">
        <f t="shared" si="0"/>
        <v>1.7396104106202097E-5</v>
      </c>
      <c r="M7" s="181">
        <f t="shared" si="0"/>
        <v>1.7656558206488192E-5</v>
      </c>
      <c r="N7" s="181">
        <f t="shared" si="0"/>
        <v>1.7931563934319338E-5</v>
      </c>
      <c r="O7" s="181">
        <f t="shared" si="0"/>
        <v>1.8204498124016729E-5</v>
      </c>
      <c r="P7" s="181">
        <f t="shared" si="0"/>
        <v>1.8462862571228464E-5</v>
      </c>
      <c r="Q7" s="181">
        <f t="shared" si="0"/>
        <v>1.8726862877915939E-5</v>
      </c>
      <c r="R7" s="181">
        <f t="shared" si="0"/>
        <v>1.867709021404997E-5</v>
      </c>
      <c r="S7" s="181">
        <f t="shared" si="0"/>
        <v>1.8543086449734519E-5</v>
      </c>
      <c r="T7" s="181">
        <f t="shared" si="0"/>
        <v>1.8443094559971137E-5</v>
      </c>
      <c r="U7" s="181">
        <f t="shared" si="0"/>
        <v>1.840831782917373E-5</v>
      </c>
      <c r="V7" s="181">
        <f t="shared" si="0"/>
        <v>1.8370303048582389E-5</v>
      </c>
      <c r="W7" s="181">
        <f t="shared" si="0"/>
        <v>1.8298458818779478E-5</v>
      </c>
      <c r="X7" s="181">
        <f t="shared" si="0"/>
        <v>1.8228652622077513E-5</v>
      </c>
      <c r="Y7" s="181">
        <f t="shared" si="0"/>
        <v>1.812910729434557E-5</v>
      </c>
      <c r="Z7" s="181">
        <f t="shared" si="0"/>
        <v>1.7985936656669829E-5</v>
      </c>
      <c r="AA7" s="181">
        <f t="shared" si="0"/>
        <v>1.7925626078993847E-5</v>
      </c>
      <c r="AB7" s="181">
        <f t="shared" si="0"/>
        <v>1.7867291775839987E-5</v>
      </c>
      <c r="AC7" s="181">
        <f t="shared" si="0"/>
        <v>1.7810319011816028E-5</v>
      </c>
      <c r="AD7" s="181">
        <f t="shared" si="0"/>
        <v>1.7792415674883194E-5</v>
      </c>
      <c r="AE7" s="181">
        <f t="shared" si="0"/>
        <v>1.7736461452343711E-5</v>
      </c>
      <c r="AF7" s="181">
        <f t="shared" si="0"/>
        <v>1.76285464119842E-5</v>
      </c>
    </row>
    <row r="8" spans="1:34">
      <c r="A8" s="13" t="s">
        <v>170</v>
      </c>
      <c r="B8" s="181">
        <f>B7</f>
        <v>1.3038153835109933E-5</v>
      </c>
      <c r="C8" s="181">
        <f t="shared" si="0"/>
        <v>1.366531799739181E-5</v>
      </c>
      <c r="D8" s="181">
        <f t="shared" si="0"/>
        <v>1.4493690985407186E-5</v>
      </c>
      <c r="E8" s="181">
        <f t="shared" si="0"/>
        <v>1.4996473434655262E-5</v>
      </c>
      <c r="F8" s="181">
        <f t="shared" si="0"/>
        <v>1.5256085816082846E-5</v>
      </c>
      <c r="G8" s="181">
        <f t="shared" si="0"/>
        <v>1.5800080180065483E-5</v>
      </c>
      <c r="H8" s="181">
        <f t="shared" si="0"/>
        <v>1.6129263210393267E-5</v>
      </c>
      <c r="I8" s="181">
        <f t="shared" si="0"/>
        <v>1.6311088432174235E-5</v>
      </c>
      <c r="J8" s="181">
        <f t="shared" si="0"/>
        <v>1.6725131414343281E-5</v>
      </c>
      <c r="K8" s="181">
        <f t="shared" si="0"/>
        <v>1.708542710069187E-5</v>
      </c>
      <c r="L8" s="181">
        <f t="shared" si="0"/>
        <v>1.7396104106202097E-5</v>
      </c>
      <c r="M8" s="181">
        <f t="shared" si="0"/>
        <v>1.7656558206488192E-5</v>
      </c>
      <c r="N8" s="181">
        <f t="shared" si="0"/>
        <v>1.7931563934319338E-5</v>
      </c>
      <c r="O8" s="181">
        <f t="shared" si="0"/>
        <v>1.8204498124016729E-5</v>
      </c>
      <c r="P8" s="181">
        <f t="shared" si="0"/>
        <v>1.8462862571228464E-5</v>
      </c>
      <c r="Q8" s="181">
        <f t="shared" si="0"/>
        <v>1.8726862877915939E-5</v>
      </c>
      <c r="R8" s="181">
        <f t="shared" si="0"/>
        <v>1.867709021404997E-5</v>
      </c>
      <c r="S8" s="181">
        <f t="shared" si="0"/>
        <v>1.8543086449734519E-5</v>
      </c>
      <c r="T8" s="181">
        <f t="shared" si="0"/>
        <v>1.8443094559971137E-5</v>
      </c>
      <c r="U8" s="181">
        <f t="shared" si="0"/>
        <v>1.840831782917373E-5</v>
      </c>
      <c r="V8" s="181">
        <f t="shared" si="0"/>
        <v>1.8370303048582389E-5</v>
      </c>
      <c r="W8" s="181">
        <f t="shared" si="0"/>
        <v>1.8298458818779478E-5</v>
      </c>
      <c r="X8" s="181">
        <f t="shared" si="0"/>
        <v>1.8228652622077513E-5</v>
      </c>
      <c r="Y8" s="181">
        <f t="shared" si="0"/>
        <v>1.812910729434557E-5</v>
      </c>
      <c r="Z8" s="181">
        <f t="shared" si="0"/>
        <v>1.7985936656669829E-5</v>
      </c>
      <c r="AA8" s="181">
        <f t="shared" si="0"/>
        <v>1.7925626078993847E-5</v>
      </c>
      <c r="AB8" s="181">
        <f t="shared" si="0"/>
        <v>1.7867291775839987E-5</v>
      </c>
      <c r="AC8" s="181">
        <f t="shared" si="0"/>
        <v>1.7810319011816028E-5</v>
      </c>
      <c r="AD8" s="181">
        <f t="shared" si="0"/>
        <v>1.7792415674883194E-5</v>
      </c>
      <c r="AE8" s="181">
        <f t="shared" si="0"/>
        <v>1.7736461452343711E-5</v>
      </c>
      <c r="AF8" s="181">
        <f t="shared" si="0"/>
        <v>1.76285464119842E-5</v>
      </c>
    </row>
    <row r="9" spans="1:34">
      <c r="A9" s="13" t="s">
        <v>171</v>
      </c>
      <c r="B9" s="181">
        <f>B6</f>
        <v>1.3038153835109933E-5</v>
      </c>
      <c r="C9" s="181">
        <f t="shared" ref="C9:AF9" si="1">C6</f>
        <v>1.366531799739181E-5</v>
      </c>
      <c r="D9" s="181">
        <f t="shared" si="1"/>
        <v>1.4493690985407186E-5</v>
      </c>
      <c r="E9" s="181">
        <f t="shared" si="1"/>
        <v>1.4996473434655262E-5</v>
      </c>
      <c r="F9" s="181">
        <f t="shared" si="1"/>
        <v>1.5256085816082846E-5</v>
      </c>
      <c r="G9" s="181">
        <f t="shared" si="1"/>
        <v>1.5800080180065483E-5</v>
      </c>
      <c r="H9" s="181">
        <f t="shared" si="1"/>
        <v>1.6129263210393267E-5</v>
      </c>
      <c r="I9" s="181">
        <f t="shared" si="1"/>
        <v>1.6311088432174235E-5</v>
      </c>
      <c r="J9" s="181">
        <f t="shared" si="1"/>
        <v>1.6725131414343281E-5</v>
      </c>
      <c r="K9" s="181">
        <f t="shared" si="1"/>
        <v>1.708542710069187E-5</v>
      </c>
      <c r="L9" s="181">
        <f t="shared" si="1"/>
        <v>1.7396104106202097E-5</v>
      </c>
      <c r="M9" s="181">
        <f t="shared" si="1"/>
        <v>1.7656558206488192E-5</v>
      </c>
      <c r="N9" s="181">
        <f t="shared" si="1"/>
        <v>1.7931563934319338E-5</v>
      </c>
      <c r="O9" s="181">
        <f t="shared" si="1"/>
        <v>1.8204498124016729E-5</v>
      </c>
      <c r="P9" s="181">
        <f t="shared" si="1"/>
        <v>1.8462862571228464E-5</v>
      </c>
      <c r="Q9" s="181">
        <f t="shared" si="1"/>
        <v>1.8726862877915939E-5</v>
      </c>
      <c r="R9" s="181">
        <f t="shared" si="1"/>
        <v>1.867709021404997E-5</v>
      </c>
      <c r="S9" s="181">
        <f t="shared" si="1"/>
        <v>1.8543086449734519E-5</v>
      </c>
      <c r="T9" s="181">
        <f t="shared" si="1"/>
        <v>1.8443094559971137E-5</v>
      </c>
      <c r="U9" s="181">
        <f t="shared" si="1"/>
        <v>1.840831782917373E-5</v>
      </c>
      <c r="V9" s="181">
        <f t="shared" si="1"/>
        <v>1.8370303048582389E-5</v>
      </c>
      <c r="W9" s="181">
        <f t="shared" si="1"/>
        <v>1.8298458818779478E-5</v>
      </c>
      <c r="X9" s="181">
        <f t="shared" si="1"/>
        <v>1.8228652622077513E-5</v>
      </c>
      <c r="Y9" s="181">
        <f t="shared" si="1"/>
        <v>1.812910729434557E-5</v>
      </c>
      <c r="Z9" s="181">
        <f t="shared" si="1"/>
        <v>1.7985936656669829E-5</v>
      </c>
      <c r="AA9" s="181">
        <f t="shared" si="1"/>
        <v>1.7925626078993847E-5</v>
      </c>
      <c r="AB9" s="181">
        <f t="shared" si="1"/>
        <v>1.7867291775839987E-5</v>
      </c>
      <c r="AC9" s="181">
        <f t="shared" si="1"/>
        <v>1.7810319011816028E-5</v>
      </c>
      <c r="AD9" s="181">
        <f t="shared" si="1"/>
        <v>1.7792415674883194E-5</v>
      </c>
      <c r="AE9" s="181">
        <f t="shared" si="1"/>
        <v>1.7736461452343711E-5</v>
      </c>
      <c r="AF9" s="181">
        <f t="shared" si="1"/>
        <v>1.76285464119842E-5</v>
      </c>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2060"/>
  </sheetPr>
  <dimension ref="A1:AH9"/>
  <sheetViews>
    <sheetView topLeftCell="Z1" workbookViewId="0">
      <selection activeCell="B3" sqref="B3:AF3"/>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4">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f>$B$5</f>
        <v>0</v>
      </c>
      <c r="C2" s="113">
        <f t="shared" ref="C2:AF4" si="0">$B$5</f>
        <v>0</v>
      </c>
      <c r="D2" s="113">
        <f t="shared" si="0"/>
        <v>0</v>
      </c>
      <c r="E2" s="113">
        <f t="shared" si="0"/>
        <v>0</v>
      </c>
      <c r="F2" s="113">
        <f t="shared" si="0"/>
        <v>0</v>
      </c>
      <c r="G2" s="113">
        <f t="shared" si="0"/>
        <v>0</v>
      </c>
      <c r="H2" s="113">
        <f t="shared" si="0"/>
        <v>0</v>
      </c>
      <c r="I2" s="113">
        <f t="shared" si="0"/>
        <v>0</v>
      </c>
      <c r="J2" s="113">
        <f t="shared" si="0"/>
        <v>0</v>
      </c>
      <c r="K2" s="113">
        <f t="shared" si="0"/>
        <v>0</v>
      </c>
      <c r="L2" s="113">
        <f t="shared" si="0"/>
        <v>0</v>
      </c>
      <c r="M2" s="113">
        <f t="shared" si="0"/>
        <v>0</v>
      </c>
      <c r="N2" s="113">
        <f t="shared" si="0"/>
        <v>0</v>
      </c>
      <c r="O2" s="113">
        <f t="shared" si="0"/>
        <v>0</v>
      </c>
      <c r="P2" s="113">
        <f t="shared" si="0"/>
        <v>0</v>
      </c>
      <c r="Q2" s="113">
        <f t="shared" si="0"/>
        <v>0</v>
      </c>
      <c r="R2" s="113">
        <f t="shared" si="0"/>
        <v>0</v>
      </c>
      <c r="S2" s="113">
        <f t="shared" si="0"/>
        <v>0</v>
      </c>
      <c r="T2" s="113">
        <f t="shared" si="0"/>
        <v>0</v>
      </c>
      <c r="U2" s="113">
        <f t="shared" si="0"/>
        <v>0</v>
      </c>
      <c r="V2" s="113">
        <f t="shared" si="0"/>
        <v>0</v>
      </c>
      <c r="W2" s="113">
        <f t="shared" si="0"/>
        <v>0</v>
      </c>
      <c r="X2" s="113">
        <f t="shared" si="0"/>
        <v>0</v>
      </c>
      <c r="Y2" s="113">
        <f t="shared" si="0"/>
        <v>0</v>
      </c>
      <c r="Z2" s="113">
        <f t="shared" si="0"/>
        <v>0</v>
      </c>
      <c r="AA2" s="113">
        <f t="shared" si="0"/>
        <v>0</v>
      </c>
      <c r="AB2" s="113">
        <f t="shared" si="0"/>
        <v>0</v>
      </c>
      <c r="AC2" s="113">
        <f t="shared" si="0"/>
        <v>0</v>
      </c>
      <c r="AD2" s="113">
        <f t="shared" si="0"/>
        <v>0</v>
      </c>
      <c r="AE2" s="113">
        <f t="shared" si="0"/>
        <v>0</v>
      </c>
      <c r="AF2" s="113">
        <f t="shared" si="0"/>
        <v>0</v>
      </c>
    </row>
    <row r="3" spans="1:34">
      <c r="A3" s="13" t="s">
        <v>165</v>
      </c>
      <c r="B3" s="32">
        <f>B6</f>
        <v>2.6635824687659593E-6</v>
      </c>
      <c r="C3" s="113">
        <f t="shared" ref="C3:AF3" si="1">C6</f>
        <v>2.6080911673333353E-6</v>
      </c>
      <c r="D3" s="113">
        <f t="shared" si="1"/>
        <v>2.5664726912588673E-6</v>
      </c>
      <c r="E3" s="113">
        <f t="shared" si="1"/>
        <v>2.5316843526587657E-6</v>
      </c>
      <c r="F3" s="113">
        <f t="shared" si="1"/>
        <v>2.5102544566366565E-6</v>
      </c>
      <c r="G3" s="113">
        <f t="shared" si="1"/>
        <v>2.5091329362894755E-6</v>
      </c>
      <c r="H3" s="113">
        <f t="shared" si="1"/>
        <v>2.4473058524115071E-6</v>
      </c>
      <c r="I3" s="113">
        <f t="shared" si="1"/>
        <v>2.4068600112814098E-6</v>
      </c>
      <c r="J3" s="113">
        <f t="shared" si="1"/>
        <v>2.4050910281309065E-6</v>
      </c>
      <c r="K3" s="113">
        <f t="shared" si="1"/>
        <v>2.3923750582768278E-6</v>
      </c>
      <c r="L3" s="113">
        <f t="shared" si="1"/>
        <v>2.4013833991299921E-6</v>
      </c>
      <c r="M3" s="113">
        <f t="shared" si="1"/>
        <v>2.3977892944356333E-6</v>
      </c>
      <c r="N3" s="113">
        <f t="shared" si="1"/>
        <v>2.3962361322195707E-6</v>
      </c>
      <c r="O3" s="113">
        <f t="shared" si="1"/>
        <v>2.3823050780293917E-6</v>
      </c>
      <c r="P3" s="113">
        <f t="shared" si="1"/>
        <v>2.3779287783876659E-6</v>
      </c>
      <c r="Q3" s="113">
        <f t="shared" si="1"/>
        <v>2.3693046736489977E-6</v>
      </c>
      <c r="R3" s="113">
        <f t="shared" si="1"/>
        <v>2.3522885028641815E-6</v>
      </c>
      <c r="S3" s="113">
        <f t="shared" si="1"/>
        <v>2.3332887755142729E-6</v>
      </c>
      <c r="T3" s="113">
        <f t="shared" si="1"/>
        <v>2.3293166723046797E-6</v>
      </c>
      <c r="U3" s="113">
        <f t="shared" si="1"/>
        <v>2.3284758439242569E-6</v>
      </c>
      <c r="V3" s="113">
        <f t="shared" si="1"/>
        <v>2.3251736588753265E-6</v>
      </c>
      <c r="W3" s="113">
        <f t="shared" si="1"/>
        <v>2.3313875552594298E-6</v>
      </c>
      <c r="X3" s="113">
        <f t="shared" si="1"/>
        <v>2.3261953776343268E-6</v>
      </c>
      <c r="Y3" s="113">
        <f t="shared" si="1"/>
        <v>2.3128406776158914E-6</v>
      </c>
      <c r="Z3" s="113">
        <f t="shared" si="1"/>
        <v>2.2987412082456574E-6</v>
      </c>
      <c r="AA3" s="113">
        <f t="shared" si="1"/>
        <v>2.2921455707867627E-6</v>
      </c>
      <c r="AB3" s="113">
        <f t="shared" si="1"/>
        <v>2.2883119422807703E-6</v>
      </c>
      <c r="AC3" s="113">
        <f t="shared" si="1"/>
        <v>2.2847814610988764E-6</v>
      </c>
      <c r="AD3" s="113">
        <f t="shared" si="1"/>
        <v>2.2779188543915984E-6</v>
      </c>
      <c r="AE3" s="113">
        <f t="shared" si="1"/>
        <v>2.2671802035033505E-6</v>
      </c>
      <c r="AF3" s="113">
        <f t="shared" si="1"/>
        <v>2.268828177228185E-6</v>
      </c>
    </row>
    <row r="4" spans="1:34">
      <c r="A4" s="13" t="s">
        <v>166</v>
      </c>
      <c r="B4" s="32">
        <f>$B$5</f>
        <v>0</v>
      </c>
      <c r="C4" s="113">
        <f t="shared" si="0"/>
        <v>0</v>
      </c>
      <c r="D4" s="113">
        <f t="shared" si="0"/>
        <v>0</v>
      </c>
      <c r="E4" s="113">
        <f t="shared" si="0"/>
        <v>0</v>
      </c>
      <c r="F4" s="113">
        <f t="shared" si="0"/>
        <v>0</v>
      </c>
      <c r="G4" s="113">
        <f t="shared" si="0"/>
        <v>0</v>
      </c>
      <c r="H4" s="113">
        <f t="shared" si="0"/>
        <v>0</v>
      </c>
      <c r="I4" s="113">
        <f t="shared" si="0"/>
        <v>0</v>
      </c>
      <c r="J4" s="113">
        <f t="shared" si="0"/>
        <v>0</v>
      </c>
      <c r="K4" s="113">
        <f t="shared" si="0"/>
        <v>0</v>
      </c>
      <c r="L4" s="113">
        <f t="shared" si="0"/>
        <v>0</v>
      </c>
      <c r="M4" s="113">
        <f t="shared" si="0"/>
        <v>0</v>
      </c>
      <c r="N4" s="113">
        <f t="shared" si="0"/>
        <v>0</v>
      </c>
      <c r="O4" s="113">
        <f t="shared" si="0"/>
        <v>0</v>
      </c>
      <c r="P4" s="113">
        <f t="shared" si="0"/>
        <v>0</v>
      </c>
      <c r="Q4" s="113">
        <f t="shared" si="0"/>
        <v>0</v>
      </c>
      <c r="R4" s="113">
        <f t="shared" si="0"/>
        <v>0</v>
      </c>
      <c r="S4" s="113">
        <f t="shared" si="0"/>
        <v>0</v>
      </c>
      <c r="T4" s="113">
        <f t="shared" si="0"/>
        <v>0</v>
      </c>
      <c r="U4" s="113">
        <f t="shared" si="0"/>
        <v>0</v>
      </c>
      <c r="V4" s="113">
        <f t="shared" si="0"/>
        <v>0</v>
      </c>
      <c r="W4" s="113">
        <f t="shared" si="0"/>
        <v>0</v>
      </c>
      <c r="X4" s="113">
        <f t="shared" si="0"/>
        <v>0</v>
      </c>
      <c r="Y4" s="113">
        <f t="shared" si="0"/>
        <v>0</v>
      </c>
      <c r="Z4" s="113">
        <f t="shared" si="0"/>
        <v>0</v>
      </c>
      <c r="AA4" s="113">
        <f t="shared" si="0"/>
        <v>0</v>
      </c>
      <c r="AB4" s="113">
        <f t="shared" si="0"/>
        <v>0</v>
      </c>
      <c r="AC4" s="113">
        <f t="shared" si="0"/>
        <v>0</v>
      </c>
      <c r="AD4" s="113">
        <f t="shared" si="0"/>
        <v>0</v>
      </c>
      <c r="AE4" s="113">
        <f t="shared" si="0"/>
        <v>0</v>
      </c>
      <c r="AF4" s="113">
        <f t="shared" si="0"/>
        <v>0</v>
      </c>
    </row>
    <row r="5" spans="1:34">
      <c r="A5" s="13" t="s">
        <v>167</v>
      </c>
      <c r="B5" s="113">
        <f>'Heavy+crude oil+'!B61</f>
        <v>0</v>
      </c>
      <c r="C5" s="113">
        <f>'Heavy+crude oil+'!C61</f>
        <v>0</v>
      </c>
      <c r="D5" s="113">
        <f>'Heavy+crude oil+'!D61</f>
        <v>0</v>
      </c>
      <c r="E5" s="113">
        <f>'Heavy+crude oil+'!E61</f>
        <v>0</v>
      </c>
      <c r="F5" s="113">
        <f>'Heavy+crude oil+'!F61</f>
        <v>0</v>
      </c>
      <c r="G5" s="113">
        <f>'Heavy+crude oil+'!G61</f>
        <v>0</v>
      </c>
      <c r="H5" s="113">
        <f>'Heavy+crude oil+'!H61</f>
        <v>0</v>
      </c>
      <c r="I5" s="113">
        <f>'Heavy+crude oil+'!I61</f>
        <v>0</v>
      </c>
      <c r="J5" s="113">
        <f>'Heavy+crude oil+'!J61</f>
        <v>0</v>
      </c>
      <c r="K5" s="113">
        <f>'Heavy+crude oil+'!K61</f>
        <v>0</v>
      </c>
      <c r="L5" s="113">
        <f>'Heavy+crude oil+'!L61</f>
        <v>0</v>
      </c>
      <c r="M5" s="113">
        <f>'Heavy+crude oil+'!M61</f>
        <v>0</v>
      </c>
      <c r="N5" s="113">
        <f>'Heavy+crude oil+'!N61</f>
        <v>0</v>
      </c>
      <c r="O5" s="113">
        <f>'Heavy+crude oil+'!O61</f>
        <v>0</v>
      </c>
      <c r="P5" s="113">
        <f>'Heavy+crude oil+'!P61</f>
        <v>0</v>
      </c>
      <c r="Q5" s="113">
        <f>'Heavy+crude oil+'!Q61</f>
        <v>0</v>
      </c>
      <c r="R5" s="113">
        <f>'Heavy+crude oil+'!R61</f>
        <v>0</v>
      </c>
      <c r="S5" s="113">
        <f>'Heavy+crude oil+'!S61</f>
        <v>0</v>
      </c>
      <c r="T5" s="113">
        <f>'Heavy+crude oil+'!T61</f>
        <v>0</v>
      </c>
      <c r="U5" s="113">
        <f>'Heavy+crude oil+'!U61</f>
        <v>0</v>
      </c>
      <c r="V5" s="113">
        <f>'Heavy+crude oil+'!V61</f>
        <v>0</v>
      </c>
      <c r="W5" s="113">
        <f>'Heavy+crude oil+'!W61</f>
        <v>0</v>
      </c>
      <c r="X5" s="113">
        <f>'Heavy+crude oil+'!X61</f>
        <v>0</v>
      </c>
      <c r="Y5" s="113">
        <f>'Heavy+crude oil+'!Y61</f>
        <v>0</v>
      </c>
      <c r="Z5" s="113">
        <f>'Heavy+crude oil+'!Z61</f>
        <v>0</v>
      </c>
      <c r="AA5" s="113">
        <f>'Heavy+crude oil+'!AA61</f>
        <v>0</v>
      </c>
      <c r="AB5" s="113">
        <f>'Heavy+crude oil+'!AB61</f>
        <v>0</v>
      </c>
      <c r="AC5" s="113">
        <f>'Heavy+crude oil+'!AC61</f>
        <v>0</v>
      </c>
      <c r="AD5" s="113">
        <f>'Heavy+crude oil+'!AD61</f>
        <v>0</v>
      </c>
      <c r="AE5" s="113">
        <f>'Heavy+crude oil+'!AE61</f>
        <v>0</v>
      </c>
      <c r="AF5" s="113">
        <f>'Heavy+crude oil+'!AF61</f>
        <v>0</v>
      </c>
    </row>
    <row r="6" spans="1:34">
      <c r="A6" s="13" t="s">
        <v>168</v>
      </c>
      <c r="B6" s="32">
        <f>'Heavy+crude oil+'!B60</f>
        <v>2.6635824687659593E-6</v>
      </c>
      <c r="C6" s="113">
        <f>'Heavy+crude oil+'!C60</f>
        <v>2.6080911673333353E-6</v>
      </c>
      <c r="D6" s="113">
        <f>'Heavy+crude oil+'!D60</f>
        <v>2.5664726912588673E-6</v>
      </c>
      <c r="E6" s="113">
        <f>'Heavy+crude oil+'!E60</f>
        <v>2.5316843526587657E-6</v>
      </c>
      <c r="F6" s="113">
        <f>'Heavy+crude oil+'!F60</f>
        <v>2.5102544566366565E-6</v>
      </c>
      <c r="G6" s="113">
        <f>'Heavy+crude oil+'!G60</f>
        <v>2.5091329362894755E-6</v>
      </c>
      <c r="H6" s="113">
        <f>'Heavy+crude oil+'!H60</f>
        <v>2.4473058524115071E-6</v>
      </c>
      <c r="I6" s="113">
        <f>'Heavy+crude oil+'!I60</f>
        <v>2.4068600112814098E-6</v>
      </c>
      <c r="J6" s="113">
        <f>'Heavy+crude oil+'!J60</f>
        <v>2.4050910281309065E-6</v>
      </c>
      <c r="K6" s="113">
        <f>'Heavy+crude oil+'!K60</f>
        <v>2.3923750582768278E-6</v>
      </c>
      <c r="L6" s="113">
        <f>'Heavy+crude oil+'!L60</f>
        <v>2.4013833991299921E-6</v>
      </c>
      <c r="M6" s="113">
        <f>'Heavy+crude oil+'!M60</f>
        <v>2.3977892944356333E-6</v>
      </c>
      <c r="N6" s="113">
        <f>'Heavy+crude oil+'!N60</f>
        <v>2.3962361322195707E-6</v>
      </c>
      <c r="O6" s="113">
        <f>'Heavy+crude oil+'!O60</f>
        <v>2.3823050780293917E-6</v>
      </c>
      <c r="P6" s="113">
        <f>'Heavy+crude oil+'!P60</f>
        <v>2.3779287783876659E-6</v>
      </c>
      <c r="Q6" s="113">
        <f>'Heavy+crude oil+'!Q60</f>
        <v>2.3693046736489977E-6</v>
      </c>
      <c r="R6" s="113">
        <f>'Heavy+crude oil+'!R60</f>
        <v>2.3522885028641815E-6</v>
      </c>
      <c r="S6" s="113">
        <f>'Heavy+crude oil+'!S60</f>
        <v>2.3332887755142729E-6</v>
      </c>
      <c r="T6" s="113">
        <f>'Heavy+crude oil+'!T60</f>
        <v>2.3293166723046797E-6</v>
      </c>
      <c r="U6" s="113">
        <f>'Heavy+crude oil+'!U60</f>
        <v>2.3284758439242569E-6</v>
      </c>
      <c r="V6" s="113">
        <f>'Heavy+crude oil+'!V60</f>
        <v>2.3251736588753265E-6</v>
      </c>
      <c r="W6" s="113">
        <f>'Heavy+crude oil+'!W60</f>
        <v>2.3313875552594298E-6</v>
      </c>
      <c r="X6" s="113">
        <f>'Heavy+crude oil+'!X60</f>
        <v>2.3261953776343268E-6</v>
      </c>
      <c r="Y6" s="113">
        <f>'Heavy+crude oil+'!Y60</f>
        <v>2.3128406776158914E-6</v>
      </c>
      <c r="Z6" s="113">
        <f>'Heavy+crude oil+'!Z60</f>
        <v>2.2987412082456574E-6</v>
      </c>
      <c r="AA6" s="113">
        <f>'Heavy+crude oil+'!AA60</f>
        <v>2.2921455707867627E-6</v>
      </c>
      <c r="AB6" s="113">
        <f>'Heavy+crude oil+'!AB60</f>
        <v>2.2883119422807703E-6</v>
      </c>
      <c r="AC6" s="113">
        <f>'Heavy+crude oil+'!AC60</f>
        <v>2.2847814610988764E-6</v>
      </c>
      <c r="AD6" s="113">
        <f>'Heavy+crude oil+'!AD60</f>
        <v>2.2779188543915984E-6</v>
      </c>
      <c r="AE6" s="113">
        <f>'Heavy+crude oil+'!AE60</f>
        <v>2.2671802035033505E-6</v>
      </c>
      <c r="AF6" s="113">
        <f>'Heavy+crude oil+'!AF60</f>
        <v>2.268828177228185E-6</v>
      </c>
    </row>
    <row r="7" spans="1:34">
      <c r="A7" s="13" t="s">
        <v>169</v>
      </c>
      <c r="B7" s="14">
        <f>B5</f>
        <v>0</v>
      </c>
      <c r="C7" s="113">
        <f t="shared" ref="C7:AF7" si="2">C5</f>
        <v>0</v>
      </c>
      <c r="D7" s="113">
        <f t="shared" si="2"/>
        <v>0</v>
      </c>
      <c r="E7" s="113">
        <f t="shared" si="2"/>
        <v>0</v>
      </c>
      <c r="F7" s="113">
        <f t="shared" si="2"/>
        <v>0</v>
      </c>
      <c r="G7" s="113">
        <f t="shared" si="2"/>
        <v>0</v>
      </c>
      <c r="H7" s="113">
        <f t="shared" si="2"/>
        <v>0</v>
      </c>
      <c r="I7" s="113">
        <f t="shared" si="2"/>
        <v>0</v>
      </c>
      <c r="J7" s="113">
        <f t="shared" si="2"/>
        <v>0</v>
      </c>
      <c r="K7" s="113">
        <f t="shared" si="2"/>
        <v>0</v>
      </c>
      <c r="L7" s="113">
        <f t="shared" si="2"/>
        <v>0</v>
      </c>
      <c r="M7" s="113">
        <f t="shared" si="2"/>
        <v>0</v>
      </c>
      <c r="N7" s="113">
        <f t="shared" si="2"/>
        <v>0</v>
      </c>
      <c r="O7" s="113">
        <f t="shared" si="2"/>
        <v>0</v>
      </c>
      <c r="P7" s="113">
        <f t="shared" si="2"/>
        <v>0</v>
      </c>
      <c r="Q7" s="113">
        <f t="shared" si="2"/>
        <v>0</v>
      </c>
      <c r="R7" s="113">
        <f t="shared" si="2"/>
        <v>0</v>
      </c>
      <c r="S7" s="113">
        <f t="shared" si="2"/>
        <v>0</v>
      </c>
      <c r="T7" s="113">
        <f t="shared" si="2"/>
        <v>0</v>
      </c>
      <c r="U7" s="113">
        <f t="shared" si="2"/>
        <v>0</v>
      </c>
      <c r="V7" s="113">
        <f t="shared" si="2"/>
        <v>0</v>
      </c>
      <c r="W7" s="113">
        <f t="shared" si="2"/>
        <v>0</v>
      </c>
      <c r="X7" s="113">
        <f t="shared" si="2"/>
        <v>0</v>
      </c>
      <c r="Y7" s="113">
        <f t="shared" si="2"/>
        <v>0</v>
      </c>
      <c r="Z7" s="113">
        <f t="shared" si="2"/>
        <v>0</v>
      </c>
      <c r="AA7" s="113">
        <f t="shared" si="2"/>
        <v>0</v>
      </c>
      <c r="AB7" s="113">
        <f t="shared" si="2"/>
        <v>0</v>
      </c>
      <c r="AC7" s="113">
        <f t="shared" si="2"/>
        <v>0</v>
      </c>
      <c r="AD7" s="113">
        <f t="shared" si="2"/>
        <v>0</v>
      </c>
      <c r="AE7" s="113">
        <f t="shared" si="2"/>
        <v>0</v>
      </c>
      <c r="AF7" s="113">
        <f t="shared" si="2"/>
        <v>0</v>
      </c>
    </row>
    <row r="8" spans="1:34">
      <c r="A8" s="13" t="s">
        <v>170</v>
      </c>
      <c r="B8" s="32">
        <f>B5</f>
        <v>0</v>
      </c>
      <c r="C8" s="113">
        <f t="shared" ref="C8:AF8" si="3">C5</f>
        <v>0</v>
      </c>
      <c r="D8" s="113">
        <f t="shared" si="3"/>
        <v>0</v>
      </c>
      <c r="E8" s="113">
        <f t="shared" si="3"/>
        <v>0</v>
      </c>
      <c r="F8" s="113">
        <f t="shared" si="3"/>
        <v>0</v>
      </c>
      <c r="G8" s="113">
        <f t="shared" si="3"/>
        <v>0</v>
      </c>
      <c r="H8" s="113">
        <f t="shared" si="3"/>
        <v>0</v>
      </c>
      <c r="I8" s="113">
        <f t="shared" si="3"/>
        <v>0</v>
      </c>
      <c r="J8" s="113">
        <f t="shared" si="3"/>
        <v>0</v>
      </c>
      <c r="K8" s="113">
        <f t="shared" si="3"/>
        <v>0</v>
      </c>
      <c r="L8" s="113">
        <f t="shared" si="3"/>
        <v>0</v>
      </c>
      <c r="M8" s="113">
        <f t="shared" si="3"/>
        <v>0</v>
      </c>
      <c r="N8" s="113">
        <f t="shared" si="3"/>
        <v>0</v>
      </c>
      <c r="O8" s="113">
        <f t="shared" si="3"/>
        <v>0</v>
      </c>
      <c r="P8" s="113">
        <f t="shared" si="3"/>
        <v>0</v>
      </c>
      <c r="Q8" s="113">
        <f t="shared" si="3"/>
        <v>0</v>
      </c>
      <c r="R8" s="113">
        <f t="shared" si="3"/>
        <v>0</v>
      </c>
      <c r="S8" s="113">
        <f t="shared" si="3"/>
        <v>0</v>
      </c>
      <c r="T8" s="113">
        <f t="shared" si="3"/>
        <v>0</v>
      </c>
      <c r="U8" s="113">
        <f t="shared" si="3"/>
        <v>0</v>
      </c>
      <c r="V8" s="113">
        <f t="shared" si="3"/>
        <v>0</v>
      </c>
      <c r="W8" s="113">
        <f t="shared" si="3"/>
        <v>0</v>
      </c>
      <c r="X8" s="113">
        <f t="shared" si="3"/>
        <v>0</v>
      </c>
      <c r="Y8" s="113">
        <f t="shared" si="3"/>
        <v>0</v>
      </c>
      <c r="Z8" s="113">
        <f t="shared" si="3"/>
        <v>0</v>
      </c>
      <c r="AA8" s="113">
        <f t="shared" si="3"/>
        <v>0</v>
      </c>
      <c r="AB8" s="113">
        <f t="shared" si="3"/>
        <v>0</v>
      </c>
      <c r="AC8" s="113">
        <f t="shared" si="3"/>
        <v>0</v>
      </c>
      <c r="AD8" s="113">
        <f t="shared" si="3"/>
        <v>0</v>
      </c>
      <c r="AE8" s="113">
        <f t="shared" si="3"/>
        <v>0</v>
      </c>
      <c r="AF8" s="113">
        <f t="shared" si="3"/>
        <v>0</v>
      </c>
    </row>
    <row r="9" spans="1:34">
      <c r="A9" s="13" t="s">
        <v>171</v>
      </c>
      <c r="B9" s="32">
        <f>B6</f>
        <v>2.6635824687659593E-6</v>
      </c>
      <c r="C9" s="113">
        <f t="shared" ref="C9:AF9" si="4">C6</f>
        <v>2.6080911673333353E-6</v>
      </c>
      <c r="D9" s="113">
        <f t="shared" si="4"/>
        <v>2.5664726912588673E-6</v>
      </c>
      <c r="E9" s="113">
        <f t="shared" si="4"/>
        <v>2.5316843526587657E-6</v>
      </c>
      <c r="F9" s="113">
        <f t="shared" si="4"/>
        <v>2.5102544566366565E-6</v>
      </c>
      <c r="G9" s="113">
        <f t="shared" si="4"/>
        <v>2.5091329362894755E-6</v>
      </c>
      <c r="H9" s="113">
        <f t="shared" si="4"/>
        <v>2.4473058524115071E-6</v>
      </c>
      <c r="I9" s="113">
        <f t="shared" si="4"/>
        <v>2.4068600112814098E-6</v>
      </c>
      <c r="J9" s="113">
        <f t="shared" si="4"/>
        <v>2.4050910281309065E-6</v>
      </c>
      <c r="K9" s="113">
        <f t="shared" si="4"/>
        <v>2.3923750582768278E-6</v>
      </c>
      <c r="L9" s="113">
        <f t="shared" si="4"/>
        <v>2.4013833991299921E-6</v>
      </c>
      <c r="M9" s="113">
        <f t="shared" si="4"/>
        <v>2.3977892944356333E-6</v>
      </c>
      <c r="N9" s="113">
        <f t="shared" si="4"/>
        <v>2.3962361322195707E-6</v>
      </c>
      <c r="O9" s="113">
        <f t="shared" si="4"/>
        <v>2.3823050780293917E-6</v>
      </c>
      <c r="P9" s="113">
        <f t="shared" si="4"/>
        <v>2.3779287783876659E-6</v>
      </c>
      <c r="Q9" s="113">
        <f t="shared" si="4"/>
        <v>2.3693046736489977E-6</v>
      </c>
      <c r="R9" s="113">
        <f t="shared" si="4"/>
        <v>2.3522885028641815E-6</v>
      </c>
      <c r="S9" s="113">
        <f t="shared" si="4"/>
        <v>2.3332887755142729E-6</v>
      </c>
      <c r="T9" s="113">
        <f t="shared" si="4"/>
        <v>2.3293166723046797E-6</v>
      </c>
      <c r="U9" s="113">
        <f t="shared" si="4"/>
        <v>2.3284758439242569E-6</v>
      </c>
      <c r="V9" s="113">
        <f t="shared" si="4"/>
        <v>2.3251736588753265E-6</v>
      </c>
      <c r="W9" s="113">
        <f t="shared" si="4"/>
        <v>2.3313875552594298E-6</v>
      </c>
      <c r="X9" s="113">
        <f t="shared" si="4"/>
        <v>2.3261953776343268E-6</v>
      </c>
      <c r="Y9" s="113">
        <f t="shared" si="4"/>
        <v>2.3128406776158914E-6</v>
      </c>
      <c r="Z9" s="113">
        <f t="shared" si="4"/>
        <v>2.2987412082456574E-6</v>
      </c>
      <c r="AA9" s="113">
        <f t="shared" si="4"/>
        <v>2.2921455707867627E-6</v>
      </c>
      <c r="AB9" s="113">
        <f t="shared" si="4"/>
        <v>2.2883119422807703E-6</v>
      </c>
      <c r="AC9" s="113">
        <f t="shared" si="4"/>
        <v>2.2847814610988764E-6</v>
      </c>
      <c r="AD9" s="113">
        <f t="shared" si="4"/>
        <v>2.2779188543915984E-6</v>
      </c>
      <c r="AE9" s="113">
        <f t="shared" si="4"/>
        <v>2.2671802035033505E-6</v>
      </c>
      <c r="AF9" s="113">
        <f t="shared" si="4"/>
        <v>2.268828177228185E-6</v>
      </c>
    </row>
  </sheetData>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2060"/>
  </sheetPr>
  <dimension ref="A1:AH16"/>
  <sheetViews>
    <sheetView workbookViewId="0">
      <selection activeCell="A5" sqref="A5"/>
    </sheetView>
  </sheetViews>
  <sheetFormatPr defaultColWidth="9.1796875" defaultRowHeight="14.5"/>
  <cols>
    <col min="1" max="1" width="41.453125" style="14" customWidth="1"/>
    <col min="2" max="24" width="10" style="14" customWidth="1"/>
    <col min="25" max="26" width="9.1796875" style="14" customWidth="1"/>
    <col min="27" max="27" width="11.81640625" style="14" bestFit="1" customWidth="1"/>
    <col min="28" max="29" width="11.90625" style="14" bestFit="1" customWidth="1"/>
    <col min="30" max="30" width="11.81640625" style="14" bestFit="1" customWidth="1"/>
    <col min="31" max="32" width="11.90625" style="14" bestFit="1" customWidth="1"/>
    <col min="33" max="16384" width="9.1796875" style="14"/>
  </cols>
  <sheetData>
    <row r="1" spans="1:34">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181">
        <f>'Natural gas'!B12</f>
        <v>8.3189118678315662E-6</v>
      </c>
      <c r="C2" s="181">
        <f>'Natural gas'!C12</f>
        <v>9.0980032737585581E-6</v>
      </c>
      <c r="D2" s="181">
        <f>'Natural gas'!D12</f>
        <v>9.3737020752050503E-6</v>
      </c>
      <c r="E2" s="181">
        <f>'Natural gas'!E12</f>
        <v>9.3858280647468791E-6</v>
      </c>
      <c r="F2" s="181">
        <f>'Natural gas'!F12</f>
        <v>9.3842808502087698E-6</v>
      </c>
      <c r="G2" s="181">
        <f>'Natural gas'!G12</f>
        <v>9.4015593812096507E-6</v>
      </c>
      <c r="H2" s="181">
        <f>'Natural gas'!H12</f>
        <v>9.4123526675435607E-6</v>
      </c>
      <c r="I2" s="181">
        <f>'Natural gas'!I12</f>
        <v>9.4149316130688761E-6</v>
      </c>
      <c r="J2" s="181">
        <f>'Natural gas'!J12</f>
        <v>9.4548384144459606E-6</v>
      </c>
      <c r="K2" s="181">
        <f>'Natural gas'!K12</f>
        <v>9.43987687808536E-6</v>
      </c>
      <c r="L2" s="181">
        <f>'Natural gas'!L12</f>
        <v>9.4646466316374307E-6</v>
      </c>
      <c r="M2" s="181">
        <f>'Natural gas'!M12</f>
        <v>9.341351439896718E-6</v>
      </c>
      <c r="N2" s="181">
        <f>'Natural gas'!N12</f>
        <v>9.4126702170940803E-6</v>
      </c>
      <c r="O2" s="181">
        <f>'Natural gas'!O12</f>
        <v>9.4127257756122478E-6</v>
      </c>
      <c r="P2" s="181">
        <f>'Natural gas'!P12</f>
        <v>9.4130113390830025E-6</v>
      </c>
      <c r="Q2" s="181">
        <f>'Natural gas'!Q12</f>
        <v>9.4135373030689172E-6</v>
      </c>
      <c r="R2" s="181">
        <f>'Natural gas'!R12</f>
        <v>9.1027611332959659E-6</v>
      </c>
      <c r="S2" s="181">
        <f>'Natural gas'!S12</f>
        <v>9.1398936709729152E-6</v>
      </c>
      <c r="T2" s="181">
        <f>'Natural gas'!T12</f>
        <v>9.114834918377239E-6</v>
      </c>
      <c r="U2" s="181">
        <f>'Natural gas'!U12</f>
        <v>9.1259321242709322E-6</v>
      </c>
      <c r="V2" s="181">
        <f>'Natural gas'!V12</f>
        <v>9.11321446407547E-6</v>
      </c>
      <c r="W2" s="181">
        <f>'Natural gas'!W12</f>
        <v>9.1133848418119728E-6</v>
      </c>
      <c r="X2" s="181">
        <f>'Natural gas'!X12</f>
        <v>9.0928891720710456E-6</v>
      </c>
      <c r="Y2" s="181">
        <f>'Natural gas'!Y12</f>
        <v>9.1009682133949033E-6</v>
      </c>
      <c r="Z2" s="181">
        <f>'Natural gas'!Z12</f>
        <v>9.0742556625749117E-6</v>
      </c>
      <c r="AA2" s="181">
        <f>'Natural gas'!AA12</f>
        <v>9.1094058530258001E-6</v>
      </c>
      <c r="AB2" s="181">
        <f>'Natural gas'!AB12</f>
        <v>9.1052541976818434E-6</v>
      </c>
      <c r="AC2" s="181">
        <f>'Natural gas'!AC12</f>
        <v>9.1121576849190807E-6</v>
      </c>
      <c r="AD2" s="181">
        <f>'Natural gas'!AD12</f>
        <v>9.0987977241791871E-6</v>
      </c>
      <c r="AE2" s="181">
        <f>'Natural gas'!AE12</f>
        <v>9.1268821433040018E-6</v>
      </c>
      <c r="AF2" s="181">
        <f>'Natural gas'!AF12</f>
        <v>9.1060768572970555E-6</v>
      </c>
    </row>
    <row r="3" spans="1:34">
      <c r="A3" s="13" t="s">
        <v>165</v>
      </c>
      <c r="B3" s="181">
        <f>'Natural gas'!B13</f>
        <v>2.8743393796941286E-6</v>
      </c>
      <c r="C3" s="181">
        <f>'Natural gas'!C13</f>
        <v>4.5510906101371202E-6</v>
      </c>
      <c r="D3" s="181">
        <f>'Natural gas'!D13</f>
        <v>4.6354108405420774E-6</v>
      </c>
      <c r="E3" s="181">
        <f>'Natural gas'!E13</f>
        <v>4.6725642258502043E-6</v>
      </c>
      <c r="F3" s="181">
        <f>'Natural gas'!F13</f>
        <v>4.6584067321103366E-6</v>
      </c>
      <c r="G3" s="181">
        <f>'Natural gas'!G13</f>
        <v>4.6798495069927026E-6</v>
      </c>
      <c r="H3" s="181">
        <f>'Natural gas'!H13</f>
        <v>4.6820623159291725E-6</v>
      </c>
      <c r="I3" s="181">
        <f>'Natural gas'!I13</f>
        <v>4.6744026374712695E-6</v>
      </c>
      <c r="J3" s="181">
        <f>'Natural gas'!J13</f>
        <v>4.721600439048963E-6</v>
      </c>
      <c r="K3" s="181">
        <f>'Natural gas'!K13</f>
        <v>4.6824432785705486E-6</v>
      </c>
      <c r="L3" s="181">
        <f>'Natural gas'!L13</f>
        <v>4.7050256623130142E-6</v>
      </c>
      <c r="M3" s="181">
        <f>'Natural gas'!M13</f>
        <v>4.6477978581043208E-6</v>
      </c>
      <c r="N3" s="181">
        <f>'Natural gas'!N13</f>
        <v>4.6812153461694334E-6</v>
      </c>
      <c r="O3" s="181">
        <f>'Natural gas'!O13</f>
        <v>4.6816236711051729E-6</v>
      </c>
      <c r="P3" s="181">
        <f>'Natural gas'!P13</f>
        <v>4.6823378532706855E-6</v>
      </c>
      <c r="Q3" s="181">
        <f>'Natural gas'!Q13</f>
        <v>4.682970069495829E-6</v>
      </c>
      <c r="R3" s="181">
        <f>'Natural gas'!R13</f>
        <v>4.5419658306702976E-6</v>
      </c>
      <c r="S3" s="181">
        <f>'Natural gas'!S13</f>
        <v>4.5547037012719327E-6</v>
      </c>
      <c r="T3" s="181">
        <f>'Natural gas'!T13</f>
        <v>4.5695359065778913E-6</v>
      </c>
      <c r="U3" s="181">
        <f>'Natural gas'!U13</f>
        <v>4.5488179659649842E-6</v>
      </c>
      <c r="V3" s="181">
        <f>'Natural gas'!V13</f>
        <v>4.5898709844473195E-6</v>
      </c>
      <c r="W3" s="181">
        <f>'Natural gas'!W13</f>
        <v>4.5450022041650525E-6</v>
      </c>
      <c r="X3" s="181">
        <f>'Natural gas'!X13</f>
        <v>4.5253901193634027E-6</v>
      </c>
      <c r="Y3" s="181">
        <f>'Natural gas'!Y13</f>
        <v>4.539335573439899E-6</v>
      </c>
      <c r="Z3" s="181">
        <f>'Natural gas'!Z13</f>
        <v>4.4920778469117641E-6</v>
      </c>
      <c r="AA3" s="181">
        <f>'Natural gas'!AA13</f>
        <v>4.5346853314946361E-6</v>
      </c>
      <c r="AB3" s="181">
        <f>'Natural gas'!AB13</f>
        <v>4.5445138065588467E-6</v>
      </c>
      <c r="AC3" s="181">
        <f>'Natural gas'!AC13</f>
        <v>4.5376718524938055E-6</v>
      </c>
      <c r="AD3" s="181">
        <f>'Natural gas'!AD13</f>
        <v>4.5684592303820568E-6</v>
      </c>
      <c r="AE3" s="181">
        <f>'Natural gas'!AE13</f>
        <v>4.5274422320091318E-6</v>
      </c>
      <c r="AF3" s="181">
        <f>'Natural gas'!AF13</f>
        <v>4.5400925699505018E-6</v>
      </c>
    </row>
    <row r="4" spans="1:34">
      <c r="A4" s="13" t="s">
        <v>166</v>
      </c>
      <c r="B4" s="181">
        <f>'Natural gas'!B14</f>
        <v>1.2096178222879459E-5</v>
      </c>
      <c r="C4" s="181">
        <f>'Natural gas'!C14</f>
        <v>1.3229022114933232E-5</v>
      </c>
      <c r="D4" s="181">
        <f>'Natural gas'!D14</f>
        <v>1.3629904092181577E-5</v>
      </c>
      <c r="E4" s="181">
        <f>'Natural gas'!E14</f>
        <v>1.3647535981178251E-5</v>
      </c>
      <c r="F4" s="181">
        <f>'Natural gas'!F14</f>
        <v>1.364528624189752E-5</v>
      </c>
      <c r="G4" s="181">
        <f>'Natural gas'!G14</f>
        <v>1.3670410223703891E-5</v>
      </c>
      <c r="H4" s="181">
        <f>'Natural gas'!H14</f>
        <v>1.368610428528067E-5</v>
      </c>
      <c r="I4" s="181">
        <f>'Natural gas'!I14</f>
        <v>1.3689854220993047E-5</v>
      </c>
      <c r="J4" s="181">
        <f>'Natural gas'!J14</f>
        <v>1.3747881014572733E-5</v>
      </c>
      <c r="K4" s="181">
        <f>'Natural gas'!K14</f>
        <v>1.3726126076765813E-5</v>
      </c>
      <c r="L4" s="181">
        <f>'Natural gas'!L14</f>
        <v>1.3762142728734594E-5</v>
      </c>
      <c r="M4" s="181">
        <f>'Natural gas'!M14</f>
        <v>1.358286440038893E-5</v>
      </c>
      <c r="N4" s="181">
        <f>'Natural gas'!N14</f>
        <v>1.3686566020663698E-5</v>
      </c>
      <c r="O4" s="181">
        <f>'Natural gas'!O14</f>
        <v>1.3686646805957283E-5</v>
      </c>
      <c r="P4" s="181">
        <f>'Natural gas'!P14</f>
        <v>1.3687062031733331E-5</v>
      </c>
      <c r="Q4" s="181">
        <f>'Natural gas'!Q14</f>
        <v>1.3687826813740105E-5</v>
      </c>
      <c r="R4" s="181">
        <f>'Natural gas'!R14</f>
        <v>1.3244943915266827E-5</v>
      </c>
      <c r="S4" s="181">
        <f>'Natural gas'!S14</f>
        <v>1.3286210131707014E-5</v>
      </c>
      <c r="T4" s="181">
        <f>'Natural gas'!T14</f>
        <v>1.3255312210862252E-5</v>
      </c>
      <c r="U4" s="181">
        <f>'Natural gas'!U14</f>
        <v>1.3268900060132899E-5</v>
      </c>
      <c r="V4" s="181">
        <f>'Natural gas'!V14</f>
        <v>1.3251459154472609E-5</v>
      </c>
      <c r="W4" s="181">
        <f>'Natural gas'!W14</f>
        <v>1.3255278917594413E-5</v>
      </c>
      <c r="X4" s="181">
        <f>'Natural gas'!X14</f>
        <v>1.322998237531988E-5</v>
      </c>
      <c r="Y4" s="181">
        <f>'Natural gas'!Y14</f>
        <v>1.3237041464323161E-5</v>
      </c>
      <c r="Z4" s="181">
        <f>'Natural gas'!Z14</f>
        <v>1.3210018005097613E-5</v>
      </c>
      <c r="AA4" s="181">
        <f>'Natural gas'!AA14</f>
        <v>1.3249796279627838E-5</v>
      </c>
      <c r="AB4" s="181">
        <f>'Natural gas'!AB14</f>
        <v>1.3242144486064287E-5</v>
      </c>
      <c r="AC4" s="181">
        <f>'Natural gas'!AC14</f>
        <v>1.3250686974261768E-5</v>
      </c>
      <c r="AD4" s="181">
        <f>'Natural gas'!AD14</f>
        <v>1.3231565358945781E-5</v>
      </c>
      <c r="AE4" s="181">
        <f>'Natural gas'!AE14</f>
        <v>1.3265389952716074E-5</v>
      </c>
      <c r="AF4" s="181">
        <f>'Natural gas'!AF14</f>
        <v>1.3241870012420912E-5</v>
      </c>
    </row>
    <row r="5" spans="1:34">
      <c r="A5" s="13" t="s">
        <v>167</v>
      </c>
      <c r="B5" s="181">
        <f>'Natural gas'!B15</f>
        <v>8.3663806944668385E-6</v>
      </c>
      <c r="C5" s="181">
        <f>'Natural gas'!C15</f>
        <v>9.1499177004276514E-6</v>
      </c>
      <c r="D5" s="181">
        <f>'Natural gas'!D15</f>
        <v>9.3996235631614104E-6</v>
      </c>
      <c r="E5" s="181">
        <f>'Natural gas'!E15</f>
        <v>9.4429821236965428E-6</v>
      </c>
      <c r="F5" s="181">
        <f>'Natural gas'!F15</f>
        <v>9.4464002532425731E-6</v>
      </c>
      <c r="G5" s="181">
        <f>'Natural gas'!G15</f>
        <v>9.4756574825881487E-6</v>
      </c>
      <c r="H5" s="181">
        <f>'Natural gas'!H15</f>
        <v>9.4853116941657964E-6</v>
      </c>
      <c r="I5" s="181">
        <f>'Natural gas'!I15</f>
        <v>9.4880246594912234E-6</v>
      </c>
      <c r="J5" s="181">
        <f>'Natural gas'!J15</f>
        <v>9.5336697687043446E-6</v>
      </c>
      <c r="K5" s="181">
        <f>'Natural gas'!K15</f>
        <v>9.5004892711967578E-6</v>
      </c>
      <c r="L5" s="181">
        <f>'Natural gas'!L15</f>
        <v>9.5046824126254389E-6</v>
      </c>
      <c r="M5" s="181">
        <f>'Natural gas'!M15</f>
        <v>9.4101442125171701E-6</v>
      </c>
      <c r="N5" s="181">
        <f>'Natural gas'!N15</f>
        <v>9.4757129547626167E-6</v>
      </c>
      <c r="O5" s="181">
        <f>'Natural gas'!O15</f>
        <v>9.4775701295898289E-6</v>
      </c>
      <c r="P5" s="181">
        <f>'Natural gas'!P15</f>
        <v>9.4795335356713217E-6</v>
      </c>
      <c r="Q5" s="181">
        <f>'Natural gas'!Q15</f>
        <v>9.4809612744295468E-6</v>
      </c>
      <c r="R5" s="181">
        <f>'Natural gas'!R15</f>
        <v>9.1547027089495797E-6</v>
      </c>
      <c r="S5" s="181">
        <f>'Natural gas'!S15</f>
        <v>9.1920471298657697E-6</v>
      </c>
      <c r="T5" s="181">
        <f>'Natural gas'!T15</f>
        <v>9.1668453886675509E-6</v>
      </c>
      <c r="U5" s="181">
        <f>'Natural gas'!U15</f>
        <v>9.178005916706145E-6</v>
      </c>
      <c r="V5" s="181">
        <f>'Natural gas'!V15</f>
        <v>9.1652156878362432E-6</v>
      </c>
      <c r="W5" s="181">
        <f>'Natural gas'!W15</f>
        <v>9.1653870377709574E-6</v>
      </c>
      <c r="X5" s="181">
        <f>'Natural gas'!X15</f>
        <v>9.1447744169901388E-6</v>
      </c>
      <c r="Y5" s="181">
        <f>'Natural gas'!Y15</f>
        <v>9.1528995584071437E-6</v>
      </c>
      <c r="Z5" s="181">
        <f>'Natural gas'!Z15</f>
        <v>9.1260345821901765E-6</v>
      </c>
      <c r="AA5" s="181">
        <f>'Natural gas'!AA15</f>
        <v>9.1613853443412114E-6</v>
      </c>
      <c r="AB5" s="181">
        <f>'Natural gas'!AB15</f>
        <v>9.1572099990951486E-6</v>
      </c>
      <c r="AC5" s="181">
        <f>'Natural gas'!AC15</f>
        <v>9.1641528785562794E-6</v>
      </c>
      <c r="AD5" s="181">
        <f>'Natural gas'!AD15</f>
        <v>9.1507166840889116E-6</v>
      </c>
      <c r="AE5" s="181">
        <f>'Natural gas'!AE15</f>
        <v>9.1789613566752078E-6</v>
      </c>
      <c r="AF5" s="181">
        <f>'Natural gas'!AF15</f>
        <v>9.158037352916439E-6</v>
      </c>
    </row>
    <row r="6" spans="1:34">
      <c r="A6" s="13" t="s">
        <v>168</v>
      </c>
      <c r="B6" s="181">
        <f>'Natural gas'!B16</f>
        <v>6.4587090228246048E-6</v>
      </c>
      <c r="C6" s="181">
        <f>'Natural gas'!C16</f>
        <v>7.9582805283187692E-6</v>
      </c>
      <c r="D6" s="181">
        <f>'Natural gas'!D16</f>
        <v>8.1057273944128941E-6</v>
      </c>
      <c r="E6" s="181">
        <f>'Natural gas'!E16</f>
        <v>8.1706957917021506E-6</v>
      </c>
      <c r="F6" s="181">
        <f>'Natural gas'!F16</f>
        <v>8.1459392407099951E-6</v>
      </c>
      <c r="G6" s="181">
        <f>'Natural gas'!G16</f>
        <v>8.1834352240770039E-6</v>
      </c>
      <c r="H6" s="181">
        <f>'Natural gas'!H16</f>
        <v>8.1873046601705805E-6</v>
      </c>
      <c r="I6" s="181">
        <f>'Natural gas'!I16</f>
        <v>8.1739105366194181E-6</v>
      </c>
      <c r="J6" s="181">
        <f>'Natural gas'!J16</f>
        <v>8.256443137582925E-6</v>
      </c>
      <c r="K6" s="181">
        <f>'Natural gas'!K16</f>
        <v>8.1879708318271336E-6</v>
      </c>
      <c r="L6" s="181">
        <f>'Natural gas'!L16</f>
        <v>8.2274595962170115E-6</v>
      </c>
      <c r="M6" s="181">
        <f>'Natural gas'!M16</f>
        <v>8.1273879960387928E-6</v>
      </c>
      <c r="N6" s="181">
        <f>'Natural gas'!N16</f>
        <v>8.1858236035350578E-6</v>
      </c>
      <c r="O6" s="181">
        <f>'Natural gas'!O16</f>
        <v>8.186537622363443E-6</v>
      </c>
      <c r="P6" s="181">
        <f>'Natural gas'!P16</f>
        <v>8.1877864795074451E-6</v>
      </c>
      <c r="Q6" s="181">
        <f>'Natural gas'!Q16</f>
        <v>8.1888920066228662E-6</v>
      </c>
      <c r="R6" s="181">
        <f>'Natural gas'!R16</f>
        <v>7.9631404680171023E-6</v>
      </c>
      <c r="S6" s="181">
        <f>'Natural gas'!S16</f>
        <v>7.9858895079707178E-6</v>
      </c>
      <c r="T6" s="181">
        <f>'Natural gas'!T16</f>
        <v>7.973714480427658E-6</v>
      </c>
      <c r="U6" s="181">
        <f>'Natural gas'!U16</f>
        <v>7.965332265567481E-6</v>
      </c>
      <c r="V6" s="181">
        <f>'Natural gas'!V16</f>
        <v>7.9988584812023149E-6</v>
      </c>
      <c r="W6" s="181">
        <f>'Natural gas'!W16</f>
        <v>7.9700509060644708E-6</v>
      </c>
      <c r="X6" s="181">
        <f>'Natural gas'!X16</f>
        <v>7.9219391441784377E-6</v>
      </c>
      <c r="Y6" s="181">
        <f>'Natural gas'!Y16</f>
        <v>7.9497755353451274E-6</v>
      </c>
      <c r="Z6" s="181">
        <f>'Natural gas'!Z16</f>
        <v>7.8799619755588628E-6</v>
      </c>
      <c r="AA6" s="181">
        <f>'Natural gas'!AA16</f>
        <v>7.9363215997503075E-6</v>
      </c>
      <c r="AB6" s="181">
        <f>'Natural gas'!AB16</f>
        <v>7.9448429724980699E-6</v>
      </c>
      <c r="AC6" s="181">
        <f>'Natural gas'!AC16</f>
        <v>7.9534784337060657E-6</v>
      </c>
      <c r="AD6" s="181">
        <f>'Natural gas'!AD16</f>
        <v>7.963242111271515E-6</v>
      </c>
      <c r="AE6" s="181">
        <f>'Natural gas'!AE16</f>
        <v>7.9413987986333333E-6</v>
      </c>
      <c r="AF6" s="181">
        <f>'Natural gas'!AF16</f>
        <v>7.9510912901161531E-6</v>
      </c>
    </row>
    <row r="7" spans="1:34">
      <c r="A7" s="13" t="s">
        <v>169</v>
      </c>
      <c r="B7" s="181">
        <f>B6</f>
        <v>6.4587090228246048E-6</v>
      </c>
      <c r="C7" s="181">
        <f t="shared" ref="C7:AF7" si="0">C6</f>
        <v>7.9582805283187692E-6</v>
      </c>
      <c r="D7" s="181">
        <f t="shared" si="0"/>
        <v>8.1057273944128941E-6</v>
      </c>
      <c r="E7" s="181">
        <f t="shared" si="0"/>
        <v>8.1706957917021506E-6</v>
      </c>
      <c r="F7" s="181">
        <f t="shared" si="0"/>
        <v>8.1459392407099951E-6</v>
      </c>
      <c r="G7" s="181">
        <f t="shared" si="0"/>
        <v>8.1834352240770039E-6</v>
      </c>
      <c r="H7" s="181">
        <f t="shared" si="0"/>
        <v>8.1873046601705805E-6</v>
      </c>
      <c r="I7" s="181">
        <f t="shared" si="0"/>
        <v>8.1739105366194181E-6</v>
      </c>
      <c r="J7" s="181">
        <f t="shared" si="0"/>
        <v>8.256443137582925E-6</v>
      </c>
      <c r="K7" s="181">
        <f t="shared" si="0"/>
        <v>8.1879708318271336E-6</v>
      </c>
      <c r="L7" s="181">
        <f t="shared" si="0"/>
        <v>8.2274595962170115E-6</v>
      </c>
      <c r="M7" s="181">
        <f t="shared" si="0"/>
        <v>8.1273879960387928E-6</v>
      </c>
      <c r="N7" s="181">
        <f t="shared" si="0"/>
        <v>8.1858236035350578E-6</v>
      </c>
      <c r="O7" s="181">
        <f t="shared" si="0"/>
        <v>8.186537622363443E-6</v>
      </c>
      <c r="P7" s="181">
        <f t="shared" si="0"/>
        <v>8.1877864795074451E-6</v>
      </c>
      <c r="Q7" s="181">
        <f t="shared" si="0"/>
        <v>8.1888920066228662E-6</v>
      </c>
      <c r="R7" s="181">
        <f t="shared" si="0"/>
        <v>7.9631404680171023E-6</v>
      </c>
      <c r="S7" s="181">
        <f t="shared" si="0"/>
        <v>7.9858895079707178E-6</v>
      </c>
      <c r="T7" s="181">
        <f t="shared" si="0"/>
        <v>7.973714480427658E-6</v>
      </c>
      <c r="U7" s="181">
        <f t="shared" si="0"/>
        <v>7.965332265567481E-6</v>
      </c>
      <c r="V7" s="181">
        <f t="shared" si="0"/>
        <v>7.9988584812023149E-6</v>
      </c>
      <c r="W7" s="181">
        <f t="shared" si="0"/>
        <v>7.9700509060644708E-6</v>
      </c>
      <c r="X7" s="181">
        <f t="shared" si="0"/>
        <v>7.9219391441784377E-6</v>
      </c>
      <c r="Y7" s="181">
        <f t="shared" si="0"/>
        <v>7.9497755353451274E-6</v>
      </c>
      <c r="Z7" s="181">
        <f t="shared" si="0"/>
        <v>7.8799619755588628E-6</v>
      </c>
      <c r="AA7" s="181">
        <f t="shared" si="0"/>
        <v>7.9363215997503075E-6</v>
      </c>
      <c r="AB7" s="181">
        <f t="shared" si="0"/>
        <v>7.9448429724980699E-6</v>
      </c>
      <c r="AC7" s="181">
        <f t="shared" si="0"/>
        <v>7.9534784337060657E-6</v>
      </c>
      <c r="AD7" s="181">
        <f t="shared" si="0"/>
        <v>7.963242111271515E-6</v>
      </c>
      <c r="AE7" s="181">
        <f t="shared" si="0"/>
        <v>7.9413987986333333E-6</v>
      </c>
      <c r="AF7" s="181">
        <f t="shared" si="0"/>
        <v>7.9510912901161531E-6</v>
      </c>
    </row>
    <row r="8" spans="1:34">
      <c r="A8" s="13" t="s">
        <v>170</v>
      </c>
      <c r="B8" s="181">
        <v>0</v>
      </c>
      <c r="C8" s="181">
        <v>0</v>
      </c>
      <c r="D8" s="181">
        <v>0</v>
      </c>
      <c r="E8" s="181">
        <v>0</v>
      </c>
      <c r="F8" s="181">
        <v>0</v>
      </c>
      <c r="G8" s="181">
        <v>0</v>
      </c>
      <c r="H8" s="181">
        <v>0</v>
      </c>
      <c r="I8" s="181">
        <v>0</v>
      </c>
      <c r="J8" s="181">
        <v>0</v>
      </c>
      <c r="K8" s="181">
        <v>0</v>
      </c>
      <c r="L8" s="181">
        <v>0</v>
      </c>
      <c r="M8" s="181">
        <v>0</v>
      </c>
      <c r="N8" s="181">
        <v>0</v>
      </c>
      <c r="O8" s="181">
        <v>0</v>
      </c>
      <c r="P8" s="181">
        <v>0</v>
      </c>
      <c r="Q8" s="181">
        <v>0</v>
      </c>
      <c r="R8" s="181">
        <v>0</v>
      </c>
      <c r="S8" s="181">
        <v>0</v>
      </c>
      <c r="T8" s="181">
        <v>0</v>
      </c>
      <c r="U8" s="181">
        <v>0</v>
      </c>
      <c r="V8" s="181">
        <v>0</v>
      </c>
      <c r="W8" s="181">
        <v>0</v>
      </c>
      <c r="X8" s="181">
        <v>0</v>
      </c>
      <c r="Y8" s="181">
        <v>0</v>
      </c>
      <c r="Z8" s="181">
        <v>0</v>
      </c>
      <c r="AA8" s="181">
        <v>0</v>
      </c>
      <c r="AB8" s="181">
        <v>0</v>
      </c>
      <c r="AC8" s="181">
        <v>0</v>
      </c>
      <c r="AD8" s="181">
        <v>0</v>
      </c>
      <c r="AE8" s="181">
        <v>0</v>
      </c>
      <c r="AF8" s="181">
        <v>0</v>
      </c>
    </row>
    <row r="9" spans="1:34">
      <c r="A9" s="13" t="s">
        <v>171</v>
      </c>
      <c r="B9" s="181">
        <f>B6</f>
        <v>6.4587090228246048E-6</v>
      </c>
      <c r="C9" s="181">
        <f t="shared" ref="C9:AF9" si="1">C6</f>
        <v>7.9582805283187692E-6</v>
      </c>
      <c r="D9" s="181">
        <f t="shared" si="1"/>
        <v>8.1057273944128941E-6</v>
      </c>
      <c r="E9" s="181">
        <f t="shared" si="1"/>
        <v>8.1706957917021506E-6</v>
      </c>
      <c r="F9" s="181">
        <f t="shared" si="1"/>
        <v>8.1459392407099951E-6</v>
      </c>
      <c r="G9" s="181">
        <f t="shared" si="1"/>
        <v>8.1834352240770039E-6</v>
      </c>
      <c r="H9" s="181">
        <f t="shared" si="1"/>
        <v>8.1873046601705805E-6</v>
      </c>
      <c r="I9" s="181">
        <f t="shared" si="1"/>
        <v>8.1739105366194181E-6</v>
      </c>
      <c r="J9" s="181">
        <f t="shared" si="1"/>
        <v>8.256443137582925E-6</v>
      </c>
      <c r="K9" s="181">
        <f t="shared" si="1"/>
        <v>8.1879708318271336E-6</v>
      </c>
      <c r="L9" s="181">
        <f t="shared" si="1"/>
        <v>8.2274595962170115E-6</v>
      </c>
      <c r="M9" s="181">
        <f t="shared" si="1"/>
        <v>8.1273879960387928E-6</v>
      </c>
      <c r="N9" s="181">
        <f t="shared" si="1"/>
        <v>8.1858236035350578E-6</v>
      </c>
      <c r="O9" s="181">
        <f t="shared" si="1"/>
        <v>8.186537622363443E-6</v>
      </c>
      <c r="P9" s="181">
        <f t="shared" si="1"/>
        <v>8.1877864795074451E-6</v>
      </c>
      <c r="Q9" s="181">
        <f t="shared" si="1"/>
        <v>8.1888920066228662E-6</v>
      </c>
      <c r="R9" s="181">
        <f t="shared" si="1"/>
        <v>7.9631404680171023E-6</v>
      </c>
      <c r="S9" s="181">
        <f t="shared" si="1"/>
        <v>7.9858895079707178E-6</v>
      </c>
      <c r="T9" s="181">
        <f t="shared" si="1"/>
        <v>7.973714480427658E-6</v>
      </c>
      <c r="U9" s="181">
        <f t="shared" si="1"/>
        <v>7.965332265567481E-6</v>
      </c>
      <c r="V9" s="181">
        <f t="shared" si="1"/>
        <v>7.9988584812023149E-6</v>
      </c>
      <c r="W9" s="181">
        <f t="shared" si="1"/>
        <v>7.9700509060644708E-6</v>
      </c>
      <c r="X9" s="181">
        <f t="shared" si="1"/>
        <v>7.9219391441784377E-6</v>
      </c>
      <c r="Y9" s="181">
        <f t="shared" si="1"/>
        <v>7.9497755353451274E-6</v>
      </c>
      <c r="Z9" s="181">
        <f t="shared" si="1"/>
        <v>7.8799619755588628E-6</v>
      </c>
      <c r="AA9" s="181">
        <f t="shared" si="1"/>
        <v>7.9363215997503075E-6</v>
      </c>
      <c r="AB9" s="181">
        <f t="shared" si="1"/>
        <v>7.9448429724980699E-6</v>
      </c>
      <c r="AC9" s="181">
        <f t="shared" si="1"/>
        <v>7.9534784337060657E-6</v>
      </c>
      <c r="AD9" s="181">
        <f t="shared" si="1"/>
        <v>7.963242111271515E-6</v>
      </c>
      <c r="AE9" s="181">
        <f t="shared" si="1"/>
        <v>7.9413987986333333E-6</v>
      </c>
      <c r="AF9" s="181">
        <f t="shared" si="1"/>
        <v>7.9510912901161531E-6</v>
      </c>
    </row>
    <row r="16" spans="1:34">
      <c r="B16" s="21"/>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99655-CB72-4C48-A7F5-BB301A409F13}">
  <sheetPr>
    <tabColor rgb="FF002060"/>
  </sheetPr>
  <dimension ref="A1:AH9"/>
  <sheetViews>
    <sheetView workbookViewId="0">
      <selection activeCell="B3" sqref="B3:AF3"/>
    </sheetView>
  </sheetViews>
  <sheetFormatPr defaultColWidth="9.1796875" defaultRowHeight="14.5"/>
  <cols>
    <col min="1" max="1" width="41.453125" style="113" customWidth="1"/>
    <col min="2" max="24" width="10" style="113" customWidth="1"/>
    <col min="25" max="16384" width="9.1796875" style="113"/>
  </cols>
  <sheetData>
    <row r="1" spans="1:34">
      <c r="A1" s="33" t="s">
        <v>163</v>
      </c>
      <c r="B1" s="33">
        <v>2020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c r="AG1" s="33"/>
      <c r="AH1" s="33"/>
    </row>
    <row r="2" spans="1:34">
      <c r="A2" s="33" t="s">
        <v>164</v>
      </c>
      <c r="B2" s="113">
        <v>0</v>
      </c>
      <c r="C2" s="113">
        <v>0</v>
      </c>
      <c r="D2" s="113">
        <v>0</v>
      </c>
      <c r="E2" s="113">
        <v>0</v>
      </c>
      <c r="F2" s="113">
        <v>0</v>
      </c>
      <c r="G2" s="113">
        <v>0</v>
      </c>
      <c r="H2" s="113">
        <v>0</v>
      </c>
      <c r="I2" s="113">
        <v>0</v>
      </c>
      <c r="J2" s="113">
        <v>0</v>
      </c>
      <c r="K2" s="113">
        <v>0</v>
      </c>
      <c r="L2" s="113">
        <v>0</v>
      </c>
      <c r="M2" s="113">
        <v>0</v>
      </c>
      <c r="N2" s="113">
        <v>0</v>
      </c>
      <c r="O2" s="113">
        <v>0</v>
      </c>
      <c r="P2" s="113">
        <v>0</v>
      </c>
      <c r="Q2" s="113">
        <v>0</v>
      </c>
      <c r="R2" s="113">
        <v>0</v>
      </c>
      <c r="S2" s="113">
        <v>0</v>
      </c>
      <c r="T2" s="113">
        <v>0</v>
      </c>
      <c r="U2" s="113">
        <v>0</v>
      </c>
      <c r="V2" s="113">
        <v>0</v>
      </c>
      <c r="W2" s="113">
        <v>0</v>
      </c>
      <c r="X2" s="113">
        <v>0</v>
      </c>
      <c r="Y2" s="113">
        <v>0</v>
      </c>
      <c r="Z2" s="113">
        <v>0</v>
      </c>
      <c r="AA2" s="113">
        <v>0</v>
      </c>
      <c r="AB2" s="113">
        <v>0</v>
      </c>
      <c r="AC2" s="113">
        <v>0</v>
      </c>
      <c r="AD2" s="113">
        <v>0</v>
      </c>
      <c r="AE2" s="113">
        <v>0</v>
      </c>
      <c r="AF2" s="113">
        <v>0</v>
      </c>
    </row>
    <row r="3" spans="1:34">
      <c r="A3" s="33" t="s">
        <v>165</v>
      </c>
      <c r="B3" s="34">
        <f>'AEO Table 3'!C9</f>
        <v>5.5697867194545939E-7</v>
      </c>
      <c r="C3" s="34">
        <f>'AEO Table 3'!D9</f>
        <v>5.577953193162327E-7</v>
      </c>
      <c r="D3" s="34">
        <f>'AEO Table 3'!E9</f>
        <v>5.5861196668700612E-7</v>
      </c>
      <c r="E3" s="34">
        <f>'AEO Table 3'!F9</f>
        <v>5.6024526142855274E-7</v>
      </c>
      <c r="F3" s="34">
        <f>'AEO Table 3'!G9</f>
        <v>5.6106190879932626E-7</v>
      </c>
      <c r="G3" s="34">
        <f>'AEO Table 3'!H9</f>
        <v>5.6269520354087299E-7</v>
      </c>
      <c r="H3" s="34">
        <f>'AEO Table 3'!I9</f>
        <v>5.635118509116463E-7</v>
      </c>
      <c r="I3" s="34">
        <f>'AEO Table 3'!J9</f>
        <v>5.6514514565319302E-7</v>
      </c>
      <c r="J3" s="34">
        <f>'AEO Table 3'!K9</f>
        <v>5.6596179302396633E-7</v>
      </c>
      <c r="K3" s="34">
        <f>'AEO Table 3'!L9</f>
        <v>5.6759508776551306E-7</v>
      </c>
      <c r="L3" s="34">
        <f>'AEO Table 3'!M9</f>
        <v>5.6922838250705979E-7</v>
      </c>
      <c r="M3" s="34">
        <f>'AEO Table 3'!N9</f>
        <v>5.700450298778331E-7</v>
      </c>
      <c r="N3" s="34">
        <f>'AEO Table 3'!O9</f>
        <v>5.7167832461937993E-7</v>
      </c>
      <c r="O3" s="34">
        <f>'AEO Table 3'!P9</f>
        <v>5.7331161936092655E-7</v>
      </c>
      <c r="P3" s="34">
        <f>'AEO Table 3'!Q9</f>
        <v>5.7412907850841052E-7</v>
      </c>
      <c r="Q3" s="34">
        <f>'AEO Table 3'!R9</f>
        <v>5.7576237324995714E-7</v>
      </c>
      <c r="R3" s="34">
        <f>'AEO Table 3'!S9</f>
        <v>5.7739566799150397E-7</v>
      </c>
      <c r="S3" s="34">
        <f>'AEO Table 3'!T9</f>
        <v>5.7821231536227739E-7</v>
      </c>
      <c r="T3" s="34">
        <f>'AEO Table 3'!U9</f>
        <v>5.7984561010382401E-7</v>
      </c>
      <c r="U3" s="34">
        <f>'AEO Table 3'!V9</f>
        <v>5.8147890484537074E-7</v>
      </c>
      <c r="V3" s="34">
        <f>'AEO Table 3'!W9</f>
        <v>5.8311219958691746E-7</v>
      </c>
      <c r="W3" s="34">
        <f>'AEO Table 3'!X9</f>
        <v>5.8474549432846419E-7</v>
      </c>
      <c r="X3" s="34">
        <f>'AEO Table 3'!Y9</f>
        <v>5.8637878907001091E-7</v>
      </c>
      <c r="Y3" s="34">
        <f>'AEO Table 3'!Z9</f>
        <v>5.8801208381155764E-7</v>
      </c>
      <c r="Z3" s="34">
        <f>'AEO Table 3'!AA9</f>
        <v>5.8964537855310447E-7</v>
      </c>
      <c r="AA3" s="34">
        <f>'AEO Table 3'!AB9</f>
        <v>5.912786732946512E-7</v>
      </c>
      <c r="AB3" s="34">
        <f>'AEO Table 3'!AC9</f>
        <v>5.9291277981290827E-7</v>
      </c>
      <c r="AC3" s="34">
        <f>'AEO Table 3'!AD9</f>
        <v>5.945460745544551E-7</v>
      </c>
      <c r="AD3" s="34">
        <f>'AEO Table 3'!AE9</f>
        <v>5.9617936929600172E-7</v>
      </c>
      <c r="AE3" s="34">
        <f>'AEO Table 3'!AF9</f>
        <v>5.9781266403754855E-7</v>
      </c>
      <c r="AF3" s="34">
        <f>'AEO Table 3'!AG9</f>
        <v>5.9944595877909539E-7</v>
      </c>
      <c r="AG3" s="21"/>
      <c r="AH3" s="21"/>
    </row>
    <row r="4" spans="1:34">
      <c r="A4" s="33" t="s">
        <v>166</v>
      </c>
      <c r="B4" s="113">
        <v>0</v>
      </c>
      <c r="C4" s="113">
        <v>0</v>
      </c>
      <c r="D4" s="113">
        <v>0</v>
      </c>
      <c r="E4" s="113">
        <v>0</v>
      </c>
      <c r="F4" s="113">
        <v>0</v>
      </c>
      <c r="G4" s="113">
        <v>0</v>
      </c>
      <c r="H4" s="113">
        <v>0</v>
      </c>
      <c r="I4" s="113">
        <v>0</v>
      </c>
      <c r="J4" s="113">
        <v>0</v>
      </c>
      <c r="K4" s="113">
        <v>0</v>
      </c>
      <c r="L4" s="113">
        <v>0</v>
      </c>
      <c r="M4" s="113">
        <v>0</v>
      </c>
      <c r="N4" s="113">
        <v>0</v>
      </c>
      <c r="O4" s="113">
        <v>0</v>
      </c>
      <c r="P4" s="113">
        <v>0</v>
      </c>
      <c r="Q4" s="113">
        <v>0</v>
      </c>
      <c r="R4" s="113">
        <v>0</v>
      </c>
      <c r="S4" s="113">
        <v>0</v>
      </c>
      <c r="T4" s="113">
        <v>0</v>
      </c>
      <c r="U4" s="113">
        <v>0</v>
      </c>
      <c r="V4" s="113">
        <v>0</v>
      </c>
      <c r="W4" s="113">
        <v>0</v>
      </c>
      <c r="X4" s="113">
        <v>0</v>
      </c>
      <c r="Y4" s="113">
        <v>0</v>
      </c>
      <c r="Z4" s="113">
        <v>0</v>
      </c>
      <c r="AA4" s="113">
        <v>0</v>
      </c>
      <c r="AB4" s="113">
        <v>0</v>
      </c>
      <c r="AC4" s="113">
        <v>0</v>
      </c>
      <c r="AD4" s="113">
        <v>0</v>
      </c>
      <c r="AE4" s="113">
        <v>0</v>
      </c>
      <c r="AF4" s="113">
        <v>0</v>
      </c>
    </row>
    <row r="5" spans="1:34">
      <c r="A5" s="33" t="s">
        <v>167</v>
      </c>
      <c r="B5" s="113">
        <v>0</v>
      </c>
      <c r="C5" s="113">
        <v>0</v>
      </c>
      <c r="D5" s="113">
        <v>0</v>
      </c>
      <c r="E5" s="113">
        <v>0</v>
      </c>
      <c r="F5" s="113">
        <v>0</v>
      </c>
      <c r="G5" s="113">
        <v>0</v>
      </c>
      <c r="H5" s="113">
        <v>0</v>
      </c>
      <c r="I5" s="113">
        <v>0</v>
      </c>
      <c r="J5" s="113">
        <v>0</v>
      </c>
      <c r="K5" s="113">
        <v>0</v>
      </c>
      <c r="L5" s="113">
        <v>0</v>
      </c>
      <c r="M5" s="113">
        <v>0</v>
      </c>
      <c r="N5" s="113">
        <v>0</v>
      </c>
      <c r="O5" s="113">
        <v>0</v>
      </c>
      <c r="P5" s="113">
        <v>0</v>
      </c>
      <c r="Q5" s="113">
        <v>0</v>
      </c>
      <c r="R5" s="113">
        <v>0</v>
      </c>
      <c r="S5" s="113">
        <v>0</v>
      </c>
      <c r="T5" s="113">
        <v>0</v>
      </c>
      <c r="U5" s="113">
        <v>0</v>
      </c>
      <c r="V5" s="113">
        <v>0</v>
      </c>
      <c r="W5" s="113">
        <v>0</v>
      </c>
      <c r="X5" s="113">
        <v>0</v>
      </c>
      <c r="Y5" s="113">
        <v>0</v>
      </c>
      <c r="Z5" s="113">
        <v>0</v>
      </c>
      <c r="AA5" s="113">
        <v>0</v>
      </c>
      <c r="AB5" s="113">
        <v>0</v>
      </c>
      <c r="AC5" s="113">
        <v>0</v>
      </c>
      <c r="AD5" s="113">
        <v>0</v>
      </c>
      <c r="AE5" s="113">
        <v>0</v>
      </c>
      <c r="AF5" s="113">
        <v>0</v>
      </c>
    </row>
    <row r="6" spans="1:34">
      <c r="A6" s="33" t="s">
        <v>168</v>
      </c>
      <c r="B6" s="113">
        <v>0</v>
      </c>
      <c r="C6" s="113">
        <v>0</v>
      </c>
      <c r="D6" s="113">
        <v>0</v>
      </c>
      <c r="E6" s="113">
        <v>0</v>
      </c>
      <c r="F6" s="113">
        <v>0</v>
      </c>
      <c r="G6" s="113">
        <v>0</v>
      </c>
      <c r="H6" s="113">
        <v>0</v>
      </c>
      <c r="I6" s="113">
        <v>0</v>
      </c>
      <c r="J6" s="113">
        <v>0</v>
      </c>
      <c r="K6" s="113">
        <v>0</v>
      </c>
      <c r="L6" s="113">
        <v>0</v>
      </c>
      <c r="M6" s="113">
        <v>0</v>
      </c>
      <c r="N6" s="113">
        <v>0</v>
      </c>
      <c r="O6" s="113">
        <v>0</v>
      </c>
      <c r="P6" s="113">
        <v>0</v>
      </c>
      <c r="Q6" s="113">
        <v>0</v>
      </c>
      <c r="R6" s="113">
        <v>0</v>
      </c>
      <c r="S6" s="113">
        <v>0</v>
      </c>
      <c r="T6" s="113">
        <v>0</v>
      </c>
      <c r="U6" s="113">
        <v>0</v>
      </c>
      <c r="V6" s="113">
        <v>0</v>
      </c>
      <c r="W6" s="113">
        <v>0</v>
      </c>
      <c r="X6" s="113">
        <v>0</v>
      </c>
      <c r="Y6" s="113">
        <v>0</v>
      </c>
      <c r="Z6" s="113">
        <v>0</v>
      </c>
      <c r="AA6" s="113">
        <v>0</v>
      </c>
      <c r="AB6" s="113">
        <v>0</v>
      </c>
      <c r="AC6" s="113">
        <v>0</v>
      </c>
      <c r="AD6" s="113">
        <v>0</v>
      </c>
      <c r="AE6" s="113">
        <v>0</v>
      </c>
      <c r="AF6" s="113">
        <v>0</v>
      </c>
    </row>
    <row r="7" spans="1:34">
      <c r="A7" s="33" t="s">
        <v>169</v>
      </c>
      <c r="B7" s="113">
        <v>0</v>
      </c>
      <c r="C7" s="113">
        <v>0</v>
      </c>
      <c r="D7" s="113">
        <v>0</v>
      </c>
      <c r="E7" s="113">
        <v>0</v>
      </c>
      <c r="F7" s="113">
        <v>0</v>
      </c>
      <c r="G7" s="113">
        <v>0</v>
      </c>
      <c r="H7" s="113">
        <v>0</v>
      </c>
      <c r="I7" s="113">
        <v>0</v>
      </c>
      <c r="J7" s="113">
        <v>0</v>
      </c>
      <c r="K7" s="113">
        <v>0</v>
      </c>
      <c r="L7" s="113">
        <v>0</v>
      </c>
      <c r="M7" s="113">
        <v>0</v>
      </c>
      <c r="N7" s="113">
        <v>0</v>
      </c>
      <c r="O7" s="113">
        <v>0</v>
      </c>
      <c r="P7" s="113">
        <v>0</v>
      </c>
      <c r="Q7" s="113">
        <v>0</v>
      </c>
      <c r="R7" s="113">
        <v>0</v>
      </c>
      <c r="S7" s="113">
        <v>0</v>
      </c>
      <c r="T7" s="113">
        <v>0</v>
      </c>
      <c r="U7" s="113">
        <v>0</v>
      </c>
      <c r="V7" s="113">
        <v>0</v>
      </c>
      <c r="W7" s="113">
        <v>0</v>
      </c>
      <c r="X7" s="113">
        <v>0</v>
      </c>
      <c r="Y7" s="113">
        <v>0</v>
      </c>
      <c r="Z7" s="113">
        <v>0</v>
      </c>
      <c r="AA7" s="113">
        <v>0</v>
      </c>
      <c r="AB7" s="113">
        <v>0</v>
      </c>
      <c r="AC7" s="113">
        <v>0</v>
      </c>
      <c r="AD7" s="113">
        <v>0</v>
      </c>
      <c r="AE7" s="113">
        <v>0</v>
      </c>
      <c r="AF7" s="113">
        <v>0</v>
      </c>
    </row>
    <row r="8" spans="1:34">
      <c r="A8" s="33" t="s">
        <v>170</v>
      </c>
      <c r="B8" s="113">
        <v>0</v>
      </c>
      <c r="C8" s="113">
        <v>0</v>
      </c>
      <c r="D8" s="113">
        <v>0</v>
      </c>
      <c r="E8" s="113">
        <v>0</v>
      </c>
      <c r="F8" s="113">
        <v>0</v>
      </c>
      <c r="G8" s="113">
        <v>0</v>
      </c>
      <c r="H8" s="113">
        <v>0</v>
      </c>
      <c r="I8" s="113">
        <v>0</v>
      </c>
      <c r="J8" s="113">
        <v>0</v>
      </c>
      <c r="K8" s="113">
        <v>0</v>
      </c>
      <c r="L8" s="113">
        <v>0</v>
      </c>
      <c r="M8" s="113">
        <v>0</v>
      </c>
      <c r="N8" s="113">
        <v>0</v>
      </c>
      <c r="O8" s="113">
        <v>0</v>
      </c>
      <c r="P8" s="113">
        <v>0</v>
      </c>
      <c r="Q8" s="113">
        <v>0</v>
      </c>
      <c r="R8" s="113">
        <v>0</v>
      </c>
      <c r="S8" s="113">
        <v>0</v>
      </c>
      <c r="T8" s="113">
        <v>0</v>
      </c>
      <c r="U8" s="113">
        <v>0</v>
      </c>
      <c r="V8" s="113">
        <v>0</v>
      </c>
      <c r="W8" s="113">
        <v>0</v>
      </c>
      <c r="X8" s="113">
        <v>0</v>
      </c>
      <c r="Y8" s="113">
        <v>0</v>
      </c>
      <c r="Z8" s="113">
        <v>0</v>
      </c>
      <c r="AA8" s="113">
        <v>0</v>
      </c>
      <c r="AB8" s="113">
        <v>0</v>
      </c>
      <c r="AC8" s="113">
        <v>0</v>
      </c>
      <c r="AD8" s="113">
        <v>0</v>
      </c>
      <c r="AE8" s="113">
        <v>0</v>
      </c>
      <c r="AF8" s="113">
        <v>0</v>
      </c>
    </row>
    <row r="9" spans="1:34">
      <c r="A9" s="33" t="s">
        <v>171</v>
      </c>
      <c r="B9" s="113">
        <f t="shared" ref="B9:AF9" si="0">B6</f>
        <v>0</v>
      </c>
      <c r="C9" s="113">
        <f t="shared" si="0"/>
        <v>0</v>
      </c>
      <c r="D9" s="113">
        <f t="shared" si="0"/>
        <v>0</v>
      </c>
      <c r="E9" s="113">
        <f t="shared" si="0"/>
        <v>0</v>
      </c>
      <c r="F9" s="113">
        <f t="shared" si="0"/>
        <v>0</v>
      </c>
      <c r="G9" s="113">
        <f t="shared" si="0"/>
        <v>0</v>
      </c>
      <c r="H9" s="113">
        <f t="shared" si="0"/>
        <v>0</v>
      </c>
      <c r="I9" s="113">
        <f t="shared" si="0"/>
        <v>0</v>
      </c>
      <c r="J9" s="113">
        <f t="shared" si="0"/>
        <v>0</v>
      </c>
      <c r="K9" s="113">
        <f t="shared" si="0"/>
        <v>0</v>
      </c>
      <c r="L9" s="113">
        <f t="shared" si="0"/>
        <v>0</v>
      </c>
      <c r="M9" s="113">
        <f t="shared" si="0"/>
        <v>0</v>
      </c>
      <c r="N9" s="113">
        <f t="shared" si="0"/>
        <v>0</v>
      </c>
      <c r="O9" s="113">
        <f t="shared" si="0"/>
        <v>0</v>
      </c>
      <c r="P9" s="113">
        <f t="shared" si="0"/>
        <v>0</v>
      </c>
      <c r="Q9" s="113">
        <f t="shared" si="0"/>
        <v>0</v>
      </c>
      <c r="R9" s="113">
        <f t="shared" si="0"/>
        <v>0</v>
      </c>
      <c r="S9" s="113">
        <f t="shared" si="0"/>
        <v>0</v>
      </c>
      <c r="T9" s="113">
        <f t="shared" si="0"/>
        <v>0</v>
      </c>
      <c r="U9" s="113">
        <f t="shared" si="0"/>
        <v>0</v>
      </c>
      <c r="V9" s="113">
        <f t="shared" si="0"/>
        <v>0</v>
      </c>
      <c r="W9" s="113">
        <f t="shared" si="0"/>
        <v>0</v>
      </c>
      <c r="X9" s="113">
        <f t="shared" si="0"/>
        <v>0</v>
      </c>
      <c r="Y9" s="113">
        <f t="shared" si="0"/>
        <v>0</v>
      </c>
      <c r="Z9" s="113">
        <f t="shared" si="0"/>
        <v>0</v>
      </c>
      <c r="AA9" s="113">
        <f t="shared" si="0"/>
        <v>0</v>
      </c>
      <c r="AB9" s="113">
        <f t="shared" si="0"/>
        <v>0</v>
      </c>
      <c r="AC9" s="113">
        <f t="shared" si="0"/>
        <v>0</v>
      </c>
      <c r="AD9" s="113">
        <f t="shared" si="0"/>
        <v>0</v>
      </c>
      <c r="AE9" s="113">
        <f t="shared" si="0"/>
        <v>0</v>
      </c>
      <c r="AF9" s="113">
        <f t="shared" si="0"/>
        <v>0</v>
      </c>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2060"/>
  </sheetPr>
  <dimension ref="A1:AH9"/>
  <sheetViews>
    <sheetView workbookViewId="0">
      <selection activeCell="B1" sqref="B1:B1048576"/>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4">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4">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4">
      <c r="A4" s="13" t="s">
        <v>166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4">
      <c r="A5" s="13" t="s">
        <v>167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4">
      <c r="A6" s="13" t="s">
        <v>168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4">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4">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4">
      <c r="A9" s="13" t="s">
        <v>171</v>
      </c>
      <c r="B9">
        <f t="shared" ref="B9:X9" si="0">B6</f>
        <v>0</v>
      </c>
      <c r="C9">
        <f t="shared" si="0"/>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f t="shared" si="0"/>
        <v>0</v>
      </c>
      <c r="X9">
        <f t="shared" si="0"/>
        <v>0</v>
      </c>
      <c r="Y9">
        <v>0</v>
      </c>
      <c r="Z9">
        <v>0</v>
      </c>
      <c r="AA9">
        <v>0</v>
      </c>
      <c r="AB9">
        <v>0</v>
      </c>
      <c r="AC9">
        <v>0</v>
      </c>
      <c r="AD9">
        <v>0</v>
      </c>
      <c r="AE9">
        <v>0</v>
      </c>
      <c r="AF9">
        <v>0</v>
      </c>
    </row>
  </sheetData>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2060"/>
  </sheetPr>
  <dimension ref="A1:AH9"/>
  <sheetViews>
    <sheetView workbookViewId="0">
      <selection activeCell="B1" sqref="B1:B1048576"/>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4">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4">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4">
      <c r="A4" s="13" t="s">
        <v>166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4">
      <c r="A5" s="13" t="s">
        <v>167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4">
      <c r="A6" s="13" t="s">
        <v>168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4">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4">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4">
      <c r="A9" s="13" t="s">
        <v>171</v>
      </c>
      <c r="B9">
        <f t="shared" ref="B9:X9" si="0">B6</f>
        <v>0</v>
      </c>
      <c r="C9">
        <f t="shared" si="0"/>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f t="shared" si="0"/>
        <v>0</v>
      </c>
      <c r="X9">
        <f t="shared" si="0"/>
        <v>0</v>
      </c>
      <c r="Y9">
        <v>0</v>
      </c>
      <c r="Z9">
        <v>0</v>
      </c>
      <c r="AA9">
        <v>0</v>
      </c>
      <c r="AB9">
        <v>0</v>
      </c>
      <c r="AC9">
        <v>0</v>
      </c>
      <c r="AD9">
        <v>0</v>
      </c>
      <c r="AE9">
        <v>0</v>
      </c>
      <c r="AF9">
        <v>0</v>
      </c>
    </row>
  </sheetData>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2060"/>
  </sheetPr>
  <dimension ref="A1:AH9"/>
  <sheetViews>
    <sheetView workbookViewId="0">
      <selection activeCell="B1" sqref="B1:B1048576"/>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4">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4">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4">
      <c r="A4" s="13" t="s">
        <v>166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4">
      <c r="A5" s="13" t="s">
        <v>167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4">
      <c r="A6" s="13" t="s">
        <v>168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4">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4">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4">
      <c r="A9" s="13" t="s">
        <v>171</v>
      </c>
      <c r="B9">
        <f t="shared" ref="B9:X9" si="0">B6</f>
        <v>0</v>
      </c>
      <c r="C9">
        <f t="shared" si="0"/>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f t="shared" si="0"/>
        <v>0</v>
      </c>
      <c r="X9">
        <f t="shared" si="0"/>
        <v>0</v>
      </c>
      <c r="Y9">
        <v>0</v>
      </c>
      <c r="Z9">
        <v>0</v>
      </c>
      <c r="AA9">
        <v>0</v>
      </c>
      <c r="AB9">
        <v>0</v>
      </c>
      <c r="AC9">
        <v>0</v>
      </c>
      <c r="AD9">
        <v>0</v>
      </c>
      <c r="AE9">
        <v>0</v>
      </c>
      <c r="AF9">
        <v>0</v>
      </c>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2060"/>
  </sheetPr>
  <dimension ref="A1:AJ9"/>
  <sheetViews>
    <sheetView workbookViewId="0">
      <selection activeCell="AF9" sqref="B2:AF9"/>
    </sheetView>
  </sheetViews>
  <sheetFormatPr defaultColWidth="9.1796875" defaultRowHeight="14.5"/>
  <cols>
    <col min="1" max="1" width="41.453125" style="14" customWidth="1"/>
    <col min="2" max="26" width="10" style="14" customWidth="1"/>
    <col min="27" max="28" width="9.1796875" style="14" customWidth="1"/>
    <col min="29" max="16384" width="9.1796875" style="14"/>
  </cols>
  <sheetData>
    <row r="1" spans="1:36">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c r="AI1" s="13"/>
      <c r="AJ1" s="13"/>
    </row>
    <row r="2" spans="1:36">
      <c r="A2" s="13" t="s">
        <v>164</v>
      </c>
      <c r="B2">
        <f>'Heavy+crude oil+'!B12</f>
        <v>0</v>
      </c>
      <c r="C2" s="32">
        <f>'Heavy+crude oil+'!C12</f>
        <v>0</v>
      </c>
      <c r="D2" s="32">
        <f>'Heavy+crude oil+'!D12</f>
        <v>0</v>
      </c>
      <c r="E2" s="32">
        <f>'Heavy+crude oil+'!E12</f>
        <v>0</v>
      </c>
      <c r="F2" s="32">
        <f>'Heavy+crude oil+'!F12</f>
        <v>0</v>
      </c>
      <c r="G2" s="32">
        <f>'Heavy+crude oil+'!G12</f>
        <v>0</v>
      </c>
      <c r="H2" s="32">
        <f>'Heavy+crude oil+'!H12</f>
        <v>0</v>
      </c>
      <c r="I2" s="32">
        <f>'Heavy+crude oil+'!I12</f>
        <v>0</v>
      </c>
      <c r="J2" s="32">
        <f>'Heavy+crude oil+'!J12</f>
        <v>0</v>
      </c>
      <c r="K2" s="32">
        <f>'Heavy+crude oil+'!K12</f>
        <v>0</v>
      </c>
      <c r="L2" s="32">
        <f>'Heavy+crude oil+'!L12</f>
        <v>0</v>
      </c>
      <c r="M2" s="32">
        <f>'Heavy+crude oil+'!M12</f>
        <v>0</v>
      </c>
      <c r="N2" s="32">
        <f>'Heavy+crude oil+'!N12</f>
        <v>0</v>
      </c>
      <c r="O2" s="32">
        <f>'Heavy+crude oil+'!O12</f>
        <v>0</v>
      </c>
      <c r="P2" s="32">
        <f>'Heavy+crude oil+'!P12</f>
        <v>0</v>
      </c>
      <c r="Q2" s="32">
        <f>'Heavy+crude oil+'!Q12</f>
        <v>0</v>
      </c>
      <c r="R2" s="32">
        <f>'Heavy+crude oil+'!R12</f>
        <v>0</v>
      </c>
      <c r="S2" s="32">
        <f>'Heavy+crude oil+'!S12</f>
        <v>0</v>
      </c>
      <c r="T2" s="32">
        <f>'Heavy+crude oil+'!T12</f>
        <v>0</v>
      </c>
      <c r="U2" s="32">
        <f>'Heavy+crude oil+'!U12</f>
        <v>0</v>
      </c>
      <c r="V2" s="32">
        <f>'Heavy+crude oil+'!V12</f>
        <v>0</v>
      </c>
      <c r="W2" s="32">
        <f>'Heavy+crude oil+'!W12</f>
        <v>0</v>
      </c>
      <c r="X2" s="32">
        <f>'Heavy+crude oil+'!X12</f>
        <v>0</v>
      </c>
      <c r="Y2" s="32">
        <f>'Heavy+crude oil+'!Y12</f>
        <v>0</v>
      </c>
      <c r="Z2" s="32">
        <f>'Heavy+crude oil+'!Z12</f>
        <v>0</v>
      </c>
      <c r="AA2" s="32">
        <f>'Heavy+crude oil+'!AA12</f>
        <v>0</v>
      </c>
      <c r="AB2" s="32">
        <f>'Heavy+crude oil+'!AB12</f>
        <v>0</v>
      </c>
      <c r="AC2" s="32">
        <f>'Heavy+crude oil+'!AC12</f>
        <v>0</v>
      </c>
      <c r="AD2" s="32">
        <f>'Heavy+crude oil+'!AD12</f>
        <v>0</v>
      </c>
      <c r="AE2" s="32">
        <f>'Heavy+crude oil+'!AE12</f>
        <v>0</v>
      </c>
      <c r="AF2" s="32">
        <f>'Heavy+crude oil+'!AF12</f>
        <v>0</v>
      </c>
    </row>
    <row r="3" spans="1:36">
      <c r="A3" s="13" t="s">
        <v>165</v>
      </c>
      <c r="B3" s="21">
        <f>'Heavy+crude oil+'!B13</f>
        <v>1.914775361604024E-6</v>
      </c>
      <c r="C3" s="21">
        <f>'Heavy+crude oil+'!C13</f>
        <v>1.914775361604024E-6</v>
      </c>
      <c r="D3" s="21">
        <f>'Heavy+crude oil+'!D13</f>
        <v>1.914775361604024E-6</v>
      </c>
      <c r="E3" s="21">
        <f>'Heavy+crude oil+'!E13</f>
        <v>1.914775361604024E-6</v>
      </c>
      <c r="F3" s="21">
        <f>'Heavy+crude oil+'!F13</f>
        <v>1.914775361604024E-6</v>
      </c>
      <c r="G3" s="21">
        <f>'Heavy+crude oil+'!G13</f>
        <v>1.914775361604024E-6</v>
      </c>
      <c r="H3" s="21">
        <f>'Heavy+crude oil+'!H13</f>
        <v>1.914775361604024E-6</v>
      </c>
      <c r="I3" s="21">
        <f>'Heavy+crude oil+'!I13</f>
        <v>1.914775361604024E-6</v>
      </c>
      <c r="J3" s="21">
        <f>'Heavy+crude oil+'!J13</f>
        <v>1.914775361604024E-6</v>
      </c>
      <c r="K3" s="21">
        <f>'Heavy+crude oil+'!K13</f>
        <v>1.914775361604024E-6</v>
      </c>
      <c r="L3" s="21">
        <f>'Heavy+crude oil+'!L13</f>
        <v>1.914775361604024E-6</v>
      </c>
      <c r="M3" s="21">
        <f>'Heavy+crude oil+'!M13</f>
        <v>1.914775361604024E-6</v>
      </c>
      <c r="N3" s="21">
        <f>'Heavy+crude oil+'!N13</f>
        <v>1.914775361604024E-6</v>
      </c>
      <c r="O3" s="21">
        <f>'Heavy+crude oil+'!O13</f>
        <v>1.914775361604024E-6</v>
      </c>
      <c r="P3" s="21">
        <f>'Heavy+crude oil+'!P13</f>
        <v>1.914775361604024E-6</v>
      </c>
      <c r="Q3" s="21">
        <f>'Heavy+crude oil+'!Q13</f>
        <v>1.914775361604024E-6</v>
      </c>
      <c r="R3" s="21">
        <f>'Heavy+crude oil+'!R13</f>
        <v>1.914775361604024E-6</v>
      </c>
      <c r="S3" s="21">
        <f>'Heavy+crude oil+'!S13</f>
        <v>1.914775361604024E-6</v>
      </c>
      <c r="T3" s="21">
        <f>'Heavy+crude oil+'!T13</f>
        <v>1.914775361604024E-6</v>
      </c>
      <c r="U3" s="21">
        <f>'Heavy+crude oil+'!U13</f>
        <v>1.914775361604024E-6</v>
      </c>
      <c r="V3" s="21">
        <f>'Heavy+crude oil+'!V13</f>
        <v>1.914775361604024E-6</v>
      </c>
      <c r="W3" s="21">
        <f>'Heavy+crude oil+'!W13</f>
        <v>1.914775361604024E-6</v>
      </c>
      <c r="X3" s="21">
        <f>'Heavy+crude oil+'!X13</f>
        <v>1.914775361604024E-6</v>
      </c>
      <c r="Y3" s="21">
        <f>'Heavy+crude oil+'!Y13</f>
        <v>1.914775361604024E-6</v>
      </c>
      <c r="Z3" s="21">
        <f>'Heavy+crude oil+'!Z13</f>
        <v>1.914775361604024E-6</v>
      </c>
      <c r="AA3" s="21">
        <f>'Heavy+crude oil+'!AA13</f>
        <v>1.914775361604024E-6</v>
      </c>
      <c r="AB3" s="21">
        <f>'Heavy+crude oil+'!AB13</f>
        <v>1.914775361604024E-6</v>
      </c>
      <c r="AC3" s="21">
        <f>'Heavy+crude oil+'!AC13</f>
        <v>1.914775361604024E-6</v>
      </c>
      <c r="AD3" s="21">
        <f>'Heavy+crude oil+'!AD13</f>
        <v>1.914775361604024E-6</v>
      </c>
      <c r="AE3" s="21">
        <f>'Heavy+crude oil+'!AE13</f>
        <v>1.914775361604024E-6</v>
      </c>
      <c r="AF3" s="21">
        <f>'Heavy+crude oil+'!AF13</f>
        <v>1.914775361604024E-6</v>
      </c>
      <c r="AG3" s="21"/>
      <c r="AH3" s="21"/>
    </row>
    <row r="4" spans="1:36">
      <c r="A4" s="13" t="s">
        <v>166</v>
      </c>
      <c r="B4" s="21">
        <f>'Heavy+crude oil+'!B14</f>
        <v>9.41773632788932E-6</v>
      </c>
      <c r="C4" s="21">
        <f>'Heavy+crude oil+'!C14</f>
        <v>9.41773632788932E-6</v>
      </c>
      <c r="D4" s="21">
        <f>'Heavy+crude oil+'!D14</f>
        <v>9.41773632788932E-6</v>
      </c>
      <c r="E4" s="21">
        <f>'Heavy+crude oil+'!E14</f>
        <v>9.41773632788932E-6</v>
      </c>
      <c r="F4" s="21">
        <f>'Heavy+crude oil+'!F14</f>
        <v>9.41773632788932E-6</v>
      </c>
      <c r="G4" s="21">
        <f>'Heavy+crude oil+'!G14</f>
        <v>9.41773632788932E-6</v>
      </c>
      <c r="H4" s="21">
        <f>'Heavy+crude oil+'!H14</f>
        <v>9.41773632788932E-6</v>
      </c>
      <c r="I4" s="21">
        <f>'Heavy+crude oil+'!I14</f>
        <v>9.41773632788932E-6</v>
      </c>
      <c r="J4" s="21">
        <f>'Heavy+crude oil+'!J14</f>
        <v>9.41773632788932E-6</v>
      </c>
      <c r="K4" s="21">
        <f>'Heavy+crude oil+'!K14</f>
        <v>9.41773632788932E-6</v>
      </c>
      <c r="L4" s="21">
        <f>'Heavy+crude oil+'!L14</f>
        <v>9.41773632788932E-6</v>
      </c>
      <c r="M4" s="21">
        <f>'Heavy+crude oil+'!M14</f>
        <v>9.41773632788932E-6</v>
      </c>
      <c r="N4" s="21">
        <f>'Heavy+crude oil+'!N14</f>
        <v>9.41773632788932E-6</v>
      </c>
      <c r="O4" s="21">
        <f>'Heavy+crude oil+'!O14</f>
        <v>9.41773632788932E-6</v>
      </c>
      <c r="P4" s="21">
        <f>'Heavy+crude oil+'!P14</f>
        <v>9.41773632788932E-6</v>
      </c>
      <c r="Q4" s="21">
        <f>'Heavy+crude oil+'!Q14</f>
        <v>9.41773632788932E-6</v>
      </c>
      <c r="R4" s="21">
        <f>'Heavy+crude oil+'!R14</f>
        <v>9.41773632788932E-6</v>
      </c>
      <c r="S4" s="21">
        <f>'Heavy+crude oil+'!S14</f>
        <v>9.41773632788932E-6</v>
      </c>
      <c r="T4" s="21">
        <f>'Heavy+crude oil+'!T14</f>
        <v>9.41773632788932E-6</v>
      </c>
      <c r="U4" s="21">
        <f>'Heavy+crude oil+'!U14</f>
        <v>9.41773632788932E-6</v>
      </c>
      <c r="V4" s="21">
        <f>'Heavy+crude oil+'!V14</f>
        <v>9.41773632788932E-6</v>
      </c>
      <c r="W4" s="21">
        <f>'Heavy+crude oil+'!W14</f>
        <v>9.41773632788932E-6</v>
      </c>
      <c r="X4" s="21">
        <f>'Heavy+crude oil+'!X14</f>
        <v>9.41773632788932E-6</v>
      </c>
      <c r="Y4" s="21">
        <f>'Heavy+crude oil+'!Y14</f>
        <v>9.41773632788932E-6</v>
      </c>
      <c r="Z4" s="21">
        <f>'Heavy+crude oil+'!Z14</f>
        <v>9.41773632788932E-6</v>
      </c>
      <c r="AA4" s="21">
        <f>'Heavy+crude oil+'!AA14</f>
        <v>9.41773632788932E-6</v>
      </c>
      <c r="AB4" s="21">
        <f>'Heavy+crude oil+'!AB14</f>
        <v>9.41773632788932E-6</v>
      </c>
      <c r="AC4" s="21">
        <f>'Heavy+crude oil+'!AC14</f>
        <v>9.41773632788932E-6</v>
      </c>
      <c r="AD4" s="21">
        <f>'Heavy+crude oil+'!AD14</f>
        <v>9.41773632788932E-6</v>
      </c>
      <c r="AE4" s="21">
        <f>'Heavy+crude oil+'!AE14</f>
        <v>9.41773632788932E-6</v>
      </c>
      <c r="AF4" s="21">
        <f>'Heavy+crude oil+'!AF14</f>
        <v>9.41773632788932E-6</v>
      </c>
      <c r="AG4" s="21"/>
      <c r="AH4" s="21"/>
    </row>
    <row r="5" spans="1:36">
      <c r="A5" s="13" t="s">
        <v>167</v>
      </c>
      <c r="B5" s="21">
        <f>'Heavy+crude oil+'!B15</f>
        <v>2.2270563218656246E-6</v>
      </c>
      <c r="C5" s="21">
        <f>'Heavy+crude oil+'!C15</f>
        <v>2.2270563218656246E-6</v>
      </c>
      <c r="D5" s="21">
        <f>'Heavy+crude oil+'!D15</f>
        <v>2.2270563218656246E-6</v>
      </c>
      <c r="E5" s="21">
        <f>'Heavy+crude oil+'!E15</f>
        <v>2.2270563218656246E-6</v>
      </c>
      <c r="F5" s="21">
        <f>'Heavy+crude oil+'!F15</f>
        <v>2.2270563218656246E-6</v>
      </c>
      <c r="G5" s="21">
        <f>'Heavy+crude oil+'!G15</f>
        <v>2.2270563218656246E-6</v>
      </c>
      <c r="H5" s="21">
        <f>'Heavy+crude oil+'!H15</f>
        <v>2.2270563218656246E-6</v>
      </c>
      <c r="I5" s="21">
        <f>'Heavy+crude oil+'!I15</f>
        <v>2.2270563218656246E-6</v>
      </c>
      <c r="J5" s="21">
        <f>'Heavy+crude oil+'!J15</f>
        <v>2.2270563218656246E-6</v>
      </c>
      <c r="K5" s="21">
        <f>'Heavy+crude oil+'!K15</f>
        <v>2.2270563218656246E-6</v>
      </c>
      <c r="L5" s="21">
        <f>'Heavy+crude oil+'!L15</f>
        <v>2.2270563218656246E-6</v>
      </c>
      <c r="M5" s="21">
        <f>'Heavy+crude oil+'!M15</f>
        <v>2.2270563218656246E-6</v>
      </c>
      <c r="N5" s="21">
        <f>'Heavy+crude oil+'!N15</f>
        <v>2.2270563218656246E-6</v>
      </c>
      <c r="O5" s="21">
        <f>'Heavy+crude oil+'!O15</f>
        <v>2.2270563218656246E-6</v>
      </c>
      <c r="P5" s="21">
        <f>'Heavy+crude oil+'!P15</f>
        <v>2.2270563218656246E-6</v>
      </c>
      <c r="Q5" s="21">
        <f>'Heavy+crude oil+'!Q15</f>
        <v>2.2270563218656246E-6</v>
      </c>
      <c r="R5" s="21">
        <f>'Heavy+crude oil+'!R15</f>
        <v>2.2270563218656246E-6</v>
      </c>
      <c r="S5" s="21">
        <f>'Heavy+crude oil+'!S15</f>
        <v>2.2270563218656246E-6</v>
      </c>
      <c r="T5" s="21">
        <f>'Heavy+crude oil+'!T15</f>
        <v>2.2270563218656246E-6</v>
      </c>
      <c r="U5" s="21">
        <f>'Heavy+crude oil+'!U15</f>
        <v>2.2270563218656246E-6</v>
      </c>
      <c r="V5" s="21">
        <f>'Heavy+crude oil+'!V15</f>
        <v>2.2270563218656246E-6</v>
      </c>
      <c r="W5" s="21">
        <f>'Heavy+crude oil+'!W15</f>
        <v>2.2270563218656246E-6</v>
      </c>
      <c r="X5" s="21">
        <f>'Heavy+crude oil+'!X15</f>
        <v>2.2270563218656246E-6</v>
      </c>
      <c r="Y5" s="21">
        <f>'Heavy+crude oil+'!Y15</f>
        <v>2.2270563218656246E-6</v>
      </c>
      <c r="Z5" s="21">
        <f>'Heavy+crude oil+'!Z15</f>
        <v>2.2270563218656246E-6</v>
      </c>
      <c r="AA5" s="21">
        <f>'Heavy+crude oil+'!AA15</f>
        <v>2.2270563218656246E-6</v>
      </c>
      <c r="AB5" s="21">
        <f>'Heavy+crude oil+'!AB15</f>
        <v>2.2270563218656246E-6</v>
      </c>
      <c r="AC5" s="21">
        <f>'Heavy+crude oil+'!AC15</f>
        <v>2.2270563218656246E-6</v>
      </c>
      <c r="AD5" s="21">
        <f>'Heavy+crude oil+'!AD15</f>
        <v>2.2270563218656246E-6</v>
      </c>
      <c r="AE5" s="21">
        <f>'Heavy+crude oil+'!AE15</f>
        <v>2.2270563218656246E-6</v>
      </c>
      <c r="AF5" s="21">
        <f>'Heavy+crude oil+'!AF15</f>
        <v>2.2270563218656246E-6</v>
      </c>
      <c r="AG5" s="21"/>
      <c r="AH5" s="21"/>
    </row>
    <row r="6" spans="1:36">
      <c r="A6" s="13" t="s">
        <v>168</v>
      </c>
      <c r="B6" s="21">
        <f>'Heavy+crude oil+'!B16</f>
        <v>2.136659201789898E-6</v>
      </c>
      <c r="C6" s="21">
        <f>'Heavy+crude oil+'!C16</f>
        <v>2.136659201789898E-6</v>
      </c>
      <c r="D6" s="21">
        <f>'Heavy+crude oil+'!D16</f>
        <v>2.136659201789898E-6</v>
      </c>
      <c r="E6" s="21">
        <f>'Heavy+crude oil+'!E16</f>
        <v>2.136659201789898E-6</v>
      </c>
      <c r="F6" s="21">
        <f>'Heavy+crude oil+'!F16</f>
        <v>2.136659201789898E-6</v>
      </c>
      <c r="G6" s="21">
        <f>'Heavy+crude oil+'!G16</f>
        <v>2.136659201789898E-6</v>
      </c>
      <c r="H6" s="21">
        <f>'Heavy+crude oil+'!H16</f>
        <v>2.136659201789898E-6</v>
      </c>
      <c r="I6" s="21">
        <f>'Heavy+crude oil+'!I16</f>
        <v>2.136659201789898E-6</v>
      </c>
      <c r="J6" s="21">
        <f>'Heavy+crude oil+'!J16</f>
        <v>2.136659201789898E-6</v>
      </c>
      <c r="K6" s="21">
        <f>'Heavy+crude oil+'!K16</f>
        <v>2.136659201789898E-6</v>
      </c>
      <c r="L6" s="21">
        <f>'Heavy+crude oil+'!L16</f>
        <v>2.136659201789898E-6</v>
      </c>
      <c r="M6" s="21">
        <f>'Heavy+crude oil+'!M16</f>
        <v>2.136659201789898E-6</v>
      </c>
      <c r="N6" s="21">
        <f>'Heavy+crude oil+'!N16</f>
        <v>2.136659201789898E-6</v>
      </c>
      <c r="O6" s="21">
        <f>'Heavy+crude oil+'!O16</f>
        <v>2.136659201789898E-6</v>
      </c>
      <c r="P6" s="21">
        <f>'Heavy+crude oil+'!P16</f>
        <v>2.136659201789898E-6</v>
      </c>
      <c r="Q6" s="21">
        <f>'Heavy+crude oil+'!Q16</f>
        <v>2.136659201789898E-6</v>
      </c>
      <c r="R6" s="21">
        <f>'Heavy+crude oil+'!R16</f>
        <v>2.136659201789898E-6</v>
      </c>
      <c r="S6" s="21">
        <f>'Heavy+crude oil+'!S16</f>
        <v>2.136659201789898E-6</v>
      </c>
      <c r="T6" s="21">
        <f>'Heavy+crude oil+'!T16</f>
        <v>2.136659201789898E-6</v>
      </c>
      <c r="U6" s="21">
        <f>'Heavy+crude oil+'!U16</f>
        <v>2.136659201789898E-6</v>
      </c>
      <c r="V6" s="21">
        <f>'Heavy+crude oil+'!V16</f>
        <v>2.136659201789898E-6</v>
      </c>
      <c r="W6" s="21">
        <f>'Heavy+crude oil+'!W16</f>
        <v>2.136659201789898E-6</v>
      </c>
      <c r="X6" s="21">
        <f>'Heavy+crude oil+'!X16</f>
        <v>2.136659201789898E-6</v>
      </c>
      <c r="Y6" s="21">
        <f>'Heavy+crude oil+'!Y16</f>
        <v>2.136659201789898E-6</v>
      </c>
      <c r="Z6" s="21">
        <f>'Heavy+crude oil+'!Z16</f>
        <v>2.136659201789898E-6</v>
      </c>
      <c r="AA6" s="21">
        <f>'Heavy+crude oil+'!AA16</f>
        <v>2.136659201789898E-6</v>
      </c>
      <c r="AB6" s="21">
        <f>'Heavy+crude oil+'!AB16</f>
        <v>2.136659201789898E-6</v>
      </c>
      <c r="AC6" s="21">
        <f>'Heavy+crude oil+'!AC16</f>
        <v>2.136659201789898E-6</v>
      </c>
      <c r="AD6" s="21">
        <f>'Heavy+crude oil+'!AD16</f>
        <v>2.136659201789898E-6</v>
      </c>
      <c r="AE6" s="21">
        <f>'Heavy+crude oil+'!AE16</f>
        <v>2.136659201789898E-6</v>
      </c>
      <c r="AF6" s="21">
        <f>'Heavy+crude oil+'!AF16</f>
        <v>2.136659201789898E-6</v>
      </c>
      <c r="AG6" s="21"/>
      <c r="AH6" s="21"/>
    </row>
    <row r="7" spans="1:36">
      <c r="A7" s="13" t="s">
        <v>169</v>
      </c>
      <c r="B7" s="21">
        <f>$B$3</f>
        <v>1.914775361604024E-6</v>
      </c>
      <c r="C7" s="21">
        <f t="shared" ref="C7:AF7" si="0">$B$3</f>
        <v>1.914775361604024E-6</v>
      </c>
      <c r="D7" s="21">
        <f t="shared" si="0"/>
        <v>1.914775361604024E-6</v>
      </c>
      <c r="E7" s="21">
        <f t="shared" si="0"/>
        <v>1.914775361604024E-6</v>
      </c>
      <c r="F7" s="21">
        <f t="shared" si="0"/>
        <v>1.914775361604024E-6</v>
      </c>
      <c r="G7" s="21">
        <f t="shared" si="0"/>
        <v>1.914775361604024E-6</v>
      </c>
      <c r="H7" s="21">
        <f t="shared" si="0"/>
        <v>1.914775361604024E-6</v>
      </c>
      <c r="I7" s="21">
        <f t="shared" si="0"/>
        <v>1.914775361604024E-6</v>
      </c>
      <c r="J7" s="21">
        <f t="shared" si="0"/>
        <v>1.914775361604024E-6</v>
      </c>
      <c r="K7" s="21">
        <f t="shared" si="0"/>
        <v>1.914775361604024E-6</v>
      </c>
      <c r="L7" s="21">
        <f t="shared" si="0"/>
        <v>1.914775361604024E-6</v>
      </c>
      <c r="M7" s="21">
        <f t="shared" si="0"/>
        <v>1.914775361604024E-6</v>
      </c>
      <c r="N7" s="21">
        <f t="shared" si="0"/>
        <v>1.914775361604024E-6</v>
      </c>
      <c r="O7" s="21">
        <f t="shared" si="0"/>
        <v>1.914775361604024E-6</v>
      </c>
      <c r="P7" s="21">
        <f t="shared" si="0"/>
        <v>1.914775361604024E-6</v>
      </c>
      <c r="Q7" s="21">
        <f t="shared" si="0"/>
        <v>1.914775361604024E-6</v>
      </c>
      <c r="R7" s="21">
        <f t="shared" si="0"/>
        <v>1.914775361604024E-6</v>
      </c>
      <c r="S7" s="21">
        <f t="shared" si="0"/>
        <v>1.914775361604024E-6</v>
      </c>
      <c r="T7" s="21">
        <f t="shared" si="0"/>
        <v>1.914775361604024E-6</v>
      </c>
      <c r="U7" s="21">
        <f t="shared" si="0"/>
        <v>1.914775361604024E-6</v>
      </c>
      <c r="V7" s="21">
        <f t="shared" si="0"/>
        <v>1.914775361604024E-6</v>
      </c>
      <c r="W7" s="21">
        <f t="shared" si="0"/>
        <v>1.914775361604024E-6</v>
      </c>
      <c r="X7" s="21">
        <f t="shared" si="0"/>
        <v>1.914775361604024E-6</v>
      </c>
      <c r="Y7" s="21">
        <f t="shared" si="0"/>
        <v>1.914775361604024E-6</v>
      </c>
      <c r="Z7" s="21">
        <f t="shared" si="0"/>
        <v>1.914775361604024E-6</v>
      </c>
      <c r="AA7" s="21">
        <f t="shared" si="0"/>
        <v>1.914775361604024E-6</v>
      </c>
      <c r="AB7" s="21">
        <f t="shared" si="0"/>
        <v>1.914775361604024E-6</v>
      </c>
      <c r="AC7" s="21">
        <f t="shared" si="0"/>
        <v>1.914775361604024E-6</v>
      </c>
      <c r="AD7" s="21">
        <f t="shared" si="0"/>
        <v>1.914775361604024E-6</v>
      </c>
      <c r="AE7" s="21">
        <f t="shared" si="0"/>
        <v>1.914775361604024E-6</v>
      </c>
      <c r="AF7" s="21">
        <f t="shared" si="0"/>
        <v>1.914775361604024E-6</v>
      </c>
      <c r="AG7" s="21"/>
      <c r="AH7" s="21"/>
    </row>
    <row r="8" spans="1:36">
      <c r="A8" s="13" t="s">
        <v>170</v>
      </c>
      <c r="B8">
        <v>0</v>
      </c>
      <c r="C8" s="113">
        <v>0</v>
      </c>
      <c r="D8" s="113">
        <v>0</v>
      </c>
      <c r="E8" s="113">
        <v>0</v>
      </c>
      <c r="F8" s="113">
        <v>0</v>
      </c>
      <c r="G8" s="113">
        <v>0</v>
      </c>
      <c r="H8" s="113">
        <v>0</v>
      </c>
      <c r="I8" s="113">
        <v>0</v>
      </c>
      <c r="J8" s="113">
        <v>0</v>
      </c>
      <c r="K8" s="113">
        <v>0</v>
      </c>
      <c r="L8" s="113">
        <v>0</v>
      </c>
      <c r="M8" s="113">
        <v>0</v>
      </c>
      <c r="N8" s="113">
        <v>0</v>
      </c>
      <c r="O8" s="113">
        <v>0</v>
      </c>
      <c r="P8" s="113">
        <v>0</v>
      </c>
      <c r="Q8" s="113">
        <v>0</v>
      </c>
      <c r="R8" s="113">
        <v>0</v>
      </c>
      <c r="S8" s="113">
        <v>0</v>
      </c>
      <c r="T8" s="113">
        <v>0</v>
      </c>
      <c r="U8" s="113">
        <v>0</v>
      </c>
      <c r="V8" s="113">
        <v>0</v>
      </c>
      <c r="W8" s="113">
        <v>0</v>
      </c>
      <c r="X8" s="113">
        <v>0</v>
      </c>
      <c r="Y8" s="113">
        <v>0</v>
      </c>
      <c r="Z8" s="113">
        <v>0</v>
      </c>
      <c r="AA8" s="113">
        <v>0</v>
      </c>
      <c r="AB8" s="113">
        <v>0</v>
      </c>
      <c r="AC8" s="113">
        <v>0</v>
      </c>
      <c r="AD8" s="113">
        <v>0</v>
      </c>
      <c r="AE8" s="113">
        <v>0</v>
      </c>
      <c r="AF8" s="113">
        <v>0</v>
      </c>
    </row>
    <row r="9" spans="1:36">
      <c r="A9" s="13" t="s">
        <v>171</v>
      </c>
      <c r="B9" s="21">
        <f>$B$6</f>
        <v>2.136659201789898E-6</v>
      </c>
      <c r="C9" s="21">
        <f t="shared" ref="C9:AF9" si="1">$B$6</f>
        <v>2.136659201789898E-6</v>
      </c>
      <c r="D9" s="21">
        <f t="shared" si="1"/>
        <v>2.136659201789898E-6</v>
      </c>
      <c r="E9" s="21">
        <f t="shared" si="1"/>
        <v>2.136659201789898E-6</v>
      </c>
      <c r="F9" s="21">
        <f t="shared" si="1"/>
        <v>2.136659201789898E-6</v>
      </c>
      <c r="G9" s="21">
        <f t="shared" si="1"/>
        <v>2.136659201789898E-6</v>
      </c>
      <c r="H9" s="21">
        <f t="shared" si="1"/>
        <v>2.136659201789898E-6</v>
      </c>
      <c r="I9" s="21">
        <f t="shared" si="1"/>
        <v>2.136659201789898E-6</v>
      </c>
      <c r="J9" s="21">
        <f t="shared" si="1"/>
        <v>2.136659201789898E-6</v>
      </c>
      <c r="K9" s="21">
        <f t="shared" si="1"/>
        <v>2.136659201789898E-6</v>
      </c>
      <c r="L9" s="21">
        <f t="shared" si="1"/>
        <v>2.136659201789898E-6</v>
      </c>
      <c r="M9" s="21">
        <f t="shared" si="1"/>
        <v>2.136659201789898E-6</v>
      </c>
      <c r="N9" s="21">
        <f t="shared" si="1"/>
        <v>2.136659201789898E-6</v>
      </c>
      <c r="O9" s="21">
        <f t="shared" si="1"/>
        <v>2.136659201789898E-6</v>
      </c>
      <c r="P9" s="21">
        <f t="shared" si="1"/>
        <v>2.136659201789898E-6</v>
      </c>
      <c r="Q9" s="21">
        <f t="shared" si="1"/>
        <v>2.136659201789898E-6</v>
      </c>
      <c r="R9" s="21">
        <f t="shared" si="1"/>
        <v>2.136659201789898E-6</v>
      </c>
      <c r="S9" s="21">
        <f t="shared" si="1"/>
        <v>2.136659201789898E-6</v>
      </c>
      <c r="T9" s="21">
        <f t="shared" si="1"/>
        <v>2.136659201789898E-6</v>
      </c>
      <c r="U9" s="21">
        <f t="shared" si="1"/>
        <v>2.136659201789898E-6</v>
      </c>
      <c r="V9" s="21">
        <f t="shared" si="1"/>
        <v>2.136659201789898E-6</v>
      </c>
      <c r="W9" s="21">
        <f t="shared" si="1"/>
        <v>2.136659201789898E-6</v>
      </c>
      <c r="X9" s="21">
        <f t="shared" si="1"/>
        <v>2.136659201789898E-6</v>
      </c>
      <c r="Y9" s="21">
        <f t="shared" si="1"/>
        <v>2.136659201789898E-6</v>
      </c>
      <c r="Z9" s="21">
        <f t="shared" si="1"/>
        <v>2.136659201789898E-6</v>
      </c>
      <c r="AA9" s="21">
        <f t="shared" si="1"/>
        <v>2.136659201789898E-6</v>
      </c>
      <c r="AB9" s="21">
        <f t="shared" si="1"/>
        <v>2.136659201789898E-6</v>
      </c>
      <c r="AC9" s="21">
        <f t="shared" si="1"/>
        <v>2.136659201789898E-6</v>
      </c>
      <c r="AD9" s="21">
        <f t="shared" si="1"/>
        <v>2.136659201789898E-6</v>
      </c>
      <c r="AE9" s="21">
        <f t="shared" si="1"/>
        <v>2.136659201789898E-6</v>
      </c>
      <c r="AF9" s="21">
        <f t="shared" si="1"/>
        <v>2.136659201789898E-6</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2060"/>
  </sheetPr>
  <dimension ref="A1:AH9"/>
  <sheetViews>
    <sheetView workbookViewId="0">
      <selection activeCell="D2" sqref="D2"/>
    </sheetView>
  </sheetViews>
  <sheetFormatPr defaultColWidth="9.1796875" defaultRowHeight="14.5"/>
  <cols>
    <col min="1" max="1" width="41.453125" style="14" customWidth="1"/>
    <col min="2" max="24" width="10" style="14" customWidth="1"/>
    <col min="25" max="26" width="9.1796875" style="14" customWidth="1"/>
    <col min="27" max="32" width="11.81640625" style="14" bestFit="1" customWidth="1"/>
    <col min="33" max="16384" width="9.1796875" style="14"/>
  </cols>
  <sheetData>
    <row r="1" spans="1:34">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181">
        <f>'Gasoline+diesel'!B3</f>
        <v>1.897844206120575E-5</v>
      </c>
      <c r="C2" s="181">
        <f>'Gasoline+diesel'!C3</f>
        <v>2.3729259248938678E-5</v>
      </c>
      <c r="D2" s="181">
        <f>'Gasoline+diesel'!D3</f>
        <v>3.0566314487480428E-5</v>
      </c>
      <c r="E2" s="181">
        <f>'Gasoline+diesel'!E3</f>
        <v>2.6953100054845137E-5</v>
      </c>
      <c r="F2" s="181">
        <f>'Gasoline+diesel'!F3</f>
        <v>2.4732968481484736E-5</v>
      </c>
      <c r="G2" s="181">
        <f>'Gasoline+diesel'!G3</f>
        <v>2.2528040595838498E-5</v>
      </c>
      <c r="H2" s="181">
        <f>'Gasoline+diesel'!H3</f>
        <v>2.0232892602106437E-5</v>
      </c>
      <c r="I2" s="181">
        <f>'Gasoline+diesel'!I3</f>
        <v>2.0474716641990702E-5</v>
      </c>
      <c r="J2" s="181">
        <f>'Gasoline+diesel'!J3</f>
        <v>2.069603801531481E-5</v>
      </c>
      <c r="K2" s="181">
        <f>'Gasoline+diesel'!K3</f>
        <v>2.0851360634719926E-5</v>
      </c>
      <c r="L2" s="181">
        <f>'Gasoline+diesel'!L3</f>
        <v>2.1366640481871537E-5</v>
      </c>
      <c r="M2" s="181">
        <f>'Gasoline+diesel'!M3</f>
        <v>2.2050971379704918E-5</v>
      </c>
      <c r="N2" s="181">
        <f>'Gasoline+diesel'!N3</f>
        <v>2.227482322096632E-5</v>
      </c>
      <c r="O2" s="181">
        <f>'Gasoline+diesel'!O3</f>
        <v>2.2459338038338914E-5</v>
      </c>
      <c r="P2" s="181">
        <f>'Gasoline+diesel'!P3</f>
        <v>2.2633437170558873E-5</v>
      </c>
      <c r="Q2" s="181">
        <f>'Gasoline+diesel'!Q3</f>
        <v>2.2718629285058851E-5</v>
      </c>
      <c r="R2" s="181">
        <f>'Gasoline+diesel'!R3</f>
        <v>2.2880132085772371E-5</v>
      </c>
      <c r="S2" s="181">
        <f>'Gasoline+diesel'!S3</f>
        <v>2.3023534144499E-5</v>
      </c>
      <c r="T2" s="181">
        <f>'Gasoline+diesel'!T3</f>
        <v>2.3276051155935423E-5</v>
      </c>
      <c r="U2" s="181">
        <f>'Gasoline+diesel'!U3</f>
        <v>2.3288378464544326E-5</v>
      </c>
      <c r="V2" s="181">
        <f>'Gasoline+diesel'!V3</f>
        <v>2.3471260781193948E-5</v>
      </c>
      <c r="W2" s="181">
        <f>'Gasoline+diesel'!W3</f>
        <v>2.3619956990184169E-5</v>
      </c>
      <c r="X2" s="181">
        <f>'Gasoline+diesel'!X3</f>
        <v>2.3657589896332906E-5</v>
      </c>
      <c r="Y2" s="181">
        <f>'Gasoline+diesel'!Y3</f>
        <v>2.3892365169034802E-5</v>
      </c>
      <c r="Z2" s="181">
        <f>'Gasoline+diesel'!Z3</f>
        <v>2.4118304003627652E-5</v>
      </c>
      <c r="AA2" s="181">
        <f>'Gasoline+diesel'!AA3</f>
        <v>2.4195608146411628E-5</v>
      </c>
      <c r="AB2" s="181">
        <f>'Gasoline+diesel'!AB3</f>
        <v>2.4389367986157462E-5</v>
      </c>
      <c r="AC2" s="181">
        <f>'Gasoline+diesel'!AC3</f>
        <v>2.4464490564420749E-5</v>
      </c>
      <c r="AD2" s="181">
        <f>'Gasoline+diesel'!AD3</f>
        <v>2.4398744306395362E-5</v>
      </c>
      <c r="AE2" s="181">
        <f>'Gasoline+diesel'!AE3</f>
        <v>2.4413178808007197E-5</v>
      </c>
      <c r="AF2" s="181">
        <f>'Gasoline+diesel'!AF3</f>
        <v>2.4408399749366551E-5</v>
      </c>
      <c r="AG2" s="26"/>
      <c r="AH2" s="26"/>
    </row>
    <row r="3" spans="1:34">
      <c r="A3" s="13" t="s">
        <v>165</v>
      </c>
      <c r="B3" s="181">
        <f>B2</f>
        <v>1.897844206120575E-5</v>
      </c>
      <c r="C3" s="181">
        <f t="shared" ref="C3:AF3" si="0">C2</f>
        <v>2.3729259248938678E-5</v>
      </c>
      <c r="D3" s="181">
        <f t="shared" si="0"/>
        <v>3.0566314487480428E-5</v>
      </c>
      <c r="E3" s="181">
        <f t="shared" si="0"/>
        <v>2.6953100054845137E-5</v>
      </c>
      <c r="F3" s="181">
        <f t="shared" si="0"/>
        <v>2.4732968481484736E-5</v>
      </c>
      <c r="G3" s="181">
        <f t="shared" si="0"/>
        <v>2.2528040595838498E-5</v>
      </c>
      <c r="H3" s="181">
        <f t="shared" si="0"/>
        <v>2.0232892602106437E-5</v>
      </c>
      <c r="I3" s="181">
        <f t="shared" si="0"/>
        <v>2.0474716641990702E-5</v>
      </c>
      <c r="J3" s="181">
        <f t="shared" si="0"/>
        <v>2.069603801531481E-5</v>
      </c>
      <c r="K3" s="181">
        <f t="shared" si="0"/>
        <v>2.0851360634719926E-5</v>
      </c>
      <c r="L3" s="181">
        <f t="shared" si="0"/>
        <v>2.1366640481871537E-5</v>
      </c>
      <c r="M3" s="181">
        <f t="shared" si="0"/>
        <v>2.2050971379704918E-5</v>
      </c>
      <c r="N3" s="181">
        <f t="shared" si="0"/>
        <v>2.227482322096632E-5</v>
      </c>
      <c r="O3" s="181">
        <f t="shared" si="0"/>
        <v>2.2459338038338914E-5</v>
      </c>
      <c r="P3" s="181">
        <f t="shared" si="0"/>
        <v>2.2633437170558873E-5</v>
      </c>
      <c r="Q3" s="181">
        <f t="shared" si="0"/>
        <v>2.2718629285058851E-5</v>
      </c>
      <c r="R3" s="181">
        <f t="shared" si="0"/>
        <v>2.2880132085772371E-5</v>
      </c>
      <c r="S3" s="181">
        <f t="shared" si="0"/>
        <v>2.3023534144499E-5</v>
      </c>
      <c r="T3" s="181">
        <f t="shared" si="0"/>
        <v>2.3276051155935423E-5</v>
      </c>
      <c r="U3" s="181">
        <f t="shared" si="0"/>
        <v>2.3288378464544326E-5</v>
      </c>
      <c r="V3" s="181">
        <f t="shared" si="0"/>
        <v>2.3471260781193948E-5</v>
      </c>
      <c r="W3" s="181">
        <f t="shared" si="0"/>
        <v>2.3619956990184169E-5</v>
      </c>
      <c r="X3" s="181">
        <f t="shared" si="0"/>
        <v>2.3657589896332906E-5</v>
      </c>
      <c r="Y3" s="181">
        <f t="shared" si="0"/>
        <v>2.3892365169034802E-5</v>
      </c>
      <c r="Z3" s="181">
        <f t="shared" si="0"/>
        <v>2.4118304003627652E-5</v>
      </c>
      <c r="AA3" s="181">
        <f t="shared" si="0"/>
        <v>2.4195608146411628E-5</v>
      </c>
      <c r="AB3" s="181">
        <f t="shared" si="0"/>
        <v>2.4389367986157462E-5</v>
      </c>
      <c r="AC3" s="181">
        <f t="shared" si="0"/>
        <v>2.4464490564420749E-5</v>
      </c>
      <c r="AD3" s="181">
        <f t="shared" si="0"/>
        <v>2.4398744306395362E-5</v>
      </c>
      <c r="AE3" s="181">
        <f t="shared" si="0"/>
        <v>2.4413178808007197E-5</v>
      </c>
      <c r="AF3" s="181">
        <f t="shared" si="0"/>
        <v>2.4408399749366551E-5</v>
      </c>
    </row>
    <row r="4" spans="1:34">
      <c r="A4" s="13" t="s">
        <v>166</v>
      </c>
      <c r="B4" s="181">
        <f>B2</f>
        <v>1.897844206120575E-5</v>
      </c>
      <c r="C4" s="181">
        <f t="shared" ref="C4:AF4" si="1">C2</f>
        <v>2.3729259248938678E-5</v>
      </c>
      <c r="D4" s="181">
        <f t="shared" si="1"/>
        <v>3.0566314487480428E-5</v>
      </c>
      <c r="E4" s="181">
        <f t="shared" si="1"/>
        <v>2.6953100054845137E-5</v>
      </c>
      <c r="F4" s="181">
        <f t="shared" si="1"/>
        <v>2.4732968481484736E-5</v>
      </c>
      <c r="G4" s="181">
        <f t="shared" si="1"/>
        <v>2.2528040595838498E-5</v>
      </c>
      <c r="H4" s="181">
        <f t="shared" si="1"/>
        <v>2.0232892602106437E-5</v>
      </c>
      <c r="I4" s="181">
        <f t="shared" si="1"/>
        <v>2.0474716641990702E-5</v>
      </c>
      <c r="J4" s="181">
        <f t="shared" si="1"/>
        <v>2.069603801531481E-5</v>
      </c>
      <c r="K4" s="181">
        <f t="shared" si="1"/>
        <v>2.0851360634719926E-5</v>
      </c>
      <c r="L4" s="181">
        <f t="shared" si="1"/>
        <v>2.1366640481871537E-5</v>
      </c>
      <c r="M4" s="181">
        <f t="shared" si="1"/>
        <v>2.2050971379704918E-5</v>
      </c>
      <c r="N4" s="181">
        <f t="shared" si="1"/>
        <v>2.227482322096632E-5</v>
      </c>
      <c r="O4" s="181">
        <f t="shared" si="1"/>
        <v>2.2459338038338914E-5</v>
      </c>
      <c r="P4" s="181">
        <f t="shared" si="1"/>
        <v>2.2633437170558873E-5</v>
      </c>
      <c r="Q4" s="181">
        <f t="shared" si="1"/>
        <v>2.2718629285058851E-5</v>
      </c>
      <c r="R4" s="181">
        <f t="shared" si="1"/>
        <v>2.2880132085772371E-5</v>
      </c>
      <c r="S4" s="181">
        <f t="shared" si="1"/>
        <v>2.3023534144499E-5</v>
      </c>
      <c r="T4" s="181">
        <f t="shared" si="1"/>
        <v>2.3276051155935423E-5</v>
      </c>
      <c r="U4" s="181">
        <f t="shared" si="1"/>
        <v>2.3288378464544326E-5</v>
      </c>
      <c r="V4" s="181">
        <f t="shared" si="1"/>
        <v>2.3471260781193948E-5</v>
      </c>
      <c r="W4" s="181">
        <f t="shared" si="1"/>
        <v>2.3619956990184169E-5</v>
      </c>
      <c r="X4" s="181">
        <f t="shared" si="1"/>
        <v>2.3657589896332906E-5</v>
      </c>
      <c r="Y4" s="181">
        <f t="shared" si="1"/>
        <v>2.3892365169034802E-5</v>
      </c>
      <c r="Z4" s="181">
        <f t="shared" si="1"/>
        <v>2.4118304003627652E-5</v>
      </c>
      <c r="AA4" s="181">
        <f t="shared" si="1"/>
        <v>2.4195608146411628E-5</v>
      </c>
      <c r="AB4" s="181">
        <f t="shared" si="1"/>
        <v>2.4389367986157462E-5</v>
      </c>
      <c r="AC4" s="181">
        <f t="shared" si="1"/>
        <v>2.4464490564420749E-5</v>
      </c>
      <c r="AD4" s="181">
        <f t="shared" si="1"/>
        <v>2.4398744306395362E-5</v>
      </c>
      <c r="AE4" s="181">
        <f t="shared" si="1"/>
        <v>2.4413178808007197E-5</v>
      </c>
      <c r="AF4" s="181">
        <f t="shared" si="1"/>
        <v>2.4408399749366551E-5</v>
      </c>
    </row>
    <row r="5" spans="1:34">
      <c r="A5" s="13" t="s">
        <v>167</v>
      </c>
      <c r="B5" s="181">
        <f>B2</f>
        <v>1.897844206120575E-5</v>
      </c>
      <c r="C5" s="181">
        <f t="shared" ref="C5:AF5" si="2">C2</f>
        <v>2.3729259248938678E-5</v>
      </c>
      <c r="D5" s="181">
        <f t="shared" si="2"/>
        <v>3.0566314487480428E-5</v>
      </c>
      <c r="E5" s="181">
        <f t="shared" si="2"/>
        <v>2.6953100054845137E-5</v>
      </c>
      <c r="F5" s="181">
        <f t="shared" si="2"/>
        <v>2.4732968481484736E-5</v>
      </c>
      <c r="G5" s="181">
        <f t="shared" si="2"/>
        <v>2.2528040595838498E-5</v>
      </c>
      <c r="H5" s="181">
        <f t="shared" si="2"/>
        <v>2.0232892602106437E-5</v>
      </c>
      <c r="I5" s="181">
        <f t="shared" si="2"/>
        <v>2.0474716641990702E-5</v>
      </c>
      <c r="J5" s="181">
        <f t="shared" si="2"/>
        <v>2.069603801531481E-5</v>
      </c>
      <c r="K5" s="181">
        <f t="shared" si="2"/>
        <v>2.0851360634719926E-5</v>
      </c>
      <c r="L5" s="181">
        <f t="shared" si="2"/>
        <v>2.1366640481871537E-5</v>
      </c>
      <c r="M5" s="181">
        <f t="shared" si="2"/>
        <v>2.2050971379704918E-5</v>
      </c>
      <c r="N5" s="181">
        <f t="shared" si="2"/>
        <v>2.227482322096632E-5</v>
      </c>
      <c r="O5" s="181">
        <f t="shared" si="2"/>
        <v>2.2459338038338914E-5</v>
      </c>
      <c r="P5" s="181">
        <f t="shared" si="2"/>
        <v>2.2633437170558873E-5</v>
      </c>
      <c r="Q5" s="181">
        <f t="shared" si="2"/>
        <v>2.2718629285058851E-5</v>
      </c>
      <c r="R5" s="181">
        <f t="shared" si="2"/>
        <v>2.2880132085772371E-5</v>
      </c>
      <c r="S5" s="181">
        <f t="shared" si="2"/>
        <v>2.3023534144499E-5</v>
      </c>
      <c r="T5" s="181">
        <f t="shared" si="2"/>
        <v>2.3276051155935423E-5</v>
      </c>
      <c r="U5" s="181">
        <f t="shared" si="2"/>
        <v>2.3288378464544326E-5</v>
      </c>
      <c r="V5" s="181">
        <f t="shared" si="2"/>
        <v>2.3471260781193948E-5</v>
      </c>
      <c r="W5" s="181">
        <f t="shared" si="2"/>
        <v>2.3619956990184169E-5</v>
      </c>
      <c r="X5" s="181">
        <f t="shared" si="2"/>
        <v>2.3657589896332906E-5</v>
      </c>
      <c r="Y5" s="181">
        <f t="shared" si="2"/>
        <v>2.3892365169034802E-5</v>
      </c>
      <c r="Z5" s="181">
        <f t="shared" si="2"/>
        <v>2.4118304003627652E-5</v>
      </c>
      <c r="AA5" s="181">
        <f t="shared" si="2"/>
        <v>2.4195608146411628E-5</v>
      </c>
      <c r="AB5" s="181">
        <f t="shared" si="2"/>
        <v>2.4389367986157462E-5</v>
      </c>
      <c r="AC5" s="181">
        <f t="shared" si="2"/>
        <v>2.4464490564420749E-5</v>
      </c>
      <c r="AD5" s="181">
        <f t="shared" si="2"/>
        <v>2.4398744306395362E-5</v>
      </c>
      <c r="AE5" s="181">
        <f t="shared" si="2"/>
        <v>2.4413178808007197E-5</v>
      </c>
      <c r="AF5" s="181">
        <f t="shared" si="2"/>
        <v>2.4408399749366551E-5</v>
      </c>
    </row>
    <row r="6" spans="1:34">
      <c r="A6" s="13" t="s">
        <v>168</v>
      </c>
      <c r="B6" s="181">
        <f>B2</f>
        <v>1.897844206120575E-5</v>
      </c>
      <c r="C6" s="181">
        <f t="shared" ref="C6:AF6" si="3">C2</f>
        <v>2.3729259248938678E-5</v>
      </c>
      <c r="D6" s="181">
        <f t="shared" si="3"/>
        <v>3.0566314487480428E-5</v>
      </c>
      <c r="E6" s="181">
        <f t="shared" si="3"/>
        <v>2.6953100054845137E-5</v>
      </c>
      <c r="F6" s="181">
        <f t="shared" si="3"/>
        <v>2.4732968481484736E-5</v>
      </c>
      <c r="G6" s="181">
        <f t="shared" si="3"/>
        <v>2.2528040595838498E-5</v>
      </c>
      <c r="H6" s="181">
        <f t="shared" si="3"/>
        <v>2.0232892602106437E-5</v>
      </c>
      <c r="I6" s="181">
        <f t="shared" si="3"/>
        <v>2.0474716641990702E-5</v>
      </c>
      <c r="J6" s="181">
        <f t="shared" si="3"/>
        <v>2.069603801531481E-5</v>
      </c>
      <c r="K6" s="181">
        <f t="shared" si="3"/>
        <v>2.0851360634719926E-5</v>
      </c>
      <c r="L6" s="181">
        <f t="shared" si="3"/>
        <v>2.1366640481871537E-5</v>
      </c>
      <c r="M6" s="181">
        <f t="shared" si="3"/>
        <v>2.2050971379704918E-5</v>
      </c>
      <c r="N6" s="181">
        <f t="shared" si="3"/>
        <v>2.227482322096632E-5</v>
      </c>
      <c r="O6" s="181">
        <f t="shared" si="3"/>
        <v>2.2459338038338914E-5</v>
      </c>
      <c r="P6" s="181">
        <f t="shared" si="3"/>
        <v>2.2633437170558873E-5</v>
      </c>
      <c r="Q6" s="181">
        <f t="shared" si="3"/>
        <v>2.2718629285058851E-5</v>
      </c>
      <c r="R6" s="181">
        <f t="shared" si="3"/>
        <v>2.2880132085772371E-5</v>
      </c>
      <c r="S6" s="181">
        <f t="shared" si="3"/>
        <v>2.3023534144499E-5</v>
      </c>
      <c r="T6" s="181">
        <f t="shared" si="3"/>
        <v>2.3276051155935423E-5</v>
      </c>
      <c r="U6" s="181">
        <f t="shared" si="3"/>
        <v>2.3288378464544326E-5</v>
      </c>
      <c r="V6" s="181">
        <f t="shared" si="3"/>
        <v>2.3471260781193948E-5</v>
      </c>
      <c r="W6" s="181">
        <f t="shared" si="3"/>
        <v>2.3619956990184169E-5</v>
      </c>
      <c r="X6" s="181">
        <f t="shared" si="3"/>
        <v>2.3657589896332906E-5</v>
      </c>
      <c r="Y6" s="181">
        <f t="shared" si="3"/>
        <v>2.3892365169034802E-5</v>
      </c>
      <c r="Z6" s="181">
        <f t="shared" si="3"/>
        <v>2.4118304003627652E-5</v>
      </c>
      <c r="AA6" s="181">
        <f t="shared" si="3"/>
        <v>2.4195608146411628E-5</v>
      </c>
      <c r="AB6" s="181">
        <f t="shared" si="3"/>
        <v>2.4389367986157462E-5</v>
      </c>
      <c r="AC6" s="181">
        <f t="shared" si="3"/>
        <v>2.4464490564420749E-5</v>
      </c>
      <c r="AD6" s="181">
        <f t="shared" si="3"/>
        <v>2.4398744306395362E-5</v>
      </c>
      <c r="AE6" s="181">
        <f t="shared" si="3"/>
        <v>2.4413178808007197E-5</v>
      </c>
      <c r="AF6" s="181">
        <f t="shared" si="3"/>
        <v>2.4408399749366551E-5</v>
      </c>
    </row>
    <row r="7" spans="1:34">
      <c r="A7" s="13" t="s">
        <v>169</v>
      </c>
      <c r="B7" s="181">
        <f>B2</f>
        <v>1.897844206120575E-5</v>
      </c>
      <c r="C7" s="181">
        <f t="shared" ref="C7:AF7" si="4">C2</f>
        <v>2.3729259248938678E-5</v>
      </c>
      <c r="D7" s="181">
        <f t="shared" si="4"/>
        <v>3.0566314487480428E-5</v>
      </c>
      <c r="E7" s="181">
        <f t="shared" si="4"/>
        <v>2.6953100054845137E-5</v>
      </c>
      <c r="F7" s="181">
        <f t="shared" si="4"/>
        <v>2.4732968481484736E-5</v>
      </c>
      <c r="G7" s="181">
        <f t="shared" si="4"/>
        <v>2.2528040595838498E-5</v>
      </c>
      <c r="H7" s="181">
        <f t="shared" si="4"/>
        <v>2.0232892602106437E-5</v>
      </c>
      <c r="I7" s="181">
        <f t="shared" si="4"/>
        <v>2.0474716641990702E-5</v>
      </c>
      <c r="J7" s="181">
        <f t="shared" si="4"/>
        <v>2.069603801531481E-5</v>
      </c>
      <c r="K7" s="181">
        <f t="shared" si="4"/>
        <v>2.0851360634719926E-5</v>
      </c>
      <c r="L7" s="181">
        <f t="shared" si="4"/>
        <v>2.1366640481871537E-5</v>
      </c>
      <c r="M7" s="181">
        <f t="shared" si="4"/>
        <v>2.2050971379704918E-5</v>
      </c>
      <c r="N7" s="181">
        <f t="shared" si="4"/>
        <v>2.227482322096632E-5</v>
      </c>
      <c r="O7" s="181">
        <f t="shared" si="4"/>
        <v>2.2459338038338914E-5</v>
      </c>
      <c r="P7" s="181">
        <f t="shared" si="4"/>
        <v>2.2633437170558873E-5</v>
      </c>
      <c r="Q7" s="181">
        <f t="shared" si="4"/>
        <v>2.2718629285058851E-5</v>
      </c>
      <c r="R7" s="181">
        <f t="shared" si="4"/>
        <v>2.2880132085772371E-5</v>
      </c>
      <c r="S7" s="181">
        <f t="shared" si="4"/>
        <v>2.3023534144499E-5</v>
      </c>
      <c r="T7" s="181">
        <f t="shared" si="4"/>
        <v>2.3276051155935423E-5</v>
      </c>
      <c r="U7" s="181">
        <f t="shared" si="4"/>
        <v>2.3288378464544326E-5</v>
      </c>
      <c r="V7" s="181">
        <f t="shared" si="4"/>
        <v>2.3471260781193948E-5</v>
      </c>
      <c r="W7" s="181">
        <f t="shared" si="4"/>
        <v>2.3619956990184169E-5</v>
      </c>
      <c r="X7" s="181">
        <f t="shared" si="4"/>
        <v>2.3657589896332906E-5</v>
      </c>
      <c r="Y7" s="181">
        <f t="shared" si="4"/>
        <v>2.3892365169034802E-5</v>
      </c>
      <c r="Z7" s="181">
        <f t="shared" si="4"/>
        <v>2.4118304003627652E-5</v>
      </c>
      <c r="AA7" s="181">
        <f t="shared" si="4"/>
        <v>2.4195608146411628E-5</v>
      </c>
      <c r="AB7" s="181">
        <f t="shared" si="4"/>
        <v>2.4389367986157462E-5</v>
      </c>
      <c r="AC7" s="181">
        <f t="shared" si="4"/>
        <v>2.4464490564420749E-5</v>
      </c>
      <c r="AD7" s="181">
        <f t="shared" si="4"/>
        <v>2.4398744306395362E-5</v>
      </c>
      <c r="AE7" s="181">
        <f t="shared" si="4"/>
        <v>2.4413178808007197E-5</v>
      </c>
      <c r="AF7" s="181">
        <f t="shared" si="4"/>
        <v>2.4408399749366551E-5</v>
      </c>
    </row>
    <row r="8" spans="1:34">
      <c r="A8" s="13" t="s">
        <v>170</v>
      </c>
      <c r="B8" s="181">
        <v>0</v>
      </c>
      <c r="C8" s="181">
        <v>0</v>
      </c>
      <c r="D8" s="181">
        <v>0</v>
      </c>
      <c r="E8" s="181">
        <v>0</v>
      </c>
      <c r="F8" s="181">
        <v>0</v>
      </c>
      <c r="G8" s="181">
        <v>0</v>
      </c>
      <c r="H8" s="181">
        <v>0</v>
      </c>
      <c r="I8" s="181">
        <v>0</v>
      </c>
      <c r="J8" s="181">
        <v>0</v>
      </c>
      <c r="K8" s="181">
        <v>0</v>
      </c>
      <c r="L8" s="181">
        <v>0</v>
      </c>
      <c r="M8" s="181">
        <v>0</v>
      </c>
      <c r="N8" s="181">
        <v>0</v>
      </c>
      <c r="O8" s="181">
        <v>0</v>
      </c>
      <c r="P8" s="181">
        <v>0</v>
      </c>
      <c r="Q8" s="181">
        <v>0</v>
      </c>
      <c r="R8" s="181">
        <v>0</v>
      </c>
      <c r="S8" s="181">
        <v>0</v>
      </c>
      <c r="T8" s="181">
        <v>0</v>
      </c>
      <c r="U8" s="181">
        <v>0</v>
      </c>
      <c r="V8" s="181">
        <v>0</v>
      </c>
      <c r="W8" s="181">
        <v>0</v>
      </c>
      <c r="X8" s="181">
        <v>0</v>
      </c>
      <c r="Y8" s="181">
        <v>0</v>
      </c>
      <c r="Z8" s="181">
        <v>0</v>
      </c>
      <c r="AA8" s="181">
        <v>0</v>
      </c>
      <c r="AB8" s="181">
        <v>0</v>
      </c>
      <c r="AC8" s="181">
        <v>0</v>
      </c>
      <c r="AD8" s="181">
        <v>0</v>
      </c>
      <c r="AE8" s="181">
        <v>0</v>
      </c>
      <c r="AF8" s="181">
        <v>0</v>
      </c>
    </row>
    <row r="9" spans="1:34">
      <c r="A9" s="13" t="s">
        <v>171</v>
      </c>
      <c r="B9" s="181">
        <f>B2</f>
        <v>1.897844206120575E-5</v>
      </c>
      <c r="C9" s="181">
        <f t="shared" ref="C9:AF9" si="5">C2</f>
        <v>2.3729259248938678E-5</v>
      </c>
      <c r="D9" s="181">
        <f t="shared" si="5"/>
        <v>3.0566314487480428E-5</v>
      </c>
      <c r="E9" s="181">
        <f t="shared" si="5"/>
        <v>2.6953100054845137E-5</v>
      </c>
      <c r="F9" s="181">
        <f t="shared" si="5"/>
        <v>2.4732968481484736E-5</v>
      </c>
      <c r="G9" s="181">
        <f t="shared" si="5"/>
        <v>2.2528040595838498E-5</v>
      </c>
      <c r="H9" s="181">
        <f t="shared" si="5"/>
        <v>2.0232892602106437E-5</v>
      </c>
      <c r="I9" s="181">
        <f t="shared" si="5"/>
        <v>2.0474716641990702E-5</v>
      </c>
      <c r="J9" s="181">
        <f t="shared" si="5"/>
        <v>2.069603801531481E-5</v>
      </c>
      <c r="K9" s="181">
        <f t="shared" si="5"/>
        <v>2.0851360634719926E-5</v>
      </c>
      <c r="L9" s="181">
        <f t="shared" si="5"/>
        <v>2.1366640481871537E-5</v>
      </c>
      <c r="M9" s="181">
        <f t="shared" si="5"/>
        <v>2.2050971379704918E-5</v>
      </c>
      <c r="N9" s="181">
        <f t="shared" si="5"/>
        <v>2.227482322096632E-5</v>
      </c>
      <c r="O9" s="181">
        <f t="shared" si="5"/>
        <v>2.2459338038338914E-5</v>
      </c>
      <c r="P9" s="181">
        <f t="shared" si="5"/>
        <v>2.2633437170558873E-5</v>
      </c>
      <c r="Q9" s="181">
        <f t="shared" si="5"/>
        <v>2.2718629285058851E-5</v>
      </c>
      <c r="R9" s="181">
        <f t="shared" si="5"/>
        <v>2.2880132085772371E-5</v>
      </c>
      <c r="S9" s="181">
        <f t="shared" si="5"/>
        <v>2.3023534144499E-5</v>
      </c>
      <c r="T9" s="181">
        <f t="shared" si="5"/>
        <v>2.3276051155935423E-5</v>
      </c>
      <c r="U9" s="181">
        <f t="shared" si="5"/>
        <v>2.3288378464544326E-5</v>
      </c>
      <c r="V9" s="181">
        <f t="shared" si="5"/>
        <v>2.3471260781193948E-5</v>
      </c>
      <c r="W9" s="181">
        <f t="shared" si="5"/>
        <v>2.3619956990184169E-5</v>
      </c>
      <c r="X9" s="181">
        <f t="shared" si="5"/>
        <v>2.3657589896332906E-5</v>
      </c>
      <c r="Y9" s="181">
        <f t="shared" si="5"/>
        <v>2.3892365169034802E-5</v>
      </c>
      <c r="Z9" s="181">
        <f t="shared" si="5"/>
        <v>2.4118304003627652E-5</v>
      </c>
      <c r="AA9" s="181">
        <f t="shared" si="5"/>
        <v>2.4195608146411628E-5</v>
      </c>
      <c r="AB9" s="181">
        <f t="shared" si="5"/>
        <v>2.4389367986157462E-5</v>
      </c>
      <c r="AC9" s="181">
        <f t="shared" si="5"/>
        <v>2.4464490564420749E-5</v>
      </c>
      <c r="AD9" s="181">
        <f t="shared" si="5"/>
        <v>2.4398744306395362E-5</v>
      </c>
      <c r="AE9" s="181">
        <f t="shared" si="5"/>
        <v>2.4413178808007197E-5</v>
      </c>
      <c r="AF9" s="181">
        <f t="shared" si="5"/>
        <v>2.4408399749366551E-5</v>
      </c>
    </row>
  </sheetData>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2060"/>
  </sheetPr>
  <dimension ref="A1:AH9"/>
  <sheetViews>
    <sheetView workbookViewId="0">
      <selection activeCell="B2" sqref="B2:AF9"/>
    </sheetView>
  </sheetViews>
  <sheetFormatPr defaultColWidth="9.1796875" defaultRowHeight="14.5"/>
  <cols>
    <col min="1" max="1" width="41.453125" style="14" customWidth="1"/>
    <col min="2" max="24" width="10" style="14" customWidth="1"/>
    <col min="25" max="26" width="9.1796875" style="14" customWidth="1"/>
    <col min="27" max="32" width="11.81640625" style="14" bestFit="1" customWidth="1"/>
    <col min="33" max="16384" width="9.1796875" style="14"/>
  </cols>
  <sheetData>
    <row r="1" spans="1:34">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181">
        <f>'Gasoline+diesel'!B15</f>
        <v>1.5093312712685867E-5</v>
      </c>
      <c r="C2" s="181">
        <f>'Gasoline+diesel'!C15</f>
        <v>1.7775660613387186E-5</v>
      </c>
      <c r="D2" s="181">
        <f>'Gasoline+diesel'!D15</f>
        <v>2.4813867414567787E-5</v>
      </c>
      <c r="E2" s="181">
        <f>'Gasoline+diesel'!E15</f>
        <v>2.234787012755596E-5</v>
      </c>
      <c r="F2" s="181">
        <f>'Gasoline+diesel'!F15</f>
        <v>2.0399280124436528E-5</v>
      </c>
      <c r="G2" s="181">
        <f>'Gasoline+diesel'!G15</f>
        <v>1.8719964993059583E-5</v>
      </c>
      <c r="H2" s="181">
        <f>'Gasoline+diesel'!H15</f>
        <v>1.7040146740474345E-5</v>
      </c>
      <c r="I2" s="181">
        <f>'Gasoline+diesel'!I15</f>
        <v>1.7084455672160365E-5</v>
      </c>
      <c r="J2" s="181">
        <f>'Gasoline+diesel'!J15</f>
        <v>1.7218640362008703E-5</v>
      </c>
      <c r="K2" s="181">
        <f>'Gasoline+diesel'!K15</f>
        <v>1.7319433867325762E-5</v>
      </c>
      <c r="L2" s="181">
        <f>'Gasoline+diesel'!L15</f>
        <v>1.7291904112690314E-5</v>
      </c>
      <c r="M2" s="181">
        <f>'Gasoline+diesel'!M15</f>
        <v>1.7751636921882934E-5</v>
      </c>
      <c r="N2" s="181">
        <f>'Gasoline+diesel'!N15</f>
        <v>1.7824197510876053E-5</v>
      </c>
      <c r="O2" s="181">
        <f>'Gasoline+diesel'!O15</f>
        <v>1.7922487970481106E-5</v>
      </c>
      <c r="P2" s="181">
        <f>'Gasoline+diesel'!P15</f>
        <v>1.795233860847216E-5</v>
      </c>
      <c r="Q2" s="181">
        <f>'Gasoline+diesel'!Q15</f>
        <v>1.8026806279912525E-5</v>
      </c>
      <c r="R2" s="181">
        <f>'Gasoline+diesel'!R15</f>
        <v>1.8163113948334213E-5</v>
      </c>
      <c r="S2" s="181">
        <f>'Gasoline+diesel'!S15</f>
        <v>1.8313278699710807E-5</v>
      </c>
      <c r="T2" s="181">
        <f>'Gasoline+diesel'!T15</f>
        <v>1.8413673396906035E-5</v>
      </c>
      <c r="U2" s="181">
        <f>'Gasoline+diesel'!U15</f>
        <v>1.8479925770964585E-5</v>
      </c>
      <c r="V2" s="181">
        <f>'Gasoline+diesel'!V15</f>
        <v>1.8632637047134141E-5</v>
      </c>
      <c r="W2" s="181">
        <f>'Gasoline+diesel'!W15</f>
        <v>1.8718733873450331E-5</v>
      </c>
      <c r="X2" s="181">
        <f>'Gasoline+diesel'!X15</f>
        <v>1.8727806008582619E-5</v>
      </c>
      <c r="Y2" s="181">
        <f>'Gasoline+diesel'!Y15</f>
        <v>1.8923248225655391E-5</v>
      </c>
      <c r="Z2" s="181">
        <f>'Gasoline+diesel'!Z15</f>
        <v>1.9137720786676957E-5</v>
      </c>
      <c r="AA2" s="181">
        <f>'Gasoline+diesel'!AA15</f>
        <v>1.9214756722450756E-5</v>
      </c>
      <c r="AB2" s="181">
        <f>'Gasoline+diesel'!AB15</f>
        <v>1.9351080133298304E-5</v>
      </c>
      <c r="AC2" s="181">
        <f>'Gasoline+diesel'!AC15</f>
        <v>1.9395802116253361E-5</v>
      </c>
      <c r="AD2" s="181">
        <f>'Gasoline+diesel'!AD15</f>
        <v>1.9357912346122273E-5</v>
      </c>
      <c r="AE2" s="181">
        <f>'Gasoline+diesel'!AE15</f>
        <v>1.9342130939015604E-5</v>
      </c>
      <c r="AF2" s="181">
        <f>'Gasoline+diesel'!AF15</f>
        <v>1.9296429927099814E-5</v>
      </c>
    </row>
    <row r="3" spans="1:34">
      <c r="A3" s="13" t="s">
        <v>165</v>
      </c>
      <c r="B3" s="181">
        <f>'Gasoline+diesel'!B15</f>
        <v>1.5093312712685867E-5</v>
      </c>
      <c r="C3" s="181">
        <f>'Gasoline+diesel'!C15</f>
        <v>1.7775660613387186E-5</v>
      </c>
      <c r="D3" s="181">
        <f>'Gasoline+diesel'!D15</f>
        <v>2.4813867414567787E-5</v>
      </c>
      <c r="E3" s="181">
        <f>'Gasoline+diesel'!E15</f>
        <v>2.234787012755596E-5</v>
      </c>
      <c r="F3" s="181">
        <f>'Gasoline+diesel'!F15</f>
        <v>2.0399280124436528E-5</v>
      </c>
      <c r="G3" s="181">
        <f>'Gasoline+diesel'!G15</f>
        <v>1.8719964993059583E-5</v>
      </c>
      <c r="H3" s="181">
        <f>'Gasoline+diesel'!H15</f>
        <v>1.7040146740474345E-5</v>
      </c>
      <c r="I3" s="181">
        <f>'Gasoline+diesel'!I15</f>
        <v>1.7084455672160365E-5</v>
      </c>
      <c r="J3" s="181">
        <f>'Gasoline+diesel'!J15</f>
        <v>1.7218640362008703E-5</v>
      </c>
      <c r="K3" s="181">
        <f>'Gasoline+diesel'!K15</f>
        <v>1.7319433867325762E-5</v>
      </c>
      <c r="L3" s="181">
        <f>'Gasoline+diesel'!L15</f>
        <v>1.7291904112690314E-5</v>
      </c>
      <c r="M3" s="181">
        <f>'Gasoline+diesel'!M15</f>
        <v>1.7751636921882934E-5</v>
      </c>
      <c r="N3" s="181">
        <f>'Gasoline+diesel'!N15</f>
        <v>1.7824197510876053E-5</v>
      </c>
      <c r="O3" s="181">
        <f>'Gasoline+diesel'!O15</f>
        <v>1.7922487970481106E-5</v>
      </c>
      <c r="P3" s="181">
        <f>'Gasoline+diesel'!P15</f>
        <v>1.795233860847216E-5</v>
      </c>
      <c r="Q3" s="181">
        <f>'Gasoline+diesel'!Q15</f>
        <v>1.8026806279912525E-5</v>
      </c>
      <c r="R3" s="181">
        <f>'Gasoline+diesel'!R15</f>
        <v>1.8163113948334213E-5</v>
      </c>
      <c r="S3" s="181">
        <f>'Gasoline+diesel'!S15</f>
        <v>1.8313278699710807E-5</v>
      </c>
      <c r="T3" s="181">
        <f>'Gasoline+diesel'!T15</f>
        <v>1.8413673396906035E-5</v>
      </c>
      <c r="U3" s="181">
        <f>'Gasoline+diesel'!U15</f>
        <v>1.8479925770964585E-5</v>
      </c>
      <c r="V3" s="181">
        <f>'Gasoline+diesel'!V15</f>
        <v>1.8632637047134141E-5</v>
      </c>
      <c r="W3" s="181">
        <f>'Gasoline+diesel'!W15</f>
        <v>1.8718733873450331E-5</v>
      </c>
      <c r="X3" s="181">
        <f>'Gasoline+diesel'!X15</f>
        <v>1.8727806008582619E-5</v>
      </c>
      <c r="Y3" s="181">
        <f>'Gasoline+diesel'!Y15</f>
        <v>1.8923248225655391E-5</v>
      </c>
      <c r="Z3" s="181">
        <f>'Gasoline+diesel'!Z15</f>
        <v>1.9137720786676957E-5</v>
      </c>
      <c r="AA3" s="181">
        <f>'Gasoline+diesel'!AA15</f>
        <v>1.9214756722450756E-5</v>
      </c>
      <c r="AB3" s="181">
        <f>'Gasoline+diesel'!AB15</f>
        <v>1.9351080133298304E-5</v>
      </c>
      <c r="AC3" s="181">
        <f>'Gasoline+diesel'!AC15</f>
        <v>1.9395802116253361E-5</v>
      </c>
      <c r="AD3" s="181">
        <f>'Gasoline+diesel'!AD15</f>
        <v>1.9357912346122273E-5</v>
      </c>
      <c r="AE3" s="181">
        <f>'Gasoline+diesel'!AE15</f>
        <v>1.9342130939015604E-5</v>
      </c>
      <c r="AF3" s="181">
        <f>'Gasoline+diesel'!AF15</f>
        <v>1.9296429927099814E-5</v>
      </c>
    </row>
    <row r="4" spans="1:34">
      <c r="A4" s="13" t="s">
        <v>166</v>
      </c>
      <c r="B4" s="181">
        <f>'Gasoline+diesel'!B15</f>
        <v>1.5093312712685867E-5</v>
      </c>
      <c r="C4" s="181">
        <f>'Gasoline+diesel'!C15</f>
        <v>1.7775660613387186E-5</v>
      </c>
      <c r="D4" s="181">
        <f>'Gasoline+diesel'!D15</f>
        <v>2.4813867414567787E-5</v>
      </c>
      <c r="E4" s="181">
        <f>'Gasoline+diesel'!E15</f>
        <v>2.234787012755596E-5</v>
      </c>
      <c r="F4" s="181">
        <f>'Gasoline+diesel'!F15</f>
        <v>2.0399280124436528E-5</v>
      </c>
      <c r="G4" s="181">
        <f>'Gasoline+diesel'!G15</f>
        <v>1.8719964993059583E-5</v>
      </c>
      <c r="H4" s="181">
        <f>'Gasoline+diesel'!H15</f>
        <v>1.7040146740474345E-5</v>
      </c>
      <c r="I4" s="181">
        <f>'Gasoline+diesel'!I15</f>
        <v>1.7084455672160365E-5</v>
      </c>
      <c r="J4" s="181">
        <f>'Gasoline+diesel'!J15</f>
        <v>1.7218640362008703E-5</v>
      </c>
      <c r="K4" s="181">
        <f>'Gasoline+diesel'!K15</f>
        <v>1.7319433867325762E-5</v>
      </c>
      <c r="L4" s="181">
        <f>'Gasoline+diesel'!L15</f>
        <v>1.7291904112690314E-5</v>
      </c>
      <c r="M4" s="181">
        <f>'Gasoline+diesel'!M15</f>
        <v>1.7751636921882934E-5</v>
      </c>
      <c r="N4" s="181">
        <f>'Gasoline+diesel'!N15</f>
        <v>1.7824197510876053E-5</v>
      </c>
      <c r="O4" s="181">
        <f>'Gasoline+diesel'!O15</f>
        <v>1.7922487970481106E-5</v>
      </c>
      <c r="P4" s="181">
        <f>'Gasoline+diesel'!P15</f>
        <v>1.795233860847216E-5</v>
      </c>
      <c r="Q4" s="181">
        <f>'Gasoline+diesel'!Q15</f>
        <v>1.8026806279912525E-5</v>
      </c>
      <c r="R4" s="181">
        <f>'Gasoline+diesel'!R15</f>
        <v>1.8163113948334213E-5</v>
      </c>
      <c r="S4" s="181">
        <f>'Gasoline+diesel'!S15</f>
        <v>1.8313278699710807E-5</v>
      </c>
      <c r="T4" s="181">
        <f>'Gasoline+diesel'!T15</f>
        <v>1.8413673396906035E-5</v>
      </c>
      <c r="U4" s="181">
        <f>'Gasoline+diesel'!U15</f>
        <v>1.8479925770964585E-5</v>
      </c>
      <c r="V4" s="181">
        <f>'Gasoline+diesel'!V15</f>
        <v>1.8632637047134141E-5</v>
      </c>
      <c r="W4" s="181">
        <f>'Gasoline+diesel'!W15</f>
        <v>1.8718733873450331E-5</v>
      </c>
      <c r="X4" s="181">
        <f>'Gasoline+diesel'!X15</f>
        <v>1.8727806008582619E-5</v>
      </c>
      <c r="Y4" s="181">
        <f>'Gasoline+diesel'!Y15</f>
        <v>1.8923248225655391E-5</v>
      </c>
      <c r="Z4" s="181">
        <f>'Gasoline+diesel'!Z15</f>
        <v>1.9137720786676957E-5</v>
      </c>
      <c r="AA4" s="181">
        <f>'Gasoline+diesel'!AA15</f>
        <v>1.9214756722450756E-5</v>
      </c>
      <c r="AB4" s="181">
        <f>'Gasoline+diesel'!AB15</f>
        <v>1.9351080133298304E-5</v>
      </c>
      <c r="AC4" s="181">
        <f>'Gasoline+diesel'!AC15</f>
        <v>1.9395802116253361E-5</v>
      </c>
      <c r="AD4" s="181">
        <f>'Gasoline+diesel'!AD15</f>
        <v>1.9357912346122273E-5</v>
      </c>
      <c r="AE4" s="181">
        <f>'Gasoline+diesel'!AE15</f>
        <v>1.9342130939015604E-5</v>
      </c>
      <c r="AF4" s="181">
        <f>'Gasoline+diesel'!AF15</f>
        <v>1.9296429927099814E-5</v>
      </c>
    </row>
    <row r="5" spans="1:34">
      <c r="A5" s="13" t="s">
        <v>167</v>
      </c>
      <c r="B5" s="181">
        <f>'Gasoline+diesel'!B15</f>
        <v>1.5093312712685867E-5</v>
      </c>
      <c r="C5" s="181">
        <f>'Gasoline+diesel'!C15</f>
        <v>1.7775660613387186E-5</v>
      </c>
      <c r="D5" s="181">
        <f>'Gasoline+diesel'!D15</f>
        <v>2.4813867414567787E-5</v>
      </c>
      <c r="E5" s="181">
        <f>'Gasoline+diesel'!E15</f>
        <v>2.234787012755596E-5</v>
      </c>
      <c r="F5" s="181">
        <f>'Gasoline+diesel'!F15</f>
        <v>2.0399280124436528E-5</v>
      </c>
      <c r="G5" s="181">
        <f>'Gasoline+diesel'!G15</f>
        <v>1.8719964993059583E-5</v>
      </c>
      <c r="H5" s="181">
        <f>'Gasoline+diesel'!H15</f>
        <v>1.7040146740474345E-5</v>
      </c>
      <c r="I5" s="181">
        <f>'Gasoline+diesel'!I15</f>
        <v>1.7084455672160365E-5</v>
      </c>
      <c r="J5" s="181">
        <f>'Gasoline+diesel'!J15</f>
        <v>1.7218640362008703E-5</v>
      </c>
      <c r="K5" s="181">
        <f>'Gasoline+diesel'!K15</f>
        <v>1.7319433867325762E-5</v>
      </c>
      <c r="L5" s="181">
        <f>'Gasoline+diesel'!L15</f>
        <v>1.7291904112690314E-5</v>
      </c>
      <c r="M5" s="181">
        <f>'Gasoline+diesel'!M15</f>
        <v>1.7751636921882934E-5</v>
      </c>
      <c r="N5" s="181">
        <f>'Gasoline+diesel'!N15</f>
        <v>1.7824197510876053E-5</v>
      </c>
      <c r="O5" s="181">
        <f>'Gasoline+diesel'!O15</f>
        <v>1.7922487970481106E-5</v>
      </c>
      <c r="P5" s="181">
        <f>'Gasoline+diesel'!P15</f>
        <v>1.795233860847216E-5</v>
      </c>
      <c r="Q5" s="181">
        <f>'Gasoline+diesel'!Q15</f>
        <v>1.8026806279912525E-5</v>
      </c>
      <c r="R5" s="181">
        <f>'Gasoline+diesel'!R15</f>
        <v>1.8163113948334213E-5</v>
      </c>
      <c r="S5" s="181">
        <f>'Gasoline+diesel'!S15</f>
        <v>1.8313278699710807E-5</v>
      </c>
      <c r="T5" s="181">
        <f>'Gasoline+diesel'!T15</f>
        <v>1.8413673396906035E-5</v>
      </c>
      <c r="U5" s="181">
        <f>'Gasoline+diesel'!U15</f>
        <v>1.8479925770964585E-5</v>
      </c>
      <c r="V5" s="181">
        <f>'Gasoline+diesel'!V15</f>
        <v>1.8632637047134141E-5</v>
      </c>
      <c r="W5" s="181">
        <f>'Gasoline+diesel'!W15</f>
        <v>1.8718733873450331E-5</v>
      </c>
      <c r="X5" s="181">
        <f>'Gasoline+diesel'!X15</f>
        <v>1.8727806008582619E-5</v>
      </c>
      <c r="Y5" s="181">
        <f>'Gasoline+diesel'!Y15</f>
        <v>1.8923248225655391E-5</v>
      </c>
      <c r="Z5" s="181">
        <f>'Gasoline+diesel'!Z15</f>
        <v>1.9137720786676957E-5</v>
      </c>
      <c r="AA5" s="181">
        <f>'Gasoline+diesel'!AA15</f>
        <v>1.9214756722450756E-5</v>
      </c>
      <c r="AB5" s="181">
        <f>'Gasoline+diesel'!AB15</f>
        <v>1.9351080133298304E-5</v>
      </c>
      <c r="AC5" s="181">
        <f>'Gasoline+diesel'!AC15</f>
        <v>1.9395802116253361E-5</v>
      </c>
      <c r="AD5" s="181">
        <f>'Gasoline+diesel'!AD15</f>
        <v>1.9357912346122273E-5</v>
      </c>
      <c r="AE5" s="181">
        <f>'Gasoline+diesel'!AE15</f>
        <v>1.9342130939015604E-5</v>
      </c>
      <c r="AF5" s="181">
        <f>'Gasoline+diesel'!AF15</f>
        <v>1.9296429927099814E-5</v>
      </c>
    </row>
    <row r="6" spans="1:34">
      <c r="A6" s="13" t="s">
        <v>168</v>
      </c>
      <c r="B6" s="181">
        <f>'Gasoline+diesel'!B15</f>
        <v>1.5093312712685867E-5</v>
      </c>
      <c r="C6" s="181">
        <f>'Gasoline+diesel'!C15</f>
        <v>1.7775660613387186E-5</v>
      </c>
      <c r="D6" s="181">
        <f>'Gasoline+diesel'!D15</f>
        <v>2.4813867414567787E-5</v>
      </c>
      <c r="E6" s="181">
        <f>'Gasoline+diesel'!E15</f>
        <v>2.234787012755596E-5</v>
      </c>
      <c r="F6" s="181">
        <f>'Gasoline+diesel'!F15</f>
        <v>2.0399280124436528E-5</v>
      </c>
      <c r="G6" s="181">
        <f>'Gasoline+diesel'!G15</f>
        <v>1.8719964993059583E-5</v>
      </c>
      <c r="H6" s="181">
        <f>'Gasoline+diesel'!H15</f>
        <v>1.7040146740474345E-5</v>
      </c>
      <c r="I6" s="181">
        <f>'Gasoline+diesel'!I15</f>
        <v>1.7084455672160365E-5</v>
      </c>
      <c r="J6" s="181">
        <f>'Gasoline+diesel'!J15</f>
        <v>1.7218640362008703E-5</v>
      </c>
      <c r="K6" s="181">
        <f>'Gasoline+diesel'!K15</f>
        <v>1.7319433867325762E-5</v>
      </c>
      <c r="L6" s="181">
        <f>'Gasoline+diesel'!L15</f>
        <v>1.7291904112690314E-5</v>
      </c>
      <c r="M6" s="181">
        <f>'Gasoline+diesel'!M15</f>
        <v>1.7751636921882934E-5</v>
      </c>
      <c r="N6" s="181">
        <f>'Gasoline+diesel'!N15</f>
        <v>1.7824197510876053E-5</v>
      </c>
      <c r="O6" s="181">
        <f>'Gasoline+diesel'!O15</f>
        <v>1.7922487970481106E-5</v>
      </c>
      <c r="P6" s="181">
        <f>'Gasoline+diesel'!P15</f>
        <v>1.795233860847216E-5</v>
      </c>
      <c r="Q6" s="181">
        <f>'Gasoline+diesel'!Q15</f>
        <v>1.8026806279912525E-5</v>
      </c>
      <c r="R6" s="181">
        <f>'Gasoline+diesel'!R15</f>
        <v>1.8163113948334213E-5</v>
      </c>
      <c r="S6" s="181">
        <f>'Gasoline+diesel'!S15</f>
        <v>1.8313278699710807E-5</v>
      </c>
      <c r="T6" s="181">
        <f>'Gasoline+diesel'!T15</f>
        <v>1.8413673396906035E-5</v>
      </c>
      <c r="U6" s="181">
        <f>'Gasoline+diesel'!U15</f>
        <v>1.8479925770964585E-5</v>
      </c>
      <c r="V6" s="181">
        <f>'Gasoline+diesel'!V15</f>
        <v>1.8632637047134141E-5</v>
      </c>
      <c r="W6" s="181">
        <f>'Gasoline+diesel'!W15</f>
        <v>1.8718733873450331E-5</v>
      </c>
      <c r="X6" s="181">
        <f>'Gasoline+diesel'!X15</f>
        <v>1.8727806008582619E-5</v>
      </c>
      <c r="Y6" s="181">
        <f>'Gasoline+diesel'!Y15</f>
        <v>1.8923248225655391E-5</v>
      </c>
      <c r="Z6" s="181">
        <f>'Gasoline+diesel'!Z15</f>
        <v>1.9137720786676957E-5</v>
      </c>
      <c r="AA6" s="181">
        <f>'Gasoline+diesel'!AA15</f>
        <v>1.9214756722450756E-5</v>
      </c>
      <c r="AB6" s="181">
        <f>'Gasoline+diesel'!AB15</f>
        <v>1.9351080133298304E-5</v>
      </c>
      <c r="AC6" s="181">
        <f>'Gasoline+diesel'!AC15</f>
        <v>1.9395802116253361E-5</v>
      </c>
      <c r="AD6" s="181">
        <f>'Gasoline+diesel'!AD15</f>
        <v>1.9357912346122273E-5</v>
      </c>
      <c r="AE6" s="181">
        <f>'Gasoline+diesel'!AE15</f>
        <v>1.9342130939015604E-5</v>
      </c>
      <c r="AF6" s="181">
        <f>'Gasoline+diesel'!AF15</f>
        <v>1.9296429927099814E-5</v>
      </c>
    </row>
    <row r="7" spans="1:34" s="21" customFormat="1">
      <c r="A7" s="179" t="s">
        <v>169</v>
      </c>
      <c r="B7" s="181">
        <f>'Gasoline+diesel'!B15</f>
        <v>1.5093312712685867E-5</v>
      </c>
      <c r="C7" s="181">
        <f>'Gasoline+diesel'!C15</f>
        <v>1.7775660613387186E-5</v>
      </c>
      <c r="D7" s="181">
        <f>'Gasoline+diesel'!D15</f>
        <v>2.4813867414567787E-5</v>
      </c>
      <c r="E7" s="181">
        <f>'Gasoline+diesel'!E15</f>
        <v>2.234787012755596E-5</v>
      </c>
      <c r="F7" s="181">
        <f>'Gasoline+diesel'!F15</f>
        <v>2.0399280124436528E-5</v>
      </c>
      <c r="G7" s="181">
        <f>'Gasoline+diesel'!G15</f>
        <v>1.8719964993059583E-5</v>
      </c>
      <c r="H7" s="181">
        <f>'Gasoline+diesel'!H15</f>
        <v>1.7040146740474345E-5</v>
      </c>
      <c r="I7" s="181">
        <f>'Gasoline+diesel'!I15</f>
        <v>1.7084455672160365E-5</v>
      </c>
      <c r="J7" s="181">
        <f>'Gasoline+diesel'!J15</f>
        <v>1.7218640362008703E-5</v>
      </c>
      <c r="K7" s="181">
        <f>'Gasoline+diesel'!K15</f>
        <v>1.7319433867325762E-5</v>
      </c>
      <c r="L7" s="181">
        <f>'Gasoline+diesel'!L15</f>
        <v>1.7291904112690314E-5</v>
      </c>
      <c r="M7" s="181">
        <f>'Gasoline+diesel'!M15</f>
        <v>1.7751636921882934E-5</v>
      </c>
      <c r="N7" s="181">
        <f>'Gasoline+diesel'!N15</f>
        <v>1.7824197510876053E-5</v>
      </c>
      <c r="O7" s="181">
        <f>'Gasoline+diesel'!O15</f>
        <v>1.7922487970481106E-5</v>
      </c>
      <c r="P7" s="181">
        <f>'Gasoline+diesel'!P15</f>
        <v>1.795233860847216E-5</v>
      </c>
      <c r="Q7" s="181">
        <f>'Gasoline+diesel'!Q15</f>
        <v>1.8026806279912525E-5</v>
      </c>
      <c r="R7" s="181">
        <f>'Gasoline+diesel'!R15</f>
        <v>1.8163113948334213E-5</v>
      </c>
      <c r="S7" s="181">
        <f>'Gasoline+diesel'!S15</f>
        <v>1.8313278699710807E-5</v>
      </c>
      <c r="T7" s="181">
        <f>'Gasoline+diesel'!T15</f>
        <v>1.8413673396906035E-5</v>
      </c>
      <c r="U7" s="181">
        <f>'Gasoline+diesel'!U15</f>
        <v>1.8479925770964585E-5</v>
      </c>
      <c r="V7" s="181">
        <f>'Gasoline+diesel'!V15</f>
        <v>1.8632637047134141E-5</v>
      </c>
      <c r="W7" s="181">
        <f>'Gasoline+diesel'!W15</f>
        <v>1.8718733873450331E-5</v>
      </c>
      <c r="X7" s="181">
        <f>'Gasoline+diesel'!X15</f>
        <v>1.8727806008582619E-5</v>
      </c>
      <c r="Y7" s="181">
        <f>'Gasoline+diesel'!Y15</f>
        <v>1.8923248225655391E-5</v>
      </c>
      <c r="Z7" s="181">
        <f>'Gasoline+diesel'!Z15</f>
        <v>1.9137720786676957E-5</v>
      </c>
      <c r="AA7" s="181">
        <f>'Gasoline+diesel'!AA15</f>
        <v>1.9214756722450756E-5</v>
      </c>
      <c r="AB7" s="181">
        <f>'Gasoline+diesel'!AB15</f>
        <v>1.9351080133298304E-5</v>
      </c>
      <c r="AC7" s="181">
        <f>'Gasoline+diesel'!AC15</f>
        <v>1.9395802116253361E-5</v>
      </c>
      <c r="AD7" s="181">
        <f>'Gasoline+diesel'!AD15</f>
        <v>1.9357912346122273E-5</v>
      </c>
      <c r="AE7" s="181">
        <f>'Gasoline+diesel'!AE15</f>
        <v>1.9342130939015604E-5</v>
      </c>
      <c r="AF7" s="181">
        <f>'Gasoline+diesel'!AF15</f>
        <v>1.9296429927099814E-5</v>
      </c>
    </row>
    <row r="8" spans="1:34">
      <c r="A8" s="13" t="s">
        <v>170</v>
      </c>
      <c r="B8" s="181">
        <v>0</v>
      </c>
      <c r="C8" s="181">
        <v>0</v>
      </c>
      <c r="D8" s="181">
        <v>0</v>
      </c>
      <c r="E8" s="181">
        <v>0</v>
      </c>
      <c r="F8" s="181">
        <v>0</v>
      </c>
      <c r="G8" s="181">
        <v>0</v>
      </c>
      <c r="H8" s="181">
        <v>0</v>
      </c>
      <c r="I8" s="181">
        <v>0</v>
      </c>
      <c r="J8" s="181">
        <v>0</v>
      </c>
      <c r="K8" s="181">
        <v>0</v>
      </c>
      <c r="L8" s="181">
        <v>0</v>
      </c>
      <c r="M8" s="181">
        <v>0</v>
      </c>
      <c r="N8" s="181">
        <v>0</v>
      </c>
      <c r="O8" s="181">
        <v>0</v>
      </c>
      <c r="P8" s="181">
        <v>0</v>
      </c>
      <c r="Q8" s="181">
        <v>0</v>
      </c>
      <c r="R8" s="181">
        <v>0</v>
      </c>
      <c r="S8" s="181">
        <v>0</v>
      </c>
      <c r="T8" s="181">
        <v>0</v>
      </c>
      <c r="U8" s="181">
        <v>0</v>
      </c>
      <c r="V8" s="181">
        <v>0</v>
      </c>
      <c r="W8" s="181">
        <v>0</v>
      </c>
      <c r="X8" s="181">
        <v>0</v>
      </c>
      <c r="Y8" s="181">
        <v>0</v>
      </c>
      <c r="Z8" s="181">
        <v>0</v>
      </c>
      <c r="AA8" s="181">
        <v>0</v>
      </c>
      <c r="AB8" s="181">
        <v>0</v>
      </c>
      <c r="AC8" s="181">
        <v>0</v>
      </c>
      <c r="AD8" s="181">
        <v>0</v>
      </c>
      <c r="AE8" s="181">
        <v>0</v>
      </c>
      <c r="AF8" s="181">
        <v>0</v>
      </c>
    </row>
    <row r="9" spans="1:34">
      <c r="A9" s="13" t="s">
        <v>171</v>
      </c>
      <c r="B9" s="181">
        <f>'Gasoline+diesel'!B15</f>
        <v>1.5093312712685867E-5</v>
      </c>
      <c r="C9" s="181">
        <f>'Gasoline+diesel'!C15</f>
        <v>1.7775660613387186E-5</v>
      </c>
      <c r="D9" s="181">
        <f>'Gasoline+diesel'!D15</f>
        <v>2.4813867414567787E-5</v>
      </c>
      <c r="E9" s="181">
        <f>'Gasoline+diesel'!E15</f>
        <v>2.234787012755596E-5</v>
      </c>
      <c r="F9" s="181">
        <f>'Gasoline+diesel'!F15</f>
        <v>2.0399280124436528E-5</v>
      </c>
      <c r="G9" s="181">
        <f>'Gasoline+diesel'!G15</f>
        <v>1.8719964993059583E-5</v>
      </c>
      <c r="H9" s="181">
        <f>'Gasoline+diesel'!H15</f>
        <v>1.7040146740474345E-5</v>
      </c>
      <c r="I9" s="181">
        <f>'Gasoline+diesel'!I15</f>
        <v>1.7084455672160365E-5</v>
      </c>
      <c r="J9" s="181">
        <f>'Gasoline+diesel'!J15</f>
        <v>1.7218640362008703E-5</v>
      </c>
      <c r="K9" s="181">
        <f>'Gasoline+diesel'!K15</f>
        <v>1.7319433867325762E-5</v>
      </c>
      <c r="L9" s="181">
        <f>'Gasoline+diesel'!L15</f>
        <v>1.7291904112690314E-5</v>
      </c>
      <c r="M9" s="181">
        <f>'Gasoline+diesel'!M15</f>
        <v>1.7751636921882934E-5</v>
      </c>
      <c r="N9" s="181">
        <f>'Gasoline+diesel'!N15</f>
        <v>1.7824197510876053E-5</v>
      </c>
      <c r="O9" s="181">
        <f>'Gasoline+diesel'!O15</f>
        <v>1.7922487970481106E-5</v>
      </c>
      <c r="P9" s="181">
        <f>'Gasoline+diesel'!P15</f>
        <v>1.795233860847216E-5</v>
      </c>
      <c r="Q9" s="181">
        <f>'Gasoline+diesel'!Q15</f>
        <v>1.8026806279912525E-5</v>
      </c>
      <c r="R9" s="181">
        <f>'Gasoline+diesel'!R15</f>
        <v>1.8163113948334213E-5</v>
      </c>
      <c r="S9" s="181">
        <f>'Gasoline+diesel'!S15</f>
        <v>1.8313278699710807E-5</v>
      </c>
      <c r="T9" s="181">
        <f>'Gasoline+diesel'!T15</f>
        <v>1.8413673396906035E-5</v>
      </c>
      <c r="U9" s="181">
        <f>'Gasoline+diesel'!U15</f>
        <v>1.8479925770964585E-5</v>
      </c>
      <c r="V9" s="181">
        <f>'Gasoline+diesel'!V15</f>
        <v>1.8632637047134141E-5</v>
      </c>
      <c r="W9" s="181">
        <f>'Gasoline+diesel'!W15</f>
        <v>1.8718733873450331E-5</v>
      </c>
      <c r="X9" s="181">
        <f>'Gasoline+diesel'!X15</f>
        <v>1.8727806008582619E-5</v>
      </c>
      <c r="Y9" s="181">
        <f>'Gasoline+diesel'!Y15</f>
        <v>1.8923248225655391E-5</v>
      </c>
      <c r="Z9" s="181">
        <f>'Gasoline+diesel'!Z15</f>
        <v>1.9137720786676957E-5</v>
      </c>
      <c r="AA9" s="181">
        <f>'Gasoline+diesel'!AA15</f>
        <v>1.9214756722450756E-5</v>
      </c>
      <c r="AB9" s="181">
        <f>'Gasoline+diesel'!AB15</f>
        <v>1.9351080133298304E-5</v>
      </c>
      <c r="AC9" s="181">
        <f>'Gasoline+diesel'!AC15</f>
        <v>1.9395802116253361E-5</v>
      </c>
      <c r="AD9" s="181">
        <f>'Gasoline+diesel'!AD15</f>
        <v>1.9357912346122273E-5</v>
      </c>
      <c r="AE9" s="181">
        <f>'Gasoline+diesel'!AE15</f>
        <v>1.9342130939015604E-5</v>
      </c>
      <c r="AF9" s="181">
        <f>'Gasoline+diesel'!AF15</f>
        <v>1.9296429927099814E-5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B2AD9-2293-4967-BBF7-BF5582316BA3}">
  <sheetPr>
    <tabColor theme="0" tint="-0.14999847407452621"/>
  </sheetPr>
  <dimension ref="A1:M24"/>
  <sheetViews>
    <sheetView workbookViewId="0">
      <selection activeCell="C13" sqref="C13"/>
    </sheetView>
  </sheetViews>
  <sheetFormatPr defaultRowHeight="14.5"/>
  <cols>
    <col min="1" max="1" width="25.81640625" customWidth="1"/>
    <col min="2" max="2" width="14.1796875" customWidth="1"/>
    <col min="3" max="3" width="17.54296875" style="32" customWidth="1"/>
    <col min="4" max="4" width="15.1796875" customWidth="1"/>
    <col min="5" max="5" width="23.81640625" customWidth="1"/>
    <col min="6" max="6" width="15.54296875" customWidth="1"/>
    <col min="7" max="7" width="18.26953125" customWidth="1"/>
  </cols>
  <sheetData>
    <row r="1" spans="1:13">
      <c r="A1" t="s">
        <v>643</v>
      </c>
      <c r="B1" s="113"/>
      <c r="C1">
        <v>2019</v>
      </c>
      <c r="D1" s="32">
        <v>2019</v>
      </c>
      <c r="E1" s="32">
        <v>2019</v>
      </c>
      <c r="F1" s="32">
        <v>2019</v>
      </c>
      <c r="G1" s="32">
        <v>2019</v>
      </c>
      <c r="H1">
        <v>2019</v>
      </c>
      <c r="I1">
        <v>2019</v>
      </c>
    </row>
    <row r="2" spans="1:13">
      <c r="B2" s="33" t="s">
        <v>130</v>
      </c>
      <c r="C2" s="51" t="s">
        <v>582</v>
      </c>
      <c r="D2" s="102" t="s">
        <v>589</v>
      </c>
      <c r="E2" s="51" t="s">
        <v>594</v>
      </c>
      <c r="F2" s="51" t="s">
        <v>590</v>
      </c>
      <c r="G2" s="51" t="s">
        <v>591</v>
      </c>
      <c r="H2" s="33" t="s">
        <v>645</v>
      </c>
      <c r="I2" s="33" t="s">
        <v>592</v>
      </c>
      <c r="J2" s="101" t="s">
        <v>648</v>
      </c>
      <c r="M2" s="32"/>
    </row>
    <row r="3" spans="1:13" s="32" customFormat="1">
      <c r="A3" s="33" t="s">
        <v>132</v>
      </c>
      <c r="B3" s="82" t="s">
        <v>772</v>
      </c>
      <c r="C3" s="103">
        <f>SEDStransport!A3</f>
        <v>8.64</v>
      </c>
      <c r="D3" s="103">
        <f>SEDStransport!B3</f>
        <v>28.61</v>
      </c>
      <c r="E3" s="103">
        <f>SEDStransport!C3</f>
        <v>17.489999999999998</v>
      </c>
      <c r="F3" s="103">
        <f>SEDStransport!D3</f>
        <v>14.76</v>
      </c>
      <c r="G3" s="103" t="str">
        <f>SEDStransport!E3</f>
        <v>#</v>
      </c>
      <c r="H3" s="103">
        <f>SEDStransport!F3</f>
        <v>14.06</v>
      </c>
      <c r="I3" s="103"/>
      <c r="J3" s="103"/>
    </row>
    <row r="4" spans="1:13" s="32" customFormat="1">
      <c r="A4" s="33" t="s">
        <v>509</v>
      </c>
      <c r="B4" s="82" t="s">
        <v>772</v>
      </c>
      <c r="C4" s="103">
        <f>SEDSpower!A3</f>
        <v>3.74</v>
      </c>
      <c r="D4" s="103">
        <f>SEDSpower!B3</f>
        <v>14.8</v>
      </c>
      <c r="E4" s="104" t="s">
        <v>647</v>
      </c>
      <c r="F4" s="103">
        <f>SEDSpower!D3</f>
        <v>0.67</v>
      </c>
      <c r="G4" s="103">
        <f>SEDSpower!E3</f>
        <v>2.33</v>
      </c>
      <c r="H4" s="104" t="s">
        <v>647</v>
      </c>
      <c r="I4" s="103"/>
      <c r="J4" s="103"/>
    </row>
    <row r="5" spans="1:13">
      <c r="A5" s="33" t="s">
        <v>593</v>
      </c>
      <c r="B5" s="82" t="s">
        <v>772</v>
      </c>
      <c r="C5" s="103">
        <f>SEDSresidential!A3</f>
        <v>12.52</v>
      </c>
      <c r="D5" s="103">
        <f>SEDSresidential!B3</f>
        <v>21.61</v>
      </c>
      <c r="E5" s="103">
        <f>SEDSresidential!C3</f>
        <v>26.89</v>
      </c>
      <c r="F5" s="103">
        <f>SEDSresidential!D3</f>
        <v>23.09</v>
      </c>
      <c r="G5" s="103">
        <f>SEDSresidential!E3</f>
        <v>11.46</v>
      </c>
      <c r="H5" s="104" t="str">
        <f>SEDSresidential!F3</f>
        <v>NA</v>
      </c>
      <c r="I5" s="104" t="s">
        <v>647</v>
      </c>
      <c r="J5" s="104" t="s">
        <v>647</v>
      </c>
    </row>
    <row r="6" spans="1:13">
      <c r="A6" s="33" t="s">
        <v>306</v>
      </c>
      <c r="B6" s="82" t="s">
        <v>772</v>
      </c>
      <c r="C6" s="103">
        <f>SEDcommercial!A3</f>
        <v>9.1</v>
      </c>
      <c r="D6" s="103">
        <f>SEDcommercial!B3</f>
        <v>18.12</v>
      </c>
      <c r="E6" s="103">
        <f>SEDcommercial!C3</f>
        <v>16.079999999999998</v>
      </c>
      <c r="F6" s="103">
        <f>SEDcommercial!D3</f>
        <v>23.09</v>
      </c>
      <c r="G6" s="103">
        <f>SEDcommercial!E3</f>
        <v>2.71</v>
      </c>
      <c r="H6" s="104" t="s">
        <v>647</v>
      </c>
      <c r="I6" s="103"/>
      <c r="J6" s="103"/>
    </row>
    <row r="7" spans="1:13">
      <c r="A7" s="33" t="s">
        <v>308</v>
      </c>
      <c r="B7" s="82" t="s">
        <v>772</v>
      </c>
      <c r="C7" s="103">
        <f>SEDSindustry!A3</f>
        <v>7.44</v>
      </c>
      <c r="D7" s="103">
        <f>SEDSindustry!B3</f>
        <v>17.84</v>
      </c>
      <c r="E7" s="103">
        <f>SEDSindustry!C3</f>
        <v>17.5</v>
      </c>
      <c r="F7" s="103">
        <f>SEDSindustry!D3</f>
        <v>29.1</v>
      </c>
      <c r="G7" s="103">
        <f>SEDSindustry!E3</f>
        <v>2.6</v>
      </c>
      <c r="H7" s="103">
        <f>SEDSindustry!F3</f>
        <v>11.27</v>
      </c>
      <c r="I7" s="103">
        <f>SEDSindustry!$C$66</f>
        <v>3.41</v>
      </c>
      <c r="J7" s="103"/>
    </row>
    <row r="8" spans="1:13">
      <c r="A8" s="32"/>
    </row>
    <row r="9" spans="1:13" s="32" customFormat="1">
      <c r="A9"/>
    </row>
    <row r="11" spans="1:13">
      <c r="B11" s="99"/>
      <c r="D11" s="99"/>
    </row>
    <row r="12" spans="1:13">
      <c r="B12" s="51"/>
      <c r="C12" s="102"/>
      <c r="D12" s="51"/>
    </row>
    <row r="13" spans="1:13">
      <c r="A13" s="33"/>
      <c r="B13" s="33"/>
      <c r="C13" s="105"/>
    </row>
    <row r="14" spans="1:13">
      <c r="A14" s="33"/>
      <c r="B14" s="33"/>
      <c r="C14" s="106"/>
      <c r="D14" s="51"/>
    </row>
    <row r="15" spans="1:13">
      <c r="A15" s="33"/>
      <c r="B15" s="33"/>
      <c r="C15" s="105"/>
      <c r="D15" s="99"/>
    </row>
    <row r="16" spans="1:13">
      <c r="A16" s="33"/>
      <c r="B16" s="82"/>
      <c r="C16" s="105"/>
      <c r="D16" s="99"/>
    </row>
    <row r="17" spans="1:4">
      <c r="A17" s="33"/>
      <c r="B17" s="33"/>
      <c r="C17" s="105"/>
      <c r="D17" s="99"/>
    </row>
    <row r="19" spans="1:4">
      <c r="B19" s="32"/>
    </row>
    <row r="20" spans="1:4">
      <c r="A20" s="32"/>
    </row>
    <row r="21" spans="1:4">
      <c r="A21" s="82"/>
    </row>
    <row r="22" spans="1:4">
      <c r="A22" s="82"/>
    </row>
    <row r="23" spans="1:4">
      <c r="A23" s="82"/>
    </row>
    <row r="24" spans="1:4">
      <c r="A24" s="82"/>
    </row>
  </sheetData>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2060"/>
  </sheetPr>
  <dimension ref="A1:AH9"/>
  <sheetViews>
    <sheetView workbookViewId="0">
      <selection activeCell="A5" sqref="A5"/>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4">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26">
        <f>'Gasoline+diesel'!B7</f>
        <v>2.2350888251513925E-5</v>
      </c>
      <c r="C2" s="26">
        <f>'Gasoline+diesel'!C7</f>
        <v>2.7945919905004883E-5</v>
      </c>
      <c r="D2" s="26">
        <f>'Gasoline+diesel'!D7</f>
        <v>3.4356713931213004E-5</v>
      </c>
      <c r="E2" s="26">
        <f>'Gasoline+diesel'!E7</f>
        <v>3.0357652792806804E-5</v>
      </c>
      <c r="F2" s="26">
        <f>'Gasoline+diesel'!F7</f>
        <v>2.8181186240419201E-5</v>
      </c>
      <c r="G2" s="26">
        <f>'Gasoline+diesel'!G7</f>
        <v>2.6004719688031599E-5</v>
      </c>
      <c r="H2" s="26">
        <f>'Gasoline+diesel'!H7</f>
        <v>2.3828253135643997E-5</v>
      </c>
      <c r="I2" s="26">
        <f>'Gasoline+diesel'!I7</f>
        <v>2.411304901480793E-5</v>
      </c>
      <c r="J2" s="26">
        <f>'Gasoline+diesel'!J7</f>
        <v>2.4373698928372245E-5</v>
      </c>
      <c r="K2" s="26">
        <f>'Gasoline+diesel'!K7</f>
        <v>2.4556622189304845E-5</v>
      </c>
      <c r="L2" s="26">
        <f>'Gasoline+diesel'!L7</f>
        <v>2.5163466641805237E-5</v>
      </c>
      <c r="M2" s="26">
        <f>'Gasoline+diesel'!M7</f>
        <v>2.5969402312141305E-5</v>
      </c>
      <c r="N2" s="26">
        <f>'Gasoline+diesel'!N7</f>
        <v>2.6233032354733504E-5</v>
      </c>
      <c r="O2" s="26">
        <f>'Gasoline+diesel'!O7</f>
        <v>2.6450335231889766E-5</v>
      </c>
      <c r="P2" s="26">
        <f>'Gasoline+diesel'!P7</f>
        <v>2.6655371569244772E-5</v>
      </c>
      <c r="Q2" s="26">
        <f>'Gasoline+diesel'!Q7</f>
        <v>2.67557022194087E-5</v>
      </c>
      <c r="R2" s="26">
        <f>'Gasoline+diesel'!R7</f>
        <v>2.6945903872390167E-5</v>
      </c>
      <c r="S2" s="26">
        <f>'Gasoline+diesel'!S7</f>
        <v>2.7114788303435629E-5</v>
      </c>
      <c r="T2" s="26">
        <f>'Gasoline+diesel'!T7</f>
        <v>2.7412177282258007E-5</v>
      </c>
      <c r="U2" s="26">
        <f>'Gasoline+diesel'!U7</f>
        <v>2.7426695138690636E-5</v>
      </c>
      <c r="V2" s="26">
        <f>'Gasoline+diesel'!V7</f>
        <v>2.764207542172078E-5</v>
      </c>
      <c r="W2" s="26">
        <f>'Gasoline+diesel'!W7</f>
        <v>2.7817194767125735E-5</v>
      </c>
      <c r="X2" s="26">
        <f>'Gasoline+diesel'!X7</f>
        <v>2.786151499516118E-5</v>
      </c>
      <c r="Y2" s="26">
        <f>'Gasoline+diesel'!Y7</f>
        <v>2.8138009549743463E-5</v>
      </c>
      <c r="Z2" s="26">
        <f>'Gasoline+diesel'!Z7</f>
        <v>2.8404097441856844E-5</v>
      </c>
      <c r="AA2" s="26">
        <f>'Gasoline+diesel'!AA7</f>
        <v>2.8495138437275302E-5</v>
      </c>
      <c r="AB2" s="26">
        <f>'Gasoline+diesel'!AB7</f>
        <v>2.8723329166094019E-5</v>
      </c>
      <c r="AC2" s="26">
        <f>'Gasoline+diesel'!AC7</f>
        <v>2.8811800935616165E-5</v>
      </c>
      <c r="AD2" s="26">
        <f>'Gasoline+diesel'!AD7</f>
        <v>2.8734371647092817E-5</v>
      </c>
      <c r="AE2" s="26">
        <f>'Gasoline+diesel'!AE7</f>
        <v>2.8751371142175291E-5</v>
      </c>
      <c r="AF2" s="26">
        <f>'Gasoline+diesel'!AF7</f>
        <v>2.8745742850596882E-5</v>
      </c>
      <c r="AG2" s="26"/>
      <c r="AH2" s="26"/>
    </row>
    <row r="3" spans="1:34">
      <c r="A3" s="13" t="s">
        <v>165</v>
      </c>
      <c r="B3" s="34">
        <f>B2</f>
        <v>2.2350888251513925E-5</v>
      </c>
      <c r="C3" s="34">
        <f t="shared" ref="C3:AF6" si="0">C2</f>
        <v>2.7945919905004883E-5</v>
      </c>
      <c r="D3" s="34">
        <f t="shared" si="0"/>
        <v>3.4356713931213004E-5</v>
      </c>
      <c r="E3" s="34">
        <f t="shared" si="0"/>
        <v>3.0357652792806804E-5</v>
      </c>
      <c r="F3" s="34">
        <f t="shared" si="0"/>
        <v>2.8181186240419201E-5</v>
      </c>
      <c r="G3" s="34">
        <f t="shared" si="0"/>
        <v>2.6004719688031599E-5</v>
      </c>
      <c r="H3" s="34">
        <f t="shared" si="0"/>
        <v>2.3828253135643997E-5</v>
      </c>
      <c r="I3" s="34">
        <f t="shared" si="0"/>
        <v>2.411304901480793E-5</v>
      </c>
      <c r="J3" s="34">
        <f t="shared" si="0"/>
        <v>2.4373698928372245E-5</v>
      </c>
      <c r="K3" s="34">
        <f t="shared" si="0"/>
        <v>2.4556622189304845E-5</v>
      </c>
      <c r="L3" s="34">
        <f t="shared" si="0"/>
        <v>2.5163466641805237E-5</v>
      </c>
      <c r="M3" s="34">
        <f t="shared" si="0"/>
        <v>2.5969402312141305E-5</v>
      </c>
      <c r="N3" s="34">
        <f t="shared" si="0"/>
        <v>2.6233032354733504E-5</v>
      </c>
      <c r="O3" s="34">
        <f t="shared" si="0"/>
        <v>2.6450335231889766E-5</v>
      </c>
      <c r="P3" s="34">
        <f t="shared" si="0"/>
        <v>2.6655371569244772E-5</v>
      </c>
      <c r="Q3" s="34">
        <f t="shared" si="0"/>
        <v>2.67557022194087E-5</v>
      </c>
      <c r="R3" s="34">
        <f t="shared" si="0"/>
        <v>2.6945903872390167E-5</v>
      </c>
      <c r="S3" s="34">
        <f t="shared" si="0"/>
        <v>2.7114788303435629E-5</v>
      </c>
      <c r="T3" s="34">
        <f t="shared" si="0"/>
        <v>2.7412177282258007E-5</v>
      </c>
      <c r="U3" s="34">
        <f t="shared" si="0"/>
        <v>2.7426695138690636E-5</v>
      </c>
      <c r="V3" s="34">
        <f t="shared" si="0"/>
        <v>2.764207542172078E-5</v>
      </c>
      <c r="W3" s="34">
        <f t="shared" si="0"/>
        <v>2.7817194767125735E-5</v>
      </c>
      <c r="X3" s="34">
        <f t="shared" si="0"/>
        <v>2.786151499516118E-5</v>
      </c>
      <c r="Y3" s="34">
        <f t="shared" si="0"/>
        <v>2.8138009549743463E-5</v>
      </c>
      <c r="Z3" s="34">
        <f t="shared" si="0"/>
        <v>2.8404097441856844E-5</v>
      </c>
      <c r="AA3" s="34">
        <f t="shared" si="0"/>
        <v>2.8495138437275302E-5</v>
      </c>
      <c r="AB3" s="34">
        <f t="shared" si="0"/>
        <v>2.8723329166094019E-5</v>
      </c>
      <c r="AC3" s="34">
        <f t="shared" si="0"/>
        <v>2.8811800935616165E-5</v>
      </c>
      <c r="AD3" s="34">
        <f t="shared" si="0"/>
        <v>2.8734371647092817E-5</v>
      </c>
      <c r="AE3" s="34">
        <f t="shared" si="0"/>
        <v>2.8751371142175291E-5</v>
      </c>
      <c r="AF3" s="34">
        <f t="shared" si="0"/>
        <v>2.8745742850596882E-5</v>
      </c>
    </row>
    <row r="4" spans="1:34">
      <c r="A4" s="13" t="s">
        <v>166</v>
      </c>
      <c r="B4" s="34">
        <f t="shared" ref="B4:B6" si="1">B3</f>
        <v>2.2350888251513925E-5</v>
      </c>
      <c r="C4" s="34">
        <f t="shared" si="0"/>
        <v>2.7945919905004883E-5</v>
      </c>
      <c r="D4" s="34">
        <f t="shared" si="0"/>
        <v>3.4356713931213004E-5</v>
      </c>
      <c r="E4" s="34">
        <f t="shared" si="0"/>
        <v>3.0357652792806804E-5</v>
      </c>
      <c r="F4" s="34">
        <f t="shared" si="0"/>
        <v>2.8181186240419201E-5</v>
      </c>
      <c r="G4" s="34">
        <f t="shared" si="0"/>
        <v>2.6004719688031599E-5</v>
      </c>
      <c r="H4" s="34">
        <f t="shared" si="0"/>
        <v>2.3828253135643997E-5</v>
      </c>
      <c r="I4" s="34">
        <f t="shared" si="0"/>
        <v>2.411304901480793E-5</v>
      </c>
      <c r="J4" s="34">
        <f t="shared" si="0"/>
        <v>2.4373698928372245E-5</v>
      </c>
      <c r="K4" s="34">
        <f t="shared" si="0"/>
        <v>2.4556622189304845E-5</v>
      </c>
      <c r="L4" s="34">
        <f t="shared" si="0"/>
        <v>2.5163466641805237E-5</v>
      </c>
      <c r="M4" s="34">
        <f t="shared" si="0"/>
        <v>2.5969402312141305E-5</v>
      </c>
      <c r="N4" s="34">
        <f t="shared" si="0"/>
        <v>2.6233032354733504E-5</v>
      </c>
      <c r="O4" s="34">
        <f t="shared" si="0"/>
        <v>2.6450335231889766E-5</v>
      </c>
      <c r="P4" s="34">
        <f t="shared" si="0"/>
        <v>2.6655371569244772E-5</v>
      </c>
      <c r="Q4" s="34">
        <f t="shared" si="0"/>
        <v>2.67557022194087E-5</v>
      </c>
      <c r="R4" s="34">
        <f t="shared" si="0"/>
        <v>2.6945903872390167E-5</v>
      </c>
      <c r="S4" s="34">
        <f t="shared" si="0"/>
        <v>2.7114788303435629E-5</v>
      </c>
      <c r="T4" s="34">
        <f t="shared" si="0"/>
        <v>2.7412177282258007E-5</v>
      </c>
      <c r="U4" s="34">
        <f t="shared" si="0"/>
        <v>2.7426695138690636E-5</v>
      </c>
      <c r="V4" s="34">
        <f t="shared" si="0"/>
        <v>2.764207542172078E-5</v>
      </c>
      <c r="W4" s="34">
        <f t="shared" si="0"/>
        <v>2.7817194767125735E-5</v>
      </c>
      <c r="X4" s="34">
        <f t="shared" si="0"/>
        <v>2.786151499516118E-5</v>
      </c>
      <c r="Y4" s="34">
        <f t="shared" si="0"/>
        <v>2.8138009549743463E-5</v>
      </c>
      <c r="Z4" s="34">
        <f t="shared" si="0"/>
        <v>2.8404097441856844E-5</v>
      </c>
      <c r="AA4" s="34">
        <f t="shared" si="0"/>
        <v>2.8495138437275302E-5</v>
      </c>
      <c r="AB4" s="34">
        <f t="shared" si="0"/>
        <v>2.8723329166094019E-5</v>
      </c>
      <c r="AC4" s="34">
        <f t="shared" si="0"/>
        <v>2.8811800935616165E-5</v>
      </c>
      <c r="AD4" s="34">
        <f t="shared" si="0"/>
        <v>2.8734371647092817E-5</v>
      </c>
      <c r="AE4" s="34">
        <f t="shared" si="0"/>
        <v>2.8751371142175291E-5</v>
      </c>
      <c r="AF4" s="34">
        <f t="shared" si="0"/>
        <v>2.8745742850596882E-5</v>
      </c>
    </row>
    <row r="5" spans="1:34">
      <c r="A5" s="13" t="s">
        <v>167</v>
      </c>
      <c r="B5" s="34">
        <f t="shared" si="1"/>
        <v>2.2350888251513925E-5</v>
      </c>
      <c r="C5" s="34">
        <f t="shared" si="0"/>
        <v>2.7945919905004883E-5</v>
      </c>
      <c r="D5" s="34">
        <f t="shared" si="0"/>
        <v>3.4356713931213004E-5</v>
      </c>
      <c r="E5" s="34">
        <f t="shared" si="0"/>
        <v>3.0357652792806804E-5</v>
      </c>
      <c r="F5" s="34">
        <f t="shared" si="0"/>
        <v>2.8181186240419201E-5</v>
      </c>
      <c r="G5" s="34">
        <f t="shared" si="0"/>
        <v>2.6004719688031599E-5</v>
      </c>
      <c r="H5" s="34">
        <f t="shared" si="0"/>
        <v>2.3828253135643997E-5</v>
      </c>
      <c r="I5" s="34">
        <f t="shared" si="0"/>
        <v>2.411304901480793E-5</v>
      </c>
      <c r="J5" s="34">
        <f t="shared" si="0"/>
        <v>2.4373698928372245E-5</v>
      </c>
      <c r="K5" s="34">
        <f t="shared" si="0"/>
        <v>2.4556622189304845E-5</v>
      </c>
      <c r="L5" s="34">
        <f t="shared" si="0"/>
        <v>2.5163466641805237E-5</v>
      </c>
      <c r="M5" s="34">
        <f t="shared" si="0"/>
        <v>2.5969402312141305E-5</v>
      </c>
      <c r="N5" s="34">
        <f t="shared" si="0"/>
        <v>2.6233032354733504E-5</v>
      </c>
      <c r="O5" s="34">
        <f t="shared" si="0"/>
        <v>2.6450335231889766E-5</v>
      </c>
      <c r="P5" s="34">
        <f t="shared" si="0"/>
        <v>2.6655371569244772E-5</v>
      </c>
      <c r="Q5" s="34">
        <f t="shared" si="0"/>
        <v>2.67557022194087E-5</v>
      </c>
      <c r="R5" s="34">
        <f t="shared" si="0"/>
        <v>2.6945903872390167E-5</v>
      </c>
      <c r="S5" s="34">
        <f t="shared" si="0"/>
        <v>2.7114788303435629E-5</v>
      </c>
      <c r="T5" s="34">
        <f t="shared" si="0"/>
        <v>2.7412177282258007E-5</v>
      </c>
      <c r="U5" s="34">
        <f t="shared" si="0"/>
        <v>2.7426695138690636E-5</v>
      </c>
      <c r="V5" s="34">
        <f t="shared" si="0"/>
        <v>2.764207542172078E-5</v>
      </c>
      <c r="W5" s="34">
        <f t="shared" si="0"/>
        <v>2.7817194767125735E-5</v>
      </c>
      <c r="X5" s="34">
        <f t="shared" si="0"/>
        <v>2.786151499516118E-5</v>
      </c>
      <c r="Y5" s="34">
        <f t="shared" si="0"/>
        <v>2.8138009549743463E-5</v>
      </c>
      <c r="Z5" s="34">
        <f t="shared" si="0"/>
        <v>2.8404097441856844E-5</v>
      </c>
      <c r="AA5" s="34">
        <f t="shared" si="0"/>
        <v>2.8495138437275302E-5</v>
      </c>
      <c r="AB5" s="34">
        <f t="shared" si="0"/>
        <v>2.8723329166094019E-5</v>
      </c>
      <c r="AC5" s="34">
        <f t="shared" si="0"/>
        <v>2.8811800935616165E-5</v>
      </c>
      <c r="AD5" s="34">
        <f t="shared" si="0"/>
        <v>2.8734371647092817E-5</v>
      </c>
      <c r="AE5" s="34">
        <f t="shared" si="0"/>
        <v>2.8751371142175291E-5</v>
      </c>
      <c r="AF5" s="34">
        <f t="shared" si="0"/>
        <v>2.8745742850596882E-5</v>
      </c>
    </row>
    <row r="6" spans="1:34">
      <c r="A6" s="13" t="s">
        <v>168</v>
      </c>
      <c r="B6" s="34">
        <f t="shared" si="1"/>
        <v>2.2350888251513925E-5</v>
      </c>
      <c r="C6" s="34">
        <f t="shared" si="0"/>
        <v>2.7945919905004883E-5</v>
      </c>
      <c r="D6" s="34">
        <f t="shared" si="0"/>
        <v>3.4356713931213004E-5</v>
      </c>
      <c r="E6" s="34">
        <f t="shared" si="0"/>
        <v>3.0357652792806804E-5</v>
      </c>
      <c r="F6" s="34">
        <f t="shared" si="0"/>
        <v>2.8181186240419201E-5</v>
      </c>
      <c r="G6" s="34">
        <f t="shared" si="0"/>
        <v>2.6004719688031599E-5</v>
      </c>
      <c r="H6" s="34">
        <f t="shared" si="0"/>
        <v>2.3828253135643997E-5</v>
      </c>
      <c r="I6" s="34">
        <f t="shared" si="0"/>
        <v>2.411304901480793E-5</v>
      </c>
      <c r="J6" s="34">
        <f t="shared" si="0"/>
        <v>2.4373698928372245E-5</v>
      </c>
      <c r="K6" s="34">
        <f t="shared" si="0"/>
        <v>2.4556622189304845E-5</v>
      </c>
      <c r="L6" s="34">
        <f t="shared" si="0"/>
        <v>2.5163466641805237E-5</v>
      </c>
      <c r="M6" s="34">
        <f t="shared" si="0"/>
        <v>2.5969402312141305E-5</v>
      </c>
      <c r="N6" s="34">
        <f t="shared" si="0"/>
        <v>2.6233032354733504E-5</v>
      </c>
      <c r="O6" s="34">
        <f t="shared" si="0"/>
        <v>2.6450335231889766E-5</v>
      </c>
      <c r="P6" s="34">
        <f t="shared" si="0"/>
        <v>2.6655371569244772E-5</v>
      </c>
      <c r="Q6" s="34">
        <f t="shared" si="0"/>
        <v>2.67557022194087E-5</v>
      </c>
      <c r="R6" s="34">
        <f t="shared" si="0"/>
        <v>2.6945903872390167E-5</v>
      </c>
      <c r="S6" s="34">
        <f t="shared" si="0"/>
        <v>2.7114788303435629E-5</v>
      </c>
      <c r="T6" s="34">
        <f t="shared" si="0"/>
        <v>2.7412177282258007E-5</v>
      </c>
      <c r="U6" s="34">
        <f t="shared" si="0"/>
        <v>2.7426695138690636E-5</v>
      </c>
      <c r="V6" s="34">
        <f t="shared" si="0"/>
        <v>2.764207542172078E-5</v>
      </c>
      <c r="W6" s="34">
        <f t="shared" si="0"/>
        <v>2.7817194767125735E-5</v>
      </c>
      <c r="X6" s="34">
        <f t="shared" si="0"/>
        <v>2.786151499516118E-5</v>
      </c>
      <c r="Y6" s="34">
        <f t="shared" si="0"/>
        <v>2.8138009549743463E-5</v>
      </c>
      <c r="Z6" s="34">
        <f t="shared" si="0"/>
        <v>2.8404097441856844E-5</v>
      </c>
      <c r="AA6" s="34">
        <f t="shared" si="0"/>
        <v>2.8495138437275302E-5</v>
      </c>
      <c r="AB6" s="34">
        <f t="shared" si="0"/>
        <v>2.8723329166094019E-5</v>
      </c>
      <c r="AC6" s="34">
        <f t="shared" si="0"/>
        <v>2.8811800935616165E-5</v>
      </c>
      <c r="AD6" s="34">
        <f t="shared" si="0"/>
        <v>2.8734371647092817E-5</v>
      </c>
      <c r="AE6" s="34">
        <f t="shared" si="0"/>
        <v>2.8751371142175291E-5</v>
      </c>
      <c r="AF6" s="34">
        <f t="shared" si="0"/>
        <v>2.8745742850596882E-5</v>
      </c>
    </row>
    <row r="7" spans="1:34">
      <c r="A7" s="13" t="s">
        <v>169</v>
      </c>
      <c r="B7">
        <f t="shared" ref="B7:AF7" si="2">B3</f>
        <v>2.2350888251513925E-5</v>
      </c>
      <c r="C7">
        <f t="shared" si="2"/>
        <v>2.7945919905004883E-5</v>
      </c>
      <c r="D7">
        <f t="shared" si="2"/>
        <v>3.4356713931213004E-5</v>
      </c>
      <c r="E7">
        <f t="shared" si="2"/>
        <v>3.0357652792806804E-5</v>
      </c>
      <c r="F7">
        <f t="shared" si="2"/>
        <v>2.8181186240419201E-5</v>
      </c>
      <c r="G7">
        <f t="shared" si="2"/>
        <v>2.6004719688031599E-5</v>
      </c>
      <c r="H7">
        <f t="shared" si="2"/>
        <v>2.3828253135643997E-5</v>
      </c>
      <c r="I7">
        <f t="shared" si="2"/>
        <v>2.411304901480793E-5</v>
      </c>
      <c r="J7">
        <f t="shared" si="2"/>
        <v>2.4373698928372245E-5</v>
      </c>
      <c r="K7">
        <f t="shared" si="2"/>
        <v>2.4556622189304845E-5</v>
      </c>
      <c r="L7">
        <f t="shared" si="2"/>
        <v>2.5163466641805237E-5</v>
      </c>
      <c r="M7">
        <f t="shared" si="2"/>
        <v>2.5969402312141305E-5</v>
      </c>
      <c r="N7">
        <f t="shared" si="2"/>
        <v>2.6233032354733504E-5</v>
      </c>
      <c r="O7">
        <f t="shared" si="2"/>
        <v>2.6450335231889766E-5</v>
      </c>
      <c r="P7">
        <f t="shared" si="2"/>
        <v>2.6655371569244772E-5</v>
      </c>
      <c r="Q7">
        <f t="shared" si="2"/>
        <v>2.67557022194087E-5</v>
      </c>
      <c r="R7">
        <f t="shared" si="2"/>
        <v>2.6945903872390167E-5</v>
      </c>
      <c r="S7">
        <f t="shared" si="2"/>
        <v>2.7114788303435629E-5</v>
      </c>
      <c r="T7">
        <f t="shared" si="2"/>
        <v>2.7412177282258007E-5</v>
      </c>
      <c r="U7">
        <f t="shared" si="2"/>
        <v>2.7426695138690636E-5</v>
      </c>
      <c r="V7">
        <f t="shared" si="2"/>
        <v>2.764207542172078E-5</v>
      </c>
      <c r="W7">
        <f t="shared" si="2"/>
        <v>2.7817194767125735E-5</v>
      </c>
      <c r="X7">
        <f t="shared" si="2"/>
        <v>2.786151499516118E-5</v>
      </c>
      <c r="Y7" s="113">
        <f t="shared" si="2"/>
        <v>2.8138009549743463E-5</v>
      </c>
      <c r="Z7" s="113">
        <f t="shared" si="2"/>
        <v>2.8404097441856844E-5</v>
      </c>
      <c r="AA7" s="113">
        <f t="shared" si="2"/>
        <v>2.8495138437275302E-5</v>
      </c>
      <c r="AB7" s="113">
        <f t="shared" si="2"/>
        <v>2.8723329166094019E-5</v>
      </c>
      <c r="AC7" s="113">
        <f t="shared" si="2"/>
        <v>2.8811800935616165E-5</v>
      </c>
      <c r="AD7" s="113">
        <f t="shared" si="2"/>
        <v>2.8734371647092817E-5</v>
      </c>
      <c r="AE7" s="113">
        <f t="shared" si="2"/>
        <v>2.8751371142175291E-5</v>
      </c>
      <c r="AF7" s="113">
        <f t="shared" si="2"/>
        <v>2.8745742850596882E-5</v>
      </c>
    </row>
    <row r="8" spans="1:34">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4">
      <c r="A9" s="13" t="s">
        <v>171</v>
      </c>
      <c r="B9">
        <f t="shared" ref="B9:AF9" si="3">B6</f>
        <v>2.2350888251513925E-5</v>
      </c>
      <c r="C9">
        <f t="shared" si="3"/>
        <v>2.7945919905004883E-5</v>
      </c>
      <c r="D9">
        <f t="shared" si="3"/>
        <v>3.4356713931213004E-5</v>
      </c>
      <c r="E9">
        <f t="shared" si="3"/>
        <v>3.0357652792806804E-5</v>
      </c>
      <c r="F9">
        <f t="shared" si="3"/>
        <v>2.8181186240419201E-5</v>
      </c>
      <c r="G9">
        <f t="shared" si="3"/>
        <v>2.6004719688031599E-5</v>
      </c>
      <c r="H9">
        <f t="shared" si="3"/>
        <v>2.3828253135643997E-5</v>
      </c>
      <c r="I9">
        <f t="shared" si="3"/>
        <v>2.411304901480793E-5</v>
      </c>
      <c r="J9">
        <f t="shared" si="3"/>
        <v>2.4373698928372245E-5</v>
      </c>
      <c r="K9">
        <f t="shared" si="3"/>
        <v>2.4556622189304845E-5</v>
      </c>
      <c r="L9">
        <f t="shared" si="3"/>
        <v>2.5163466641805237E-5</v>
      </c>
      <c r="M9">
        <f t="shared" si="3"/>
        <v>2.5969402312141305E-5</v>
      </c>
      <c r="N9">
        <f t="shared" si="3"/>
        <v>2.6233032354733504E-5</v>
      </c>
      <c r="O9">
        <f t="shared" si="3"/>
        <v>2.6450335231889766E-5</v>
      </c>
      <c r="P9">
        <f t="shared" si="3"/>
        <v>2.6655371569244772E-5</v>
      </c>
      <c r="Q9">
        <f t="shared" si="3"/>
        <v>2.67557022194087E-5</v>
      </c>
      <c r="R9">
        <f t="shared" si="3"/>
        <v>2.6945903872390167E-5</v>
      </c>
      <c r="S9">
        <f t="shared" si="3"/>
        <v>2.7114788303435629E-5</v>
      </c>
      <c r="T9">
        <f t="shared" si="3"/>
        <v>2.7412177282258007E-5</v>
      </c>
      <c r="U9">
        <f t="shared" si="3"/>
        <v>2.7426695138690636E-5</v>
      </c>
      <c r="V9">
        <f t="shared" si="3"/>
        <v>2.764207542172078E-5</v>
      </c>
      <c r="W9">
        <f t="shared" si="3"/>
        <v>2.7817194767125735E-5</v>
      </c>
      <c r="X9">
        <f t="shared" si="3"/>
        <v>2.786151499516118E-5</v>
      </c>
      <c r="Y9" s="113">
        <f t="shared" si="3"/>
        <v>2.8138009549743463E-5</v>
      </c>
      <c r="Z9" s="113">
        <f t="shared" si="3"/>
        <v>2.8404097441856844E-5</v>
      </c>
      <c r="AA9" s="113">
        <f t="shared" si="3"/>
        <v>2.8495138437275302E-5</v>
      </c>
      <c r="AB9" s="113">
        <f t="shared" si="3"/>
        <v>2.8723329166094019E-5</v>
      </c>
      <c r="AC9" s="113">
        <f t="shared" si="3"/>
        <v>2.8811800935616165E-5</v>
      </c>
      <c r="AD9" s="113">
        <f t="shared" si="3"/>
        <v>2.8734371647092817E-5</v>
      </c>
      <c r="AE9" s="113">
        <f t="shared" si="3"/>
        <v>2.8751371142175291E-5</v>
      </c>
      <c r="AF9" s="113">
        <f t="shared" si="3"/>
        <v>2.8745742850596882E-5</v>
      </c>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2060"/>
  </sheetPr>
  <dimension ref="A1:AH9"/>
  <sheetViews>
    <sheetView workbookViewId="0">
      <selection activeCell="AF9" sqref="B2:AF9"/>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4">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26">
        <f>'Gasoline+diesel'!B11</f>
        <v>2.3974612524751024E-5</v>
      </c>
      <c r="C2" s="26">
        <f>'Gasoline+diesel'!C11</f>
        <v>2.8235324059723896E-5</v>
      </c>
      <c r="D2" s="26">
        <f>'Gasoline+diesel'!D11</f>
        <v>3.5641449560589472E-5</v>
      </c>
      <c r="E2" s="26">
        <f>'Gasoline+diesel'!E11</f>
        <v>3.263438754822888E-5</v>
      </c>
      <c r="F2" s="26">
        <f>'Gasoline+diesel'!F11</f>
        <v>3.0778596563523409E-5</v>
      </c>
      <c r="G2" s="26">
        <f>'Gasoline+diesel'!G11</f>
        <v>2.8922805578817932E-5</v>
      </c>
      <c r="H2" s="26">
        <f>'Gasoline+diesel'!H11</f>
        <v>2.7067014594112465E-5</v>
      </c>
      <c r="I2" s="26">
        <f>'Gasoline+diesel'!I11</f>
        <v>2.7137396059651517E-5</v>
      </c>
      <c r="J2" s="26">
        <f>'Gasoline+diesel'!J11</f>
        <v>2.7350538529240967E-5</v>
      </c>
      <c r="K2" s="26">
        <f>'Gasoline+diesel'!K11</f>
        <v>2.7510641568314485E-5</v>
      </c>
      <c r="L2" s="26">
        <f>'Gasoline+diesel'!L11</f>
        <v>2.7466912586291102E-5</v>
      </c>
      <c r="M2" s="26">
        <f>'Gasoline+diesel'!M11</f>
        <v>2.8197164200043497E-5</v>
      </c>
      <c r="N2" s="26">
        <f>'Gasoline+diesel'!N11</f>
        <v>2.8312421336683593E-5</v>
      </c>
      <c r="O2" s="26">
        <f>'Gasoline+diesel'!O11</f>
        <v>2.8468548472506479E-5</v>
      </c>
      <c r="P2" s="26">
        <f>'Gasoline+diesel'!P11</f>
        <v>2.8515964006330983E-5</v>
      </c>
      <c r="Q2" s="26">
        <f>'Gasoline+diesel'!Q11</f>
        <v>2.8634250402590611E-5</v>
      </c>
      <c r="R2" s="26">
        <f>'Gasoline+diesel'!R11</f>
        <v>2.8850765066850862E-5</v>
      </c>
      <c r="S2" s="26">
        <f>'Gasoline+diesel'!S11</f>
        <v>2.9089290683967608E-5</v>
      </c>
      <c r="T2" s="26">
        <f>'Gasoline+diesel'!T11</f>
        <v>2.9248760245793641E-5</v>
      </c>
      <c r="U2" s="26">
        <f>'Gasoline+diesel'!U11</f>
        <v>2.935399724890453E-5</v>
      </c>
      <c r="V2" s="26">
        <f>'Gasoline+diesel'!V11</f>
        <v>2.9596567832580848E-5</v>
      </c>
      <c r="W2" s="26">
        <f>'Gasoline+diesel'!W11</f>
        <v>2.9733326282487375E-5</v>
      </c>
      <c r="X2" s="26">
        <f>'Gasoline+diesel'!X11</f>
        <v>2.9747736699120827E-5</v>
      </c>
      <c r="Y2" s="26">
        <f>'Gasoline+diesel'!Y11</f>
        <v>3.0058182226520507E-5</v>
      </c>
      <c r="Z2" s="26">
        <f>'Gasoline+diesel'!Z11</f>
        <v>3.0398856049793331E-5</v>
      </c>
      <c r="AA2" s="26">
        <f>'Gasoline+diesel'!AA11</f>
        <v>3.0521221944266989E-5</v>
      </c>
      <c r="AB2" s="26">
        <f>'Gasoline+diesel'!AB11</f>
        <v>3.0737761614208062E-5</v>
      </c>
      <c r="AC2" s="26">
        <f>'Gasoline+diesel'!AC11</f>
        <v>3.0808799181182007E-5</v>
      </c>
      <c r="AD2" s="26">
        <f>'Gasoline+diesel'!AD11</f>
        <v>3.0748614079684629E-5</v>
      </c>
      <c r="AE2" s="26">
        <f>'Gasoline+diesel'!AE11</f>
        <v>3.0723546480034358E-5</v>
      </c>
      <c r="AF2" s="26">
        <f>'Gasoline+diesel'!AF11</f>
        <v>3.0650953797862664E-5</v>
      </c>
      <c r="AG2" s="26"/>
      <c r="AH2" s="26"/>
    </row>
    <row r="3" spans="1:34">
      <c r="A3" s="13" t="s">
        <v>165</v>
      </c>
      <c r="B3" s="21">
        <f>'Gasoline+diesel'!B11</f>
        <v>2.3974612524751024E-5</v>
      </c>
      <c r="C3" s="21">
        <f>'Gasoline+diesel'!C11</f>
        <v>2.8235324059723896E-5</v>
      </c>
      <c r="D3" s="21">
        <f>'Gasoline+diesel'!D11</f>
        <v>3.5641449560589472E-5</v>
      </c>
      <c r="E3" s="21">
        <f>'Gasoline+diesel'!E11</f>
        <v>3.263438754822888E-5</v>
      </c>
      <c r="F3" s="21">
        <f>'Gasoline+diesel'!F11</f>
        <v>3.0778596563523409E-5</v>
      </c>
      <c r="G3" s="21">
        <f>'Gasoline+diesel'!G11</f>
        <v>2.8922805578817932E-5</v>
      </c>
      <c r="H3" s="21">
        <f>'Gasoline+diesel'!H11</f>
        <v>2.7067014594112465E-5</v>
      </c>
      <c r="I3" s="21">
        <f>'Gasoline+diesel'!I11</f>
        <v>2.7137396059651517E-5</v>
      </c>
      <c r="J3" s="21">
        <f>'Gasoline+diesel'!J11</f>
        <v>2.7350538529240967E-5</v>
      </c>
      <c r="K3" s="21">
        <f>'Gasoline+diesel'!K11</f>
        <v>2.7510641568314485E-5</v>
      </c>
      <c r="L3" s="21">
        <f>'Gasoline+diesel'!L11</f>
        <v>2.7466912586291102E-5</v>
      </c>
      <c r="M3" s="21">
        <f>'Gasoline+diesel'!M11</f>
        <v>2.8197164200043497E-5</v>
      </c>
      <c r="N3" s="21">
        <f>'Gasoline+diesel'!N11</f>
        <v>2.8312421336683593E-5</v>
      </c>
      <c r="O3" s="21">
        <f>'Gasoline+diesel'!O11</f>
        <v>2.8468548472506479E-5</v>
      </c>
      <c r="P3" s="21">
        <f>'Gasoline+diesel'!P11</f>
        <v>2.8515964006330983E-5</v>
      </c>
      <c r="Q3" s="21">
        <f>'Gasoline+diesel'!Q11</f>
        <v>2.8634250402590611E-5</v>
      </c>
      <c r="R3" s="21">
        <f>'Gasoline+diesel'!R11</f>
        <v>2.8850765066850862E-5</v>
      </c>
      <c r="S3" s="21">
        <f>'Gasoline+diesel'!S11</f>
        <v>2.9089290683967608E-5</v>
      </c>
      <c r="T3" s="21">
        <f>'Gasoline+diesel'!T11</f>
        <v>2.9248760245793641E-5</v>
      </c>
      <c r="U3" s="21">
        <f>'Gasoline+diesel'!U11</f>
        <v>2.935399724890453E-5</v>
      </c>
      <c r="V3" s="21">
        <f>'Gasoline+diesel'!V11</f>
        <v>2.9596567832580848E-5</v>
      </c>
      <c r="W3" s="21">
        <f>'Gasoline+diesel'!W11</f>
        <v>2.9733326282487375E-5</v>
      </c>
      <c r="X3" s="21">
        <f>'Gasoline+diesel'!X11</f>
        <v>2.9747736699120827E-5</v>
      </c>
      <c r="Y3" s="21">
        <f>'Gasoline+diesel'!Y11</f>
        <v>3.0058182226520507E-5</v>
      </c>
      <c r="Z3" s="21">
        <f>'Gasoline+diesel'!Z11</f>
        <v>3.0398856049793331E-5</v>
      </c>
      <c r="AA3" s="21">
        <f>'Gasoline+diesel'!AA11</f>
        <v>3.0521221944266989E-5</v>
      </c>
      <c r="AB3" s="21">
        <f>'Gasoline+diesel'!AB11</f>
        <v>3.0737761614208062E-5</v>
      </c>
      <c r="AC3" s="21">
        <f>'Gasoline+diesel'!AC11</f>
        <v>3.0808799181182007E-5</v>
      </c>
      <c r="AD3" s="21">
        <f>'Gasoline+diesel'!AD11</f>
        <v>3.0748614079684629E-5</v>
      </c>
      <c r="AE3" s="21">
        <f>'Gasoline+diesel'!AE11</f>
        <v>3.0723546480034358E-5</v>
      </c>
      <c r="AF3" s="21">
        <f>'Gasoline+diesel'!AF11</f>
        <v>3.0650953797862664E-5</v>
      </c>
    </row>
    <row r="4" spans="1:34">
      <c r="A4" s="13" t="s">
        <v>166</v>
      </c>
      <c r="B4" s="21">
        <f>'Gasoline+diesel'!B11</f>
        <v>2.3974612524751024E-5</v>
      </c>
      <c r="C4" s="21">
        <f>'Gasoline+diesel'!C11</f>
        <v>2.8235324059723896E-5</v>
      </c>
      <c r="D4" s="21">
        <f>'Gasoline+diesel'!D11</f>
        <v>3.5641449560589472E-5</v>
      </c>
      <c r="E4" s="21">
        <f>'Gasoline+diesel'!E11</f>
        <v>3.263438754822888E-5</v>
      </c>
      <c r="F4" s="21">
        <f>'Gasoline+diesel'!F11</f>
        <v>3.0778596563523409E-5</v>
      </c>
      <c r="G4" s="21">
        <f>'Gasoline+diesel'!G11</f>
        <v>2.8922805578817932E-5</v>
      </c>
      <c r="H4" s="21">
        <f>'Gasoline+diesel'!H11</f>
        <v>2.7067014594112465E-5</v>
      </c>
      <c r="I4" s="21">
        <f>'Gasoline+diesel'!I11</f>
        <v>2.7137396059651517E-5</v>
      </c>
      <c r="J4" s="21">
        <f>'Gasoline+diesel'!J11</f>
        <v>2.7350538529240967E-5</v>
      </c>
      <c r="K4" s="21">
        <f>'Gasoline+diesel'!K11</f>
        <v>2.7510641568314485E-5</v>
      </c>
      <c r="L4" s="21">
        <f>'Gasoline+diesel'!L11</f>
        <v>2.7466912586291102E-5</v>
      </c>
      <c r="M4" s="21">
        <f>'Gasoline+diesel'!M11</f>
        <v>2.8197164200043497E-5</v>
      </c>
      <c r="N4" s="21">
        <f>'Gasoline+diesel'!N11</f>
        <v>2.8312421336683593E-5</v>
      </c>
      <c r="O4" s="21">
        <f>'Gasoline+diesel'!O11</f>
        <v>2.8468548472506479E-5</v>
      </c>
      <c r="P4" s="21">
        <f>'Gasoline+diesel'!P11</f>
        <v>2.8515964006330983E-5</v>
      </c>
      <c r="Q4" s="21">
        <f>'Gasoline+diesel'!Q11</f>
        <v>2.8634250402590611E-5</v>
      </c>
      <c r="R4" s="21">
        <f>'Gasoline+diesel'!R11</f>
        <v>2.8850765066850862E-5</v>
      </c>
      <c r="S4" s="21">
        <f>'Gasoline+diesel'!S11</f>
        <v>2.9089290683967608E-5</v>
      </c>
      <c r="T4" s="21">
        <f>'Gasoline+diesel'!T11</f>
        <v>2.9248760245793641E-5</v>
      </c>
      <c r="U4" s="21">
        <f>'Gasoline+diesel'!U11</f>
        <v>2.935399724890453E-5</v>
      </c>
      <c r="V4" s="21">
        <f>'Gasoline+diesel'!V11</f>
        <v>2.9596567832580848E-5</v>
      </c>
      <c r="W4" s="21">
        <f>'Gasoline+diesel'!W11</f>
        <v>2.9733326282487375E-5</v>
      </c>
      <c r="X4" s="21">
        <f>'Gasoline+diesel'!X11</f>
        <v>2.9747736699120827E-5</v>
      </c>
      <c r="Y4" s="21">
        <f>'Gasoline+diesel'!Y11</f>
        <v>3.0058182226520507E-5</v>
      </c>
      <c r="Z4" s="21">
        <f>'Gasoline+diesel'!Z11</f>
        <v>3.0398856049793331E-5</v>
      </c>
      <c r="AA4" s="21">
        <f>'Gasoline+diesel'!AA11</f>
        <v>3.0521221944266989E-5</v>
      </c>
      <c r="AB4" s="21">
        <f>'Gasoline+diesel'!AB11</f>
        <v>3.0737761614208062E-5</v>
      </c>
      <c r="AC4" s="21">
        <f>'Gasoline+diesel'!AC11</f>
        <v>3.0808799181182007E-5</v>
      </c>
      <c r="AD4" s="21">
        <f>'Gasoline+diesel'!AD11</f>
        <v>3.0748614079684629E-5</v>
      </c>
      <c r="AE4" s="21">
        <f>'Gasoline+diesel'!AE11</f>
        <v>3.0723546480034358E-5</v>
      </c>
      <c r="AF4" s="21">
        <f>'Gasoline+diesel'!AF11</f>
        <v>3.0650953797862664E-5</v>
      </c>
    </row>
    <row r="5" spans="1:34">
      <c r="A5" s="13" t="s">
        <v>167</v>
      </c>
      <c r="B5" s="21">
        <f>'Gasoline+diesel'!B11</f>
        <v>2.3974612524751024E-5</v>
      </c>
      <c r="C5" s="21">
        <f>'Gasoline+diesel'!C11</f>
        <v>2.8235324059723896E-5</v>
      </c>
      <c r="D5" s="21">
        <f>'Gasoline+diesel'!D11</f>
        <v>3.5641449560589472E-5</v>
      </c>
      <c r="E5" s="21">
        <f>'Gasoline+diesel'!E11</f>
        <v>3.263438754822888E-5</v>
      </c>
      <c r="F5" s="21">
        <f>'Gasoline+diesel'!F11</f>
        <v>3.0778596563523409E-5</v>
      </c>
      <c r="G5" s="21">
        <f>'Gasoline+diesel'!G11</f>
        <v>2.8922805578817932E-5</v>
      </c>
      <c r="H5" s="21">
        <f>'Gasoline+diesel'!H11</f>
        <v>2.7067014594112465E-5</v>
      </c>
      <c r="I5" s="21">
        <f>'Gasoline+diesel'!I11</f>
        <v>2.7137396059651517E-5</v>
      </c>
      <c r="J5" s="21">
        <f>'Gasoline+diesel'!J11</f>
        <v>2.7350538529240967E-5</v>
      </c>
      <c r="K5" s="21">
        <f>'Gasoline+diesel'!K11</f>
        <v>2.7510641568314485E-5</v>
      </c>
      <c r="L5" s="21">
        <f>'Gasoline+diesel'!L11</f>
        <v>2.7466912586291102E-5</v>
      </c>
      <c r="M5" s="21">
        <f>'Gasoline+diesel'!M11</f>
        <v>2.8197164200043497E-5</v>
      </c>
      <c r="N5" s="21">
        <f>'Gasoline+diesel'!N11</f>
        <v>2.8312421336683593E-5</v>
      </c>
      <c r="O5" s="21">
        <f>'Gasoline+diesel'!O11</f>
        <v>2.8468548472506479E-5</v>
      </c>
      <c r="P5" s="21">
        <f>'Gasoline+diesel'!P11</f>
        <v>2.8515964006330983E-5</v>
      </c>
      <c r="Q5" s="21">
        <f>'Gasoline+diesel'!Q11</f>
        <v>2.8634250402590611E-5</v>
      </c>
      <c r="R5" s="21">
        <f>'Gasoline+diesel'!R11</f>
        <v>2.8850765066850862E-5</v>
      </c>
      <c r="S5" s="21">
        <f>'Gasoline+diesel'!S11</f>
        <v>2.9089290683967608E-5</v>
      </c>
      <c r="T5" s="21">
        <f>'Gasoline+diesel'!T11</f>
        <v>2.9248760245793641E-5</v>
      </c>
      <c r="U5" s="21">
        <f>'Gasoline+diesel'!U11</f>
        <v>2.935399724890453E-5</v>
      </c>
      <c r="V5" s="21">
        <f>'Gasoline+diesel'!V11</f>
        <v>2.9596567832580848E-5</v>
      </c>
      <c r="W5" s="21">
        <f>'Gasoline+diesel'!W11</f>
        <v>2.9733326282487375E-5</v>
      </c>
      <c r="X5" s="21">
        <f>'Gasoline+diesel'!X11</f>
        <v>2.9747736699120827E-5</v>
      </c>
      <c r="Y5" s="21">
        <f>'Gasoline+diesel'!Y11</f>
        <v>3.0058182226520507E-5</v>
      </c>
      <c r="Z5" s="21">
        <f>'Gasoline+diesel'!Z11</f>
        <v>3.0398856049793331E-5</v>
      </c>
      <c r="AA5" s="21">
        <f>'Gasoline+diesel'!AA11</f>
        <v>3.0521221944266989E-5</v>
      </c>
      <c r="AB5" s="21">
        <f>'Gasoline+diesel'!AB11</f>
        <v>3.0737761614208062E-5</v>
      </c>
      <c r="AC5" s="21">
        <f>'Gasoline+diesel'!AC11</f>
        <v>3.0808799181182007E-5</v>
      </c>
      <c r="AD5" s="21">
        <f>'Gasoline+diesel'!AD11</f>
        <v>3.0748614079684629E-5</v>
      </c>
      <c r="AE5" s="21">
        <f>'Gasoline+diesel'!AE11</f>
        <v>3.0723546480034358E-5</v>
      </c>
      <c r="AF5" s="21">
        <f>'Gasoline+diesel'!AF11</f>
        <v>3.0650953797862664E-5</v>
      </c>
    </row>
    <row r="6" spans="1:34">
      <c r="A6" s="13" t="s">
        <v>168</v>
      </c>
      <c r="B6" s="21">
        <f>'Gasoline+diesel'!B11</f>
        <v>2.3974612524751024E-5</v>
      </c>
      <c r="C6" s="21">
        <f>'Gasoline+diesel'!C11</f>
        <v>2.8235324059723896E-5</v>
      </c>
      <c r="D6" s="21">
        <f>'Gasoline+diesel'!D11</f>
        <v>3.5641449560589472E-5</v>
      </c>
      <c r="E6" s="21">
        <f>'Gasoline+diesel'!E11</f>
        <v>3.263438754822888E-5</v>
      </c>
      <c r="F6" s="21">
        <f>'Gasoline+diesel'!F11</f>
        <v>3.0778596563523409E-5</v>
      </c>
      <c r="G6" s="21">
        <f>'Gasoline+diesel'!G11</f>
        <v>2.8922805578817932E-5</v>
      </c>
      <c r="H6" s="21">
        <f>'Gasoline+diesel'!H11</f>
        <v>2.7067014594112465E-5</v>
      </c>
      <c r="I6" s="21">
        <f>'Gasoline+diesel'!I11</f>
        <v>2.7137396059651517E-5</v>
      </c>
      <c r="J6" s="21">
        <f>'Gasoline+diesel'!J11</f>
        <v>2.7350538529240967E-5</v>
      </c>
      <c r="K6" s="21">
        <f>'Gasoline+diesel'!K11</f>
        <v>2.7510641568314485E-5</v>
      </c>
      <c r="L6" s="21">
        <f>'Gasoline+diesel'!L11</f>
        <v>2.7466912586291102E-5</v>
      </c>
      <c r="M6" s="21">
        <f>'Gasoline+diesel'!M11</f>
        <v>2.8197164200043497E-5</v>
      </c>
      <c r="N6" s="21">
        <f>'Gasoline+diesel'!N11</f>
        <v>2.8312421336683593E-5</v>
      </c>
      <c r="O6" s="21">
        <f>'Gasoline+diesel'!O11</f>
        <v>2.8468548472506479E-5</v>
      </c>
      <c r="P6" s="21">
        <f>'Gasoline+diesel'!P11</f>
        <v>2.8515964006330983E-5</v>
      </c>
      <c r="Q6" s="21">
        <f>'Gasoline+diesel'!Q11</f>
        <v>2.8634250402590611E-5</v>
      </c>
      <c r="R6" s="21">
        <f>'Gasoline+diesel'!R11</f>
        <v>2.8850765066850862E-5</v>
      </c>
      <c r="S6" s="21">
        <f>'Gasoline+diesel'!S11</f>
        <v>2.9089290683967608E-5</v>
      </c>
      <c r="T6" s="21">
        <f>'Gasoline+diesel'!T11</f>
        <v>2.9248760245793641E-5</v>
      </c>
      <c r="U6" s="21">
        <f>'Gasoline+diesel'!U11</f>
        <v>2.935399724890453E-5</v>
      </c>
      <c r="V6" s="21">
        <f>'Gasoline+diesel'!V11</f>
        <v>2.9596567832580848E-5</v>
      </c>
      <c r="W6" s="21">
        <f>'Gasoline+diesel'!W11</f>
        <v>2.9733326282487375E-5</v>
      </c>
      <c r="X6" s="21">
        <f>'Gasoline+diesel'!X11</f>
        <v>2.9747736699120827E-5</v>
      </c>
      <c r="Y6" s="21">
        <f>'Gasoline+diesel'!Y11</f>
        <v>3.0058182226520507E-5</v>
      </c>
      <c r="Z6" s="21">
        <f>'Gasoline+diesel'!Z11</f>
        <v>3.0398856049793331E-5</v>
      </c>
      <c r="AA6" s="21">
        <f>'Gasoline+diesel'!AA11</f>
        <v>3.0521221944266989E-5</v>
      </c>
      <c r="AB6" s="21">
        <f>'Gasoline+diesel'!AB11</f>
        <v>3.0737761614208062E-5</v>
      </c>
      <c r="AC6" s="21">
        <f>'Gasoline+diesel'!AC11</f>
        <v>3.0808799181182007E-5</v>
      </c>
      <c r="AD6" s="21">
        <f>'Gasoline+diesel'!AD11</f>
        <v>3.0748614079684629E-5</v>
      </c>
      <c r="AE6" s="21">
        <f>'Gasoline+diesel'!AE11</f>
        <v>3.0723546480034358E-5</v>
      </c>
      <c r="AF6" s="21">
        <f>'Gasoline+diesel'!AF11</f>
        <v>3.0650953797862664E-5</v>
      </c>
    </row>
    <row r="7" spans="1:34">
      <c r="A7" s="13" t="s">
        <v>169</v>
      </c>
      <c r="B7" s="21">
        <f>'Gasoline+diesel'!B11</f>
        <v>2.3974612524751024E-5</v>
      </c>
      <c r="C7" s="21">
        <f>'Gasoline+diesel'!C11</f>
        <v>2.8235324059723896E-5</v>
      </c>
      <c r="D7" s="21">
        <f>'Gasoline+diesel'!D11</f>
        <v>3.5641449560589472E-5</v>
      </c>
      <c r="E7" s="21">
        <f>'Gasoline+diesel'!E11</f>
        <v>3.263438754822888E-5</v>
      </c>
      <c r="F7" s="21">
        <f>'Gasoline+diesel'!F11</f>
        <v>3.0778596563523409E-5</v>
      </c>
      <c r="G7" s="21">
        <f>'Gasoline+diesel'!G11</f>
        <v>2.8922805578817932E-5</v>
      </c>
      <c r="H7" s="21">
        <f>'Gasoline+diesel'!H11</f>
        <v>2.7067014594112465E-5</v>
      </c>
      <c r="I7" s="21">
        <f>'Gasoline+diesel'!I11</f>
        <v>2.7137396059651517E-5</v>
      </c>
      <c r="J7" s="21">
        <f>'Gasoline+diesel'!J11</f>
        <v>2.7350538529240967E-5</v>
      </c>
      <c r="K7" s="21">
        <f>'Gasoline+diesel'!K11</f>
        <v>2.7510641568314485E-5</v>
      </c>
      <c r="L7" s="21">
        <f>'Gasoline+diesel'!L11</f>
        <v>2.7466912586291102E-5</v>
      </c>
      <c r="M7" s="21">
        <f>'Gasoline+diesel'!M11</f>
        <v>2.8197164200043497E-5</v>
      </c>
      <c r="N7" s="21">
        <f>'Gasoline+diesel'!N11</f>
        <v>2.8312421336683593E-5</v>
      </c>
      <c r="O7" s="21">
        <f>'Gasoline+diesel'!O11</f>
        <v>2.8468548472506479E-5</v>
      </c>
      <c r="P7" s="21">
        <f>'Gasoline+diesel'!P11</f>
        <v>2.8515964006330983E-5</v>
      </c>
      <c r="Q7" s="21">
        <f>'Gasoline+diesel'!Q11</f>
        <v>2.8634250402590611E-5</v>
      </c>
      <c r="R7" s="21">
        <f>'Gasoline+diesel'!R11</f>
        <v>2.8850765066850862E-5</v>
      </c>
      <c r="S7" s="21">
        <f>'Gasoline+diesel'!S11</f>
        <v>2.9089290683967608E-5</v>
      </c>
      <c r="T7" s="21">
        <f>'Gasoline+diesel'!T11</f>
        <v>2.9248760245793641E-5</v>
      </c>
      <c r="U7" s="21">
        <f>'Gasoline+diesel'!U11</f>
        <v>2.935399724890453E-5</v>
      </c>
      <c r="V7" s="21">
        <f>'Gasoline+diesel'!V11</f>
        <v>2.9596567832580848E-5</v>
      </c>
      <c r="W7" s="21">
        <f>'Gasoline+diesel'!W11</f>
        <v>2.9733326282487375E-5</v>
      </c>
      <c r="X7" s="21">
        <f>'Gasoline+diesel'!X11</f>
        <v>2.9747736699120827E-5</v>
      </c>
      <c r="Y7" s="21">
        <f>'Gasoline+diesel'!Y11</f>
        <v>3.0058182226520507E-5</v>
      </c>
      <c r="Z7" s="21">
        <f>'Gasoline+diesel'!Z11</f>
        <v>3.0398856049793331E-5</v>
      </c>
      <c r="AA7" s="21">
        <f>'Gasoline+diesel'!AA11</f>
        <v>3.0521221944266989E-5</v>
      </c>
      <c r="AB7" s="21">
        <f>'Gasoline+diesel'!AB11</f>
        <v>3.0737761614208062E-5</v>
      </c>
      <c r="AC7" s="21">
        <f>'Gasoline+diesel'!AC11</f>
        <v>3.0808799181182007E-5</v>
      </c>
      <c r="AD7" s="21">
        <f>'Gasoline+diesel'!AD11</f>
        <v>3.0748614079684629E-5</v>
      </c>
      <c r="AE7" s="21">
        <f>'Gasoline+diesel'!AE11</f>
        <v>3.0723546480034358E-5</v>
      </c>
      <c r="AF7" s="21">
        <f>'Gasoline+diesel'!AF11</f>
        <v>3.0650953797862664E-5</v>
      </c>
    </row>
    <row r="8" spans="1:34">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4">
      <c r="A9" s="13" t="s">
        <v>171</v>
      </c>
      <c r="B9">
        <f t="shared" ref="B9:AF9" si="0">B6</f>
        <v>2.3974612524751024E-5</v>
      </c>
      <c r="C9">
        <f t="shared" si="0"/>
        <v>2.8235324059723896E-5</v>
      </c>
      <c r="D9">
        <f t="shared" si="0"/>
        <v>3.5641449560589472E-5</v>
      </c>
      <c r="E9">
        <f t="shared" si="0"/>
        <v>3.263438754822888E-5</v>
      </c>
      <c r="F9">
        <f t="shared" si="0"/>
        <v>3.0778596563523409E-5</v>
      </c>
      <c r="G9">
        <f t="shared" si="0"/>
        <v>2.8922805578817932E-5</v>
      </c>
      <c r="H9">
        <f t="shared" si="0"/>
        <v>2.7067014594112465E-5</v>
      </c>
      <c r="I9">
        <f t="shared" si="0"/>
        <v>2.7137396059651517E-5</v>
      </c>
      <c r="J9">
        <f t="shared" si="0"/>
        <v>2.7350538529240967E-5</v>
      </c>
      <c r="K9">
        <f t="shared" si="0"/>
        <v>2.7510641568314485E-5</v>
      </c>
      <c r="L9">
        <f t="shared" si="0"/>
        <v>2.7466912586291102E-5</v>
      </c>
      <c r="M9">
        <f t="shared" si="0"/>
        <v>2.8197164200043497E-5</v>
      </c>
      <c r="N9">
        <f t="shared" si="0"/>
        <v>2.8312421336683593E-5</v>
      </c>
      <c r="O9">
        <f t="shared" si="0"/>
        <v>2.8468548472506479E-5</v>
      </c>
      <c r="P9">
        <f t="shared" si="0"/>
        <v>2.8515964006330983E-5</v>
      </c>
      <c r="Q9">
        <f t="shared" si="0"/>
        <v>2.8634250402590611E-5</v>
      </c>
      <c r="R9">
        <f t="shared" si="0"/>
        <v>2.8850765066850862E-5</v>
      </c>
      <c r="S9">
        <f t="shared" si="0"/>
        <v>2.9089290683967608E-5</v>
      </c>
      <c r="T9">
        <f t="shared" si="0"/>
        <v>2.9248760245793641E-5</v>
      </c>
      <c r="U9">
        <f t="shared" si="0"/>
        <v>2.935399724890453E-5</v>
      </c>
      <c r="V9">
        <f t="shared" si="0"/>
        <v>2.9596567832580848E-5</v>
      </c>
      <c r="W9">
        <f t="shared" si="0"/>
        <v>2.9733326282487375E-5</v>
      </c>
      <c r="X9">
        <f t="shared" si="0"/>
        <v>2.9747736699120827E-5</v>
      </c>
      <c r="Y9" s="113">
        <f t="shared" si="0"/>
        <v>3.0058182226520507E-5</v>
      </c>
      <c r="Z9" s="113">
        <f t="shared" si="0"/>
        <v>3.0398856049793331E-5</v>
      </c>
      <c r="AA9" s="113">
        <f t="shared" si="0"/>
        <v>3.0521221944266989E-5</v>
      </c>
      <c r="AB9" s="113">
        <f t="shared" si="0"/>
        <v>3.0737761614208062E-5</v>
      </c>
      <c r="AC9" s="113">
        <f t="shared" si="0"/>
        <v>3.0808799181182007E-5</v>
      </c>
      <c r="AD9" s="113">
        <f t="shared" si="0"/>
        <v>3.0748614079684629E-5</v>
      </c>
      <c r="AE9" s="113">
        <f t="shared" si="0"/>
        <v>3.0723546480034358E-5</v>
      </c>
      <c r="AF9" s="113">
        <f t="shared" si="0"/>
        <v>3.0650953797862664E-5</v>
      </c>
    </row>
  </sheetData>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2060"/>
  </sheetPr>
  <dimension ref="A1:AH11"/>
  <sheetViews>
    <sheetView workbookViewId="0">
      <selection activeCell="B2" sqref="B2:AF9"/>
    </sheetView>
  </sheetViews>
  <sheetFormatPr defaultColWidth="9.1796875" defaultRowHeight="14.5"/>
  <cols>
    <col min="1" max="1" width="41.453125" style="14" customWidth="1"/>
    <col min="2" max="24" width="10" style="14" customWidth="1"/>
    <col min="25" max="26" width="9.1796875" style="14" customWidth="1"/>
    <col min="27" max="31" width="11.90625" style="14" bestFit="1" customWidth="1"/>
    <col min="32" max="32" width="11.81640625" style="14" bestFit="1" customWidth="1"/>
    <col min="33" max="16384" width="9.1796875" style="14"/>
  </cols>
  <sheetData>
    <row r="1" spans="1:34">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181">
        <f>Jetkerosene!C10</f>
        <v>8.8144308086963498E-6</v>
      </c>
      <c r="C2" s="181">
        <f>Jetkerosene!D10</f>
        <v>1.2717003227813818E-5</v>
      </c>
      <c r="D2" s="181">
        <f>Jetkerosene!E10</f>
        <v>1.3293563565486463E-5</v>
      </c>
      <c r="E2" s="181">
        <f>Jetkerosene!F10</f>
        <v>1.2409319099364507E-5</v>
      </c>
      <c r="F2" s="181">
        <f>Jetkerosene!G10</f>
        <v>1.3423822016270543E-5</v>
      </c>
      <c r="G2" s="181">
        <f>Jetkerosene!H10</f>
        <v>1.3476746704401823E-5</v>
      </c>
      <c r="H2" s="181">
        <f>Jetkerosene!I10</f>
        <v>1.3604035571926143E-5</v>
      </c>
      <c r="I2" s="181">
        <f>Jetkerosene!J10</f>
        <v>1.3847948938187909E-5</v>
      </c>
      <c r="J2" s="181">
        <f>Jetkerosene!K10</f>
        <v>1.4088262809589357E-5</v>
      </c>
      <c r="K2" s="181">
        <f>Jetkerosene!L10</f>
        <v>1.423460996408323E-5</v>
      </c>
      <c r="L2" s="181">
        <f>Jetkerosene!M10</f>
        <v>1.4185242372916075E-5</v>
      </c>
      <c r="M2" s="181">
        <f>Jetkerosene!N10</f>
        <v>1.4605221223112198E-5</v>
      </c>
      <c r="N2" s="181">
        <f>Jetkerosene!O10</f>
        <v>1.476453002015596E-5</v>
      </c>
      <c r="O2" s="181">
        <f>Jetkerosene!P10</f>
        <v>1.4860728250824297E-5</v>
      </c>
      <c r="P2" s="181">
        <f>Jetkerosene!Q10</f>
        <v>1.500693955899772E-5</v>
      </c>
      <c r="Q2" s="181">
        <f>Jetkerosene!R10</f>
        <v>1.510406708232951E-5</v>
      </c>
      <c r="R2" s="181">
        <f>Jetkerosene!S10</f>
        <v>1.5274543831335314E-5</v>
      </c>
      <c r="S2" s="181">
        <f>Jetkerosene!T10</f>
        <v>1.5496809177907112E-5</v>
      </c>
      <c r="T2" s="181">
        <f>Jetkerosene!U10</f>
        <v>1.565199586112526E-5</v>
      </c>
      <c r="U2" s="181">
        <f>Jetkerosene!V10</f>
        <v>1.5741936508421045E-5</v>
      </c>
      <c r="V2" s="181">
        <f>Jetkerosene!W10</f>
        <v>1.590401674345461E-5</v>
      </c>
      <c r="W2" s="181">
        <f>Jetkerosene!X10</f>
        <v>1.6027039863464181E-5</v>
      </c>
      <c r="X2" s="181">
        <f>Jetkerosene!Y10</f>
        <v>1.6062474121521797E-5</v>
      </c>
      <c r="Y2" s="181">
        <f>Jetkerosene!Z10</f>
        <v>1.6314823803862427E-5</v>
      </c>
      <c r="Z2" s="181">
        <f>Jetkerosene!AA10</f>
        <v>1.6584144758364173E-5</v>
      </c>
      <c r="AA2" s="181">
        <f>Jetkerosene!AB10</f>
        <v>1.667829750685708E-5</v>
      </c>
      <c r="AB2" s="181">
        <f>Jetkerosene!AC10</f>
        <v>1.6859508710967952E-5</v>
      </c>
      <c r="AC2" s="181">
        <f>Jetkerosene!AD10</f>
        <v>1.6938623185260787E-5</v>
      </c>
      <c r="AD2" s="181">
        <f>Jetkerosene!AE10</f>
        <v>1.6914381106534468E-5</v>
      </c>
      <c r="AE2" s="181">
        <f>Jetkerosene!AF10</f>
        <v>1.6950329330925505E-5</v>
      </c>
      <c r="AF2" s="181">
        <f>Jetkerosene!AG10</f>
        <v>1.6900011680778392E-5</v>
      </c>
      <c r="AG2" s="26"/>
      <c r="AH2" s="26"/>
    </row>
    <row r="3" spans="1:34">
      <c r="A3" s="13" t="s">
        <v>165</v>
      </c>
      <c r="B3" s="181">
        <f>Jetkerosene!C11</f>
        <v>2.1840540305792977E-5</v>
      </c>
      <c r="C3" s="181">
        <f>Jetkerosene!D11</f>
        <v>2.699709700289288E-5</v>
      </c>
      <c r="D3" s="181">
        <f>Jetkerosene!E11</f>
        <v>2.9596503314080019E-5</v>
      </c>
      <c r="E3" s="181">
        <f>Jetkerosene!F11</f>
        <v>2.7958908975809246E-5</v>
      </c>
      <c r="F3" s="181">
        <f>Jetkerosene!G11</f>
        <v>2.7957296612736756E-5</v>
      </c>
      <c r="G3" s="181">
        <f>Jetkerosene!H11</f>
        <v>2.7825297545497009E-5</v>
      </c>
      <c r="H3" s="181">
        <f>Jetkerosene!I11</f>
        <v>2.7956777165870617E-5</v>
      </c>
      <c r="I3" s="181">
        <f>Jetkerosene!J11</f>
        <v>2.8411284862591662E-5</v>
      </c>
      <c r="J3" s="181">
        <f>Jetkerosene!K11</f>
        <v>2.912508519778081E-5</v>
      </c>
      <c r="K3" s="181">
        <f>Jetkerosene!L11</f>
        <v>2.9703696369376297E-5</v>
      </c>
      <c r="L3" s="181">
        <f>Jetkerosene!M11</f>
        <v>3.0304541252034142E-5</v>
      </c>
      <c r="M3" s="181">
        <f>Jetkerosene!N11</f>
        <v>3.1095669910695723E-5</v>
      </c>
      <c r="N3" s="181">
        <f>Jetkerosene!O11</f>
        <v>3.1566553343020732E-5</v>
      </c>
      <c r="O3" s="181">
        <f>Jetkerosene!P11</f>
        <v>3.2048652672079389E-5</v>
      </c>
      <c r="P3" s="181">
        <f>Jetkerosene!Q11</f>
        <v>3.2363779615294951E-5</v>
      </c>
      <c r="Q3" s="181">
        <f>Jetkerosene!R11</f>
        <v>3.258679685501525E-5</v>
      </c>
      <c r="R3" s="181">
        <f>Jetkerosene!S11</f>
        <v>3.2825515242009355E-5</v>
      </c>
      <c r="S3" s="181">
        <f>Jetkerosene!T11</f>
        <v>3.3100949518693745E-5</v>
      </c>
      <c r="T3" s="181">
        <f>Jetkerosene!U11</f>
        <v>3.3363570772680068E-5</v>
      </c>
      <c r="U3" s="181">
        <f>Jetkerosene!V11</f>
        <v>3.3522449483752913E-5</v>
      </c>
      <c r="V3" s="181">
        <f>Jetkerosene!W11</f>
        <v>3.3894764063951178E-5</v>
      </c>
      <c r="W3" s="181">
        <f>Jetkerosene!X11</f>
        <v>3.4168958594115051E-5</v>
      </c>
      <c r="X3" s="181">
        <f>Jetkerosene!Y11</f>
        <v>3.4255114743928555E-5</v>
      </c>
      <c r="Y3" s="181">
        <f>Jetkerosene!Z11</f>
        <v>3.4490867435614918E-5</v>
      </c>
      <c r="Z3" s="181">
        <f>Jetkerosene!AA11</f>
        <v>3.4784831420908186E-5</v>
      </c>
      <c r="AA3" s="181">
        <f>Jetkerosene!AB11</f>
        <v>3.4881303092887363E-5</v>
      </c>
      <c r="AB3" s="181">
        <f>Jetkerosene!AC11</f>
        <v>3.5030779123087283E-5</v>
      </c>
      <c r="AC3" s="181">
        <f>Jetkerosene!AD11</f>
        <v>3.5140558331181106E-5</v>
      </c>
      <c r="AD3" s="181">
        <f>Jetkerosene!AE11</f>
        <v>3.5201618963997736E-5</v>
      </c>
      <c r="AE3" s="181">
        <f>Jetkerosene!AF11</f>
        <v>3.5182503319323851E-5</v>
      </c>
      <c r="AF3" s="181">
        <f>Jetkerosene!AG11</f>
        <v>3.5138344794935531E-5</v>
      </c>
    </row>
    <row r="4" spans="1:34">
      <c r="A4" s="13" t="s">
        <v>166</v>
      </c>
      <c r="B4" s="181">
        <f>Jetkerosene!C12</f>
        <v>1.7329830778720265E-5</v>
      </c>
      <c r="C4" s="181">
        <f>Jetkerosene!D12</f>
        <v>2.1421407896797129E-5</v>
      </c>
      <c r="D4" s="181">
        <f>Jetkerosene!E12</f>
        <v>2.3151774748909997E-5</v>
      </c>
      <c r="E4" s="181">
        <f>Jetkerosene!F12</f>
        <v>2.2931479040352651E-5</v>
      </c>
      <c r="F4" s="181">
        <f>Jetkerosene!G12</f>
        <v>2.297570448737248E-5</v>
      </c>
      <c r="G4" s="181">
        <f>Jetkerosene!H12</f>
        <v>2.2919830689527922E-5</v>
      </c>
      <c r="H4" s="181">
        <f>Jetkerosene!I12</f>
        <v>2.3005169839758286E-5</v>
      </c>
      <c r="I4" s="181">
        <f>Jetkerosene!J12</f>
        <v>2.3318480865027172E-5</v>
      </c>
      <c r="J4" s="181">
        <f>Jetkerosene!K12</f>
        <v>2.3838392336769302E-5</v>
      </c>
      <c r="K4" s="181">
        <f>Jetkerosene!L12</f>
        <v>2.4329981057344937E-5</v>
      </c>
      <c r="L4" s="181">
        <f>Jetkerosene!M12</f>
        <v>2.483856023811096E-5</v>
      </c>
      <c r="M4" s="181">
        <f>Jetkerosene!N12</f>
        <v>2.5504217175504771E-5</v>
      </c>
      <c r="N4" s="181">
        <f>Jetkerosene!O12</f>
        <v>2.5940872301507921E-5</v>
      </c>
      <c r="O4" s="181">
        <f>Jetkerosene!P12</f>
        <v>2.6373634008871119E-5</v>
      </c>
      <c r="P4" s="181">
        <f>Jetkerosene!Q12</f>
        <v>2.6691692911108881E-5</v>
      </c>
      <c r="Q4" s="181">
        <f>Jetkerosene!R12</f>
        <v>2.6932945281994823E-5</v>
      </c>
      <c r="R4" s="181">
        <f>Jetkerosene!S12</f>
        <v>2.7164177458941838E-5</v>
      </c>
      <c r="S4" s="181">
        <f>Jetkerosene!T12</f>
        <v>2.7415075138898952E-5</v>
      </c>
      <c r="T4" s="181">
        <f>Jetkerosene!U12</f>
        <v>2.7661286758009002E-5</v>
      </c>
      <c r="U4" s="181">
        <f>Jetkerosene!V12</f>
        <v>2.7844007237812458E-5</v>
      </c>
      <c r="V4" s="181">
        <f>Jetkerosene!W12</f>
        <v>2.813916725505564E-5</v>
      </c>
      <c r="W4" s="181">
        <f>Jetkerosene!X12</f>
        <v>2.8396121917916135E-5</v>
      </c>
      <c r="X4" s="181">
        <f>Jetkerosene!Y12</f>
        <v>2.8535983884619197E-5</v>
      </c>
      <c r="Y4" s="181">
        <f>Jetkerosene!Z12</f>
        <v>2.8739316052910169E-5</v>
      </c>
      <c r="Z4" s="181">
        <f>Jetkerosene!AA12</f>
        <v>2.8986415032478494E-5</v>
      </c>
      <c r="AA4" s="181">
        <f>Jetkerosene!AB12</f>
        <v>2.9127067647320214E-5</v>
      </c>
      <c r="AB4" s="181">
        <f>Jetkerosene!AC12</f>
        <v>2.9278432397851475E-5</v>
      </c>
      <c r="AC4" s="181">
        <f>Jetkerosene!AD12</f>
        <v>2.9403346827486621E-5</v>
      </c>
      <c r="AD4" s="181">
        <f>Jetkerosene!AE12</f>
        <v>2.9492365033999039E-5</v>
      </c>
      <c r="AE4" s="181">
        <f>Jetkerosene!AF12</f>
        <v>2.9524343909660465E-5</v>
      </c>
      <c r="AF4" s="181">
        <f>Jetkerosene!AG12</f>
        <v>2.9527883381151334E-5</v>
      </c>
    </row>
    <row r="5" spans="1:34">
      <c r="A5" s="13" t="s">
        <v>167</v>
      </c>
      <c r="B5" s="181">
        <f>Jetkerosene!C13</f>
        <v>1.7329830778720265E-5</v>
      </c>
      <c r="C5" s="181">
        <f>Jetkerosene!D13</f>
        <v>2.1421407896797129E-5</v>
      </c>
      <c r="D5" s="181">
        <f>Jetkerosene!E13</f>
        <v>2.2581082875000556E-5</v>
      </c>
      <c r="E5" s="181">
        <f>Jetkerosene!F13</f>
        <v>2.0812092903049613E-5</v>
      </c>
      <c r="F5" s="181">
        <f>Jetkerosene!G13</f>
        <v>2.0727170742195485E-5</v>
      </c>
      <c r="G5" s="181">
        <f>Jetkerosene!H13</f>
        <v>2.0583870366548909E-5</v>
      </c>
      <c r="H5" s="181">
        <f>Jetkerosene!I13</f>
        <v>2.0734460467140276E-5</v>
      </c>
      <c r="I5" s="181">
        <f>Jetkerosene!J13</f>
        <v>2.1175141723681699E-5</v>
      </c>
      <c r="J5" s="181">
        <f>Jetkerosene!K13</f>
        <v>2.1794966688342582E-5</v>
      </c>
      <c r="K5" s="181">
        <f>Jetkerosene!L13</f>
        <v>2.2219653866588402E-5</v>
      </c>
      <c r="L5" s="181">
        <f>Jetkerosene!M13</f>
        <v>2.2655691129474613E-5</v>
      </c>
      <c r="M5" s="181">
        <f>Jetkerosene!N13</f>
        <v>2.3325439595884079E-5</v>
      </c>
      <c r="N5" s="181">
        <f>Jetkerosene!O13</f>
        <v>2.3644528924292398E-5</v>
      </c>
      <c r="O5" s="181">
        <f>Jetkerosene!P13</f>
        <v>2.398778776607124E-5</v>
      </c>
      <c r="P5" s="181">
        <f>Jetkerosene!Q13</f>
        <v>2.4175811373693423E-5</v>
      </c>
      <c r="Q5" s="181">
        <f>Jetkerosene!R13</f>
        <v>2.4302125949277075E-5</v>
      </c>
      <c r="R5" s="181">
        <f>Jetkerosene!S13</f>
        <v>2.4468617795447778E-5</v>
      </c>
      <c r="S5" s="181">
        <f>Jetkerosene!T13</f>
        <v>2.468228368026044E-5</v>
      </c>
      <c r="T5" s="181">
        <f>Jetkerosene!U13</f>
        <v>2.4880925550253341E-5</v>
      </c>
      <c r="U5" s="181">
        <f>Jetkerosene!V13</f>
        <v>2.4983296314661797E-5</v>
      </c>
      <c r="V5" s="181">
        <f>Jetkerosene!W13</f>
        <v>2.5294085957796774E-5</v>
      </c>
      <c r="W5" s="181">
        <f>Jetkerosene!X13</f>
        <v>2.5489888311786945E-5</v>
      </c>
      <c r="X5" s="181">
        <f>Jetkerosene!Y13</f>
        <v>2.5516574746608295E-5</v>
      </c>
      <c r="Y5" s="181">
        <f>Jetkerosene!Z13</f>
        <v>2.5708313321172632E-5</v>
      </c>
      <c r="Z5" s="181">
        <f>Jetkerosene!AA13</f>
        <v>2.5945475032500081E-5</v>
      </c>
      <c r="AA5" s="181">
        <f>Jetkerosene!AB13</f>
        <v>2.5990718063470972E-5</v>
      </c>
      <c r="AB5" s="181">
        <f>Jetkerosene!AC13</f>
        <v>2.6105973231483967E-5</v>
      </c>
      <c r="AC5" s="181">
        <f>Jetkerosene!AD13</f>
        <v>2.6185997198735625E-5</v>
      </c>
      <c r="AD5" s="181">
        <f>Jetkerosene!AE13</f>
        <v>2.6227502464562814E-5</v>
      </c>
      <c r="AE5" s="181">
        <f>Jetkerosene!AF13</f>
        <v>2.6205623030537735E-5</v>
      </c>
      <c r="AF5" s="181">
        <f>Jetkerosene!AG13</f>
        <v>2.6177200512668545E-5</v>
      </c>
    </row>
    <row r="6" spans="1:34">
      <c r="A6" s="13" t="s">
        <v>168</v>
      </c>
      <c r="B6" s="181">
        <f>Jetkerosene!C14</f>
        <v>2.1840540305792977E-5</v>
      </c>
      <c r="C6" s="181">
        <f>Jetkerosene!D14</f>
        <v>2.699709700289288E-5</v>
      </c>
      <c r="D6" s="181">
        <f>Jetkerosene!E14</f>
        <v>2.8643358206707453E-5</v>
      </c>
      <c r="E6" s="181">
        <f>Jetkerosene!F14</f>
        <v>2.5114534680880927E-5</v>
      </c>
      <c r="F6" s="181">
        <f>Jetkerosene!G14</f>
        <v>2.5081068287149995E-5</v>
      </c>
      <c r="G6" s="181">
        <f>Jetkerosene!H14</f>
        <v>2.4845214416601079E-5</v>
      </c>
      <c r="H6" s="181">
        <f>Jetkerosene!I14</f>
        <v>2.514185438790331E-5</v>
      </c>
      <c r="I6" s="181">
        <f>Jetkerosene!J14</f>
        <v>2.595080466669079E-5</v>
      </c>
      <c r="J6" s="181">
        <f>Jetkerosene!K14</f>
        <v>2.7075145675493801E-5</v>
      </c>
      <c r="K6" s="181">
        <f>Jetkerosene!L14</f>
        <v>2.7818807692464875E-5</v>
      </c>
      <c r="L6" s="181">
        <f>Jetkerosene!M14</f>
        <v>2.8605043331831648E-5</v>
      </c>
      <c r="M6" s="181">
        <f>Jetkerosene!N14</f>
        <v>2.9309266417890079E-5</v>
      </c>
      <c r="N6" s="181">
        <f>Jetkerosene!O14</f>
        <v>2.9888392753495341E-5</v>
      </c>
      <c r="O6" s="181">
        <f>Jetkerosene!P14</f>
        <v>3.0448835615431762E-5</v>
      </c>
      <c r="P6" s="181">
        <f>Jetkerosene!Q14</f>
        <v>3.0786933068980424E-5</v>
      </c>
      <c r="Q6" s="181">
        <f>Jetkerosene!R14</f>
        <v>3.1015656703788544E-5</v>
      </c>
      <c r="R6" s="181">
        <f>Jetkerosene!S14</f>
        <v>3.133190630760688E-5</v>
      </c>
      <c r="S6" s="181">
        <f>Jetkerosene!T14</f>
        <v>3.1739974270477556E-5</v>
      </c>
      <c r="T6" s="181">
        <f>Jetkerosene!U14</f>
        <v>3.2114817274188603E-5</v>
      </c>
      <c r="U6" s="181">
        <f>Jetkerosene!V14</f>
        <v>3.2299421709550367E-5</v>
      </c>
      <c r="V6" s="181">
        <f>Jetkerosene!W14</f>
        <v>3.2910908193596772E-5</v>
      </c>
      <c r="W6" s="181">
        <f>Jetkerosene!X14</f>
        <v>3.3275312120557138E-5</v>
      </c>
      <c r="X6" s="181">
        <f>Jetkerosene!Y14</f>
        <v>3.3308376782993206E-5</v>
      </c>
      <c r="Y6" s="181">
        <f>Jetkerosene!Z14</f>
        <v>3.3691755092491111E-5</v>
      </c>
      <c r="Z6" s="181">
        <f>Jetkerosene!AA14</f>
        <v>3.4154832537151081E-5</v>
      </c>
      <c r="AA6" s="181">
        <f>Jetkerosene!AB14</f>
        <v>3.4223510777825106E-5</v>
      </c>
      <c r="AB6" s="181">
        <f>Jetkerosene!AC14</f>
        <v>3.4452311592537167E-5</v>
      </c>
      <c r="AC6" s="181">
        <f>Jetkerosene!AD14</f>
        <v>3.4605571092040355E-5</v>
      </c>
      <c r="AD6" s="181">
        <f>Jetkerosene!AE14</f>
        <v>3.4683229907177802E-5</v>
      </c>
      <c r="AE6" s="181">
        <f>Jetkerosene!AF14</f>
        <v>3.4636096733534037E-5</v>
      </c>
      <c r="AF6" s="181">
        <f>Jetkerosene!AG14</f>
        <v>3.4582488363847011E-5</v>
      </c>
    </row>
    <row r="7" spans="1:34">
      <c r="A7" s="13" t="s">
        <v>169</v>
      </c>
      <c r="B7" s="181">
        <f>B6</f>
        <v>2.1840540305792977E-5</v>
      </c>
      <c r="C7" s="181">
        <f t="shared" ref="C7:AF7" si="0">C6</f>
        <v>2.699709700289288E-5</v>
      </c>
      <c r="D7" s="181">
        <f t="shared" si="0"/>
        <v>2.8643358206707453E-5</v>
      </c>
      <c r="E7" s="181">
        <f t="shared" si="0"/>
        <v>2.5114534680880927E-5</v>
      </c>
      <c r="F7" s="181">
        <f t="shared" si="0"/>
        <v>2.5081068287149995E-5</v>
      </c>
      <c r="G7" s="181">
        <f t="shared" si="0"/>
        <v>2.4845214416601079E-5</v>
      </c>
      <c r="H7" s="181">
        <f t="shared" si="0"/>
        <v>2.514185438790331E-5</v>
      </c>
      <c r="I7" s="181">
        <f t="shared" si="0"/>
        <v>2.595080466669079E-5</v>
      </c>
      <c r="J7" s="181">
        <f t="shared" si="0"/>
        <v>2.7075145675493801E-5</v>
      </c>
      <c r="K7" s="181">
        <f t="shared" si="0"/>
        <v>2.7818807692464875E-5</v>
      </c>
      <c r="L7" s="181">
        <f t="shared" si="0"/>
        <v>2.8605043331831648E-5</v>
      </c>
      <c r="M7" s="181">
        <f t="shared" si="0"/>
        <v>2.9309266417890079E-5</v>
      </c>
      <c r="N7" s="181">
        <f t="shared" si="0"/>
        <v>2.9888392753495341E-5</v>
      </c>
      <c r="O7" s="181">
        <f t="shared" si="0"/>
        <v>3.0448835615431762E-5</v>
      </c>
      <c r="P7" s="181">
        <f t="shared" si="0"/>
        <v>3.0786933068980424E-5</v>
      </c>
      <c r="Q7" s="181">
        <f t="shared" si="0"/>
        <v>3.1015656703788544E-5</v>
      </c>
      <c r="R7" s="181">
        <f t="shared" si="0"/>
        <v>3.133190630760688E-5</v>
      </c>
      <c r="S7" s="181">
        <f t="shared" si="0"/>
        <v>3.1739974270477556E-5</v>
      </c>
      <c r="T7" s="181">
        <f t="shared" si="0"/>
        <v>3.2114817274188603E-5</v>
      </c>
      <c r="U7" s="181">
        <f t="shared" si="0"/>
        <v>3.2299421709550367E-5</v>
      </c>
      <c r="V7" s="181">
        <f t="shared" si="0"/>
        <v>3.2910908193596772E-5</v>
      </c>
      <c r="W7" s="181">
        <f t="shared" si="0"/>
        <v>3.3275312120557138E-5</v>
      </c>
      <c r="X7" s="181">
        <f t="shared" si="0"/>
        <v>3.3308376782993206E-5</v>
      </c>
      <c r="Y7" s="181">
        <f t="shared" si="0"/>
        <v>3.3691755092491111E-5</v>
      </c>
      <c r="Z7" s="181">
        <f t="shared" si="0"/>
        <v>3.4154832537151081E-5</v>
      </c>
      <c r="AA7" s="181">
        <f t="shared" si="0"/>
        <v>3.4223510777825106E-5</v>
      </c>
      <c r="AB7" s="181">
        <f t="shared" si="0"/>
        <v>3.4452311592537167E-5</v>
      </c>
      <c r="AC7" s="181">
        <f t="shared" si="0"/>
        <v>3.4605571092040355E-5</v>
      </c>
      <c r="AD7" s="181">
        <f t="shared" si="0"/>
        <v>3.4683229907177802E-5</v>
      </c>
      <c r="AE7" s="181">
        <f t="shared" si="0"/>
        <v>3.4636096733534037E-5</v>
      </c>
      <c r="AF7" s="181">
        <f t="shared" si="0"/>
        <v>3.4582488363847011E-5</v>
      </c>
    </row>
    <row r="8" spans="1:34">
      <c r="A8" s="13" t="s">
        <v>170</v>
      </c>
      <c r="B8" s="181">
        <v>0</v>
      </c>
      <c r="C8" s="181">
        <v>0</v>
      </c>
      <c r="D8" s="181">
        <v>0</v>
      </c>
      <c r="E8" s="181">
        <v>0</v>
      </c>
      <c r="F8" s="181">
        <v>0</v>
      </c>
      <c r="G8" s="181">
        <v>0</v>
      </c>
      <c r="H8" s="181">
        <v>0</v>
      </c>
      <c r="I8" s="181">
        <v>0</v>
      </c>
      <c r="J8" s="181">
        <v>0</v>
      </c>
      <c r="K8" s="181">
        <v>0</v>
      </c>
      <c r="L8" s="181">
        <v>0</v>
      </c>
      <c r="M8" s="181">
        <v>0</v>
      </c>
      <c r="N8" s="181">
        <v>0</v>
      </c>
      <c r="O8" s="181">
        <v>0</v>
      </c>
      <c r="P8" s="181">
        <v>0</v>
      </c>
      <c r="Q8" s="181">
        <v>0</v>
      </c>
      <c r="R8" s="181">
        <v>0</v>
      </c>
      <c r="S8" s="181">
        <v>0</v>
      </c>
      <c r="T8" s="181">
        <v>0</v>
      </c>
      <c r="U8" s="181">
        <v>0</v>
      </c>
      <c r="V8" s="181">
        <v>0</v>
      </c>
      <c r="W8" s="181">
        <v>0</v>
      </c>
      <c r="X8" s="181">
        <v>0</v>
      </c>
      <c r="Y8" s="181">
        <v>0</v>
      </c>
      <c r="Z8" s="181">
        <v>0</v>
      </c>
      <c r="AA8" s="181">
        <v>0</v>
      </c>
      <c r="AB8" s="181">
        <v>0</v>
      </c>
      <c r="AC8" s="181">
        <v>0</v>
      </c>
      <c r="AD8" s="181">
        <v>0</v>
      </c>
      <c r="AE8" s="181">
        <v>0</v>
      </c>
      <c r="AF8" s="181">
        <v>0</v>
      </c>
    </row>
    <row r="9" spans="1:34">
      <c r="A9" s="13" t="s">
        <v>171</v>
      </c>
      <c r="B9" s="181">
        <f t="shared" ref="B9:AF9" si="1">B6</f>
        <v>2.1840540305792977E-5</v>
      </c>
      <c r="C9" s="181">
        <f t="shared" si="1"/>
        <v>2.699709700289288E-5</v>
      </c>
      <c r="D9" s="181">
        <f t="shared" si="1"/>
        <v>2.8643358206707453E-5</v>
      </c>
      <c r="E9" s="181">
        <f t="shared" si="1"/>
        <v>2.5114534680880927E-5</v>
      </c>
      <c r="F9" s="181">
        <f t="shared" si="1"/>
        <v>2.5081068287149995E-5</v>
      </c>
      <c r="G9" s="181">
        <f t="shared" si="1"/>
        <v>2.4845214416601079E-5</v>
      </c>
      <c r="H9" s="181">
        <f t="shared" si="1"/>
        <v>2.514185438790331E-5</v>
      </c>
      <c r="I9" s="181">
        <f t="shared" si="1"/>
        <v>2.595080466669079E-5</v>
      </c>
      <c r="J9" s="181">
        <f t="shared" si="1"/>
        <v>2.7075145675493801E-5</v>
      </c>
      <c r="K9" s="181">
        <f t="shared" si="1"/>
        <v>2.7818807692464875E-5</v>
      </c>
      <c r="L9" s="181">
        <f t="shared" si="1"/>
        <v>2.8605043331831648E-5</v>
      </c>
      <c r="M9" s="181">
        <f t="shared" si="1"/>
        <v>2.9309266417890079E-5</v>
      </c>
      <c r="N9" s="181">
        <f t="shared" si="1"/>
        <v>2.9888392753495341E-5</v>
      </c>
      <c r="O9" s="181">
        <f t="shared" si="1"/>
        <v>3.0448835615431762E-5</v>
      </c>
      <c r="P9" s="181">
        <f t="shared" si="1"/>
        <v>3.0786933068980424E-5</v>
      </c>
      <c r="Q9" s="181">
        <f t="shared" si="1"/>
        <v>3.1015656703788544E-5</v>
      </c>
      <c r="R9" s="181">
        <f t="shared" si="1"/>
        <v>3.133190630760688E-5</v>
      </c>
      <c r="S9" s="181">
        <f t="shared" si="1"/>
        <v>3.1739974270477556E-5</v>
      </c>
      <c r="T9" s="181">
        <f t="shared" si="1"/>
        <v>3.2114817274188603E-5</v>
      </c>
      <c r="U9" s="181">
        <f t="shared" si="1"/>
        <v>3.2299421709550367E-5</v>
      </c>
      <c r="V9" s="181">
        <f t="shared" si="1"/>
        <v>3.2910908193596772E-5</v>
      </c>
      <c r="W9" s="181">
        <f t="shared" si="1"/>
        <v>3.3275312120557138E-5</v>
      </c>
      <c r="X9" s="181">
        <f t="shared" si="1"/>
        <v>3.3308376782993206E-5</v>
      </c>
      <c r="Y9" s="181">
        <f t="shared" si="1"/>
        <v>3.3691755092491111E-5</v>
      </c>
      <c r="Z9" s="181">
        <f t="shared" si="1"/>
        <v>3.4154832537151081E-5</v>
      </c>
      <c r="AA9" s="181">
        <f t="shared" si="1"/>
        <v>3.4223510777825106E-5</v>
      </c>
      <c r="AB9" s="181">
        <f t="shared" si="1"/>
        <v>3.4452311592537167E-5</v>
      </c>
      <c r="AC9" s="181">
        <f t="shared" si="1"/>
        <v>3.4605571092040355E-5</v>
      </c>
      <c r="AD9" s="181">
        <f t="shared" si="1"/>
        <v>3.4683229907177802E-5</v>
      </c>
      <c r="AE9" s="181">
        <f t="shared" si="1"/>
        <v>3.4636096733534037E-5</v>
      </c>
      <c r="AF9" s="181">
        <f t="shared" si="1"/>
        <v>3.4582488363847011E-5</v>
      </c>
    </row>
    <row r="10" spans="1:34">
      <c r="B10" s="181"/>
      <c r="C10" s="181"/>
      <c r="D10" s="181"/>
      <c r="E10" s="181"/>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row>
    <row r="11" spans="1:34">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row>
  </sheetData>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2060"/>
  </sheetPr>
  <dimension ref="A1:AJ9"/>
  <sheetViews>
    <sheetView workbookViewId="0">
      <selection activeCell="B5" sqref="B5"/>
    </sheetView>
  </sheetViews>
  <sheetFormatPr defaultColWidth="9.1796875" defaultRowHeight="14.5"/>
  <cols>
    <col min="1" max="1" width="41.453125" style="14" customWidth="1"/>
    <col min="2" max="26" width="10" style="14" customWidth="1"/>
    <col min="27" max="28" width="9.1796875" style="14" customWidth="1"/>
    <col min="29" max="16384" width="9.1796875" style="14"/>
  </cols>
  <sheetData>
    <row r="1" spans="1:36">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c r="AI1" s="13"/>
      <c r="AJ1" s="13"/>
    </row>
    <row r="2" spans="1:36">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c r="A4" s="13" t="s">
        <v>166</v>
      </c>
      <c r="B4" s="21">
        <f>Heat!D$16*#REF!*(1-INDEX('Sales taxes'!$B$57:$AG$57,MATCH(B$1,'Sales taxes'!$B$43:$AG$43,0)))</f>
        <v>1.5727892464473624E-5</v>
      </c>
      <c r="C4" s="21">
        <f>Heat!E$16*#REF!*(1-INDEX('Sales taxes'!$B$57:$AG$57,MATCH(C$1,'Sales taxes'!$B$43:$AG$43,0)))</f>
        <v>1.5727892464473624E-5</v>
      </c>
      <c r="D4" s="21">
        <f>Heat!F$16*#REF!*(1-INDEX('Sales taxes'!$B$57:$AG$57,MATCH(D$1,'Sales taxes'!$B$43:$AG$43,0)))</f>
        <v>1.5727892464473624E-5</v>
      </c>
      <c r="E4" s="21">
        <f>Heat!G$16*#REF!*(1-INDEX('Sales taxes'!$B$57:$AG$57,MATCH(E$1,'Sales taxes'!$B$43:$AG$43,0)))</f>
        <v>1.5727892464473624E-5</v>
      </c>
      <c r="F4" s="21">
        <f>Heat!H$16*#REF!*(1-INDEX('Sales taxes'!$B$57:$AG$57,MATCH(F$1,'Sales taxes'!$B$43:$AG$43,0)))</f>
        <v>1.5727892464473624E-5</v>
      </c>
      <c r="G4" s="21">
        <f>Heat!I$16*#REF!*(1-INDEX('Sales taxes'!$B$57:$AG$57,MATCH(G$1,'Sales taxes'!$B$43:$AG$43,0)))</f>
        <v>1.5727892464473624E-5</v>
      </c>
      <c r="H4" s="21">
        <f>Heat!J$16*#REF!*(1-INDEX('Sales taxes'!$B$57:$AG$57,MATCH(H$1,'Sales taxes'!$B$43:$AG$43,0)))</f>
        <v>1.5727892464473624E-5</v>
      </c>
      <c r="I4" s="21">
        <f>Heat!K$16*#REF!*(1-INDEX('Sales taxes'!$B$57:$AG$57,MATCH(I$1,'Sales taxes'!$B$43:$AG$43,0)))</f>
        <v>1.5727892464473624E-5</v>
      </c>
      <c r="J4" s="21">
        <f>Heat!L$16*#REF!*(1-INDEX('Sales taxes'!$B$57:$AG$57,MATCH(J$1,'Sales taxes'!$B$43:$AG$43,0)))</f>
        <v>1.5727892464473624E-5</v>
      </c>
      <c r="K4" s="21">
        <f>Heat!M$16*#REF!*(1-INDEX('Sales taxes'!$B$57:$AG$57,MATCH(K$1,'Sales taxes'!$B$43:$AG$43,0)))</f>
        <v>1.5727892464473624E-5</v>
      </c>
      <c r="L4" s="21">
        <f>Heat!N$16*#REF!*(1-INDEX('Sales taxes'!$B$57:$AG$57,MATCH(L$1,'Sales taxes'!$B$43:$AG$43,0)))</f>
        <v>1.5727892464473624E-5</v>
      </c>
      <c r="M4" s="21">
        <f>Heat!O$16*#REF!*(1-INDEX('Sales taxes'!$B$57:$AG$57,MATCH(M$1,'Sales taxes'!$B$43:$AG$43,0)))</f>
        <v>1.5727892464473624E-5</v>
      </c>
      <c r="N4" s="21">
        <f>Heat!P$16*#REF!*(1-INDEX('Sales taxes'!$B$57:$AG$57,MATCH(N$1,'Sales taxes'!$B$43:$AG$43,0)))</f>
        <v>1.5727892464473624E-5</v>
      </c>
      <c r="O4" s="21">
        <f>Heat!Q$16*#REF!*(1-INDEX('Sales taxes'!$B$57:$AG$57,MATCH(O$1,'Sales taxes'!$B$43:$AG$43,0)))</f>
        <v>1.5727892464473624E-5</v>
      </c>
      <c r="P4" s="21">
        <f>Heat!R$16*#REF!*(1-INDEX('Sales taxes'!$B$57:$AG$57,MATCH(P$1,'Sales taxes'!$B$43:$AG$43,0)))</f>
        <v>1.5727892464473624E-5</v>
      </c>
      <c r="Q4" s="21">
        <f>Heat!S$16*#REF!*(1-INDEX('Sales taxes'!$B$57:$AG$57,MATCH(Q$1,'Sales taxes'!$B$43:$AG$43,0)))</f>
        <v>1.5727892464473624E-5</v>
      </c>
      <c r="R4" s="21">
        <f>Heat!T$16*#REF!*(1-INDEX('Sales taxes'!$B$57:$AG$57,MATCH(R$1,'Sales taxes'!$B$43:$AG$43,0)))</f>
        <v>1.5727892464473624E-5</v>
      </c>
      <c r="S4" s="21">
        <f>Heat!U$16*#REF!*(1-INDEX('Sales taxes'!$B$57:$AG$57,MATCH(S$1,'Sales taxes'!$B$43:$AG$43,0)))</f>
        <v>1.5727892464473624E-5</v>
      </c>
      <c r="T4" s="21">
        <f>Heat!V$16*#REF!*(1-INDEX('Sales taxes'!$B$57:$AG$57,MATCH(T$1,'Sales taxes'!$B$43:$AG$43,0)))</f>
        <v>1.5727892464473624E-5</v>
      </c>
      <c r="U4" s="21">
        <f>Heat!W$16*#REF!*(1-INDEX('Sales taxes'!$B$57:$AG$57,MATCH(U$1,'Sales taxes'!$B$43:$AG$43,0)))</f>
        <v>1.5727892464473624E-5</v>
      </c>
      <c r="V4" s="21">
        <f>Heat!X$16*#REF!*(1-INDEX('Sales taxes'!$B$57:$AG$57,MATCH(V$1,'Sales taxes'!$B$43:$AG$43,0)))</f>
        <v>1.5727892464473624E-5</v>
      </c>
      <c r="W4" s="21">
        <f>Heat!Y$16*#REF!*(1-INDEX('Sales taxes'!$B$57:$AG$57,MATCH(W$1,'Sales taxes'!$B$43:$AG$43,0)))</f>
        <v>1.5727892464473624E-5</v>
      </c>
      <c r="X4" s="21">
        <f>Heat!Z$16*#REF!*(1-INDEX('Sales taxes'!$B$57:$AG$57,MATCH(X$1,'Sales taxes'!$B$43:$AG$43,0)))</f>
        <v>1.5727892464473624E-5</v>
      </c>
      <c r="Y4" s="21">
        <f>Heat!AA$16*#REF!*(1-INDEX('Sales taxes'!$B$57:$AG$57,MATCH(Y$1,'Sales taxes'!$B$43:$AG$43,0)))</f>
        <v>1.5727892464473624E-5</v>
      </c>
      <c r="Z4" s="21">
        <f>Heat!AB$16*#REF!*(1-INDEX('Sales taxes'!$B$57:$AG$57,MATCH(Z$1,'Sales taxes'!$B$43:$AG$43,0)))</f>
        <v>1.5727892464473624E-5</v>
      </c>
      <c r="AA4" s="21">
        <f>Heat!AC$16*#REF!*(1-INDEX('Sales taxes'!$B$57:$AG$57,MATCH(AA$1,'Sales taxes'!$B$43:$AG$43,0)))</f>
        <v>1.5727892464473624E-5</v>
      </c>
      <c r="AB4" s="21">
        <f>Heat!AD$16*#REF!*(1-INDEX('Sales taxes'!$B$57:$AG$57,MATCH(AB$1,'Sales taxes'!$B$43:$AG$43,0)))</f>
        <v>1.5727892464473624E-5</v>
      </c>
      <c r="AC4" s="21">
        <f>Heat!AE$16*#REF!*(1-INDEX('Sales taxes'!$B$57:$AG$57,MATCH(AC$1,'Sales taxes'!$B$43:$AG$43,0)))</f>
        <v>1.5727892464473624E-5</v>
      </c>
      <c r="AD4" s="21">
        <f>Heat!AF$16*#REF!*(1-INDEX('Sales taxes'!$B$57:$AG$57,MATCH(AD$1,'Sales taxes'!$B$43:$AG$43,0)))</f>
        <v>1.5727892464473624E-5</v>
      </c>
      <c r="AE4" s="21">
        <f>Heat!AG$16*#REF!*(1-INDEX('Sales taxes'!$B$57:$AG$57,MATCH(AE$1,'Sales taxes'!$B$43:$AG$43,0)))</f>
        <v>1.5727892464473624E-5</v>
      </c>
      <c r="AF4" s="21">
        <f>Heat!AH$16*#REF!*(1-INDEX('Sales taxes'!$B$57:$AG$57,MATCH(AF$1,'Sales taxes'!$B$43:$AG$43,0)))</f>
        <v>1.5727892464473624E-5</v>
      </c>
      <c r="AG4" s="21"/>
      <c r="AH4" s="21"/>
      <c r="AI4" s="21"/>
      <c r="AJ4" s="21"/>
    </row>
    <row r="5" spans="1:36">
      <c r="A5" s="13" t="s">
        <v>167</v>
      </c>
      <c r="B5" s="21">
        <f>Heat!D$16*#REF!*(1-INDEX('Sales taxes'!$B$57:$AG$57,MATCH(B$1,'Sales taxes'!$B$43:$AG$43,0)))</f>
        <v>1.5727892464473624E-5</v>
      </c>
      <c r="C5" s="21">
        <f>Heat!E$16*#REF!*(1-INDEX('Sales taxes'!$B$57:$AG$57,MATCH(C$1,'Sales taxes'!$B$43:$AG$43,0)))</f>
        <v>1.5727892464473624E-5</v>
      </c>
      <c r="D5" s="21">
        <f>Heat!F$16*#REF!*(1-INDEX('Sales taxes'!$B$57:$AG$57,MATCH(D$1,'Sales taxes'!$B$43:$AG$43,0)))</f>
        <v>1.5727892464473624E-5</v>
      </c>
      <c r="E5" s="21">
        <f>Heat!G$16*#REF!*(1-INDEX('Sales taxes'!$B$57:$AG$57,MATCH(E$1,'Sales taxes'!$B$43:$AG$43,0)))</f>
        <v>1.5727892464473624E-5</v>
      </c>
      <c r="F5" s="21">
        <f>Heat!H$16*#REF!*(1-INDEX('Sales taxes'!$B$57:$AG$57,MATCH(F$1,'Sales taxes'!$B$43:$AG$43,0)))</f>
        <v>1.5727892464473624E-5</v>
      </c>
      <c r="G5" s="21">
        <f>Heat!I$16*#REF!*(1-INDEX('Sales taxes'!$B$57:$AG$57,MATCH(G$1,'Sales taxes'!$B$43:$AG$43,0)))</f>
        <v>1.5727892464473624E-5</v>
      </c>
      <c r="H5" s="21">
        <f>Heat!J$16*#REF!*(1-INDEX('Sales taxes'!$B$57:$AG$57,MATCH(H$1,'Sales taxes'!$B$43:$AG$43,0)))</f>
        <v>1.5727892464473624E-5</v>
      </c>
      <c r="I5" s="21">
        <f>Heat!K$16*#REF!*(1-INDEX('Sales taxes'!$B$57:$AG$57,MATCH(I$1,'Sales taxes'!$B$43:$AG$43,0)))</f>
        <v>1.5727892464473624E-5</v>
      </c>
      <c r="J5" s="21">
        <f>Heat!L$16*#REF!*(1-INDEX('Sales taxes'!$B$57:$AG$57,MATCH(J$1,'Sales taxes'!$B$43:$AG$43,0)))</f>
        <v>1.5727892464473624E-5</v>
      </c>
      <c r="K5" s="21">
        <f>Heat!M$16*#REF!*(1-INDEX('Sales taxes'!$B$57:$AG$57,MATCH(K$1,'Sales taxes'!$B$43:$AG$43,0)))</f>
        <v>1.5727892464473624E-5</v>
      </c>
      <c r="L5" s="21">
        <f>Heat!N$16*#REF!*(1-INDEX('Sales taxes'!$B$57:$AG$57,MATCH(L$1,'Sales taxes'!$B$43:$AG$43,0)))</f>
        <v>1.5727892464473624E-5</v>
      </c>
      <c r="M5" s="21">
        <f>Heat!O$16*#REF!*(1-INDEX('Sales taxes'!$B$57:$AG$57,MATCH(M$1,'Sales taxes'!$B$43:$AG$43,0)))</f>
        <v>1.5727892464473624E-5</v>
      </c>
      <c r="N5" s="21">
        <f>Heat!P$16*#REF!*(1-INDEX('Sales taxes'!$B$57:$AG$57,MATCH(N$1,'Sales taxes'!$B$43:$AG$43,0)))</f>
        <v>1.5727892464473624E-5</v>
      </c>
      <c r="O5" s="21">
        <f>Heat!Q$16*#REF!*(1-INDEX('Sales taxes'!$B$57:$AG$57,MATCH(O$1,'Sales taxes'!$B$43:$AG$43,0)))</f>
        <v>1.5727892464473624E-5</v>
      </c>
      <c r="P5" s="21">
        <f>Heat!R$16*#REF!*(1-INDEX('Sales taxes'!$B$57:$AG$57,MATCH(P$1,'Sales taxes'!$B$43:$AG$43,0)))</f>
        <v>1.5727892464473624E-5</v>
      </c>
      <c r="Q5" s="21">
        <f>Heat!S$16*#REF!*(1-INDEX('Sales taxes'!$B$57:$AG$57,MATCH(Q$1,'Sales taxes'!$B$43:$AG$43,0)))</f>
        <v>1.5727892464473624E-5</v>
      </c>
      <c r="R5" s="21">
        <f>Heat!T$16*#REF!*(1-INDEX('Sales taxes'!$B$57:$AG$57,MATCH(R$1,'Sales taxes'!$B$43:$AG$43,0)))</f>
        <v>1.5727892464473624E-5</v>
      </c>
      <c r="S5" s="21">
        <f>Heat!U$16*#REF!*(1-INDEX('Sales taxes'!$B$57:$AG$57,MATCH(S$1,'Sales taxes'!$B$43:$AG$43,0)))</f>
        <v>1.5727892464473624E-5</v>
      </c>
      <c r="T5" s="21">
        <f>Heat!V$16*#REF!*(1-INDEX('Sales taxes'!$B$57:$AG$57,MATCH(T$1,'Sales taxes'!$B$43:$AG$43,0)))</f>
        <v>1.5727892464473624E-5</v>
      </c>
      <c r="U5" s="21">
        <f>Heat!W$16*#REF!*(1-INDEX('Sales taxes'!$B$57:$AG$57,MATCH(U$1,'Sales taxes'!$B$43:$AG$43,0)))</f>
        <v>1.5727892464473624E-5</v>
      </c>
      <c r="V5" s="21">
        <f>Heat!X$16*#REF!*(1-INDEX('Sales taxes'!$B$57:$AG$57,MATCH(V$1,'Sales taxes'!$B$43:$AG$43,0)))</f>
        <v>1.5727892464473624E-5</v>
      </c>
      <c r="W5" s="21">
        <f>Heat!Y$16*#REF!*(1-INDEX('Sales taxes'!$B$57:$AG$57,MATCH(W$1,'Sales taxes'!$B$43:$AG$43,0)))</f>
        <v>1.5727892464473624E-5</v>
      </c>
      <c r="X5" s="21">
        <f>Heat!Z$16*#REF!*(1-INDEX('Sales taxes'!$B$57:$AG$57,MATCH(X$1,'Sales taxes'!$B$43:$AG$43,0)))</f>
        <v>1.5727892464473624E-5</v>
      </c>
      <c r="Y5" s="21">
        <f>Heat!AA$16*#REF!*(1-INDEX('Sales taxes'!$B$57:$AG$57,MATCH(Y$1,'Sales taxes'!$B$43:$AG$43,0)))</f>
        <v>1.5727892464473624E-5</v>
      </c>
      <c r="Z5" s="21">
        <f>Heat!AB$16*#REF!*(1-INDEX('Sales taxes'!$B$57:$AG$57,MATCH(Z$1,'Sales taxes'!$B$43:$AG$43,0)))</f>
        <v>1.5727892464473624E-5</v>
      </c>
      <c r="AA5" s="21">
        <f>Heat!AC$16*#REF!*(1-INDEX('Sales taxes'!$B$57:$AG$57,MATCH(AA$1,'Sales taxes'!$B$43:$AG$43,0)))</f>
        <v>1.5727892464473624E-5</v>
      </c>
      <c r="AB5" s="21">
        <f>Heat!AD$16*#REF!*(1-INDEX('Sales taxes'!$B$57:$AG$57,MATCH(AB$1,'Sales taxes'!$B$43:$AG$43,0)))</f>
        <v>1.5727892464473624E-5</v>
      </c>
      <c r="AC5" s="21">
        <f>Heat!AE$16*#REF!*(1-INDEX('Sales taxes'!$B$57:$AG$57,MATCH(AC$1,'Sales taxes'!$B$43:$AG$43,0)))</f>
        <v>1.5727892464473624E-5</v>
      </c>
      <c r="AD5" s="21">
        <f>Heat!AF$16*#REF!*(1-INDEX('Sales taxes'!$B$57:$AG$57,MATCH(AD$1,'Sales taxes'!$B$43:$AG$43,0)))</f>
        <v>1.5727892464473624E-5</v>
      </c>
      <c r="AE5" s="21">
        <f>Heat!AG$16*#REF!*(1-INDEX('Sales taxes'!$B$57:$AG$57,MATCH(AE$1,'Sales taxes'!$B$43:$AG$43,0)))</f>
        <v>1.5727892464473624E-5</v>
      </c>
      <c r="AF5" s="21">
        <f>Heat!AH$16*#REF!*(1-INDEX('Sales taxes'!$B$57:$AG$57,MATCH(AF$1,'Sales taxes'!$B$43:$AG$43,0)))</f>
        <v>1.5727892464473624E-5</v>
      </c>
      <c r="AG5" s="21"/>
      <c r="AH5" s="21"/>
      <c r="AI5" s="21"/>
      <c r="AJ5" s="21"/>
    </row>
    <row r="6" spans="1:36">
      <c r="A6" s="13" t="s">
        <v>168</v>
      </c>
      <c r="B6" s="21">
        <f>Heat!D$16*#REF!*(1-INDEX('Sales taxes'!$B$57:$AG$57,MATCH(B$1,'Sales taxes'!$B$43:$AG$43,0)))</f>
        <v>1.5727892464473624E-5</v>
      </c>
      <c r="C6" s="21">
        <f>Heat!E$16*#REF!*(1-INDEX('Sales taxes'!$B$57:$AG$57,MATCH(C$1,'Sales taxes'!$B$43:$AG$43,0)))</f>
        <v>1.5727892464473624E-5</v>
      </c>
      <c r="D6" s="21">
        <f>Heat!F$16*#REF!*(1-INDEX('Sales taxes'!$B$57:$AG$57,MATCH(D$1,'Sales taxes'!$B$43:$AG$43,0)))</f>
        <v>1.5727892464473624E-5</v>
      </c>
      <c r="E6" s="21">
        <f>Heat!G$16*#REF!*(1-INDEX('Sales taxes'!$B$57:$AG$57,MATCH(E$1,'Sales taxes'!$B$43:$AG$43,0)))</f>
        <v>1.5727892464473624E-5</v>
      </c>
      <c r="F6" s="21">
        <f>Heat!H$16*#REF!*(1-INDEX('Sales taxes'!$B$57:$AG$57,MATCH(F$1,'Sales taxes'!$B$43:$AG$43,0)))</f>
        <v>1.5727892464473624E-5</v>
      </c>
      <c r="G6" s="21">
        <f>Heat!I$16*#REF!*(1-INDEX('Sales taxes'!$B$57:$AG$57,MATCH(G$1,'Sales taxes'!$B$43:$AG$43,0)))</f>
        <v>1.5727892464473624E-5</v>
      </c>
      <c r="H6" s="21">
        <f>Heat!J$16*#REF!*(1-INDEX('Sales taxes'!$B$57:$AG$57,MATCH(H$1,'Sales taxes'!$B$43:$AG$43,0)))</f>
        <v>1.5727892464473624E-5</v>
      </c>
      <c r="I6" s="21">
        <f>Heat!K$16*#REF!*(1-INDEX('Sales taxes'!$B$57:$AG$57,MATCH(I$1,'Sales taxes'!$B$43:$AG$43,0)))</f>
        <v>1.5727892464473624E-5</v>
      </c>
      <c r="J6" s="21">
        <f>Heat!L$16*#REF!*(1-INDEX('Sales taxes'!$B$57:$AG$57,MATCH(J$1,'Sales taxes'!$B$43:$AG$43,0)))</f>
        <v>1.5727892464473624E-5</v>
      </c>
      <c r="K6" s="21">
        <f>Heat!M$16*#REF!*(1-INDEX('Sales taxes'!$B$57:$AG$57,MATCH(K$1,'Sales taxes'!$B$43:$AG$43,0)))</f>
        <v>1.5727892464473624E-5</v>
      </c>
      <c r="L6" s="21">
        <f>Heat!N$16*#REF!*(1-INDEX('Sales taxes'!$B$57:$AG$57,MATCH(L$1,'Sales taxes'!$B$43:$AG$43,0)))</f>
        <v>1.5727892464473624E-5</v>
      </c>
      <c r="M6" s="21">
        <f>Heat!O$16*#REF!*(1-INDEX('Sales taxes'!$B$57:$AG$57,MATCH(M$1,'Sales taxes'!$B$43:$AG$43,0)))</f>
        <v>1.5727892464473624E-5</v>
      </c>
      <c r="N6" s="21">
        <f>Heat!P$16*#REF!*(1-INDEX('Sales taxes'!$B$57:$AG$57,MATCH(N$1,'Sales taxes'!$B$43:$AG$43,0)))</f>
        <v>1.5727892464473624E-5</v>
      </c>
      <c r="O6" s="21">
        <f>Heat!Q$16*#REF!*(1-INDEX('Sales taxes'!$B$57:$AG$57,MATCH(O$1,'Sales taxes'!$B$43:$AG$43,0)))</f>
        <v>1.5727892464473624E-5</v>
      </c>
      <c r="P6" s="21">
        <f>Heat!R$16*#REF!*(1-INDEX('Sales taxes'!$B$57:$AG$57,MATCH(P$1,'Sales taxes'!$B$43:$AG$43,0)))</f>
        <v>1.5727892464473624E-5</v>
      </c>
      <c r="Q6" s="21">
        <f>Heat!S$16*#REF!*(1-INDEX('Sales taxes'!$B$57:$AG$57,MATCH(Q$1,'Sales taxes'!$B$43:$AG$43,0)))</f>
        <v>1.5727892464473624E-5</v>
      </c>
      <c r="R6" s="21">
        <f>Heat!T$16*#REF!*(1-INDEX('Sales taxes'!$B$57:$AG$57,MATCH(R$1,'Sales taxes'!$B$43:$AG$43,0)))</f>
        <v>1.5727892464473624E-5</v>
      </c>
      <c r="S6" s="21">
        <f>Heat!U$16*#REF!*(1-INDEX('Sales taxes'!$B$57:$AG$57,MATCH(S$1,'Sales taxes'!$B$43:$AG$43,0)))</f>
        <v>1.5727892464473624E-5</v>
      </c>
      <c r="T6" s="21">
        <f>Heat!V$16*#REF!*(1-INDEX('Sales taxes'!$B$57:$AG$57,MATCH(T$1,'Sales taxes'!$B$43:$AG$43,0)))</f>
        <v>1.5727892464473624E-5</v>
      </c>
      <c r="U6" s="21">
        <f>Heat!W$16*#REF!*(1-INDEX('Sales taxes'!$B$57:$AG$57,MATCH(U$1,'Sales taxes'!$B$43:$AG$43,0)))</f>
        <v>1.5727892464473624E-5</v>
      </c>
      <c r="V6" s="21">
        <f>Heat!X$16*#REF!*(1-INDEX('Sales taxes'!$B$57:$AG$57,MATCH(V$1,'Sales taxes'!$B$43:$AG$43,0)))</f>
        <v>1.5727892464473624E-5</v>
      </c>
      <c r="W6" s="21">
        <f>Heat!Y$16*#REF!*(1-INDEX('Sales taxes'!$B$57:$AG$57,MATCH(W$1,'Sales taxes'!$B$43:$AG$43,0)))</f>
        <v>1.5727892464473624E-5</v>
      </c>
      <c r="X6" s="21">
        <f>Heat!Z$16*#REF!*(1-INDEX('Sales taxes'!$B$57:$AG$57,MATCH(X$1,'Sales taxes'!$B$43:$AG$43,0)))</f>
        <v>1.5727892464473624E-5</v>
      </c>
      <c r="Y6" s="21">
        <f>Heat!AA$16*#REF!*(1-INDEX('Sales taxes'!$B$57:$AG$57,MATCH(Y$1,'Sales taxes'!$B$43:$AG$43,0)))</f>
        <v>1.5727892464473624E-5</v>
      </c>
      <c r="Z6" s="21">
        <f>Heat!AB$16*#REF!*(1-INDEX('Sales taxes'!$B$57:$AG$57,MATCH(Z$1,'Sales taxes'!$B$43:$AG$43,0)))</f>
        <v>1.5727892464473624E-5</v>
      </c>
      <c r="AA6" s="21">
        <f>Heat!AC$16*#REF!*(1-INDEX('Sales taxes'!$B$57:$AG$57,MATCH(AA$1,'Sales taxes'!$B$43:$AG$43,0)))</f>
        <v>1.5727892464473624E-5</v>
      </c>
      <c r="AB6" s="21">
        <f>Heat!AD$16*#REF!*(1-INDEX('Sales taxes'!$B$57:$AG$57,MATCH(AB$1,'Sales taxes'!$B$43:$AG$43,0)))</f>
        <v>1.5727892464473624E-5</v>
      </c>
      <c r="AC6" s="21">
        <f>Heat!AE$16*#REF!*(1-INDEX('Sales taxes'!$B$57:$AG$57,MATCH(AC$1,'Sales taxes'!$B$43:$AG$43,0)))</f>
        <v>1.5727892464473624E-5</v>
      </c>
      <c r="AD6" s="21">
        <f>Heat!AF$16*#REF!*(1-INDEX('Sales taxes'!$B$57:$AG$57,MATCH(AD$1,'Sales taxes'!$B$43:$AG$43,0)))</f>
        <v>1.5727892464473624E-5</v>
      </c>
      <c r="AE6" s="21">
        <f>Heat!AG$16*#REF!*(1-INDEX('Sales taxes'!$B$57:$AG$57,MATCH(AE$1,'Sales taxes'!$B$43:$AG$43,0)))</f>
        <v>1.5727892464473624E-5</v>
      </c>
      <c r="AF6" s="21">
        <f>Heat!AH$16*#REF!*(1-INDEX('Sales taxes'!$B$57:$AG$57,MATCH(AF$1,'Sales taxes'!$B$43:$AG$43,0)))</f>
        <v>1.5727892464473624E-5</v>
      </c>
      <c r="AG6" s="21"/>
      <c r="AH6" s="21"/>
    </row>
    <row r="7" spans="1:36">
      <c r="A7" s="13" t="s">
        <v>169</v>
      </c>
      <c r="B7">
        <f t="shared" ref="B7:Z7" si="0">B3</f>
        <v>0</v>
      </c>
      <c r="C7">
        <f t="shared" si="0"/>
        <v>0</v>
      </c>
      <c r="D7">
        <f t="shared" si="0"/>
        <v>0</v>
      </c>
      <c r="E7">
        <f t="shared" si="0"/>
        <v>0</v>
      </c>
      <c r="F7">
        <f t="shared" si="0"/>
        <v>0</v>
      </c>
      <c r="G7">
        <f t="shared" si="0"/>
        <v>0</v>
      </c>
      <c r="H7">
        <f t="shared" si="0"/>
        <v>0</v>
      </c>
      <c r="I7">
        <f t="shared" si="0"/>
        <v>0</v>
      </c>
      <c r="J7">
        <f t="shared" si="0"/>
        <v>0</v>
      </c>
      <c r="K7">
        <f t="shared" si="0"/>
        <v>0</v>
      </c>
      <c r="L7">
        <f t="shared" si="0"/>
        <v>0</v>
      </c>
      <c r="M7">
        <f t="shared" si="0"/>
        <v>0</v>
      </c>
      <c r="N7">
        <f t="shared" si="0"/>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v>0</v>
      </c>
      <c r="AB7">
        <v>0</v>
      </c>
      <c r="AC7">
        <v>0</v>
      </c>
      <c r="AD7">
        <v>0</v>
      </c>
      <c r="AE7">
        <v>0</v>
      </c>
      <c r="AF7">
        <v>0</v>
      </c>
    </row>
    <row r="8" spans="1:36">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6">
      <c r="A9" s="13" t="s">
        <v>171</v>
      </c>
      <c r="B9">
        <f t="shared" ref="B9:AF9" si="1">B6</f>
        <v>1.5727892464473624E-5</v>
      </c>
      <c r="C9">
        <f t="shared" si="1"/>
        <v>1.5727892464473624E-5</v>
      </c>
      <c r="D9">
        <f t="shared" si="1"/>
        <v>1.5727892464473624E-5</v>
      </c>
      <c r="E9">
        <f t="shared" si="1"/>
        <v>1.5727892464473624E-5</v>
      </c>
      <c r="F9">
        <f t="shared" si="1"/>
        <v>1.5727892464473624E-5</v>
      </c>
      <c r="G9">
        <f t="shared" si="1"/>
        <v>1.5727892464473624E-5</v>
      </c>
      <c r="H9">
        <f t="shared" si="1"/>
        <v>1.5727892464473624E-5</v>
      </c>
      <c r="I9">
        <f t="shared" si="1"/>
        <v>1.5727892464473624E-5</v>
      </c>
      <c r="J9">
        <f t="shared" si="1"/>
        <v>1.5727892464473624E-5</v>
      </c>
      <c r="K9">
        <f t="shared" si="1"/>
        <v>1.5727892464473624E-5</v>
      </c>
      <c r="L9">
        <f t="shared" si="1"/>
        <v>1.5727892464473624E-5</v>
      </c>
      <c r="M9">
        <f t="shared" si="1"/>
        <v>1.5727892464473624E-5</v>
      </c>
      <c r="N9">
        <f t="shared" si="1"/>
        <v>1.5727892464473624E-5</v>
      </c>
      <c r="O9">
        <f t="shared" si="1"/>
        <v>1.5727892464473624E-5</v>
      </c>
      <c r="P9">
        <f t="shared" si="1"/>
        <v>1.5727892464473624E-5</v>
      </c>
      <c r="Q9">
        <f t="shared" si="1"/>
        <v>1.5727892464473624E-5</v>
      </c>
      <c r="R9">
        <f t="shared" si="1"/>
        <v>1.5727892464473624E-5</v>
      </c>
      <c r="S9">
        <f t="shared" si="1"/>
        <v>1.5727892464473624E-5</v>
      </c>
      <c r="T9">
        <f t="shared" si="1"/>
        <v>1.5727892464473624E-5</v>
      </c>
      <c r="U9">
        <f t="shared" si="1"/>
        <v>1.5727892464473624E-5</v>
      </c>
      <c r="V9">
        <f t="shared" si="1"/>
        <v>1.5727892464473624E-5</v>
      </c>
      <c r="W9">
        <f t="shared" si="1"/>
        <v>1.5727892464473624E-5</v>
      </c>
      <c r="X9">
        <f t="shared" si="1"/>
        <v>1.5727892464473624E-5</v>
      </c>
      <c r="Y9">
        <f t="shared" si="1"/>
        <v>1.5727892464473624E-5</v>
      </c>
      <c r="Z9">
        <f t="shared" si="1"/>
        <v>1.5727892464473624E-5</v>
      </c>
      <c r="AA9">
        <f t="shared" si="1"/>
        <v>1.5727892464473624E-5</v>
      </c>
      <c r="AB9">
        <f t="shared" si="1"/>
        <v>1.5727892464473624E-5</v>
      </c>
      <c r="AC9">
        <f t="shared" si="1"/>
        <v>1.5727892464473624E-5</v>
      </c>
      <c r="AD9">
        <f t="shared" si="1"/>
        <v>1.5727892464473624E-5</v>
      </c>
      <c r="AE9">
        <f t="shared" si="1"/>
        <v>1.5727892464473624E-5</v>
      </c>
      <c r="AF9">
        <f t="shared" si="1"/>
        <v>1.5727892464473624E-5</v>
      </c>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2060"/>
  </sheetPr>
  <dimension ref="A1:AF9"/>
  <sheetViews>
    <sheetView workbookViewId="0">
      <selection activeCell="F22" sqref="F22:F24"/>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2">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row>
    <row r="2" spans="1:32">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2">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2">
      <c r="A4" s="13" t="s">
        <v>166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2">
      <c r="A5" s="13" t="s">
        <v>167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2">
      <c r="A6" s="13" t="s">
        <v>168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2">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2">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2">
      <c r="A9" s="13" t="s">
        <v>171</v>
      </c>
      <c r="B9">
        <f t="shared" ref="B9:V9" si="0">B6</f>
        <v>0</v>
      </c>
      <c r="C9">
        <f t="shared" si="0"/>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v>0</v>
      </c>
      <c r="X9">
        <v>0</v>
      </c>
      <c r="Y9">
        <v>0</v>
      </c>
      <c r="Z9">
        <v>0</v>
      </c>
      <c r="AA9">
        <v>0</v>
      </c>
      <c r="AB9">
        <v>0</v>
      </c>
      <c r="AC9">
        <v>0</v>
      </c>
      <c r="AD9">
        <v>0</v>
      </c>
      <c r="AE9">
        <v>0</v>
      </c>
      <c r="AF9">
        <v>0</v>
      </c>
    </row>
  </sheetData>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2060"/>
  </sheetPr>
  <dimension ref="A1:AJ9"/>
  <sheetViews>
    <sheetView workbookViewId="0">
      <selection activeCell="F21" sqref="F21"/>
    </sheetView>
  </sheetViews>
  <sheetFormatPr defaultColWidth="9.1796875" defaultRowHeight="14.5"/>
  <cols>
    <col min="1" max="1" width="41.453125" style="14" customWidth="1"/>
    <col min="2" max="26" width="10" style="14" customWidth="1"/>
    <col min="27" max="34" width="10.453125" style="14" bestFit="1" customWidth="1"/>
    <col min="35" max="36" width="9.1796875" style="14" customWidth="1"/>
    <col min="37" max="16384" width="9.1796875" style="14"/>
  </cols>
  <sheetData>
    <row r="1" spans="1:36">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c r="AI1" s="13"/>
      <c r="AJ1" s="13"/>
    </row>
    <row r="2" spans="1:36">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c r="A3" s="13" t="s">
        <v>165</v>
      </c>
      <c r="B3" s="26">
        <f>'BFPaT-pretax-coal'!B6</f>
        <v>2.6635824687659593E-6</v>
      </c>
      <c r="C3" s="26">
        <f>'BFPaT-pretax-coal'!C6</f>
        <v>2.6080911673333353E-6</v>
      </c>
      <c r="D3" s="26">
        <f>'BFPaT-pretax-coal'!D6</f>
        <v>2.5664726912588673E-6</v>
      </c>
      <c r="E3" s="26">
        <f>'BFPaT-pretax-coal'!E6</f>
        <v>2.5316843526587657E-6</v>
      </c>
      <c r="F3" s="26">
        <f>'BFPaT-pretax-coal'!F6</f>
        <v>2.5102544566366565E-6</v>
      </c>
      <c r="G3" s="26">
        <f>'BFPaT-pretax-coal'!G6</f>
        <v>2.5091329362894755E-6</v>
      </c>
      <c r="H3" s="26">
        <f>'BFPaT-pretax-coal'!H6</f>
        <v>2.4473058524115071E-6</v>
      </c>
      <c r="I3" s="26">
        <f>'BFPaT-pretax-coal'!I6</f>
        <v>2.4068600112814098E-6</v>
      </c>
      <c r="J3" s="26">
        <f>'BFPaT-pretax-coal'!J6</f>
        <v>2.4050910281309065E-6</v>
      </c>
      <c r="K3" s="26">
        <f>'BFPaT-pretax-coal'!K6</f>
        <v>2.3923750582768278E-6</v>
      </c>
      <c r="L3" s="26">
        <f>'BFPaT-pretax-coal'!L6</f>
        <v>2.4013833991299921E-6</v>
      </c>
      <c r="M3" s="26">
        <f>'BFPaT-pretax-coal'!M6</f>
        <v>2.3977892944356333E-6</v>
      </c>
      <c r="N3" s="26">
        <f>'BFPaT-pretax-coal'!N6</f>
        <v>2.3962361322195707E-6</v>
      </c>
      <c r="O3" s="26">
        <f>'BFPaT-pretax-coal'!O6</f>
        <v>2.3823050780293917E-6</v>
      </c>
      <c r="P3" s="26">
        <f>'BFPaT-pretax-coal'!P6</f>
        <v>2.3779287783876659E-6</v>
      </c>
      <c r="Q3" s="26">
        <f>'BFPaT-pretax-coal'!Q6</f>
        <v>2.3693046736489977E-6</v>
      </c>
      <c r="R3" s="26">
        <f>'BFPaT-pretax-coal'!R6</f>
        <v>2.3522885028641815E-6</v>
      </c>
      <c r="S3" s="26">
        <f>'BFPaT-pretax-coal'!S6</f>
        <v>2.3332887755142729E-6</v>
      </c>
      <c r="T3" s="26">
        <f>'BFPaT-pretax-coal'!T6</f>
        <v>2.3293166723046797E-6</v>
      </c>
      <c r="U3" s="26">
        <f>'BFPaT-pretax-coal'!U6</f>
        <v>2.3284758439242569E-6</v>
      </c>
      <c r="V3" s="26">
        <f>'BFPaT-pretax-coal'!V6</f>
        <v>2.3251736588753265E-6</v>
      </c>
      <c r="W3" s="26">
        <f>'BFPaT-pretax-coal'!W6</f>
        <v>2.3313875552594298E-6</v>
      </c>
      <c r="X3" s="26">
        <f>'BFPaT-pretax-coal'!X6</f>
        <v>2.3261953776343268E-6</v>
      </c>
      <c r="Y3" s="26">
        <f>'BFPaT-pretax-coal'!Y6</f>
        <v>2.3128406776158914E-6</v>
      </c>
      <c r="Z3" s="26">
        <f>'BFPaT-pretax-coal'!Z6</f>
        <v>2.2987412082456574E-6</v>
      </c>
      <c r="AA3" s="26">
        <f>'BFPaT-pretax-coal'!AA6</f>
        <v>2.2921455707867627E-6</v>
      </c>
      <c r="AB3" s="26">
        <f>'BFPaT-pretax-coal'!AB6</f>
        <v>2.2883119422807703E-6</v>
      </c>
      <c r="AC3" s="26">
        <f>'BFPaT-pretax-coal'!AC6</f>
        <v>2.2847814610988764E-6</v>
      </c>
      <c r="AD3" s="26">
        <f>'BFPaT-pretax-coal'!AD6</f>
        <v>2.2779188543915984E-6</v>
      </c>
      <c r="AE3" s="26">
        <f>'BFPaT-pretax-coal'!AE6</f>
        <v>2.2671802035033505E-6</v>
      </c>
      <c r="AF3" s="26">
        <f>'BFPaT-pretax-coal'!AF6</f>
        <v>2.268828177228185E-6</v>
      </c>
      <c r="AG3" s="26"/>
      <c r="AH3" s="26"/>
    </row>
    <row r="4" spans="1:36">
      <c r="A4" s="13" t="s">
        <v>166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c r="A5" s="13" t="s">
        <v>167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c r="A6" s="13" t="s">
        <v>168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6">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6">
      <c r="A9" s="13" t="s">
        <v>171</v>
      </c>
      <c r="B9">
        <f t="shared" ref="B9:Z9" si="0">B6</f>
        <v>0</v>
      </c>
      <c r="C9">
        <f t="shared" si="0"/>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v>0</v>
      </c>
      <c r="AB9">
        <v>0</v>
      </c>
      <c r="AC9">
        <v>0</v>
      </c>
      <c r="AD9">
        <v>0</v>
      </c>
      <c r="AE9">
        <v>0</v>
      </c>
      <c r="AF9">
        <v>0</v>
      </c>
    </row>
  </sheetData>
  <pageMargins left="0.7" right="0.7" top="0.75" bottom="0.75" header="0.3" footer="0.3"/>
  <pageSetup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2060"/>
  </sheetPr>
  <dimension ref="A1:AF9"/>
  <sheetViews>
    <sheetView tabSelected="1" workbookViewId="0">
      <selection activeCell="J23" sqref="J23"/>
    </sheetView>
  </sheetViews>
  <sheetFormatPr defaultColWidth="9.1796875" defaultRowHeight="14.5"/>
  <cols>
    <col min="1" max="1" width="41.453125" style="14" customWidth="1"/>
    <col min="2" max="22" width="10" style="14" customWidth="1"/>
    <col min="23" max="24" width="9.1796875" style="14" customWidth="1"/>
    <col min="25" max="16384" width="9.1796875" style="14"/>
  </cols>
  <sheetData>
    <row r="1" spans="1:32">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row>
    <row r="2" spans="1:32">
      <c r="A2" s="13" t="s">
        <v>164</v>
      </c>
      <c r="B2" s="34">
        <f>B3</f>
        <v>6.2967023018801612E-6</v>
      </c>
      <c r="C2" s="34">
        <f t="shared" ref="C2:AF2" si="0">C3</f>
        <v>1.0954911333684765E-5</v>
      </c>
      <c r="D2" s="34">
        <f t="shared" si="0"/>
        <v>1.6248324490121243E-5</v>
      </c>
      <c r="E2" s="34">
        <f t="shared" si="0"/>
        <v>1.3648724030637848E-5</v>
      </c>
      <c r="F2" s="34">
        <f t="shared" si="0"/>
        <v>1.2590160694021306E-5</v>
      </c>
      <c r="G2" s="34">
        <f t="shared" si="0"/>
        <v>1.1531597357404764E-5</v>
      </c>
      <c r="H2" s="34">
        <f t="shared" si="0"/>
        <v>1.0473034020788221E-5</v>
      </c>
      <c r="I2" s="34">
        <f t="shared" si="0"/>
        <v>1.0770636873701749E-5</v>
      </c>
      <c r="J2" s="34">
        <f t="shared" si="0"/>
        <v>1.0988221255423117E-5</v>
      </c>
      <c r="K2" s="34">
        <f t="shared" si="0"/>
        <v>1.1149731380257743E-5</v>
      </c>
      <c r="L2" s="34">
        <f t="shared" si="0"/>
        <v>1.1321160489192164E-5</v>
      </c>
      <c r="M2" s="34">
        <f t="shared" si="0"/>
        <v>1.1558049560398076E-5</v>
      </c>
      <c r="N2" s="34">
        <f t="shared" si="0"/>
        <v>1.1743823866767147E-5</v>
      </c>
      <c r="O2" s="34">
        <f t="shared" si="0"/>
        <v>1.1869431002111521E-5</v>
      </c>
      <c r="P2" s="34">
        <f t="shared" si="0"/>
        <v>1.1933457777836336E-5</v>
      </c>
      <c r="Q2" s="34">
        <f t="shared" si="0"/>
        <v>1.2046846164622295E-5</v>
      </c>
      <c r="R2" s="34">
        <f t="shared" si="0"/>
        <v>1.2239553094286917E-5</v>
      </c>
      <c r="S2" s="34">
        <f t="shared" si="0"/>
        <v>1.2380625312367531E-5</v>
      </c>
      <c r="T2" s="34">
        <f t="shared" si="0"/>
        <v>1.2544275218046265E-5</v>
      </c>
      <c r="U2" s="34">
        <f t="shared" si="0"/>
        <v>1.2585224357377609E-5</v>
      </c>
      <c r="V2" s="34">
        <f t="shared" si="0"/>
        <v>1.2824693164367543E-5</v>
      </c>
      <c r="W2" s="34">
        <f t="shared" si="0"/>
        <v>1.2971184827389779E-5</v>
      </c>
      <c r="X2" s="34">
        <f t="shared" si="0"/>
        <v>1.3033005162431106E-5</v>
      </c>
      <c r="Y2" s="34">
        <f t="shared" si="0"/>
        <v>1.3259188663432534E-5</v>
      </c>
      <c r="Z2" s="34">
        <f t="shared" si="0"/>
        <v>1.3531454111397597E-5</v>
      </c>
      <c r="AA2" s="34">
        <f t="shared" si="0"/>
        <v>1.3605886488049684E-5</v>
      </c>
      <c r="AB2" s="34">
        <f t="shared" si="0"/>
        <v>1.3803246274503057E-5</v>
      </c>
      <c r="AC2" s="34">
        <f t="shared" si="0"/>
        <v>1.379520043188985E-5</v>
      </c>
      <c r="AD2" s="34">
        <f t="shared" si="0"/>
        <v>1.3814285143904443E-5</v>
      </c>
      <c r="AE2" s="34">
        <f t="shared" si="0"/>
        <v>1.3862846836893021E-5</v>
      </c>
      <c r="AF2" s="34">
        <f t="shared" si="0"/>
        <v>1.3819171310131023E-5</v>
      </c>
    </row>
    <row r="3" spans="1:32">
      <c r="A3" s="13" t="s">
        <v>165</v>
      </c>
      <c r="B3" s="26">
        <f>'Heavy+crude oil+'!B73</f>
        <v>6.2967023018801612E-6</v>
      </c>
      <c r="C3" s="26">
        <f>'Heavy+crude oil+'!C73</f>
        <v>1.0954911333684765E-5</v>
      </c>
      <c r="D3" s="26">
        <f>'Heavy+crude oil+'!D73</f>
        <v>1.6248324490121243E-5</v>
      </c>
      <c r="E3" s="26">
        <f>'Heavy+crude oil+'!E73</f>
        <v>1.3648724030637848E-5</v>
      </c>
      <c r="F3" s="26">
        <f>'Heavy+crude oil+'!F73</f>
        <v>1.2590160694021306E-5</v>
      </c>
      <c r="G3" s="26">
        <f>'Heavy+crude oil+'!G73</f>
        <v>1.1531597357404764E-5</v>
      </c>
      <c r="H3" s="26">
        <f>'Heavy+crude oil+'!H73</f>
        <v>1.0473034020788221E-5</v>
      </c>
      <c r="I3" s="26">
        <f>'Heavy+crude oil+'!I73</f>
        <v>1.0770636873701749E-5</v>
      </c>
      <c r="J3" s="26">
        <f>'Heavy+crude oil+'!J73</f>
        <v>1.0988221255423117E-5</v>
      </c>
      <c r="K3" s="26">
        <f>'Heavy+crude oil+'!K73</f>
        <v>1.1149731380257743E-5</v>
      </c>
      <c r="L3" s="26">
        <f>'Heavy+crude oil+'!L73</f>
        <v>1.1321160489192164E-5</v>
      </c>
      <c r="M3" s="26">
        <f>'Heavy+crude oil+'!M73</f>
        <v>1.1558049560398076E-5</v>
      </c>
      <c r="N3" s="26">
        <f>'Heavy+crude oil+'!N73</f>
        <v>1.1743823866767147E-5</v>
      </c>
      <c r="O3" s="26">
        <f>'Heavy+crude oil+'!O73</f>
        <v>1.1869431002111521E-5</v>
      </c>
      <c r="P3" s="26">
        <f>'Heavy+crude oil+'!P73</f>
        <v>1.1933457777836336E-5</v>
      </c>
      <c r="Q3" s="26">
        <f>'Heavy+crude oil+'!Q73</f>
        <v>1.2046846164622295E-5</v>
      </c>
      <c r="R3" s="26">
        <f>'Heavy+crude oil+'!R73</f>
        <v>1.2239553094286917E-5</v>
      </c>
      <c r="S3" s="26">
        <f>'Heavy+crude oil+'!S73</f>
        <v>1.2380625312367531E-5</v>
      </c>
      <c r="T3" s="26">
        <f>'Heavy+crude oil+'!T73</f>
        <v>1.2544275218046265E-5</v>
      </c>
      <c r="U3" s="26">
        <f>'Heavy+crude oil+'!U73</f>
        <v>1.2585224357377609E-5</v>
      </c>
      <c r="V3" s="26">
        <f>'Heavy+crude oil+'!V73</f>
        <v>1.2824693164367543E-5</v>
      </c>
      <c r="W3" s="26">
        <f>'Heavy+crude oil+'!W73</f>
        <v>1.2971184827389779E-5</v>
      </c>
      <c r="X3" s="26">
        <f>'Heavy+crude oil+'!X73</f>
        <v>1.3033005162431106E-5</v>
      </c>
      <c r="Y3" s="26">
        <f>'Heavy+crude oil+'!Y73</f>
        <v>1.3259188663432534E-5</v>
      </c>
      <c r="Z3" s="26">
        <f>'Heavy+crude oil+'!Z73</f>
        <v>1.3531454111397597E-5</v>
      </c>
      <c r="AA3" s="26">
        <f>'Heavy+crude oil+'!AA73</f>
        <v>1.3605886488049684E-5</v>
      </c>
      <c r="AB3" s="26">
        <f>'Heavy+crude oil+'!AB73</f>
        <v>1.3803246274503057E-5</v>
      </c>
      <c r="AC3" s="26">
        <f>'Heavy+crude oil+'!AC73</f>
        <v>1.379520043188985E-5</v>
      </c>
      <c r="AD3" s="26">
        <f>'Heavy+crude oil+'!AD73</f>
        <v>1.3814285143904443E-5</v>
      </c>
      <c r="AE3" s="26">
        <f>'Heavy+crude oil+'!AE73</f>
        <v>1.3862846836893021E-5</v>
      </c>
      <c r="AF3" s="26">
        <f>'Heavy+crude oil+'!AF73</f>
        <v>1.3819171310131023E-5</v>
      </c>
    </row>
    <row r="4" spans="1:32">
      <c r="A4" s="13" t="s">
        <v>166</v>
      </c>
      <c r="B4" s="34">
        <f>B2</f>
        <v>6.2967023018801612E-6</v>
      </c>
      <c r="C4" s="34">
        <f t="shared" ref="C4:AF4" si="1">C2</f>
        <v>1.0954911333684765E-5</v>
      </c>
      <c r="D4" s="34">
        <f t="shared" si="1"/>
        <v>1.6248324490121243E-5</v>
      </c>
      <c r="E4" s="34">
        <f t="shared" si="1"/>
        <v>1.3648724030637848E-5</v>
      </c>
      <c r="F4" s="34">
        <f t="shared" si="1"/>
        <v>1.2590160694021306E-5</v>
      </c>
      <c r="G4" s="34">
        <f t="shared" si="1"/>
        <v>1.1531597357404764E-5</v>
      </c>
      <c r="H4" s="34">
        <f t="shared" si="1"/>
        <v>1.0473034020788221E-5</v>
      </c>
      <c r="I4" s="34">
        <f t="shared" si="1"/>
        <v>1.0770636873701749E-5</v>
      </c>
      <c r="J4" s="34">
        <f t="shared" si="1"/>
        <v>1.0988221255423117E-5</v>
      </c>
      <c r="K4" s="34">
        <f t="shared" si="1"/>
        <v>1.1149731380257743E-5</v>
      </c>
      <c r="L4" s="34">
        <f t="shared" si="1"/>
        <v>1.1321160489192164E-5</v>
      </c>
      <c r="M4" s="34">
        <f t="shared" si="1"/>
        <v>1.1558049560398076E-5</v>
      </c>
      <c r="N4" s="34">
        <f t="shared" si="1"/>
        <v>1.1743823866767147E-5</v>
      </c>
      <c r="O4" s="34">
        <f t="shared" si="1"/>
        <v>1.1869431002111521E-5</v>
      </c>
      <c r="P4" s="34">
        <f t="shared" si="1"/>
        <v>1.1933457777836336E-5</v>
      </c>
      <c r="Q4" s="34">
        <f t="shared" si="1"/>
        <v>1.2046846164622295E-5</v>
      </c>
      <c r="R4" s="34">
        <f t="shared" si="1"/>
        <v>1.2239553094286917E-5</v>
      </c>
      <c r="S4" s="34">
        <f t="shared" si="1"/>
        <v>1.2380625312367531E-5</v>
      </c>
      <c r="T4" s="34">
        <f t="shared" si="1"/>
        <v>1.2544275218046265E-5</v>
      </c>
      <c r="U4" s="34">
        <f t="shared" si="1"/>
        <v>1.2585224357377609E-5</v>
      </c>
      <c r="V4" s="34">
        <f t="shared" si="1"/>
        <v>1.2824693164367543E-5</v>
      </c>
      <c r="W4" s="34">
        <f t="shared" si="1"/>
        <v>1.2971184827389779E-5</v>
      </c>
      <c r="X4" s="34">
        <f t="shared" si="1"/>
        <v>1.3033005162431106E-5</v>
      </c>
      <c r="Y4" s="34">
        <f t="shared" si="1"/>
        <v>1.3259188663432534E-5</v>
      </c>
      <c r="Z4" s="34">
        <f t="shared" si="1"/>
        <v>1.3531454111397597E-5</v>
      </c>
      <c r="AA4" s="34">
        <f t="shared" si="1"/>
        <v>1.3605886488049684E-5</v>
      </c>
      <c r="AB4" s="34">
        <f t="shared" si="1"/>
        <v>1.3803246274503057E-5</v>
      </c>
      <c r="AC4" s="34">
        <f t="shared" si="1"/>
        <v>1.379520043188985E-5</v>
      </c>
      <c r="AD4" s="34">
        <f t="shared" si="1"/>
        <v>1.3814285143904443E-5</v>
      </c>
      <c r="AE4" s="34">
        <f t="shared" si="1"/>
        <v>1.3862846836893021E-5</v>
      </c>
      <c r="AF4" s="34">
        <f t="shared" si="1"/>
        <v>1.3819171310131023E-5</v>
      </c>
    </row>
    <row r="5" spans="1:32">
      <c r="A5" s="13" t="s">
        <v>167</v>
      </c>
      <c r="B5" s="34">
        <f>B3</f>
        <v>6.2967023018801612E-6</v>
      </c>
      <c r="C5" s="34">
        <f t="shared" ref="C5:AF5" si="2">C3</f>
        <v>1.0954911333684765E-5</v>
      </c>
      <c r="D5" s="34">
        <f t="shared" si="2"/>
        <v>1.6248324490121243E-5</v>
      </c>
      <c r="E5" s="34">
        <f t="shared" si="2"/>
        <v>1.3648724030637848E-5</v>
      </c>
      <c r="F5" s="34">
        <f t="shared" si="2"/>
        <v>1.2590160694021306E-5</v>
      </c>
      <c r="G5" s="34">
        <f t="shared" si="2"/>
        <v>1.1531597357404764E-5</v>
      </c>
      <c r="H5" s="34">
        <f t="shared" si="2"/>
        <v>1.0473034020788221E-5</v>
      </c>
      <c r="I5" s="34">
        <f t="shared" si="2"/>
        <v>1.0770636873701749E-5</v>
      </c>
      <c r="J5" s="34">
        <f t="shared" si="2"/>
        <v>1.0988221255423117E-5</v>
      </c>
      <c r="K5" s="34">
        <f t="shared" si="2"/>
        <v>1.1149731380257743E-5</v>
      </c>
      <c r="L5" s="34">
        <f t="shared" si="2"/>
        <v>1.1321160489192164E-5</v>
      </c>
      <c r="M5" s="34">
        <f t="shared" si="2"/>
        <v>1.1558049560398076E-5</v>
      </c>
      <c r="N5" s="34">
        <f t="shared" si="2"/>
        <v>1.1743823866767147E-5</v>
      </c>
      <c r="O5" s="34">
        <f t="shared" si="2"/>
        <v>1.1869431002111521E-5</v>
      </c>
      <c r="P5" s="34">
        <f t="shared" si="2"/>
        <v>1.1933457777836336E-5</v>
      </c>
      <c r="Q5" s="34">
        <f t="shared" si="2"/>
        <v>1.2046846164622295E-5</v>
      </c>
      <c r="R5" s="34">
        <f t="shared" si="2"/>
        <v>1.2239553094286917E-5</v>
      </c>
      <c r="S5" s="34">
        <f t="shared" si="2"/>
        <v>1.2380625312367531E-5</v>
      </c>
      <c r="T5" s="34">
        <f t="shared" si="2"/>
        <v>1.2544275218046265E-5</v>
      </c>
      <c r="U5" s="34">
        <f t="shared" si="2"/>
        <v>1.2585224357377609E-5</v>
      </c>
      <c r="V5" s="34">
        <f t="shared" si="2"/>
        <v>1.2824693164367543E-5</v>
      </c>
      <c r="W5" s="34">
        <f t="shared" si="2"/>
        <v>1.2971184827389779E-5</v>
      </c>
      <c r="X5" s="34">
        <f t="shared" si="2"/>
        <v>1.3033005162431106E-5</v>
      </c>
      <c r="Y5" s="34">
        <f t="shared" si="2"/>
        <v>1.3259188663432534E-5</v>
      </c>
      <c r="Z5" s="34">
        <f t="shared" si="2"/>
        <v>1.3531454111397597E-5</v>
      </c>
      <c r="AA5" s="34">
        <f t="shared" si="2"/>
        <v>1.3605886488049684E-5</v>
      </c>
      <c r="AB5" s="34">
        <f t="shared" si="2"/>
        <v>1.3803246274503057E-5</v>
      </c>
      <c r="AC5" s="34">
        <f t="shared" si="2"/>
        <v>1.379520043188985E-5</v>
      </c>
      <c r="AD5" s="34">
        <f t="shared" si="2"/>
        <v>1.3814285143904443E-5</v>
      </c>
      <c r="AE5" s="34">
        <f t="shared" si="2"/>
        <v>1.3862846836893021E-5</v>
      </c>
      <c r="AF5" s="34">
        <f t="shared" si="2"/>
        <v>1.3819171310131023E-5</v>
      </c>
    </row>
    <row r="6" spans="1:32">
      <c r="A6" s="13" t="s">
        <v>168</v>
      </c>
      <c r="B6" s="26">
        <f>B3</f>
        <v>6.2967023018801612E-6</v>
      </c>
      <c r="C6" s="34">
        <f t="shared" ref="C6:AF6" si="3">C3</f>
        <v>1.0954911333684765E-5</v>
      </c>
      <c r="D6" s="34">
        <f t="shared" si="3"/>
        <v>1.6248324490121243E-5</v>
      </c>
      <c r="E6" s="34">
        <f t="shared" si="3"/>
        <v>1.3648724030637848E-5</v>
      </c>
      <c r="F6" s="34">
        <f t="shared" si="3"/>
        <v>1.2590160694021306E-5</v>
      </c>
      <c r="G6" s="34">
        <f t="shared" si="3"/>
        <v>1.1531597357404764E-5</v>
      </c>
      <c r="H6" s="34">
        <f t="shared" si="3"/>
        <v>1.0473034020788221E-5</v>
      </c>
      <c r="I6" s="34">
        <f t="shared" si="3"/>
        <v>1.0770636873701749E-5</v>
      </c>
      <c r="J6" s="34">
        <f t="shared" si="3"/>
        <v>1.0988221255423117E-5</v>
      </c>
      <c r="K6" s="34">
        <f t="shared" si="3"/>
        <v>1.1149731380257743E-5</v>
      </c>
      <c r="L6" s="34">
        <f t="shared" si="3"/>
        <v>1.1321160489192164E-5</v>
      </c>
      <c r="M6" s="34">
        <f t="shared" si="3"/>
        <v>1.1558049560398076E-5</v>
      </c>
      <c r="N6" s="34">
        <f t="shared" si="3"/>
        <v>1.1743823866767147E-5</v>
      </c>
      <c r="O6" s="34">
        <f t="shared" si="3"/>
        <v>1.1869431002111521E-5</v>
      </c>
      <c r="P6" s="34">
        <f t="shared" si="3"/>
        <v>1.1933457777836336E-5</v>
      </c>
      <c r="Q6" s="34">
        <f t="shared" si="3"/>
        <v>1.2046846164622295E-5</v>
      </c>
      <c r="R6" s="34">
        <f t="shared" si="3"/>
        <v>1.2239553094286917E-5</v>
      </c>
      <c r="S6" s="34">
        <f t="shared" si="3"/>
        <v>1.2380625312367531E-5</v>
      </c>
      <c r="T6" s="34">
        <f t="shared" si="3"/>
        <v>1.2544275218046265E-5</v>
      </c>
      <c r="U6" s="34">
        <f t="shared" si="3"/>
        <v>1.2585224357377609E-5</v>
      </c>
      <c r="V6" s="34">
        <f t="shared" si="3"/>
        <v>1.2824693164367543E-5</v>
      </c>
      <c r="W6" s="34">
        <f t="shared" si="3"/>
        <v>1.2971184827389779E-5</v>
      </c>
      <c r="X6" s="34">
        <f t="shared" si="3"/>
        <v>1.3033005162431106E-5</v>
      </c>
      <c r="Y6" s="34">
        <f t="shared" si="3"/>
        <v>1.3259188663432534E-5</v>
      </c>
      <c r="Z6" s="34">
        <f t="shared" si="3"/>
        <v>1.3531454111397597E-5</v>
      </c>
      <c r="AA6" s="34">
        <f t="shared" si="3"/>
        <v>1.3605886488049684E-5</v>
      </c>
      <c r="AB6" s="34">
        <f t="shared" si="3"/>
        <v>1.3803246274503057E-5</v>
      </c>
      <c r="AC6" s="34">
        <f t="shared" si="3"/>
        <v>1.379520043188985E-5</v>
      </c>
      <c r="AD6" s="34">
        <f t="shared" si="3"/>
        <v>1.3814285143904443E-5</v>
      </c>
      <c r="AE6" s="34">
        <f t="shared" si="3"/>
        <v>1.3862846836893021E-5</v>
      </c>
      <c r="AF6" s="34">
        <f t="shared" si="3"/>
        <v>1.3819171310131023E-5</v>
      </c>
    </row>
    <row r="7" spans="1:32">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2">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2">
      <c r="A9" s="13" t="s">
        <v>171</v>
      </c>
      <c r="B9">
        <f t="shared" ref="B9:AF9" si="4">B6</f>
        <v>6.2967023018801612E-6</v>
      </c>
      <c r="C9">
        <f t="shared" si="4"/>
        <v>1.0954911333684765E-5</v>
      </c>
      <c r="D9">
        <f t="shared" si="4"/>
        <v>1.6248324490121243E-5</v>
      </c>
      <c r="E9">
        <f t="shared" si="4"/>
        <v>1.3648724030637848E-5</v>
      </c>
      <c r="F9">
        <f t="shared" si="4"/>
        <v>1.2590160694021306E-5</v>
      </c>
      <c r="G9">
        <f t="shared" si="4"/>
        <v>1.1531597357404764E-5</v>
      </c>
      <c r="H9">
        <f t="shared" si="4"/>
        <v>1.0473034020788221E-5</v>
      </c>
      <c r="I9">
        <f t="shared" si="4"/>
        <v>1.0770636873701749E-5</v>
      </c>
      <c r="J9">
        <f t="shared" si="4"/>
        <v>1.0988221255423117E-5</v>
      </c>
      <c r="K9">
        <f t="shared" si="4"/>
        <v>1.1149731380257743E-5</v>
      </c>
      <c r="L9">
        <f t="shared" si="4"/>
        <v>1.1321160489192164E-5</v>
      </c>
      <c r="M9">
        <f t="shared" si="4"/>
        <v>1.1558049560398076E-5</v>
      </c>
      <c r="N9">
        <f t="shared" si="4"/>
        <v>1.1743823866767147E-5</v>
      </c>
      <c r="O9">
        <f t="shared" si="4"/>
        <v>1.1869431002111521E-5</v>
      </c>
      <c r="P9">
        <f t="shared" si="4"/>
        <v>1.1933457777836336E-5</v>
      </c>
      <c r="Q9">
        <f t="shared" si="4"/>
        <v>1.2046846164622295E-5</v>
      </c>
      <c r="R9">
        <f t="shared" si="4"/>
        <v>1.2239553094286917E-5</v>
      </c>
      <c r="S9">
        <f t="shared" si="4"/>
        <v>1.2380625312367531E-5</v>
      </c>
      <c r="T9">
        <f t="shared" si="4"/>
        <v>1.2544275218046265E-5</v>
      </c>
      <c r="U9">
        <f t="shared" si="4"/>
        <v>1.2585224357377609E-5</v>
      </c>
      <c r="V9">
        <f t="shared" si="4"/>
        <v>1.2824693164367543E-5</v>
      </c>
      <c r="W9">
        <f t="shared" si="4"/>
        <v>1.2971184827389779E-5</v>
      </c>
      <c r="X9">
        <f t="shared" si="4"/>
        <v>1.3033005162431106E-5</v>
      </c>
      <c r="Y9">
        <f t="shared" si="4"/>
        <v>1.3259188663432534E-5</v>
      </c>
      <c r="Z9">
        <f t="shared" si="4"/>
        <v>1.3531454111397597E-5</v>
      </c>
      <c r="AA9">
        <f t="shared" si="4"/>
        <v>1.3605886488049684E-5</v>
      </c>
      <c r="AB9">
        <f t="shared" si="4"/>
        <v>1.3803246274503057E-5</v>
      </c>
      <c r="AC9">
        <f t="shared" si="4"/>
        <v>1.379520043188985E-5</v>
      </c>
      <c r="AD9">
        <f t="shared" si="4"/>
        <v>1.3814285143904443E-5</v>
      </c>
      <c r="AE9">
        <f t="shared" si="4"/>
        <v>1.3862846836893021E-5</v>
      </c>
      <c r="AF9">
        <f t="shared" si="4"/>
        <v>1.3819171310131023E-5</v>
      </c>
    </row>
  </sheetData>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2060"/>
  </sheetPr>
  <dimension ref="A1:AF9"/>
  <sheetViews>
    <sheetView workbookViewId="0">
      <selection activeCell="AF9" sqref="B2:AF9"/>
    </sheetView>
  </sheetViews>
  <sheetFormatPr defaultColWidth="9.1796875" defaultRowHeight="14.5"/>
  <cols>
    <col min="1" max="1" width="41.453125" style="14" customWidth="1"/>
    <col min="2" max="22" width="10" style="14" customWidth="1"/>
    <col min="23" max="24" width="9.1796875" style="14" customWidth="1"/>
    <col min="25" max="16384" width="9.1796875" style="14"/>
  </cols>
  <sheetData>
    <row r="1" spans="1:32">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row>
    <row r="2" spans="1:32">
      <c r="A2" s="13" t="s">
        <v>164</v>
      </c>
      <c r="B2" s="26">
        <v>5.5630430000000001E-6</v>
      </c>
      <c r="C2" s="26">
        <v>3.2095069999999999E-6</v>
      </c>
      <c r="D2" s="26">
        <v>2.1023959999999999E-6</v>
      </c>
      <c r="E2" s="26">
        <v>3.119212E-6</v>
      </c>
      <c r="F2" s="26">
        <v>4.3865049999999998E-6</v>
      </c>
      <c r="G2" s="26">
        <v>5.356053E-6</v>
      </c>
      <c r="H2" s="26">
        <v>5.5536410000000001E-6</v>
      </c>
      <c r="I2" s="26">
        <v>6.5562310000000007E-6</v>
      </c>
      <c r="J2" s="26">
        <v>6.9677409999999999E-6</v>
      </c>
      <c r="K2" s="26">
        <v>7.2466090000000007E-6</v>
      </c>
      <c r="L2" s="26">
        <v>6.6392610000000001E-6</v>
      </c>
      <c r="M2" s="26">
        <v>7.8106639999999995E-6</v>
      </c>
      <c r="N2" s="26">
        <v>8.052132999999999E-6</v>
      </c>
      <c r="O2" s="26">
        <v>8.2365840000000013E-6</v>
      </c>
      <c r="P2" s="26">
        <v>8.3354529999999998E-6</v>
      </c>
      <c r="Q2" s="26">
        <v>8.4492220000000005E-6</v>
      </c>
      <c r="R2" s="26">
        <v>8.5410799999999989E-6</v>
      </c>
      <c r="S2" s="26">
        <v>8.5540910000000004E-6</v>
      </c>
      <c r="T2" s="26">
        <v>8.7934110000000013E-6</v>
      </c>
      <c r="U2" s="26">
        <v>8.787532000000001E-6</v>
      </c>
      <c r="V2" s="26">
        <v>9.2889839999999999E-6</v>
      </c>
      <c r="W2" s="26">
        <v>9.310373000000001E-6</v>
      </c>
      <c r="X2" s="26">
        <v>9.377148E-6</v>
      </c>
      <c r="Y2" s="26">
        <v>1.0027704E-5</v>
      </c>
      <c r="Z2" s="26">
        <v>1.0235812000000001E-5</v>
      </c>
      <c r="AA2" s="26">
        <v>1.0153048000000001E-5</v>
      </c>
      <c r="AB2" s="26">
        <v>1.0689426000000001E-5</v>
      </c>
      <c r="AC2" s="26">
        <v>1.0949270999999999E-5</v>
      </c>
      <c r="AD2" s="26">
        <v>1.1029906000000001E-5</v>
      </c>
      <c r="AE2" s="26">
        <v>1.1124882999999999E-5</v>
      </c>
      <c r="AF2" s="26">
        <v>1.1243553999999999E-5</v>
      </c>
    </row>
    <row r="3" spans="1:32">
      <c r="A3" s="13" t="s">
        <v>165</v>
      </c>
      <c r="B3" s="26">
        <v>6.8749779999999992E-6</v>
      </c>
      <c r="C3" s="26">
        <v>5.8417439999999998E-6</v>
      </c>
      <c r="D3" s="26">
        <v>5.9681480000000001E-6</v>
      </c>
      <c r="E3" s="26">
        <v>6.5728309999999998E-6</v>
      </c>
      <c r="F3" s="26">
        <v>6.7292589999999996E-6</v>
      </c>
      <c r="G3" s="26">
        <v>6.7768729999999998E-6</v>
      </c>
      <c r="H3" s="26">
        <v>6.7198410000000001E-6</v>
      </c>
      <c r="I3" s="26">
        <v>7.0452349999999998E-6</v>
      </c>
      <c r="J3" s="26">
        <v>7.4652400000000004E-6</v>
      </c>
      <c r="K3" s="26">
        <v>7.708571E-6</v>
      </c>
      <c r="L3" s="26">
        <v>8.0805130000000005E-6</v>
      </c>
      <c r="M3" s="26">
        <v>8.3196499999999992E-6</v>
      </c>
      <c r="N3" s="26">
        <v>8.5911559999999996E-6</v>
      </c>
      <c r="O3" s="26">
        <v>8.7668420000000004E-6</v>
      </c>
      <c r="P3" s="26">
        <v>8.8799850000000003E-6</v>
      </c>
      <c r="Q3" s="26">
        <v>9.0094799999999993E-6</v>
      </c>
      <c r="R3" s="26">
        <v>9.0467730000000007E-6</v>
      </c>
      <c r="S3" s="26">
        <v>9.0219500000000009E-6</v>
      </c>
      <c r="T3" s="26">
        <v>9.2798179999999997E-6</v>
      </c>
      <c r="U3" s="26">
        <v>9.2877439999999996E-6</v>
      </c>
      <c r="V3" s="26">
        <v>9.9464410000000007E-6</v>
      </c>
      <c r="W3" s="26">
        <v>1.0164721E-5</v>
      </c>
      <c r="X3" s="26">
        <v>1.033452E-5</v>
      </c>
      <c r="Y3" s="26">
        <v>1.0598935E-5</v>
      </c>
      <c r="Z3" s="26">
        <v>1.0712420000000001E-5</v>
      </c>
      <c r="AA3" s="26">
        <v>1.0719076E-5</v>
      </c>
      <c r="AB3" s="26">
        <v>1.0893035E-5</v>
      </c>
      <c r="AC3" s="26">
        <v>1.1018313E-5</v>
      </c>
      <c r="AD3" s="26">
        <v>1.1097898E-5</v>
      </c>
      <c r="AE3" s="26">
        <v>1.1199524000000001E-5</v>
      </c>
      <c r="AF3" s="26">
        <v>1.129479E-5</v>
      </c>
    </row>
    <row r="4" spans="1:32">
      <c r="A4" s="13" t="s">
        <v>166</v>
      </c>
      <c r="B4" s="26">
        <f t="shared" ref="B4:AF4" si="0">B5</f>
        <v>5.6629149999999998E-6</v>
      </c>
      <c r="C4" s="26">
        <f t="shared" si="0"/>
        <v>4.7290309999999998E-6</v>
      </c>
      <c r="D4" s="26">
        <f t="shared" si="0"/>
        <v>6.3059360000000002E-6</v>
      </c>
      <c r="E4" s="26">
        <f t="shared" si="0"/>
        <v>8.3611190000000006E-6</v>
      </c>
      <c r="F4" s="26">
        <f t="shared" si="0"/>
        <v>9.9680500000000002E-6</v>
      </c>
      <c r="G4" s="26">
        <f t="shared" si="0"/>
        <v>1.1466165E-5</v>
      </c>
      <c r="H4" s="26">
        <f t="shared" si="0"/>
        <v>1.2859633E-5</v>
      </c>
      <c r="I4" s="26">
        <f t="shared" si="0"/>
        <v>1.3185027000000001E-5</v>
      </c>
      <c r="J4" s="26">
        <f t="shared" si="0"/>
        <v>1.3605032E-5</v>
      </c>
      <c r="K4" s="26">
        <f t="shared" si="0"/>
        <v>1.3848363E-5</v>
      </c>
      <c r="L4" s="26">
        <f t="shared" si="0"/>
        <v>1.4220303999999999E-5</v>
      </c>
      <c r="M4" s="26">
        <f t="shared" si="0"/>
        <v>1.4459441E-5</v>
      </c>
      <c r="N4" s="26">
        <f t="shared" si="0"/>
        <v>1.4730947999999999E-5</v>
      </c>
      <c r="O4" s="26">
        <f t="shared" si="0"/>
        <v>1.4906633000000001E-5</v>
      </c>
      <c r="P4" s="26">
        <f t="shared" si="0"/>
        <v>1.5019777E-5</v>
      </c>
      <c r="Q4" s="26">
        <f t="shared" si="0"/>
        <v>1.5149273E-5</v>
      </c>
      <c r="R4" s="26">
        <f t="shared" si="0"/>
        <v>1.5186565000000001E-5</v>
      </c>
      <c r="S4" s="26">
        <f t="shared" si="0"/>
        <v>1.5161742000000001E-5</v>
      </c>
      <c r="T4" s="26">
        <f t="shared" si="0"/>
        <v>1.5419608999999998E-5</v>
      </c>
      <c r="U4" s="26">
        <f t="shared" si="0"/>
        <v>1.5427535E-5</v>
      </c>
      <c r="V4" s="26">
        <f t="shared" si="0"/>
        <v>1.6086232999999999E-5</v>
      </c>
      <c r="W4" s="26">
        <f t="shared" si="0"/>
        <v>1.6304516E-5</v>
      </c>
      <c r="X4" s="26">
        <f t="shared" si="0"/>
        <v>1.6474314000000001E-5</v>
      </c>
      <c r="Y4" s="26">
        <f t="shared" si="0"/>
        <v>1.6738727999999999E-5</v>
      </c>
      <c r="Z4" s="26">
        <f t="shared" si="0"/>
        <v>1.6852213E-5</v>
      </c>
      <c r="AA4" s="26">
        <f t="shared" si="0"/>
        <v>1.6858868000000001E-5</v>
      </c>
      <c r="AB4" s="26">
        <f t="shared" si="0"/>
        <v>1.7032827000000001E-5</v>
      </c>
      <c r="AC4" s="26">
        <f t="shared" si="0"/>
        <v>1.7158106000000001E-5</v>
      </c>
      <c r="AD4" s="26">
        <f t="shared" si="0"/>
        <v>1.7237692000000001E-5</v>
      </c>
      <c r="AE4" s="26">
        <f t="shared" si="0"/>
        <v>1.7339317000000002E-5</v>
      </c>
      <c r="AF4" s="26">
        <f t="shared" si="0"/>
        <v>1.7434584E-5</v>
      </c>
    </row>
    <row r="5" spans="1:32">
      <c r="A5" s="13" t="s">
        <v>167</v>
      </c>
      <c r="B5" s="26">
        <v>5.6629149999999998E-6</v>
      </c>
      <c r="C5" s="26">
        <v>4.7290309999999998E-6</v>
      </c>
      <c r="D5" s="26">
        <v>6.3059360000000002E-6</v>
      </c>
      <c r="E5" s="26">
        <v>8.3611190000000006E-6</v>
      </c>
      <c r="F5" s="26">
        <v>9.9680500000000002E-6</v>
      </c>
      <c r="G5" s="26">
        <v>1.1466165E-5</v>
      </c>
      <c r="H5" s="26">
        <v>1.2859633E-5</v>
      </c>
      <c r="I5" s="26">
        <v>1.3185027000000001E-5</v>
      </c>
      <c r="J5" s="26">
        <v>1.3605032E-5</v>
      </c>
      <c r="K5" s="26">
        <v>1.3848363E-5</v>
      </c>
      <c r="L5" s="26">
        <v>1.4220303999999999E-5</v>
      </c>
      <c r="M5" s="26">
        <v>1.4459441E-5</v>
      </c>
      <c r="N5" s="26">
        <v>1.4730947999999999E-5</v>
      </c>
      <c r="O5" s="26">
        <v>1.4906633000000001E-5</v>
      </c>
      <c r="P5" s="26">
        <v>1.5019777E-5</v>
      </c>
      <c r="Q5" s="26">
        <v>1.5149273E-5</v>
      </c>
      <c r="R5" s="26">
        <v>1.5186565000000001E-5</v>
      </c>
      <c r="S5" s="26">
        <v>1.5161742000000001E-5</v>
      </c>
      <c r="T5" s="26">
        <v>1.5419608999999998E-5</v>
      </c>
      <c r="U5" s="26">
        <v>1.5427535E-5</v>
      </c>
      <c r="V5" s="26">
        <v>1.6086232999999999E-5</v>
      </c>
      <c r="W5" s="26">
        <v>1.6304516E-5</v>
      </c>
      <c r="X5" s="26">
        <v>1.6474314000000001E-5</v>
      </c>
      <c r="Y5" s="26">
        <v>1.6738727999999999E-5</v>
      </c>
      <c r="Z5" s="26">
        <v>1.6852213E-5</v>
      </c>
      <c r="AA5" s="26">
        <v>1.6858868000000001E-5</v>
      </c>
      <c r="AB5" s="26">
        <v>1.7032827000000001E-5</v>
      </c>
      <c r="AC5" s="26">
        <v>1.7158106000000001E-5</v>
      </c>
      <c r="AD5" s="26">
        <v>1.7237692000000001E-5</v>
      </c>
      <c r="AE5" s="26">
        <v>1.7339317000000002E-5</v>
      </c>
      <c r="AF5" s="26">
        <v>1.7434584E-5</v>
      </c>
    </row>
    <row r="6" spans="1:32">
      <c r="A6" s="13" t="s">
        <v>168</v>
      </c>
      <c r="B6" s="26">
        <v>5.6430449999999998E-6</v>
      </c>
      <c r="C6" s="26">
        <v>4.7091609999999997E-6</v>
      </c>
      <c r="D6" s="26">
        <v>6.2900400000000002E-6</v>
      </c>
      <c r="E6" s="26">
        <v>8.3491969999999997E-6</v>
      </c>
      <c r="F6" s="26">
        <v>9.9601009999999991E-6</v>
      </c>
      <c r="G6" s="26">
        <v>1.1462192E-5</v>
      </c>
      <c r="H6" s="26">
        <v>1.2859633E-5</v>
      </c>
      <c r="I6" s="26">
        <v>1.3185027000000001E-5</v>
      </c>
      <c r="J6" s="26">
        <v>1.3605032E-5</v>
      </c>
      <c r="K6" s="26">
        <v>1.3848363E-5</v>
      </c>
      <c r="L6" s="26">
        <v>1.4220303999999999E-5</v>
      </c>
      <c r="M6" s="26">
        <v>1.4459441E-5</v>
      </c>
      <c r="N6" s="26">
        <v>1.4730947999999999E-5</v>
      </c>
      <c r="O6" s="26">
        <v>1.4906633000000001E-5</v>
      </c>
      <c r="P6" s="26">
        <v>1.5019777E-5</v>
      </c>
      <c r="Q6" s="26">
        <v>1.5149273E-5</v>
      </c>
      <c r="R6" s="26">
        <v>1.5186565000000001E-5</v>
      </c>
      <c r="S6" s="26">
        <v>1.5161742000000001E-5</v>
      </c>
      <c r="T6" s="26">
        <v>1.5419608999999998E-5</v>
      </c>
      <c r="U6" s="26">
        <v>1.5427535E-5</v>
      </c>
      <c r="V6" s="26">
        <v>1.6086232999999999E-5</v>
      </c>
      <c r="W6" s="26">
        <v>1.6304516E-5</v>
      </c>
      <c r="X6" s="26">
        <v>1.6474314000000001E-5</v>
      </c>
      <c r="Y6" s="26">
        <v>1.6738727999999999E-5</v>
      </c>
      <c r="Z6" s="26">
        <v>1.6852213E-5</v>
      </c>
      <c r="AA6" s="26">
        <v>1.6858868000000001E-5</v>
      </c>
      <c r="AB6" s="26">
        <v>1.7032827000000001E-5</v>
      </c>
      <c r="AC6" s="26">
        <v>1.7158106000000001E-5</v>
      </c>
      <c r="AD6" s="26">
        <v>1.7237692000000001E-5</v>
      </c>
      <c r="AE6" s="26">
        <v>1.7339317000000002E-5</v>
      </c>
      <c r="AF6" s="26">
        <v>1.7434584E-5</v>
      </c>
    </row>
    <row r="7" spans="1:32">
      <c r="A7" s="13" t="s">
        <v>169</v>
      </c>
      <c r="B7" s="26">
        <f>B6</f>
        <v>5.6430449999999998E-6</v>
      </c>
      <c r="C7" s="34">
        <f t="shared" ref="C7:AF7" si="1">C6</f>
        <v>4.7091609999999997E-6</v>
      </c>
      <c r="D7" s="34">
        <f t="shared" si="1"/>
        <v>6.2900400000000002E-6</v>
      </c>
      <c r="E7" s="34">
        <f t="shared" si="1"/>
        <v>8.3491969999999997E-6</v>
      </c>
      <c r="F7" s="34">
        <f t="shared" si="1"/>
        <v>9.9601009999999991E-6</v>
      </c>
      <c r="G7" s="34">
        <f t="shared" si="1"/>
        <v>1.1462192E-5</v>
      </c>
      <c r="H7" s="34">
        <f t="shared" si="1"/>
        <v>1.2859633E-5</v>
      </c>
      <c r="I7" s="34">
        <f t="shared" si="1"/>
        <v>1.3185027000000001E-5</v>
      </c>
      <c r="J7" s="34">
        <f t="shared" si="1"/>
        <v>1.3605032E-5</v>
      </c>
      <c r="K7" s="34">
        <f t="shared" si="1"/>
        <v>1.3848363E-5</v>
      </c>
      <c r="L7" s="34">
        <f t="shared" si="1"/>
        <v>1.4220303999999999E-5</v>
      </c>
      <c r="M7" s="34">
        <f t="shared" si="1"/>
        <v>1.4459441E-5</v>
      </c>
      <c r="N7" s="34">
        <f t="shared" si="1"/>
        <v>1.4730947999999999E-5</v>
      </c>
      <c r="O7" s="34">
        <f t="shared" si="1"/>
        <v>1.4906633000000001E-5</v>
      </c>
      <c r="P7" s="34">
        <f t="shared" si="1"/>
        <v>1.5019777E-5</v>
      </c>
      <c r="Q7" s="34">
        <f t="shared" si="1"/>
        <v>1.5149273E-5</v>
      </c>
      <c r="R7" s="34">
        <f t="shared" si="1"/>
        <v>1.5186565000000001E-5</v>
      </c>
      <c r="S7" s="34">
        <f t="shared" si="1"/>
        <v>1.5161742000000001E-5</v>
      </c>
      <c r="T7" s="34">
        <f t="shared" si="1"/>
        <v>1.5419608999999998E-5</v>
      </c>
      <c r="U7" s="34">
        <f t="shared" si="1"/>
        <v>1.5427535E-5</v>
      </c>
      <c r="V7" s="34">
        <f t="shared" si="1"/>
        <v>1.6086232999999999E-5</v>
      </c>
      <c r="W7" s="34">
        <f t="shared" si="1"/>
        <v>1.6304516E-5</v>
      </c>
      <c r="X7" s="34">
        <f t="shared" si="1"/>
        <v>1.6474314000000001E-5</v>
      </c>
      <c r="Y7" s="34">
        <f t="shared" si="1"/>
        <v>1.6738727999999999E-5</v>
      </c>
      <c r="Z7" s="34">
        <f t="shared" si="1"/>
        <v>1.6852213E-5</v>
      </c>
      <c r="AA7" s="34">
        <f t="shared" si="1"/>
        <v>1.6858868000000001E-5</v>
      </c>
      <c r="AB7" s="34">
        <f t="shared" si="1"/>
        <v>1.7032827000000001E-5</v>
      </c>
      <c r="AC7" s="34">
        <f t="shared" si="1"/>
        <v>1.7158106000000001E-5</v>
      </c>
      <c r="AD7" s="34">
        <f t="shared" si="1"/>
        <v>1.7237692000000001E-5</v>
      </c>
      <c r="AE7" s="34">
        <f t="shared" si="1"/>
        <v>1.7339317000000002E-5</v>
      </c>
      <c r="AF7" s="34">
        <f t="shared" si="1"/>
        <v>1.7434584E-5</v>
      </c>
    </row>
    <row r="8" spans="1:32">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2">
      <c r="A9" s="13" t="s">
        <v>171</v>
      </c>
      <c r="B9">
        <v>5.6430449999999998E-6</v>
      </c>
      <c r="C9">
        <v>4.7091609999999997E-6</v>
      </c>
      <c r="D9">
        <v>6.2900400000000002E-6</v>
      </c>
      <c r="E9">
        <v>8.3491969999999997E-6</v>
      </c>
      <c r="F9">
        <v>9.9601009999999991E-6</v>
      </c>
      <c r="G9">
        <v>1.1462192E-5</v>
      </c>
      <c r="H9">
        <v>1.2859633E-5</v>
      </c>
      <c r="I9">
        <v>1.3185027000000001E-5</v>
      </c>
      <c r="J9">
        <v>1.3605032E-5</v>
      </c>
      <c r="K9">
        <v>1.3848363E-5</v>
      </c>
      <c r="L9">
        <v>1.4220303999999999E-5</v>
      </c>
      <c r="M9">
        <v>1.4459441E-5</v>
      </c>
      <c r="N9">
        <v>1.4730947999999999E-5</v>
      </c>
      <c r="O9">
        <v>1.4906633000000001E-5</v>
      </c>
      <c r="P9">
        <v>1.5019777E-5</v>
      </c>
      <c r="Q9">
        <v>1.5149273E-5</v>
      </c>
      <c r="R9">
        <v>1.5186565000000001E-5</v>
      </c>
      <c r="S9">
        <v>1.5161742000000001E-5</v>
      </c>
      <c r="T9">
        <v>1.5419608999999998E-5</v>
      </c>
      <c r="U9">
        <v>1.5427535E-5</v>
      </c>
      <c r="V9">
        <v>1.6086232999999999E-5</v>
      </c>
      <c r="W9">
        <v>1.6304516E-5</v>
      </c>
      <c r="X9">
        <v>1.6474314000000001E-5</v>
      </c>
      <c r="Y9">
        <v>1.6738727999999999E-5</v>
      </c>
      <c r="Z9">
        <v>1.6852213E-5</v>
      </c>
      <c r="AA9">
        <v>1.6858868000000001E-5</v>
      </c>
      <c r="AB9">
        <v>1.7032827000000001E-5</v>
      </c>
      <c r="AC9">
        <v>1.7158106000000001E-5</v>
      </c>
      <c r="AD9">
        <v>1.7237692000000001E-5</v>
      </c>
      <c r="AE9">
        <v>1.7339317000000002E-5</v>
      </c>
      <c r="AF9">
        <v>1.7434584E-5</v>
      </c>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2060"/>
  </sheetPr>
  <dimension ref="A1:AF9"/>
  <sheetViews>
    <sheetView workbookViewId="0">
      <selection activeCell="B2" sqref="B2:AF9"/>
    </sheetView>
  </sheetViews>
  <sheetFormatPr defaultColWidth="9.1796875" defaultRowHeight="14.5"/>
  <cols>
    <col min="1" max="1" width="41.453125" style="14" customWidth="1"/>
    <col min="2" max="22" width="10" style="14" customWidth="1"/>
    <col min="23" max="24" width="9.1796875" style="14" customWidth="1"/>
    <col min="25" max="32" width="11.81640625" style="14" bestFit="1" customWidth="1"/>
    <col min="33" max="16384" width="9.1796875" style="14"/>
  </cols>
  <sheetData>
    <row r="1" spans="1:32">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row>
    <row r="2" spans="1:32">
      <c r="A2" s="13" t="s">
        <v>164</v>
      </c>
      <c r="B2" s="181">
        <f>Lpgpropbut!B3</f>
        <v>1.4373142092040504E-5</v>
      </c>
      <c r="C2" s="181">
        <f>Lpgpropbut!C3</f>
        <v>1.2242774281281169E-5</v>
      </c>
      <c r="D2" s="181">
        <f>Lpgpropbut!D3</f>
        <v>1.6026620227730776E-5</v>
      </c>
      <c r="E2" s="181">
        <f>Lpgpropbut!E3</f>
        <v>1.6577742271869668E-5</v>
      </c>
      <c r="F2" s="181">
        <f>Lpgpropbut!F3</f>
        <v>1.5214833291784348E-5</v>
      </c>
      <c r="G2" s="181">
        <f>Lpgpropbut!G3</f>
        <v>1.5217032732537936E-5</v>
      </c>
      <c r="H2" s="181">
        <f>Lpgpropbut!H3</f>
        <v>1.5127029991031237E-5</v>
      </c>
      <c r="I2" s="181">
        <f>Lpgpropbut!I3</f>
        <v>1.5244433157696057E-5</v>
      </c>
      <c r="J2" s="181">
        <f>Lpgpropbut!J3</f>
        <v>1.5556638127285772E-5</v>
      </c>
      <c r="K2" s="181">
        <f>Lpgpropbut!K3</f>
        <v>1.5982007259246027E-5</v>
      </c>
      <c r="L2" s="181">
        <f>Lpgpropbut!L3</f>
        <v>1.625572066075635E-5</v>
      </c>
      <c r="M2" s="181">
        <f>Lpgpropbut!M3</f>
        <v>1.6544621494230042E-5</v>
      </c>
      <c r="N2" s="181">
        <f>Lpgpropbut!N3</f>
        <v>1.7105829351697289E-5</v>
      </c>
      <c r="O2" s="181">
        <f>Lpgpropbut!O3</f>
        <v>1.7312949829364442E-5</v>
      </c>
      <c r="P2" s="181">
        <f>Lpgpropbut!P3</f>
        <v>1.7555561241770771E-5</v>
      </c>
      <c r="Q2" s="181">
        <f>Lpgpropbut!Q3</f>
        <v>1.7673218224801817E-5</v>
      </c>
      <c r="R2" s="181">
        <f>Lpgpropbut!R3</f>
        <v>1.7752053949455711E-5</v>
      </c>
      <c r="S2" s="181">
        <f>Lpgpropbut!S3</f>
        <v>1.7862938280835673E-5</v>
      </c>
      <c r="T2" s="181">
        <f>Lpgpropbut!T3</f>
        <v>1.8005872122202798E-5</v>
      </c>
      <c r="U2" s="181">
        <f>Lpgpropbut!U3</f>
        <v>1.8135847779976105E-5</v>
      </c>
      <c r="V2" s="181">
        <f>Lpgpropbut!V3</f>
        <v>1.819766425917658E-5</v>
      </c>
      <c r="W2" s="181">
        <f>Lpgpropbut!W3</f>
        <v>1.8411691974397196E-5</v>
      </c>
      <c r="X2" s="181">
        <f>Lpgpropbut!X3</f>
        <v>1.8535143377319106E-5</v>
      </c>
      <c r="Y2" s="181">
        <f>Lpgpropbut!Y3</f>
        <v>1.8542559150866104E-5</v>
      </c>
      <c r="Z2" s="181">
        <f>Lpgpropbut!Z3</f>
        <v>1.8674951935315633E-5</v>
      </c>
      <c r="AA2" s="181">
        <f>Lpgpropbut!AA3</f>
        <v>1.883320237498196E-5</v>
      </c>
      <c r="AB2" s="181">
        <f>Lpgpropbut!AB3</f>
        <v>1.8852803140629931E-5</v>
      </c>
      <c r="AC2" s="181">
        <f>Lpgpropbut!AC3</f>
        <v>1.8930058158376732E-5</v>
      </c>
      <c r="AD2" s="181">
        <f>Lpgpropbut!AD3</f>
        <v>1.8980463740230164E-5</v>
      </c>
      <c r="AE2" s="181">
        <f>Lpgpropbut!AE3</f>
        <v>1.9004943019023976E-5</v>
      </c>
      <c r="AF2" s="181">
        <f>Lpgpropbut!AF3</f>
        <v>1.8986412617767377E-5</v>
      </c>
    </row>
    <row r="3" spans="1:32">
      <c r="A3" s="13" t="s">
        <v>165</v>
      </c>
      <c r="B3" s="181">
        <f>Lpgpropbut!B4</f>
        <v>1.4381360012047388E-5</v>
      </c>
      <c r="C3" s="181">
        <f>Lpgpropbut!C4</f>
        <v>1.2249774152225298E-5</v>
      </c>
      <c r="D3" s="181">
        <f>Lpgpropbut!D4</f>
        <v>1.6035783532606552E-5</v>
      </c>
      <c r="E3" s="181">
        <f>Lpgpropbut!E4</f>
        <v>1.7013632680597167E-5</v>
      </c>
      <c r="F3" s="181">
        <f>Lpgpropbut!F4</f>
        <v>1.4917575827563672E-5</v>
      </c>
      <c r="G3" s="181">
        <f>Lpgpropbut!G4</f>
        <v>1.4897697399693123E-5</v>
      </c>
      <c r="H3" s="181">
        <f>Lpgpropbut!H4</f>
        <v>1.4757604499591881E-5</v>
      </c>
      <c r="I3" s="181">
        <f>Lpgpropbut!I4</f>
        <v>1.493380323556751E-5</v>
      </c>
      <c r="J3" s="181">
        <f>Lpgpropbut!J4</f>
        <v>1.5414304956100193E-5</v>
      </c>
      <c r="K3" s="181">
        <f>Lpgpropbut!K4</f>
        <v>1.6082143021506472E-5</v>
      </c>
      <c r="L3" s="181">
        <f>Lpgpropbut!L4</f>
        <v>1.652386470455602E-5</v>
      </c>
      <c r="M3" s="181">
        <f>Lpgpropbut!M4</f>
        <v>1.6990874343301809E-5</v>
      </c>
      <c r="N3" s="181">
        <f>Lpgpropbut!N4</f>
        <v>1.7409170020258745E-5</v>
      </c>
      <c r="O3" s="181">
        <f>Lpgpropbut!O4</f>
        <v>1.7753160507636056E-5</v>
      </c>
      <c r="P3" s="181">
        <f>Lpgpropbut!P4</f>
        <v>1.8086053352205377E-5</v>
      </c>
      <c r="Q3" s="181">
        <f>Lpgpropbut!Q4</f>
        <v>1.828687707697293E-5</v>
      </c>
      <c r="R3" s="181">
        <f>Lpgpropbut!R4</f>
        <v>1.8422734747009858E-5</v>
      </c>
      <c r="S3" s="181">
        <f>Lpgpropbut!S4</f>
        <v>1.8610581247267273E-5</v>
      </c>
      <c r="T3" s="181">
        <f>Lpgpropbut!T4</f>
        <v>1.8852966179191054E-5</v>
      </c>
      <c r="U3" s="181">
        <f>Lpgpropbut!U4</f>
        <v>1.9075616090978916E-5</v>
      </c>
      <c r="V3" s="181">
        <f>Lpgpropbut!V4</f>
        <v>1.918526776072337E-5</v>
      </c>
      <c r="W3" s="181">
        <f>Lpgpropbut!W4</f>
        <v>1.954847958643308E-5</v>
      </c>
      <c r="X3" s="181">
        <f>Lpgpropbut!X4</f>
        <v>1.9764928876908349E-5</v>
      </c>
      <c r="Y3" s="181">
        <f>Lpgpropbut!Y4</f>
        <v>1.9784568683712269E-5</v>
      </c>
      <c r="Z3" s="181">
        <f>Lpgpropbut!Z4</f>
        <v>2.0012288411561016E-5</v>
      </c>
      <c r="AA3" s="181">
        <f>Lpgpropbut!AA4</f>
        <v>2.028734797298735E-5</v>
      </c>
      <c r="AB3" s="181">
        <f>Lpgpropbut!AB4</f>
        <v>2.032814159612138E-5</v>
      </c>
      <c r="AC3" s="181">
        <f>Lpgpropbut!AC4</f>
        <v>2.0464045109614458E-5</v>
      </c>
      <c r="AD3" s="181">
        <f>Lpgpropbut!AD4</f>
        <v>2.0555078458795869E-5</v>
      </c>
      <c r="AE3" s="181">
        <f>Lpgpropbut!AE4</f>
        <v>2.0601206379468577E-5</v>
      </c>
      <c r="AF3" s="181">
        <f>Lpgpropbut!AF4</f>
        <v>2.0573210133439784E-5</v>
      </c>
    </row>
    <row r="4" spans="1:32">
      <c r="A4" s="13" t="s">
        <v>166</v>
      </c>
      <c r="B4" s="181">
        <f>Lpgpropbut!B5</f>
        <v>2.2097986898511679E-5</v>
      </c>
      <c r="C4" s="181">
        <f>Lpgpropbut!C5</f>
        <v>1.8822652968762194E-5</v>
      </c>
      <c r="D4" s="181">
        <f>Lpgpropbut!D5</f>
        <v>2.4640126810959443E-5</v>
      </c>
      <c r="E4" s="181">
        <f>Lpgpropbut!E5</f>
        <v>2.6630493591282817E-5</v>
      </c>
      <c r="F4" s="181">
        <f>Lpgpropbut!F5</f>
        <v>2.6377096885477372E-5</v>
      </c>
      <c r="G4" s="181">
        <f>Lpgpropbut!G5</f>
        <v>2.6427967520502388E-5</v>
      </c>
      <c r="H4" s="181">
        <f>Lpgpropbut!H5</f>
        <v>2.6363698287082594E-5</v>
      </c>
      <c r="I4" s="181">
        <f>Lpgpropbut!I5</f>
        <v>2.6461860251681107E-5</v>
      </c>
      <c r="J4" s="181">
        <f>Lpgpropbut!J5</f>
        <v>2.682224848718319E-5</v>
      </c>
      <c r="K4" s="181">
        <f>Lpgpropbut!K5</f>
        <v>2.7420280355859481E-5</v>
      </c>
      <c r="L4" s="181">
        <f>Lpgpropbut!L5</f>
        <v>2.7985733778537268E-5</v>
      </c>
      <c r="M4" s="181">
        <f>Lpgpropbut!M5</f>
        <v>2.8570730598907896E-5</v>
      </c>
      <c r="N4" s="181">
        <f>Lpgpropbut!N5</f>
        <v>2.9336407226186476E-5</v>
      </c>
      <c r="O4" s="181">
        <f>Lpgpropbut!O5</f>
        <v>2.9838672890946154E-5</v>
      </c>
      <c r="P4" s="181">
        <f>Lpgpropbut!P5</f>
        <v>3.0336460123220038E-5</v>
      </c>
      <c r="Q4" s="181">
        <f>Lpgpropbut!Q5</f>
        <v>3.0702309637978816E-5</v>
      </c>
      <c r="R4" s="181">
        <f>Lpgpropbut!R5</f>
        <v>3.0979811893699504E-5</v>
      </c>
      <c r="S4" s="181">
        <f>Lpgpropbut!S5</f>
        <v>3.1245788350064946E-5</v>
      </c>
      <c r="T4" s="181">
        <f>Lpgpropbut!T5</f>
        <v>3.1534385191155075E-5</v>
      </c>
      <c r="U4" s="181">
        <f>Lpgpropbut!U5</f>
        <v>3.1817591857422349E-5</v>
      </c>
      <c r="V4" s="181">
        <f>Lpgpropbut!V5</f>
        <v>3.2027767389068411E-5</v>
      </c>
      <c r="W4" s="181">
        <f>Lpgpropbut!W5</f>
        <v>3.2367277298474713E-5</v>
      </c>
      <c r="X4" s="181">
        <f>Lpgpropbut!X5</f>
        <v>3.2662841227234803E-5</v>
      </c>
      <c r="Y4" s="181">
        <f>Lpgpropbut!Y5</f>
        <v>3.2823718449320138E-5</v>
      </c>
      <c r="Z4" s="181">
        <f>Lpgpropbut!Z5</f>
        <v>3.3057602722266829E-5</v>
      </c>
      <c r="AA4" s="181">
        <f>Lpgpropbut!AA5</f>
        <v>3.3341830081213318E-5</v>
      </c>
      <c r="AB4" s="181">
        <f>Lpgpropbut!AB5</f>
        <v>3.3503616751944296E-5</v>
      </c>
      <c r="AC4" s="181">
        <f>Lpgpropbut!AC5</f>
        <v>3.3677725132951179E-5</v>
      </c>
      <c r="AD4" s="181">
        <f>Lpgpropbut!AD5</f>
        <v>3.3821408844197301E-5</v>
      </c>
      <c r="AE4" s="181">
        <f>Lpgpropbut!AE5</f>
        <v>3.3923802669454605E-5</v>
      </c>
      <c r="AF4" s="181">
        <f>Lpgpropbut!AF5</f>
        <v>3.3960586598660644E-5</v>
      </c>
    </row>
    <row r="5" spans="1:32">
      <c r="A5" s="13" t="s">
        <v>167</v>
      </c>
      <c r="B5" s="181">
        <f>Lpgpropbut!B6</f>
        <v>1.3214415371069829E-5</v>
      </c>
      <c r="C5" s="181">
        <f>Lpgpropbut!C6</f>
        <v>1.1255792478159018E-5</v>
      </c>
      <c r="D5" s="181">
        <f>Lpgpropbut!D6</f>
        <v>1.4734594240246477E-5</v>
      </c>
      <c r="E5" s="181">
        <f>Lpgpropbut!E6</f>
        <v>1.5532270113686572E-5</v>
      </c>
      <c r="F5" s="181">
        <f>Lpgpropbut!F6</f>
        <v>1.4315480368710968E-5</v>
      </c>
      <c r="G5" s="181">
        <f>Lpgpropbut!G6</f>
        <v>1.425706714077474E-5</v>
      </c>
      <c r="H5" s="181">
        <f>Lpgpropbut!H6</f>
        <v>1.4158498788040892E-5</v>
      </c>
      <c r="I5" s="181">
        <f>Lpgpropbut!I6</f>
        <v>1.4262081336839816E-5</v>
      </c>
      <c r="J5" s="181">
        <f>Lpgpropbut!J6</f>
        <v>1.4565201446204368E-5</v>
      </c>
      <c r="K5" s="181">
        <f>Lpgpropbut!K6</f>
        <v>1.4991544541777407E-5</v>
      </c>
      <c r="L5" s="181">
        <f>Lpgpropbut!L6</f>
        <v>1.5283663214865323E-5</v>
      </c>
      <c r="M5" s="181">
        <f>Lpgpropbut!M6</f>
        <v>1.5583588979465354E-5</v>
      </c>
      <c r="N5" s="181">
        <f>Lpgpropbut!N6</f>
        <v>1.6044271673297364E-5</v>
      </c>
      <c r="O5" s="181">
        <f>Lpgpropbut!O6</f>
        <v>1.6263755462744848E-5</v>
      </c>
      <c r="P5" s="181">
        <f>Lpgpropbut!P6</f>
        <v>1.6499864115236565E-5</v>
      </c>
      <c r="Q5" s="181">
        <f>Lpgpropbut!Q6</f>
        <v>1.6629195090084132E-5</v>
      </c>
      <c r="R5" s="181">
        <f>Lpgpropbut!R6</f>
        <v>1.6716079856333898E-5</v>
      </c>
      <c r="S5" s="181">
        <f>Lpgpropbut!S6</f>
        <v>1.6830600330872903E-5</v>
      </c>
      <c r="T5" s="181">
        <f>Lpgpropbut!T6</f>
        <v>1.697756920102679E-5</v>
      </c>
      <c r="U5" s="181">
        <f>Lpgpropbut!U6</f>
        <v>1.7114203887578217E-5</v>
      </c>
      <c r="V5" s="181">
        <f>Lpgpropbut!V6</f>
        <v>1.7184619038762E-5</v>
      </c>
      <c r="W5" s="181">
        <f>Lpgpropbut!W6</f>
        <v>1.7398393936645794E-5</v>
      </c>
      <c r="X5" s="181">
        <f>Lpgpropbut!X6</f>
        <v>1.7533075478177974E-5</v>
      </c>
      <c r="Y5" s="181">
        <f>Lpgpropbut!Y6</f>
        <v>1.7551431591403853E-5</v>
      </c>
      <c r="Z5" s="181">
        <f>Lpgpropbut!Z6</f>
        <v>1.76833178852469E-5</v>
      </c>
      <c r="AA5" s="181">
        <f>Lpgpropbut!AA6</f>
        <v>1.7846448226752367E-5</v>
      </c>
      <c r="AB5" s="181">
        <f>Lpgpropbut!AB6</f>
        <v>1.7877568389664472E-5</v>
      </c>
      <c r="AC5" s="181">
        <f>Lpgpropbut!AC6</f>
        <v>1.7956846004980167E-5</v>
      </c>
      <c r="AD5" s="181">
        <f>Lpgpropbut!AD6</f>
        <v>1.801189003815617E-5</v>
      </c>
      <c r="AE5" s="181">
        <f>Lpgpropbut!AE6</f>
        <v>1.8040439200458828E-5</v>
      </c>
      <c r="AF5" s="181">
        <f>Lpgpropbut!AF6</f>
        <v>1.8025389555537314E-5</v>
      </c>
    </row>
    <row r="6" spans="1:32">
      <c r="A6" s="13" t="s">
        <v>168</v>
      </c>
      <c r="B6" s="181">
        <f>Lpgpropbut!B7</f>
        <v>1.4381360012047388E-5</v>
      </c>
      <c r="C6" s="181">
        <f>Lpgpropbut!C7</f>
        <v>1.2249774152225298E-5</v>
      </c>
      <c r="D6" s="181">
        <f>Lpgpropbut!D7</f>
        <v>1.6035783532606552E-5</v>
      </c>
      <c r="E6" s="181">
        <f>Lpgpropbut!E7</f>
        <v>1.7013632680597167E-5</v>
      </c>
      <c r="F6" s="181">
        <f>Lpgpropbut!F7</f>
        <v>1.4917575827563672E-5</v>
      </c>
      <c r="G6" s="181">
        <f>Lpgpropbut!G7</f>
        <v>1.4897697399693123E-5</v>
      </c>
      <c r="H6" s="181">
        <f>Lpgpropbut!H7</f>
        <v>1.4757604499591881E-5</v>
      </c>
      <c r="I6" s="181">
        <f>Lpgpropbut!I7</f>
        <v>1.493380323556751E-5</v>
      </c>
      <c r="J6" s="181">
        <f>Lpgpropbut!J7</f>
        <v>1.5414304956100193E-5</v>
      </c>
      <c r="K6" s="181">
        <f>Lpgpropbut!K7</f>
        <v>1.6082143021506472E-5</v>
      </c>
      <c r="L6" s="181">
        <f>Lpgpropbut!L7</f>
        <v>1.652386470455602E-5</v>
      </c>
      <c r="M6" s="181">
        <f>Lpgpropbut!M7</f>
        <v>1.6990874343301809E-5</v>
      </c>
      <c r="N6" s="181">
        <f>Lpgpropbut!N7</f>
        <v>1.7409170020258745E-5</v>
      </c>
      <c r="O6" s="181">
        <f>Lpgpropbut!O7</f>
        <v>1.7753160507636056E-5</v>
      </c>
      <c r="P6" s="181">
        <f>Lpgpropbut!P7</f>
        <v>1.8086053352205377E-5</v>
      </c>
      <c r="Q6" s="181">
        <f>Lpgpropbut!Q7</f>
        <v>1.828687707697293E-5</v>
      </c>
      <c r="R6" s="181">
        <f>Lpgpropbut!R7</f>
        <v>1.8422734747009858E-5</v>
      </c>
      <c r="S6" s="181">
        <f>Lpgpropbut!S7</f>
        <v>1.8610581247267273E-5</v>
      </c>
      <c r="T6" s="181">
        <f>Lpgpropbut!T7</f>
        <v>1.8852966179191054E-5</v>
      </c>
      <c r="U6" s="181">
        <f>Lpgpropbut!U7</f>
        <v>1.9075616090978916E-5</v>
      </c>
      <c r="V6" s="181">
        <f>Lpgpropbut!V7</f>
        <v>1.918526776072337E-5</v>
      </c>
      <c r="W6" s="181">
        <f>Lpgpropbut!W7</f>
        <v>1.954847958643308E-5</v>
      </c>
      <c r="X6" s="181">
        <f>Lpgpropbut!X7</f>
        <v>1.9764928876908349E-5</v>
      </c>
      <c r="Y6" s="181">
        <f>Lpgpropbut!Y7</f>
        <v>1.9784568683712269E-5</v>
      </c>
      <c r="Z6" s="181">
        <f>Lpgpropbut!Z7</f>
        <v>2.0012288411561016E-5</v>
      </c>
      <c r="AA6" s="181">
        <f>Lpgpropbut!AA7</f>
        <v>2.028734797298735E-5</v>
      </c>
      <c r="AB6" s="181">
        <f>Lpgpropbut!AB7</f>
        <v>2.032814159612138E-5</v>
      </c>
      <c r="AC6" s="181">
        <f>Lpgpropbut!AC7</f>
        <v>2.0464045109614458E-5</v>
      </c>
      <c r="AD6" s="181">
        <f>Lpgpropbut!AD7</f>
        <v>2.0555078458795869E-5</v>
      </c>
      <c r="AE6" s="181">
        <f>Lpgpropbut!AE7</f>
        <v>2.0601206379468577E-5</v>
      </c>
      <c r="AF6" s="181">
        <f>Lpgpropbut!AF7</f>
        <v>2.0573210133439784E-5</v>
      </c>
    </row>
    <row r="7" spans="1:32">
      <c r="A7" s="13" t="s">
        <v>169</v>
      </c>
      <c r="B7" s="181">
        <v>0</v>
      </c>
      <c r="C7" s="181">
        <v>0</v>
      </c>
      <c r="D7" s="181">
        <v>0</v>
      </c>
      <c r="E7" s="181">
        <v>0</v>
      </c>
      <c r="F7" s="181">
        <v>0</v>
      </c>
      <c r="G7" s="181">
        <v>0</v>
      </c>
      <c r="H7" s="181">
        <v>0</v>
      </c>
      <c r="I7" s="181">
        <v>0</v>
      </c>
      <c r="J7" s="181">
        <v>0</v>
      </c>
      <c r="K7" s="181">
        <v>0</v>
      </c>
      <c r="L7" s="181">
        <v>0</v>
      </c>
      <c r="M7" s="181">
        <v>0</v>
      </c>
      <c r="N7" s="181">
        <v>0</v>
      </c>
      <c r="O7" s="181">
        <v>0</v>
      </c>
      <c r="P7" s="181">
        <v>0</v>
      </c>
      <c r="Q7" s="181">
        <v>0</v>
      </c>
      <c r="R7" s="181">
        <v>0</v>
      </c>
      <c r="S7" s="181">
        <v>0</v>
      </c>
      <c r="T7" s="181">
        <v>0</v>
      </c>
      <c r="U7" s="181">
        <v>0</v>
      </c>
      <c r="V7" s="181">
        <v>0</v>
      </c>
      <c r="W7" s="181">
        <v>0</v>
      </c>
      <c r="X7" s="181">
        <v>0</v>
      </c>
      <c r="Y7" s="181">
        <v>0</v>
      </c>
      <c r="Z7" s="181">
        <v>0</v>
      </c>
      <c r="AA7" s="181">
        <v>0</v>
      </c>
      <c r="AB7" s="181">
        <v>0</v>
      </c>
      <c r="AC7" s="181">
        <v>0</v>
      </c>
      <c r="AD7" s="181">
        <v>0</v>
      </c>
      <c r="AE7" s="181">
        <v>0</v>
      </c>
      <c r="AF7" s="181">
        <v>0</v>
      </c>
    </row>
    <row r="8" spans="1:32">
      <c r="A8" s="13" t="s">
        <v>170</v>
      </c>
      <c r="B8" s="181">
        <v>0</v>
      </c>
      <c r="C8" s="181">
        <v>0</v>
      </c>
      <c r="D8" s="181">
        <v>0</v>
      </c>
      <c r="E8" s="181">
        <v>0</v>
      </c>
      <c r="F8" s="181">
        <v>0</v>
      </c>
      <c r="G8" s="181">
        <v>0</v>
      </c>
      <c r="H8" s="181">
        <v>0</v>
      </c>
      <c r="I8" s="181">
        <v>0</v>
      </c>
      <c r="J8" s="181">
        <v>0</v>
      </c>
      <c r="K8" s="181">
        <v>0</v>
      </c>
      <c r="L8" s="181">
        <v>0</v>
      </c>
      <c r="M8" s="181">
        <v>0</v>
      </c>
      <c r="N8" s="181">
        <v>0</v>
      </c>
      <c r="O8" s="181">
        <v>0</v>
      </c>
      <c r="P8" s="181">
        <v>0</v>
      </c>
      <c r="Q8" s="181">
        <v>0</v>
      </c>
      <c r="R8" s="181">
        <v>0</v>
      </c>
      <c r="S8" s="181">
        <v>0</v>
      </c>
      <c r="T8" s="181">
        <v>0</v>
      </c>
      <c r="U8" s="181">
        <v>0</v>
      </c>
      <c r="V8" s="181">
        <v>0</v>
      </c>
      <c r="W8" s="181">
        <v>0</v>
      </c>
      <c r="X8" s="181">
        <v>0</v>
      </c>
      <c r="Y8" s="181">
        <v>0</v>
      </c>
      <c r="Z8" s="181">
        <v>0</v>
      </c>
      <c r="AA8" s="181">
        <v>0</v>
      </c>
      <c r="AB8" s="181">
        <v>0</v>
      </c>
      <c r="AC8" s="181">
        <v>0</v>
      </c>
      <c r="AD8" s="181">
        <v>0</v>
      </c>
      <c r="AE8" s="181">
        <v>0</v>
      </c>
      <c r="AF8" s="181">
        <v>0</v>
      </c>
    </row>
    <row r="9" spans="1:32">
      <c r="A9" s="13" t="s">
        <v>171</v>
      </c>
      <c r="B9" s="181">
        <f>B6</f>
        <v>1.4381360012047388E-5</v>
      </c>
      <c r="C9" s="181">
        <f t="shared" ref="C9:AF9" si="0">C6</f>
        <v>1.2249774152225298E-5</v>
      </c>
      <c r="D9" s="181">
        <f t="shared" si="0"/>
        <v>1.6035783532606552E-5</v>
      </c>
      <c r="E9" s="181">
        <f t="shared" si="0"/>
        <v>1.7013632680597167E-5</v>
      </c>
      <c r="F9" s="181">
        <f t="shared" si="0"/>
        <v>1.4917575827563672E-5</v>
      </c>
      <c r="G9" s="181">
        <f t="shared" si="0"/>
        <v>1.4897697399693123E-5</v>
      </c>
      <c r="H9" s="181">
        <f t="shared" si="0"/>
        <v>1.4757604499591881E-5</v>
      </c>
      <c r="I9" s="181">
        <f t="shared" si="0"/>
        <v>1.493380323556751E-5</v>
      </c>
      <c r="J9" s="181">
        <f t="shared" si="0"/>
        <v>1.5414304956100193E-5</v>
      </c>
      <c r="K9" s="181">
        <f t="shared" si="0"/>
        <v>1.6082143021506472E-5</v>
      </c>
      <c r="L9" s="181">
        <f t="shared" si="0"/>
        <v>1.652386470455602E-5</v>
      </c>
      <c r="M9" s="181">
        <f t="shared" si="0"/>
        <v>1.6990874343301809E-5</v>
      </c>
      <c r="N9" s="181">
        <f t="shared" si="0"/>
        <v>1.7409170020258745E-5</v>
      </c>
      <c r="O9" s="181">
        <f t="shared" si="0"/>
        <v>1.7753160507636056E-5</v>
      </c>
      <c r="P9" s="181">
        <f t="shared" si="0"/>
        <v>1.8086053352205377E-5</v>
      </c>
      <c r="Q9" s="181">
        <f t="shared" si="0"/>
        <v>1.828687707697293E-5</v>
      </c>
      <c r="R9" s="181">
        <f t="shared" si="0"/>
        <v>1.8422734747009858E-5</v>
      </c>
      <c r="S9" s="181">
        <f t="shared" si="0"/>
        <v>1.8610581247267273E-5</v>
      </c>
      <c r="T9" s="181">
        <f t="shared" si="0"/>
        <v>1.8852966179191054E-5</v>
      </c>
      <c r="U9" s="181">
        <f t="shared" si="0"/>
        <v>1.9075616090978916E-5</v>
      </c>
      <c r="V9" s="181">
        <f t="shared" si="0"/>
        <v>1.918526776072337E-5</v>
      </c>
      <c r="W9" s="181">
        <f t="shared" si="0"/>
        <v>1.954847958643308E-5</v>
      </c>
      <c r="X9" s="181">
        <f t="shared" si="0"/>
        <v>1.9764928876908349E-5</v>
      </c>
      <c r="Y9" s="181">
        <f t="shared" si="0"/>
        <v>1.9784568683712269E-5</v>
      </c>
      <c r="Z9" s="181">
        <f t="shared" si="0"/>
        <v>2.0012288411561016E-5</v>
      </c>
      <c r="AA9" s="181">
        <f t="shared" si="0"/>
        <v>2.028734797298735E-5</v>
      </c>
      <c r="AB9" s="181">
        <f t="shared" si="0"/>
        <v>2.032814159612138E-5</v>
      </c>
      <c r="AC9" s="181">
        <f t="shared" si="0"/>
        <v>2.0464045109614458E-5</v>
      </c>
      <c r="AD9" s="181">
        <f t="shared" si="0"/>
        <v>2.0555078458795869E-5</v>
      </c>
      <c r="AE9" s="181">
        <f t="shared" si="0"/>
        <v>2.0601206379468577E-5</v>
      </c>
      <c r="AF9" s="181">
        <f t="shared" si="0"/>
        <v>2.0573210133439784E-5</v>
      </c>
    </row>
  </sheetData>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2060"/>
  </sheetPr>
  <dimension ref="A1:AF9"/>
  <sheetViews>
    <sheetView workbookViewId="0">
      <selection activeCell="C6" sqref="C6"/>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2">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row>
    <row r="2" spans="1:32">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2">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2">
      <c r="A4" s="13" t="s">
        <v>166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2">
      <c r="A5" s="13" t="s">
        <v>167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2">
      <c r="A6" s="13" t="s">
        <v>168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2">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2">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2">
      <c r="A9" s="13" t="s">
        <v>171</v>
      </c>
      <c r="B9">
        <f t="shared" ref="B9:V9" si="0">B6</f>
        <v>0</v>
      </c>
      <c r="C9">
        <f t="shared" si="0"/>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v>0</v>
      </c>
      <c r="X9">
        <v>0</v>
      </c>
      <c r="Y9">
        <v>0</v>
      </c>
      <c r="Z9">
        <v>0</v>
      </c>
      <c r="AA9">
        <v>0</v>
      </c>
      <c r="AB9">
        <v>0</v>
      </c>
      <c r="AC9">
        <v>0</v>
      </c>
      <c r="AD9">
        <v>0</v>
      </c>
      <c r="AE9">
        <v>0</v>
      </c>
      <c r="AF9">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0B787-9C50-466A-BCF7-DFDF8F3BCFBC}">
  <sheetPr>
    <tabColor theme="0" tint="-0.14999847407452621"/>
  </sheetPr>
  <dimension ref="A1:N66"/>
  <sheetViews>
    <sheetView workbookViewId="0">
      <selection activeCell="D69" sqref="D69"/>
    </sheetView>
  </sheetViews>
  <sheetFormatPr defaultRowHeight="14.5"/>
  <cols>
    <col min="1" max="1" width="16.26953125" customWidth="1"/>
    <col min="2" max="2" width="24.1796875" customWidth="1"/>
    <col min="3" max="3" width="13.26953125" customWidth="1"/>
    <col min="4" max="4" width="22.26953125" customWidth="1"/>
    <col min="5" max="5" width="12.54296875" customWidth="1"/>
    <col min="6" max="6" width="13.26953125" customWidth="1"/>
  </cols>
  <sheetData>
    <row r="1" spans="1:14" s="32" customFormat="1">
      <c r="A1" s="32">
        <v>2019</v>
      </c>
      <c r="B1" s="32">
        <v>2019</v>
      </c>
      <c r="C1" s="32">
        <v>2019</v>
      </c>
      <c r="D1" s="32">
        <v>2019</v>
      </c>
      <c r="E1" s="32">
        <v>2019</v>
      </c>
      <c r="F1" s="32">
        <v>2019</v>
      </c>
    </row>
    <row r="2" spans="1:14" s="32" customFormat="1">
      <c r="A2" s="32" t="s">
        <v>582</v>
      </c>
      <c r="B2" s="32" t="s">
        <v>589</v>
      </c>
      <c r="C2" s="32" t="s">
        <v>594</v>
      </c>
      <c r="D2" s="32" t="s">
        <v>590</v>
      </c>
      <c r="E2" s="32" t="s">
        <v>591</v>
      </c>
      <c r="F2" s="32" t="s">
        <v>645</v>
      </c>
    </row>
    <row r="3" spans="1:14" s="32" customFormat="1">
      <c r="A3" s="32">
        <f>C66</f>
        <v>12.52</v>
      </c>
      <c r="B3" s="50">
        <f t="shared" ref="B3:D3" si="0">D66</f>
        <v>21.61</v>
      </c>
      <c r="C3" s="32">
        <f t="shared" si="0"/>
        <v>26.89</v>
      </c>
      <c r="D3" s="32">
        <f t="shared" si="0"/>
        <v>23.09</v>
      </c>
      <c r="E3" s="32">
        <f>H66</f>
        <v>11.46</v>
      </c>
      <c r="F3" s="99" t="s">
        <v>647</v>
      </c>
    </row>
    <row r="4" spans="1:14" s="32" customFormat="1"/>
    <row r="5" spans="1:14" s="32" customFormat="1"/>
    <row r="6" spans="1:14" s="32" customFormat="1" ht="15" thickBot="1">
      <c r="A6" s="33" t="s">
        <v>644</v>
      </c>
    </row>
    <row r="7" spans="1:14">
      <c r="A7" s="212" t="s">
        <v>325</v>
      </c>
      <c r="B7" s="215" t="s">
        <v>596</v>
      </c>
      <c r="C7" s="216"/>
      <c r="D7" s="216"/>
      <c r="E7" s="216"/>
      <c r="F7" s="216"/>
      <c r="G7" s="216"/>
      <c r="H7" s="216"/>
      <c r="I7" s="216"/>
      <c r="J7" s="216"/>
      <c r="K7" s="217"/>
      <c r="L7" s="85"/>
      <c r="M7" s="224"/>
      <c r="N7" s="225"/>
    </row>
    <row r="8" spans="1:14">
      <c r="A8" s="213"/>
      <c r="B8" s="218"/>
      <c r="C8" s="219"/>
      <c r="D8" s="219"/>
      <c r="E8" s="219"/>
      <c r="F8" s="219"/>
      <c r="G8" s="219"/>
      <c r="H8" s="219"/>
      <c r="I8" s="219"/>
      <c r="J8" s="219"/>
      <c r="K8" s="220"/>
      <c r="L8" s="86"/>
      <c r="M8" s="226"/>
      <c r="N8" s="227"/>
    </row>
    <row r="9" spans="1:14">
      <c r="A9" s="213"/>
      <c r="B9" s="218"/>
      <c r="C9" s="219"/>
      <c r="D9" s="219"/>
      <c r="E9" s="219"/>
      <c r="F9" s="219"/>
      <c r="G9" s="219"/>
      <c r="H9" s="219"/>
      <c r="I9" s="219"/>
      <c r="J9" s="219"/>
      <c r="K9" s="220"/>
      <c r="L9" s="86"/>
      <c r="M9" s="226"/>
      <c r="N9" s="227"/>
    </row>
    <row r="10" spans="1:14" ht="15" thickBot="1">
      <c r="A10" s="213"/>
      <c r="B10" s="221"/>
      <c r="C10" s="222"/>
      <c r="D10" s="222"/>
      <c r="E10" s="222"/>
      <c r="F10" s="222"/>
      <c r="G10" s="222"/>
      <c r="H10" s="222"/>
      <c r="I10" s="222"/>
      <c r="J10" s="222"/>
      <c r="K10" s="223"/>
      <c r="L10" s="87" t="s">
        <v>130</v>
      </c>
      <c r="M10" s="226"/>
      <c r="N10" s="227"/>
    </row>
    <row r="11" spans="1:14">
      <c r="A11" s="213"/>
      <c r="B11" s="212" t="s">
        <v>601</v>
      </c>
      <c r="C11" s="85"/>
      <c r="D11" s="215" t="s">
        <v>98</v>
      </c>
      <c r="E11" s="216"/>
      <c r="F11" s="216"/>
      <c r="G11" s="217"/>
      <c r="H11" s="215" t="s">
        <v>604</v>
      </c>
      <c r="I11" s="217"/>
      <c r="J11" s="215" t="s">
        <v>605</v>
      </c>
      <c r="K11" s="217"/>
      <c r="L11" s="87" t="s">
        <v>597</v>
      </c>
      <c r="M11" s="218" t="s">
        <v>599</v>
      </c>
      <c r="N11" s="220"/>
    </row>
    <row r="12" spans="1:14">
      <c r="A12" s="213"/>
      <c r="B12" s="213"/>
      <c r="C12" s="86"/>
      <c r="D12" s="218"/>
      <c r="E12" s="219"/>
      <c r="F12" s="219"/>
      <c r="G12" s="220"/>
      <c r="H12" s="218"/>
      <c r="I12" s="220"/>
      <c r="J12" s="218"/>
      <c r="K12" s="220"/>
      <c r="L12" s="87" t="s">
        <v>598</v>
      </c>
      <c r="M12" s="218" t="s">
        <v>600</v>
      </c>
      <c r="N12" s="220"/>
    </row>
    <row r="13" spans="1:14" ht="15" thickBot="1">
      <c r="A13" s="213"/>
      <c r="B13" s="213"/>
      <c r="C13" s="87" t="s">
        <v>602</v>
      </c>
      <c r="D13" s="221"/>
      <c r="E13" s="222"/>
      <c r="F13" s="222"/>
      <c r="G13" s="223"/>
      <c r="H13" s="221"/>
      <c r="I13" s="223"/>
      <c r="J13" s="218"/>
      <c r="K13" s="220"/>
      <c r="L13" s="87"/>
      <c r="M13" s="218"/>
      <c r="N13" s="220"/>
    </row>
    <row r="14" spans="1:14">
      <c r="A14" s="213"/>
      <c r="B14" s="213"/>
      <c r="C14" s="87" t="s">
        <v>603</v>
      </c>
      <c r="D14" s="84" t="s">
        <v>606</v>
      </c>
      <c r="E14" s="212" t="s">
        <v>607</v>
      </c>
      <c r="F14" s="212" t="s">
        <v>608</v>
      </c>
      <c r="G14" s="212" t="s">
        <v>599</v>
      </c>
      <c r="H14" s="215" t="s">
        <v>609</v>
      </c>
      <c r="I14" s="217"/>
      <c r="J14" s="218"/>
      <c r="K14" s="220"/>
      <c r="L14" s="87"/>
      <c r="M14" s="218"/>
      <c r="N14" s="220"/>
    </row>
    <row r="15" spans="1:14" ht="15" thickBot="1">
      <c r="A15" s="213"/>
      <c r="B15" s="214"/>
      <c r="C15" s="88"/>
      <c r="D15" s="88" t="s">
        <v>415</v>
      </c>
      <c r="E15" s="214"/>
      <c r="F15" s="214"/>
      <c r="G15" s="214"/>
      <c r="H15" s="221"/>
      <c r="I15" s="223"/>
      <c r="J15" s="221"/>
      <c r="K15" s="223"/>
      <c r="L15" s="88"/>
      <c r="M15" s="221"/>
      <c r="N15" s="223"/>
    </row>
    <row r="16" spans="1:14" ht="15" thickBot="1">
      <c r="A16" s="214"/>
      <c r="B16" s="228" t="s">
        <v>610</v>
      </c>
      <c r="C16" s="229"/>
      <c r="D16" s="229"/>
      <c r="E16" s="229"/>
      <c r="F16" s="229"/>
      <c r="G16" s="229"/>
      <c r="H16" s="229"/>
      <c r="I16" s="229"/>
      <c r="J16" s="229"/>
      <c r="K16" s="229"/>
      <c r="L16" s="229"/>
      <c r="M16" s="229"/>
      <c r="N16" s="230"/>
    </row>
    <row r="17" spans="1:14" ht="15" thickBot="1">
      <c r="A17" s="89">
        <v>1970</v>
      </c>
      <c r="B17" s="90">
        <v>1.31</v>
      </c>
      <c r="C17" s="90">
        <v>0.93</v>
      </c>
      <c r="D17" s="90">
        <v>1.27</v>
      </c>
      <c r="E17" s="90">
        <v>2.62</v>
      </c>
      <c r="F17" s="90">
        <v>2.57</v>
      </c>
      <c r="G17" s="90">
        <v>2.4300000000000002</v>
      </c>
      <c r="H17" s="90">
        <v>0.82</v>
      </c>
      <c r="I17" s="90"/>
      <c r="J17" s="90">
        <v>0.99</v>
      </c>
      <c r="K17" s="90"/>
      <c r="L17" s="90">
        <v>6.53</v>
      </c>
      <c r="M17" s="90">
        <v>1.91</v>
      </c>
      <c r="N17" s="90"/>
    </row>
    <row r="18" spans="1:14" ht="15" thickBot="1">
      <c r="A18" s="89">
        <v>1971</v>
      </c>
      <c r="B18" s="90">
        <v>0.85</v>
      </c>
      <c r="C18" s="90">
        <v>0.98</v>
      </c>
      <c r="D18" s="90">
        <v>1.34</v>
      </c>
      <c r="E18" s="90">
        <v>2.56</v>
      </c>
      <c r="F18" s="90">
        <v>2.75</v>
      </c>
      <c r="G18" s="90">
        <v>2.38</v>
      </c>
      <c r="H18" s="90">
        <v>0.86</v>
      </c>
      <c r="I18" s="90"/>
      <c r="J18" s="90">
        <v>1.03</v>
      </c>
      <c r="K18" s="90"/>
      <c r="L18" s="90">
        <v>6.78</v>
      </c>
      <c r="M18" s="90">
        <v>1.95</v>
      </c>
      <c r="N18" s="90"/>
    </row>
    <row r="19" spans="1:14" ht="15" thickBot="1">
      <c r="A19" s="89">
        <v>1972</v>
      </c>
      <c r="B19" s="90">
        <v>0.9</v>
      </c>
      <c r="C19" s="90">
        <v>1.03</v>
      </c>
      <c r="D19" s="90">
        <v>1.35</v>
      </c>
      <c r="E19" s="90">
        <v>2.73</v>
      </c>
      <c r="F19" s="90">
        <v>3.03</v>
      </c>
      <c r="G19" s="90">
        <v>2.5</v>
      </c>
      <c r="H19" s="90">
        <v>0.87</v>
      </c>
      <c r="I19" s="90"/>
      <c r="J19" s="90">
        <v>1.07</v>
      </c>
      <c r="K19" s="90"/>
      <c r="L19" s="90">
        <v>7.22</v>
      </c>
      <c r="M19" s="90">
        <v>2.1</v>
      </c>
      <c r="N19" s="90"/>
    </row>
    <row r="20" spans="1:14" ht="15" thickBot="1">
      <c r="A20" s="89">
        <v>1973</v>
      </c>
      <c r="B20" s="90" t="s">
        <v>611</v>
      </c>
      <c r="C20" s="90">
        <v>1.1100000000000001</v>
      </c>
      <c r="D20" s="90">
        <v>1.57</v>
      </c>
      <c r="E20" s="90">
        <v>3.73</v>
      </c>
      <c r="F20" s="90">
        <v>3.55</v>
      </c>
      <c r="G20" s="90">
        <v>3.23</v>
      </c>
      <c r="H20" s="90">
        <v>1</v>
      </c>
      <c r="I20" s="90"/>
      <c r="J20" s="90">
        <v>1.17</v>
      </c>
      <c r="K20" s="90"/>
      <c r="L20" s="90">
        <v>7.72</v>
      </c>
      <c r="M20" s="90">
        <v>2.35</v>
      </c>
      <c r="N20" s="90"/>
    </row>
    <row r="21" spans="1:14" ht="15" thickBot="1">
      <c r="A21" s="89">
        <v>1974</v>
      </c>
      <c r="B21" s="90">
        <v>1.52</v>
      </c>
      <c r="C21" s="90">
        <v>1.31</v>
      </c>
      <c r="D21" s="90">
        <v>2.4900000000000002</v>
      </c>
      <c r="E21" s="90">
        <v>4.3899999999999997</v>
      </c>
      <c r="F21" s="90">
        <v>5.34</v>
      </c>
      <c r="G21" s="90">
        <v>4.12</v>
      </c>
      <c r="H21" s="90">
        <v>1.54</v>
      </c>
      <c r="I21" s="90"/>
      <c r="J21" s="90">
        <v>1.39</v>
      </c>
      <c r="K21" s="90"/>
      <c r="L21" s="90">
        <v>9.89</v>
      </c>
      <c r="M21" s="90">
        <v>2.97</v>
      </c>
      <c r="N21" s="90"/>
    </row>
    <row r="22" spans="1:14" ht="15" thickBot="1">
      <c r="A22" s="89">
        <v>1975</v>
      </c>
      <c r="B22" s="90" t="s">
        <v>611</v>
      </c>
      <c r="C22" s="90">
        <v>1.49</v>
      </c>
      <c r="D22" s="90">
        <v>2.8</v>
      </c>
      <c r="E22" s="90">
        <v>4.45</v>
      </c>
      <c r="F22" s="90">
        <v>5.08</v>
      </c>
      <c r="G22" s="90">
        <v>4.1500000000000004</v>
      </c>
      <c r="H22" s="90">
        <v>1.62</v>
      </c>
      <c r="I22" s="90"/>
      <c r="J22" s="90">
        <v>1.54</v>
      </c>
      <c r="K22" s="90"/>
      <c r="L22" s="90">
        <v>10.68</v>
      </c>
      <c r="M22" s="90">
        <v>3.19</v>
      </c>
      <c r="N22" s="90"/>
    </row>
    <row r="23" spans="1:14" ht="15" thickBot="1">
      <c r="A23" s="89">
        <v>1976</v>
      </c>
      <c r="B23" s="90" t="s">
        <v>611</v>
      </c>
      <c r="C23" s="90">
        <v>1.68</v>
      </c>
      <c r="D23" s="90">
        <v>3.11</v>
      </c>
      <c r="E23" s="90">
        <v>4.62</v>
      </c>
      <c r="F23" s="90">
        <v>5.19</v>
      </c>
      <c r="G23" s="90">
        <v>4.25</v>
      </c>
      <c r="H23" s="90">
        <v>1.74</v>
      </c>
      <c r="I23" s="90"/>
      <c r="J23" s="90">
        <v>1.74</v>
      </c>
      <c r="K23" s="90"/>
      <c r="L23" s="90">
        <v>11.19</v>
      </c>
      <c r="M23" s="90">
        <v>3.56</v>
      </c>
      <c r="N23" s="90"/>
    </row>
    <row r="24" spans="1:14" ht="15" thickBot="1">
      <c r="A24" s="89">
        <v>1977</v>
      </c>
      <c r="B24" s="90" t="s">
        <v>611</v>
      </c>
      <c r="C24" s="90">
        <v>1.8</v>
      </c>
      <c r="D24" s="90">
        <v>3.21</v>
      </c>
      <c r="E24" s="90">
        <v>5.46</v>
      </c>
      <c r="F24" s="90">
        <v>5.74</v>
      </c>
      <c r="G24" s="90">
        <v>4.8</v>
      </c>
      <c r="H24" s="90">
        <v>1.96</v>
      </c>
      <c r="I24" s="90"/>
      <c r="J24" s="90">
        <v>1.87</v>
      </c>
      <c r="K24" s="90"/>
      <c r="L24" s="90">
        <v>12.41</v>
      </c>
      <c r="M24" s="90">
        <v>4.0999999999999996</v>
      </c>
      <c r="N24" s="90"/>
    </row>
    <row r="25" spans="1:14" ht="15" thickBot="1">
      <c r="A25" s="89">
        <v>1978</v>
      </c>
      <c r="B25" s="90">
        <v>3.42</v>
      </c>
      <c r="C25" s="90">
        <v>1.89</v>
      </c>
      <c r="D25" s="90">
        <v>3.27</v>
      </c>
      <c r="E25" s="90">
        <v>5.07</v>
      </c>
      <c r="F25" s="90">
        <v>6.05</v>
      </c>
      <c r="G25" s="90">
        <v>4.74</v>
      </c>
      <c r="H25" s="90">
        <v>2.08</v>
      </c>
      <c r="I25" s="90"/>
      <c r="J25" s="90">
        <v>1.98</v>
      </c>
      <c r="K25" s="90"/>
      <c r="L25" s="90">
        <v>13.13</v>
      </c>
      <c r="M25" s="90">
        <v>4.4400000000000004</v>
      </c>
      <c r="N25" s="90"/>
    </row>
    <row r="26" spans="1:14" ht="15" thickBot="1">
      <c r="A26" s="89">
        <v>1979</v>
      </c>
      <c r="B26" s="90">
        <v>4.87</v>
      </c>
      <c r="C26" s="90">
        <v>2.36</v>
      </c>
      <c r="D26" s="90">
        <v>4.4800000000000004</v>
      </c>
      <c r="E26" s="90">
        <v>6.73</v>
      </c>
      <c r="F26" s="90">
        <v>8.64</v>
      </c>
      <c r="G26" s="90">
        <v>6.16</v>
      </c>
      <c r="H26" s="90">
        <v>2.98</v>
      </c>
      <c r="I26" s="90"/>
      <c r="J26" s="90">
        <v>2.5099999999999998</v>
      </c>
      <c r="K26" s="90"/>
      <c r="L26" s="90">
        <v>13.1</v>
      </c>
      <c r="M26" s="90">
        <v>4.78</v>
      </c>
      <c r="N26" s="90"/>
    </row>
    <row r="27" spans="1:14" ht="15" thickBot="1">
      <c r="A27" s="89">
        <v>1980</v>
      </c>
      <c r="B27" s="90">
        <v>5.13</v>
      </c>
      <c r="C27" s="90">
        <v>3.37</v>
      </c>
      <c r="D27" s="90">
        <v>6.92</v>
      </c>
      <c r="E27" s="90">
        <v>8.15</v>
      </c>
      <c r="F27" s="90">
        <v>13.04</v>
      </c>
      <c r="G27" s="90">
        <v>8.14</v>
      </c>
      <c r="H27" s="90">
        <v>4.1500000000000004</v>
      </c>
      <c r="I27" s="90"/>
      <c r="J27" s="90">
        <v>3.53</v>
      </c>
      <c r="K27" s="90"/>
      <c r="L27" s="90">
        <v>17.18</v>
      </c>
      <c r="M27" s="90">
        <v>6.7</v>
      </c>
      <c r="N27" s="90"/>
    </row>
    <row r="28" spans="1:14" ht="15" thickBot="1">
      <c r="A28" s="89">
        <v>1981</v>
      </c>
      <c r="B28" s="90">
        <v>5.43</v>
      </c>
      <c r="C28" s="90">
        <v>3.58</v>
      </c>
      <c r="D28" s="90">
        <v>7.9</v>
      </c>
      <c r="E28" s="90">
        <v>7.53</v>
      </c>
      <c r="F28" s="90">
        <v>15.34</v>
      </c>
      <c r="G28" s="90">
        <v>7.74</v>
      </c>
      <c r="H28" s="90">
        <v>5.0999999999999996</v>
      </c>
      <c r="I28" s="90"/>
      <c r="J28" s="90">
        <v>3.75</v>
      </c>
      <c r="K28" s="90"/>
      <c r="L28" s="90">
        <v>19.09</v>
      </c>
      <c r="M28" s="90">
        <v>7.56</v>
      </c>
      <c r="N28" s="90"/>
    </row>
    <row r="29" spans="1:14" ht="15" thickBot="1">
      <c r="A29" s="89">
        <v>1982</v>
      </c>
      <c r="B29" s="90">
        <v>5.68</v>
      </c>
      <c r="C29" s="90">
        <v>4.24</v>
      </c>
      <c r="D29" s="90">
        <v>7.85</v>
      </c>
      <c r="E29" s="90">
        <v>10</v>
      </c>
      <c r="F29" s="90">
        <v>15.22</v>
      </c>
      <c r="G29" s="90">
        <v>9.9700000000000006</v>
      </c>
      <c r="H29" s="90">
        <v>4.95</v>
      </c>
      <c r="I29" s="90"/>
      <c r="J29" s="90">
        <v>4.41</v>
      </c>
      <c r="K29" s="90"/>
      <c r="L29" s="90">
        <v>22.47</v>
      </c>
      <c r="M29" s="90">
        <v>8.5399999999999991</v>
      </c>
      <c r="N29" s="90"/>
    </row>
    <row r="30" spans="1:14" ht="15" thickBot="1">
      <c r="A30" s="89">
        <v>1983</v>
      </c>
      <c r="B30" s="90">
        <v>4.62</v>
      </c>
      <c r="C30" s="90">
        <v>5.2</v>
      </c>
      <c r="D30" s="90">
        <v>7.91</v>
      </c>
      <c r="E30" s="90">
        <v>11</v>
      </c>
      <c r="F30" s="90">
        <v>8.39</v>
      </c>
      <c r="G30" s="90">
        <v>10.83</v>
      </c>
      <c r="H30" s="90">
        <v>4.79</v>
      </c>
      <c r="I30" s="90"/>
      <c r="J30" s="90">
        <v>5.37</v>
      </c>
      <c r="K30" s="90"/>
      <c r="L30" s="90">
        <v>20.88</v>
      </c>
      <c r="M30" s="90">
        <v>9.1999999999999993</v>
      </c>
      <c r="N30" s="90"/>
    </row>
    <row r="31" spans="1:14" ht="15" thickBot="1">
      <c r="A31" s="89">
        <v>1984</v>
      </c>
      <c r="B31" s="90">
        <v>4.63</v>
      </c>
      <c r="C31" s="90">
        <v>5.62</v>
      </c>
      <c r="D31" s="90">
        <v>7.67</v>
      </c>
      <c r="E31" s="90">
        <v>9.64</v>
      </c>
      <c r="F31" s="90">
        <v>8.2899999999999991</v>
      </c>
      <c r="G31" s="90">
        <v>9.49</v>
      </c>
      <c r="H31" s="90">
        <v>4.88</v>
      </c>
      <c r="I31" s="90"/>
      <c r="J31" s="90">
        <v>5.7</v>
      </c>
      <c r="K31" s="90"/>
      <c r="L31" s="90">
        <v>20.73</v>
      </c>
      <c r="M31" s="90">
        <v>9.69</v>
      </c>
      <c r="N31" s="90"/>
    </row>
    <row r="32" spans="1:14" ht="15" thickBot="1">
      <c r="A32" s="89">
        <v>1985</v>
      </c>
      <c r="B32" s="90">
        <v>4.54</v>
      </c>
      <c r="C32" s="90">
        <v>5.51</v>
      </c>
      <c r="D32" s="90">
        <v>5.25</v>
      </c>
      <c r="E32" s="90">
        <v>8.66</v>
      </c>
      <c r="F32" s="90">
        <v>11.15</v>
      </c>
      <c r="G32" s="90">
        <v>8.57</v>
      </c>
      <c r="H32" s="90">
        <v>4.6900000000000004</v>
      </c>
      <c r="I32" s="90"/>
      <c r="J32" s="90">
        <v>5.57</v>
      </c>
      <c r="K32" s="90"/>
      <c r="L32" s="90">
        <v>22.8</v>
      </c>
      <c r="M32" s="90">
        <v>9.83</v>
      </c>
      <c r="N32" s="90"/>
    </row>
    <row r="33" spans="1:14" ht="15" thickBot="1">
      <c r="A33" s="89">
        <v>1986</v>
      </c>
      <c r="B33" s="90" t="s">
        <v>611</v>
      </c>
      <c r="C33" s="90">
        <v>4.95</v>
      </c>
      <c r="D33" s="90">
        <v>7.58</v>
      </c>
      <c r="E33" s="90">
        <v>10.95</v>
      </c>
      <c r="F33" s="90">
        <v>4.97</v>
      </c>
      <c r="G33" s="90">
        <v>10.27</v>
      </c>
      <c r="H33" s="90">
        <v>3.76</v>
      </c>
      <c r="I33" s="90"/>
      <c r="J33" s="90">
        <v>5.0599999999999996</v>
      </c>
      <c r="K33" s="90"/>
      <c r="L33" s="90">
        <v>23.26</v>
      </c>
      <c r="M33" s="90">
        <v>10.02</v>
      </c>
      <c r="N33" s="90"/>
    </row>
    <row r="34" spans="1:14" ht="15" thickBot="1">
      <c r="A34" s="89">
        <v>1987</v>
      </c>
      <c r="B34" s="90">
        <v>3.76</v>
      </c>
      <c r="C34" s="90">
        <v>5.13</v>
      </c>
      <c r="D34" s="90">
        <v>6.05</v>
      </c>
      <c r="E34" s="90">
        <v>12.37</v>
      </c>
      <c r="F34" s="90">
        <v>4.6900000000000004</v>
      </c>
      <c r="G34" s="90">
        <v>11.73</v>
      </c>
      <c r="H34" s="90">
        <v>3.58</v>
      </c>
      <c r="I34" s="90"/>
      <c r="J34" s="90">
        <v>5.26</v>
      </c>
      <c r="K34" s="90"/>
      <c r="L34" s="90">
        <v>23.55</v>
      </c>
      <c r="M34" s="90">
        <v>10.11</v>
      </c>
      <c r="N34" s="90"/>
    </row>
    <row r="35" spans="1:14" ht="15" thickBot="1">
      <c r="A35" s="89">
        <v>1988</v>
      </c>
      <c r="B35" s="90">
        <v>3.37</v>
      </c>
      <c r="C35" s="90">
        <v>5.48</v>
      </c>
      <c r="D35" s="90">
        <v>5.84</v>
      </c>
      <c r="E35" s="90">
        <v>11.39</v>
      </c>
      <c r="F35" s="90">
        <v>5.07</v>
      </c>
      <c r="G35" s="90">
        <v>10.9</v>
      </c>
      <c r="H35" s="90">
        <v>3.62</v>
      </c>
      <c r="I35" s="90"/>
      <c r="J35" s="90">
        <v>5.56</v>
      </c>
      <c r="K35" s="90"/>
      <c r="L35" s="90">
        <v>25.02</v>
      </c>
      <c r="M35" s="90">
        <v>10.99</v>
      </c>
      <c r="N35" s="90"/>
    </row>
    <row r="36" spans="1:14" ht="15" thickBot="1">
      <c r="A36" s="89">
        <v>1989</v>
      </c>
      <c r="B36" s="90">
        <v>3.66</v>
      </c>
      <c r="C36" s="90">
        <v>5.37</v>
      </c>
      <c r="D36" s="90">
        <v>7.63</v>
      </c>
      <c r="E36" s="90">
        <v>11.65</v>
      </c>
      <c r="F36" s="90">
        <v>5.37</v>
      </c>
      <c r="G36" s="90">
        <v>11.23</v>
      </c>
      <c r="H36" s="90">
        <v>3.99</v>
      </c>
      <c r="I36" s="90"/>
      <c r="J36" s="90">
        <v>5.51</v>
      </c>
      <c r="K36" s="90"/>
      <c r="L36" s="90">
        <v>27.69</v>
      </c>
      <c r="M36" s="90">
        <v>11.49</v>
      </c>
      <c r="N36" s="90"/>
    </row>
    <row r="37" spans="1:14" ht="15" thickBot="1">
      <c r="A37" s="89">
        <v>1990</v>
      </c>
      <c r="B37" s="90">
        <v>3.77</v>
      </c>
      <c r="C37" s="90">
        <v>5.6</v>
      </c>
      <c r="D37" s="90">
        <v>5.7</v>
      </c>
      <c r="E37" s="90">
        <v>12.45</v>
      </c>
      <c r="F37" s="90">
        <v>7.44</v>
      </c>
      <c r="G37" s="90">
        <v>11.95</v>
      </c>
      <c r="H37" s="90">
        <v>4.75</v>
      </c>
      <c r="I37" s="90"/>
      <c r="J37" s="90">
        <v>5.78</v>
      </c>
      <c r="K37" s="90"/>
      <c r="L37" s="90">
        <v>29.26</v>
      </c>
      <c r="M37" s="90">
        <v>12.36</v>
      </c>
      <c r="N37" s="90"/>
    </row>
    <row r="38" spans="1:14" ht="15" thickBot="1">
      <c r="A38" s="89">
        <v>1991</v>
      </c>
      <c r="B38" s="90">
        <v>5.21</v>
      </c>
      <c r="C38" s="90">
        <v>6.11</v>
      </c>
      <c r="D38" s="90">
        <v>5.6</v>
      </c>
      <c r="E38" s="90">
        <v>12.75</v>
      </c>
      <c r="F38" s="90">
        <v>5.88</v>
      </c>
      <c r="G38" s="90">
        <v>12.3</v>
      </c>
      <c r="H38" s="90">
        <v>4.55</v>
      </c>
      <c r="I38" s="90"/>
      <c r="J38" s="90">
        <v>6.29</v>
      </c>
      <c r="K38" s="90"/>
      <c r="L38" s="90">
        <v>31.61</v>
      </c>
      <c r="M38" s="90">
        <v>13.38</v>
      </c>
      <c r="N38" s="90"/>
    </row>
    <row r="39" spans="1:14" ht="15" thickBot="1">
      <c r="A39" s="89">
        <v>1992</v>
      </c>
      <c r="B39" s="90">
        <v>3.76</v>
      </c>
      <c r="C39" s="90">
        <v>5.81</v>
      </c>
      <c r="D39" s="90">
        <v>7.04</v>
      </c>
      <c r="E39" s="90">
        <v>13.39</v>
      </c>
      <c r="F39" s="90">
        <v>5.28</v>
      </c>
      <c r="G39" s="90">
        <v>12.83</v>
      </c>
      <c r="H39" s="90">
        <v>4.16</v>
      </c>
      <c r="I39" s="90"/>
      <c r="J39" s="90">
        <v>5.94</v>
      </c>
      <c r="K39" s="90"/>
      <c r="L39" s="90">
        <v>32.46</v>
      </c>
      <c r="M39" s="90">
        <v>13.88</v>
      </c>
      <c r="N39" s="90"/>
    </row>
    <row r="40" spans="1:14" ht="15" thickBot="1">
      <c r="A40" s="89">
        <v>1993</v>
      </c>
      <c r="B40" s="90">
        <v>3.77</v>
      </c>
      <c r="C40" s="90">
        <v>6.01</v>
      </c>
      <c r="D40" s="90">
        <v>7.4</v>
      </c>
      <c r="E40" s="90">
        <v>14.24</v>
      </c>
      <c r="F40" s="90">
        <v>5.78</v>
      </c>
      <c r="G40" s="90">
        <v>13.57</v>
      </c>
      <c r="H40" s="90">
        <v>4.0599999999999996</v>
      </c>
      <c r="I40" s="90"/>
      <c r="J40" s="90">
        <v>6.17</v>
      </c>
      <c r="K40" s="90"/>
      <c r="L40" s="90">
        <v>33.130000000000003</v>
      </c>
      <c r="M40" s="90">
        <v>13.97</v>
      </c>
      <c r="N40" s="90"/>
    </row>
    <row r="41" spans="1:14" ht="15" thickBot="1">
      <c r="A41" s="89">
        <v>1994</v>
      </c>
      <c r="B41" s="90">
        <v>3.74</v>
      </c>
      <c r="C41" s="90">
        <v>6.26</v>
      </c>
      <c r="D41" s="90">
        <v>6.95</v>
      </c>
      <c r="E41" s="90">
        <v>12.21</v>
      </c>
      <c r="F41" s="90">
        <v>5.05</v>
      </c>
      <c r="G41" s="90">
        <v>11.67</v>
      </c>
      <c r="H41" s="90">
        <v>3.94</v>
      </c>
      <c r="I41" s="90"/>
      <c r="J41" s="90">
        <v>6.34</v>
      </c>
      <c r="K41" s="90"/>
      <c r="L41" s="90">
        <v>33.49</v>
      </c>
      <c r="M41" s="90">
        <v>14.23</v>
      </c>
      <c r="N41" s="90"/>
    </row>
    <row r="42" spans="1:14" ht="15" thickBot="1">
      <c r="A42" s="89">
        <v>1995</v>
      </c>
      <c r="B42" s="90">
        <v>3.77</v>
      </c>
      <c r="C42" s="90">
        <v>6.35</v>
      </c>
      <c r="D42" s="90">
        <v>6.93</v>
      </c>
      <c r="E42" s="90">
        <v>11.79</v>
      </c>
      <c r="F42" s="90">
        <v>5.0999999999999996</v>
      </c>
      <c r="G42" s="90">
        <v>11.34</v>
      </c>
      <c r="H42" s="90">
        <v>3.86</v>
      </c>
      <c r="I42" s="90"/>
      <c r="J42" s="90">
        <v>6.41</v>
      </c>
      <c r="K42" s="90"/>
      <c r="L42" s="90">
        <v>34.020000000000003</v>
      </c>
      <c r="M42" s="90">
        <v>14.94</v>
      </c>
      <c r="N42" s="90"/>
    </row>
    <row r="43" spans="1:14" ht="15" thickBot="1">
      <c r="A43" s="89">
        <v>1996</v>
      </c>
      <c r="B43" s="90">
        <v>4.03</v>
      </c>
      <c r="C43" s="90">
        <v>6.23</v>
      </c>
      <c r="D43" s="90">
        <v>7.64</v>
      </c>
      <c r="E43" s="90">
        <v>12.38</v>
      </c>
      <c r="F43" s="90">
        <v>5.32</v>
      </c>
      <c r="G43" s="90">
        <v>11.84</v>
      </c>
      <c r="H43" s="90">
        <v>4.43</v>
      </c>
      <c r="I43" s="90"/>
      <c r="J43" s="90">
        <v>6.3</v>
      </c>
      <c r="K43" s="90"/>
      <c r="L43" s="90">
        <v>33.200000000000003</v>
      </c>
      <c r="M43" s="90">
        <v>14.77</v>
      </c>
      <c r="N43" s="90"/>
    </row>
    <row r="44" spans="1:14" ht="15" thickBot="1">
      <c r="A44" s="89">
        <v>1997</v>
      </c>
      <c r="B44" s="90">
        <v>3.71</v>
      </c>
      <c r="C44" s="90">
        <v>6.7</v>
      </c>
      <c r="D44" s="90">
        <v>8.11</v>
      </c>
      <c r="E44" s="90">
        <v>12.92</v>
      </c>
      <c r="F44" s="90">
        <v>4.95</v>
      </c>
      <c r="G44" s="90">
        <v>12.17</v>
      </c>
      <c r="H44" s="90">
        <v>4.41</v>
      </c>
      <c r="I44" s="90"/>
      <c r="J44" s="90">
        <v>6.77</v>
      </c>
      <c r="K44" s="90"/>
      <c r="L44" s="90">
        <v>33.71</v>
      </c>
      <c r="M44" s="90">
        <v>15.53</v>
      </c>
      <c r="N44" s="90"/>
    </row>
    <row r="45" spans="1:14" ht="15" thickBot="1">
      <c r="A45" s="89">
        <v>1998</v>
      </c>
      <c r="B45" s="90">
        <v>3.66</v>
      </c>
      <c r="C45" s="90">
        <v>6.55</v>
      </c>
      <c r="D45" s="90">
        <v>6.99</v>
      </c>
      <c r="E45" s="90">
        <v>11.75</v>
      </c>
      <c r="F45" s="90">
        <v>6.63</v>
      </c>
      <c r="G45" s="90">
        <v>11.25</v>
      </c>
      <c r="H45" s="90">
        <v>3.82</v>
      </c>
      <c r="I45" s="90"/>
      <c r="J45" s="90">
        <v>6.66</v>
      </c>
      <c r="K45" s="90"/>
      <c r="L45" s="90">
        <v>31.04</v>
      </c>
      <c r="M45" s="90">
        <v>13.81</v>
      </c>
      <c r="N45" s="90"/>
    </row>
    <row r="46" spans="1:14" ht="15" thickBot="1">
      <c r="A46" s="89">
        <v>1999</v>
      </c>
      <c r="B46" s="90">
        <v>3.69</v>
      </c>
      <c r="C46" s="90">
        <v>6.52</v>
      </c>
      <c r="D46" s="90">
        <v>7.69</v>
      </c>
      <c r="E46" s="90">
        <v>12.02</v>
      </c>
      <c r="F46" s="90">
        <v>6.58</v>
      </c>
      <c r="G46" s="90">
        <v>11.55</v>
      </c>
      <c r="H46" s="90">
        <v>3.92</v>
      </c>
      <c r="I46" s="90"/>
      <c r="J46" s="90">
        <v>6.64</v>
      </c>
      <c r="K46" s="90"/>
      <c r="L46" s="90">
        <v>31.31</v>
      </c>
      <c r="M46" s="90">
        <v>13.93</v>
      </c>
      <c r="N46" s="90"/>
    </row>
    <row r="47" spans="1:14" ht="15" thickBot="1">
      <c r="A47" s="89">
        <v>2000</v>
      </c>
      <c r="B47" s="90">
        <v>3.72</v>
      </c>
      <c r="C47" s="90">
        <v>8.58</v>
      </c>
      <c r="D47" s="90">
        <v>10.78</v>
      </c>
      <c r="E47" s="90">
        <v>15.29</v>
      </c>
      <c r="F47" s="90">
        <v>9.8699999999999992</v>
      </c>
      <c r="G47" s="90">
        <v>14.58</v>
      </c>
      <c r="H47" s="90">
        <v>5.88</v>
      </c>
      <c r="I47" s="90"/>
      <c r="J47" s="90">
        <v>8.74</v>
      </c>
      <c r="K47" s="90"/>
      <c r="L47" s="90">
        <v>31.92</v>
      </c>
      <c r="M47" s="90">
        <v>16.559999999999999</v>
      </c>
      <c r="N47" s="90"/>
    </row>
    <row r="48" spans="1:14" ht="15" thickBot="1">
      <c r="A48" s="89">
        <v>2001</v>
      </c>
      <c r="B48" s="90">
        <v>3.48</v>
      </c>
      <c r="C48" s="90">
        <v>10.27</v>
      </c>
      <c r="D48" s="90">
        <v>10.1</v>
      </c>
      <c r="E48" s="90">
        <v>17.27</v>
      </c>
      <c r="F48" s="90">
        <v>8.99</v>
      </c>
      <c r="G48" s="90">
        <v>15.47</v>
      </c>
      <c r="H48" s="90">
        <v>5.62</v>
      </c>
      <c r="I48" s="90"/>
      <c r="J48" s="90">
        <v>10.3</v>
      </c>
      <c r="K48" s="90"/>
      <c r="L48" s="90">
        <v>35.43</v>
      </c>
      <c r="M48" s="90">
        <v>18.38</v>
      </c>
      <c r="N48" s="90"/>
    </row>
    <row r="49" spans="1:14" ht="15" thickBot="1">
      <c r="A49" s="89">
        <v>2002</v>
      </c>
      <c r="B49" s="90">
        <v>3.87</v>
      </c>
      <c r="C49" s="90">
        <v>6.98</v>
      </c>
      <c r="D49" s="90">
        <v>8.76</v>
      </c>
      <c r="E49" s="90">
        <v>15.02</v>
      </c>
      <c r="F49" s="90">
        <v>9.19</v>
      </c>
      <c r="G49" s="90">
        <v>14.26</v>
      </c>
      <c r="H49" s="90">
        <v>5.09</v>
      </c>
      <c r="I49" s="90"/>
      <c r="J49" s="90">
        <v>7.14</v>
      </c>
      <c r="K49" s="90"/>
      <c r="L49" s="90">
        <v>37.049999999999997</v>
      </c>
      <c r="M49" s="90">
        <v>16.8</v>
      </c>
      <c r="N49" s="90"/>
    </row>
    <row r="50" spans="1:14" ht="15" thickBot="1">
      <c r="A50" s="89">
        <v>2003</v>
      </c>
      <c r="B50" s="90">
        <v>3.77</v>
      </c>
      <c r="C50" s="90">
        <v>8.9499999999999993</v>
      </c>
      <c r="D50" s="90">
        <v>10.55</v>
      </c>
      <c r="E50" s="90">
        <v>17.38</v>
      </c>
      <c r="F50" s="90">
        <v>9.1</v>
      </c>
      <c r="G50" s="90">
        <v>16.75</v>
      </c>
      <c r="H50" s="90">
        <v>6.11</v>
      </c>
      <c r="I50" s="90"/>
      <c r="J50" s="90">
        <v>9.19</v>
      </c>
      <c r="K50" s="90"/>
      <c r="L50" s="90">
        <v>35.840000000000003</v>
      </c>
      <c r="M50" s="90">
        <v>18.28</v>
      </c>
      <c r="N50" s="90"/>
    </row>
    <row r="51" spans="1:14" ht="15" thickBot="1">
      <c r="A51" s="89">
        <v>2004</v>
      </c>
      <c r="B51" s="90">
        <v>3.61</v>
      </c>
      <c r="C51" s="90">
        <v>9.67</v>
      </c>
      <c r="D51" s="90">
        <v>12.84</v>
      </c>
      <c r="E51" s="90">
        <v>19.68</v>
      </c>
      <c r="F51" s="90">
        <v>11.61</v>
      </c>
      <c r="G51" s="90">
        <v>19.010000000000002</v>
      </c>
      <c r="H51" s="90">
        <v>6.95</v>
      </c>
      <c r="I51" s="90"/>
      <c r="J51" s="90">
        <v>10.039999999999999</v>
      </c>
      <c r="K51" s="90"/>
      <c r="L51" s="90">
        <v>35.75</v>
      </c>
      <c r="M51" s="90">
        <v>18.64</v>
      </c>
      <c r="N51" s="90"/>
    </row>
    <row r="52" spans="1:14" ht="15" thickBot="1">
      <c r="A52" s="89">
        <v>2005</v>
      </c>
      <c r="B52" s="90">
        <v>3.56</v>
      </c>
      <c r="C52" s="90">
        <v>11.58</v>
      </c>
      <c r="D52" s="90">
        <v>16.920000000000002</v>
      </c>
      <c r="E52" s="90">
        <v>22.74</v>
      </c>
      <c r="F52" s="90">
        <v>13.76</v>
      </c>
      <c r="G52" s="90">
        <v>22.07</v>
      </c>
      <c r="H52" s="90">
        <v>9.1999999999999993</v>
      </c>
      <c r="I52" s="90"/>
      <c r="J52" s="90">
        <v>12.14</v>
      </c>
      <c r="K52" s="90"/>
      <c r="L52" s="90">
        <v>36.659999999999997</v>
      </c>
      <c r="M52" s="90">
        <v>20.78</v>
      </c>
      <c r="N52" s="90"/>
    </row>
    <row r="53" spans="1:14" ht="15" thickBot="1">
      <c r="A53" s="89">
        <v>2006</v>
      </c>
      <c r="B53" s="90">
        <v>3.73</v>
      </c>
      <c r="C53" s="90">
        <v>11.53</v>
      </c>
      <c r="D53" s="90">
        <v>19.39</v>
      </c>
      <c r="E53" s="90">
        <v>25.86</v>
      </c>
      <c r="F53" s="90">
        <v>22.13</v>
      </c>
      <c r="G53" s="90">
        <v>25.42</v>
      </c>
      <c r="H53" s="90">
        <v>10.6</v>
      </c>
      <c r="I53" s="90"/>
      <c r="J53" s="90">
        <v>12.21</v>
      </c>
      <c r="K53" s="90"/>
      <c r="L53" s="90">
        <v>42.01</v>
      </c>
      <c r="M53" s="90">
        <v>23</v>
      </c>
      <c r="N53" s="90"/>
    </row>
    <row r="54" spans="1:14" ht="15" thickBot="1">
      <c r="A54" s="89">
        <v>2007</v>
      </c>
      <c r="B54" s="90" t="s">
        <v>611</v>
      </c>
      <c r="C54" s="90">
        <v>11.24</v>
      </c>
      <c r="D54" s="90">
        <v>20.88</v>
      </c>
      <c r="E54" s="90">
        <v>27.7</v>
      </c>
      <c r="F54" s="90">
        <v>24.26</v>
      </c>
      <c r="G54" s="90">
        <v>27.46</v>
      </c>
      <c r="H54" s="90">
        <v>11.71</v>
      </c>
      <c r="I54" s="90"/>
      <c r="J54" s="90">
        <v>12.07</v>
      </c>
      <c r="K54" s="90"/>
      <c r="L54" s="90">
        <v>42.27</v>
      </c>
      <c r="M54" s="90">
        <v>22.89</v>
      </c>
      <c r="N54" s="90"/>
    </row>
    <row r="55" spans="1:14" ht="15" thickBot="1">
      <c r="A55" s="89">
        <v>2008</v>
      </c>
      <c r="B55" s="90" t="s">
        <v>611</v>
      </c>
      <c r="C55" s="90">
        <v>12.41</v>
      </c>
      <c r="D55" s="90">
        <v>25.91</v>
      </c>
      <c r="E55" s="90">
        <v>31.77</v>
      </c>
      <c r="F55" s="90">
        <v>30.07</v>
      </c>
      <c r="G55" s="90">
        <v>31.6</v>
      </c>
      <c r="H55" s="90">
        <v>14.42</v>
      </c>
      <c r="I55" s="90"/>
      <c r="J55" s="90">
        <v>13.62</v>
      </c>
      <c r="K55" s="90"/>
      <c r="L55" s="90">
        <v>40.46</v>
      </c>
      <c r="M55" s="90">
        <v>23.34</v>
      </c>
      <c r="N55" s="90"/>
    </row>
    <row r="56" spans="1:14" ht="15" thickBot="1">
      <c r="A56" s="89">
        <v>2009</v>
      </c>
      <c r="B56" s="90" t="s">
        <v>611</v>
      </c>
      <c r="C56" s="90">
        <v>9.18</v>
      </c>
      <c r="D56" s="90">
        <v>18.29</v>
      </c>
      <c r="E56" s="90">
        <v>25.93</v>
      </c>
      <c r="F56" s="90">
        <v>25.27</v>
      </c>
      <c r="G56" s="90">
        <v>25.4</v>
      </c>
      <c r="H56" s="90">
        <v>10.83</v>
      </c>
      <c r="I56" s="90"/>
      <c r="J56" s="90">
        <v>10.23</v>
      </c>
      <c r="K56" s="90"/>
      <c r="L56" s="90">
        <v>43.21</v>
      </c>
      <c r="M56" s="90">
        <v>22.13</v>
      </c>
      <c r="N56" s="90"/>
    </row>
    <row r="57" spans="1:14" ht="15" thickBot="1">
      <c r="A57" s="89">
        <v>2010</v>
      </c>
      <c r="B57" s="90" t="s">
        <v>611</v>
      </c>
      <c r="C57" s="90">
        <v>9.7100000000000009</v>
      </c>
      <c r="D57" s="90">
        <v>23.26</v>
      </c>
      <c r="E57" s="90">
        <v>30.42</v>
      </c>
      <c r="F57" s="90">
        <v>27.17</v>
      </c>
      <c r="G57" s="90">
        <v>30.14</v>
      </c>
      <c r="H57" s="90">
        <v>12.78</v>
      </c>
      <c r="I57" s="90"/>
      <c r="J57" s="90">
        <v>11.03</v>
      </c>
      <c r="K57" s="90"/>
      <c r="L57" s="90">
        <v>43.24</v>
      </c>
      <c r="M57" s="90">
        <v>22.27</v>
      </c>
      <c r="N57" s="90"/>
    </row>
    <row r="58" spans="1:14" ht="15" thickBot="1">
      <c r="A58" s="89">
        <v>2011</v>
      </c>
      <c r="B58" s="90" t="s">
        <v>611</v>
      </c>
      <c r="C58" s="90">
        <v>9.74</v>
      </c>
      <c r="D58" s="90">
        <v>28.64</v>
      </c>
      <c r="E58" s="90">
        <v>33.04</v>
      </c>
      <c r="F58" s="90">
        <v>32.46</v>
      </c>
      <c r="G58" s="90">
        <v>32.94</v>
      </c>
      <c r="H58" s="90">
        <v>15.36</v>
      </c>
      <c r="I58" s="90"/>
      <c r="J58" s="90">
        <v>11.18</v>
      </c>
      <c r="K58" s="90"/>
      <c r="L58" s="90">
        <v>43.3</v>
      </c>
      <c r="M58" s="90">
        <v>22.29</v>
      </c>
      <c r="N58" s="90"/>
    </row>
    <row r="59" spans="1:14" ht="15" thickBot="1">
      <c r="A59" s="89">
        <v>2012</v>
      </c>
      <c r="B59" s="90" t="s">
        <v>611</v>
      </c>
      <c r="C59" s="90">
        <v>8.9600000000000009</v>
      </c>
      <c r="D59" s="90">
        <v>29.84</v>
      </c>
      <c r="E59" s="90">
        <v>30.23</v>
      </c>
      <c r="F59" s="90">
        <v>33.86</v>
      </c>
      <c r="G59" s="90">
        <v>30.26</v>
      </c>
      <c r="H59" s="90">
        <v>17.11</v>
      </c>
      <c r="I59" s="90"/>
      <c r="J59" s="90">
        <v>10.119999999999999</v>
      </c>
      <c r="K59" s="90"/>
      <c r="L59" s="90">
        <v>44.95</v>
      </c>
      <c r="M59" s="90">
        <v>22.99</v>
      </c>
      <c r="N59" s="90"/>
    </row>
    <row r="60" spans="1:14" ht="15" thickBot="1">
      <c r="A60" s="89">
        <v>2013</v>
      </c>
      <c r="B60" s="90" t="s">
        <v>611</v>
      </c>
      <c r="C60" s="90">
        <v>9.67</v>
      </c>
      <c r="D60" s="90">
        <v>29.57</v>
      </c>
      <c r="E60" s="90">
        <v>30</v>
      </c>
      <c r="F60" s="90">
        <v>33.54</v>
      </c>
      <c r="G60" s="90">
        <v>30.03</v>
      </c>
      <c r="H60" s="90">
        <v>16.760000000000002</v>
      </c>
      <c r="I60" s="90"/>
      <c r="J60" s="90">
        <v>10.8</v>
      </c>
      <c r="K60" s="90"/>
      <c r="L60" s="90">
        <v>47.56</v>
      </c>
      <c r="M60" s="90">
        <v>24.12</v>
      </c>
      <c r="N60" s="90"/>
    </row>
    <row r="61" spans="1:14" ht="15" thickBot="1">
      <c r="A61" s="89">
        <v>2014</v>
      </c>
      <c r="B61" s="90" t="s">
        <v>611</v>
      </c>
      <c r="C61" s="90">
        <v>11.19</v>
      </c>
      <c r="D61" s="90">
        <v>28.9</v>
      </c>
      <c r="E61" s="90">
        <v>35.200000000000003</v>
      </c>
      <c r="F61" s="90">
        <v>33.369999999999997</v>
      </c>
      <c r="G61" s="90">
        <v>34.99</v>
      </c>
      <c r="H61" s="90">
        <v>16.34</v>
      </c>
      <c r="I61" s="90"/>
      <c r="J61" s="90">
        <v>12.45</v>
      </c>
      <c r="K61" s="90"/>
      <c r="L61" s="90">
        <v>47.61</v>
      </c>
      <c r="M61" s="90">
        <v>26.72</v>
      </c>
      <c r="N61" s="90"/>
    </row>
    <row r="62" spans="1:14" ht="15" thickBot="1">
      <c r="A62" s="89">
        <v>2015</v>
      </c>
      <c r="B62" s="90" t="s">
        <v>611</v>
      </c>
      <c r="C62" s="90">
        <v>10.99</v>
      </c>
      <c r="D62" s="90">
        <v>20.260000000000002</v>
      </c>
      <c r="E62" s="90">
        <v>26.66</v>
      </c>
      <c r="F62" s="90">
        <v>17.21</v>
      </c>
      <c r="G62" s="90">
        <v>26.42</v>
      </c>
      <c r="H62" s="90">
        <v>11.26</v>
      </c>
      <c r="I62" s="90"/>
      <c r="J62" s="90">
        <v>11.74</v>
      </c>
      <c r="K62" s="90"/>
      <c r="L62" s="90">
        <v>49.8</v>
      </c>
      <c r="M62" s="90">
        <v>27.18</v>
      </c>
      <c r="N62" s="90"/>
    </row>
    <row r="63" spans="1:14" ht="15" thickBot="1">
      <c r="A63" s="89">
        <v>2016</v>
      </c>
      <c r="B63" s="90" t="s">
        <v>611</v>
      </c>
      <c r="C63" s="90">
        <v>11.44</v>
      </c>
      <c r="D63" s="90">
        <v>16.89</v>
      </c>
      <c r="E63" s="90">
        <v>25.48</v>
      </c>
      <c r="F63" s="90">
        <v>13.72</v>
      </c>
      <c r="G63" s="90">
        <v>25.09</v>
      </c>
      <c r="H63" s="90">
        <v>9.6199999999999992</v>
      </c>
      <c r="I63" s="90"/>
      <c r="J63" s="90">
        <v>12.11</v>
      </c>
      <c r="K63" s="90"/>
      <c r="L63" s="90">
        <v>50.98</v>
      </c>
      <c r="M63" s="90">
        <v>27.51</v>
      </c>
      <c r="N63" s="91" t="s">
        <v>612</v>
      </c>
    </row>
    <row r="64" spans="1:14" ht="15" thickBot="1">
      <c r="A64" s="89">
        <v>2017</v>
      </c>
      <c r="B64" s="90" t="s">
        <v>611</v>
      </c>
      <c r="C64" s="90">
        <v>12.06</v>
      </c>
      <c r="D64" s="90">
        <v>19.239999999999998</v>
      </c>
      <c r="E64" s="90">
        <v>29.48</v>
      </c>
      <c r="F64" s="90">
        <v>17.12</v>
      </c>
      <c r="G64" s="90">
        <v>29.14</v>
      </c>
      <c r="H64" s="90">
        <v>10.76</v>
      </c>
      <c r="I64" s="90"/>
      <c r="J64" s="90">
        <v>12.85</v>
      </c>
      <c r="K64" s="90"/>
      <c r="L64" s="90">
        <v>53.66</v>
      </c>
      <c r="M64" s="90">
        <v>28.84</v>
      </c>
      <c r="N64" s="90"/>
    </row>
    <row r="65" spans="1:14" ht="15" thickBot="1">
      <c r="A65" s="89">
        <v>2018</v>
      </c>
      <c r="B65" s="90" t="s">
        <v>611</v>
      </c>
      <c r="C65" s="90">
        <v>11.9</v>
      </c>
      <c r="D65" s="90">
        <v>22.44</v>
      </c>
      <c r="E65" s="90">
        <v>30.6</v>
      </c>
      <c r="F65" s="90">
        <v>24.73</v>
      </c>
      <c r="G65" s="90">
        <v>30.38</v>
      </c>
      <c r="H65" s="90">
        <v>11.9</v>
      </c>
      <c r="I65" s="90"/>
      <c r="J65" s="90">
        <v>12.87</v>
      </c>
      <c r="K65" s="90"/>
      <c r="L65" s="90">
        <v>55.2</v>
      </c>
      <c r="M65" s="90">
        <v>29.45</v>
      </c>
      <c r="N65" s="90"/>
    </row>
    <row r="66" spans="1:14">
      <c r="A66" s="92">
        <v>2019</v>
      </c>
      <c r="B66" s="93" t="s">
        <v>611</v>
      </c>
      <c r="C66" s="93">
        <v>12.52</v>
      </c>
      <c r="D66" s="93">
        <v>21.61</v>
      </c>
      <c r="E66" s="93">
        <v>26.89</v>
      </c>
      <c r="F66" s="93">
        <v>23.09</v>
      </c>
      <c r="G66" s="93">
        <v>26.74</v>
      </c>
      <c r="H66" s="93">
        <v>11.46</v>
      </c>
      <c r="I66" s="93"/>
      <c r="J66" s="93">
        <v>13.24</v>
      </c>
      <c r="K66" s="93"/>
      <c r="L66" s="93">
        <v>56.14</v>
      </c>
      <c r="M66" s="93">
        <v>28.91</v>
      </c>
      <c r="N66" s="83"/>
    </row>
  </sheetData>
  <mergeCells count="20">
    <mergeCell ref="E14:E15"/>
    <mergeCell ref="F14:F15"/>
    <mergeCell ref="G14:G15"/>
    <mergeCell ref="H14:I15"/>
    <mergeCell ref="A7:A16"/>
    <mergeCell ref="B7:K10"/>
    <mergeCell ref="M7:N7"/>
    <mergeCell ref="M8:N8"/>
    <mergeCell ref="M9:N9"/>
    <mergeCell ref="M10:N10"/>
    <mergeCell ref="M11:N11"/>
    <mergeCell ref="M12:N12"/>
    <mergeCell ref="M13:N13"/>
    <mergeCell ref="M14:N14"/>
    <mergeCell ref="B16:N16"/>
    <mergeCell ref="M15:N15"/>
    <mergeCell ref="B11:B15"/>
    <mergeCell ref="D11:G13"/>
    <mergeCell ref="H11:I13"/>
    <mergeCell ref="J11:K15"/>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2060"/>
  </sheetPr>
  <dimension ref="A1:AF9"/>
  <sheetViews>
    <sheetView workbookViewId="0">
      <selection activeCell="B4" sqref="B4"/>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2">
      <c r="A1" s="13" t="s">
        <v>163</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row>
    <row r="2" spans="1:32">
      <c r="A2" s="13" t="s">
        <v>164</v>
      </c>
      <c r="B2" s="21">
        <f>Hydrogen!E$41*#REF!*(1-INDEX('Sales taxes'!$B$64:$AG$64,MATCH(B$1,'Sales taxes'!$B$43:$AG$43,0)))</f>
        <v>7.2323913984774236E-5</v>
      </c>
      <c r="C2" s="21">
        <f>Hydrogen!F$41*#REF!*(1-INDEX('Sales taxes'!$B$64:$AG$64,MATCH(C$1,'Sales taxes'!$B$43:$AG$43,0)))</f>
        <v>6.6407640789389056E-5</v>
      </c>
      <c r="D2" s="21">
        <f>Hydrogen!G$41*#REF!*(1-INDEX('Sales taxes'!$B$64:$AG$64,MATCH(D$1,'Sales taxes'!$B$43:$AG$43,0)))</f>
        <v>6.049136759400544E-5</v>
      </c>
      <c r="E2" s="21">
        <f>Hydrogen!H$41*#REF!*(1-INDEX('Sales taxes'!$B$64:$AG$64,MATCH(E$1,'Sales taxes'!$B$43:$AG$43,0)))</f>
        <v>5.457509439862026E-5</v>
      </c>
      <c r="F2" s="21">
        <f>Hydrogen!I$41*#REF!*(1-INDEX('Sales taxes'!$B$64:$AG$64,MATCH(F$1,'Sales taxes'!$B$43:$AG$43,0)))</f>
        <v>4.8658821203235079E-5</v>
      </c>
      <c r="G2" s="21">
        <f>Hydrogen!J$41*#REF!*(1-INDEX('Sales taxes'!$B$64:$AG$64,MATCH(G$1,'Sales taxes'!$B$43:$AG$43,0)))</f>
        <v>4.2742548007849899E-5</v>
      </c>
      <c r="H2" s="21">
        <f>Hydrogen!K$41*#REF!*(1-INDEX('Sales taxes'!$B$64:$AG$64,MATCH(H$1,'Sales taxes'!$B$43:$AG$43,0)))</f>
        <v>3.6826274812466284E-5</v>
      </c>
      <c r="I2" s="21">
        <f>Hydrogen!L$41*#REF!*(1-INDEX('Sales taxes'!$B$64:$AG$64,MATCH(I$1,'Sales taxes'!$B$43:$AG$43,0)))</f>
        <v>3.091000161708111E-5</v>
      </c>
      <c r="J2" s="21">
        <f>Hydrogen!M$41*#REF!*(1-INDEX('Sales taxes'!$B$64:$AG$64,MATCH(J$1,'Sales taxes'!$B$43:$AG$43,0)))</f>
        <v>2.499372842169593E-5</v>
      </c>
      <c r="K2" s="21">
        <f>Hydrogen!N$41*#REF!*(1-INDEX('Sales taxes'!$B$64:$AG$64,MATCH(K$1,'Sales taxes'!$B$43:$AG$43,0)))</f>
        <v>1.9077455226312314E-5</v>
      </c>
      <c r="L2" s="21">
        <f>Hydrogen!O$41*#REF!*(1-INDEX('Sales taxes'!$B$64:$AG$64,MATCH(L$1,'Sales taxes'!$B$43:$AG$43,0)))</f>
        <v>1.3161182030927136E-5</v>
      </c>
      <c r="M2" s="21">
        <f>Hydrogen!P$41*#REF!*(1-INDEX('Sales taxes'!$B$64:$AG$64,MATCH(M$1,'Sales taxes'!$B$43:$AG$43,0)))</f>
        <v>1.284050348397962E-5</v>
      </c>
      <c r="N2" s="21">
        <f>Hydrogen!Q$41*#REF!*(1-INDEX('Sales taxes'!$B$64:$AG$64,MATCH(N$1,'Sales taxes'!$B$43:$AG$43,0)))</f>
        <v>1.251982493703318E-5</v>
      </c>
      <c r="O2" s="21">
        <f>Hydrogen!R$41*#REF!*(1-INDEX('Sales taxes'!$B$64:$AG$64,MATCH(O$1,'Sales taxes'!$B$43:$AG$43,0)))</f>
        <v>1.219914639008674E-5</v>
      </c>
      <c r="P2" s="21">
        <f>Hydrogen!S$41*#REF!*(1-INDEX('Sales taxes'!$B$64:$AG$64,MATCH(P$1,'Sales taxes'!$B$43:$AG$43,0)))</f>
        <v>1.1878467843140302E-5</v>
      </c>
      <c r="Q2" s="21">
        <f>Hydrogen!T$41*#REF!*(1-INDEX('Sales taxes'!$B$64:$AG$64,MATCH(Q$1,'Sales taxes'!$B$43:$AG$43,0)))</f>
        <v>1.1557789296193959E-5</v>
      </c>
      <c r="R2" s="21">
        <f>Hydrogen!U$41*#REF!*(1-INDEX('Sales taxes'!$B$64:$AG$64,MATCH(R$1,'Sales taxes'!$B$43:$AG$43,0)))</f>
        <v>1.1237110749247519E-5</v>
      </c>
      <c r="S2" s="21">
        <f>Hydrogen!V$41*#REF!*(1-INDEX('Sales taxes'!$B$64:$AG$64,MATCH(S$1,'Sales taxes'!$B$43:$AG$43,0)))</f>
        <v>1.0916432202301079E-5</v>
      </c>
      <c r="T2" s="21">
        <f>Hydrogen!W$41*#REF!*(1-INDEX('Sales taxes'!$B$64:$AG$64,MATCH(T$1,'Sales taxes'!$B$43:$AG$43,0)))</f>
        <v>1.059575365535464E-5</v>
      </c>
      <c r="U2" s="21">
        <f>Hydrogen!X$41*#REF!*(1-INDEX('Sales taxes'!$B$64:$AG$64,MATCH(U$1,'Sales taxes'!$B$43:$AG$43,0)))</f>
        <v>1.02750751084082E-5</v>
      </c>
      <c r="V2" s="21">
        <f>Hydrogen!Y$41*#REF!*(1-INDEX('Sales taxes'!$B$64:$AG$64,MATCH(V$1,'Sales taxes'!$B$43:$AG$43,0)))</f>
        <v>9.9543965614618587E-6</v>
      </c>
      <c r="W2" s="21">
        <f>Hydrogen!Z$41*#REF!*(1-INDEX('Sales taxes'!$B$64:$AG$64,MATCH(W$1,'Sales taxes'!$B$43:$AG$43,0)))</f>
        <v>9.6337180145154188E-6</v>
      </c>
      <c r="X2" s="21">
        <f>Hydrogen!AA$41*#REF!*(1-INDEX('Sales taxes'!$B$64:$AG$64,MATCH(X$1,'Sales taxes'!$B$43:$AG$43,0)))</f>
        <v>9.3130394675689806E-6</v>
      </c>
      <c r="Y2" s="21">
        <f>Hydrogen!AB$41*#REF!*(1-INDEX('Sales taxes'!$B$64:$AG$64,MATCH(Y$1,'Sales taxes'!$B$43:$AG$43,0)))</f>
        <v>8.9923609206225406E-6</v>
      </c>
      <c r="Z2" s="21">
        <f>Hydrogen!AC$41*#REF!*(1-INDEX('Sales taxes'!$B$64:$AG$64,MATCH(Z$1,'Sales taxes'!$B$43:$AG$43,0)))</f>
        <v>8.6716823736761007E-6</v>
      </c>
      <c r="AA2" s="21">
        <f>Hydrogen!AD$41*#REF!*(1-INDEX('Sales taxes'!$B$64:$AG$64,MATCH(AA$1,'Sales taxes'!$B$43:$AG$43,0)))</f>
        <v>8.3510038267296607E-6</v>
      </c>
      <c r="AB2" s="21">
        <f>Hydrogen!AE$41*#REF!*(1-INDEX('Sales taxes'!$B$64:$AG$64,MATCH(AB$1,'Sales taxes'!$B$43:$AG$43,0)))</f>
        <v>8.0303252797833207E-6</v>
      </c>
      <c r="AC2" s="21">
        <f>Hydrogen!AF$41*#REF!*(1-INDEX('Sales taxes'!$B$64:$AG$64,MATCH(AC$1,'Sales taxes'!$B$43:$AG$43,0)))</f>
        <v>7.7096467328368808E-6</v>
      </c>
      <c r="AD2" s="21">
        <f>Hydrogen!AG$41*#REF!*(1-INDEX('Sales taxes'!$B$64:$AG$64,MATCH(AD$1,'Sales taxes'!$B$43:$AG$43,0)))</f>
        <v>7.3889681858904408E-6</v>
      </c>
      <c r="AE2" s="21">
        <f>Hydrogen!AH$41*#REF!*(1-INDEX('Sales taxes'!$B$64:$AG$64,MATCH(AE$1,'Sales taxes'!$B$43:$AG$43,0)))</f>
        <v>7.0682896389440018E-6</v>
      </c>
      <c r="AF2" s="21">
        <f>Hydrogen!AI$41*#REF!*(1-INDEX('Sales taxes'!$B$64:$AG$64,MATCH(AF$1,'Sales taxes'!$B$43:$AG$43,0)))</f>
        <v>6.7476110919975618E-6</v>
      </c>
    </row>
    <row r="3" spans="1:32">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2">
      <c r="A4" s="13" t="s">
        <v>166</v>
      </c>
      <c r="B4" s="21">
        <f>Hydrogen!E$41*#REF!*(1-INDEX('Sales taxes'!$B$64:$AG$64,MATCH(B$1,'Sales taxes'!$B$43:$AG$43,0)))</f>
        <v>7.2323913984774236E-5</v>
      </c>
      <c r="C4" s="21">
        <f>Hydrogen!F$41*#REF!*(1-INDEX('Sales taxes'!$B$64:$AG$64,MATCH(C$1,'Sales taxes'!$B$43:$AG$43,0)))</f>
        <v>6.6407640789389056E-5</v>
      </c>
      <c r="D4" s="21">
        <f>Hydrogen!G$41*#REF!*(1-INDEX('Sales taxes'!$B$64:$AG$64,MATCH(D$1,'Sales taxes'!$B$43:$AG$43,0)))</f>
        <v>6.049136759400544E-5</v>
      </c>
      <c r="E4" s="21">
        <f>Hydrogen!H$41*#REF!*(1-INDEX('Sales taxes'!$B$64:$AG$64,MATCH(E$1,'Sales taxes'!$B$43:$AG$43,0)))</f>
        <v>5.457509439862026E-5</v>
      </c>
      <c r="F4" s="21">
        <f>Hydrogen!I$41*#REF!*(1-INDEX('Sales taxes'!$B$64:$AG$64,MATCH(F$1,'Sales taxes'!$B$43:$AG$43,0)))</f>
        <v>4.8658821203235079E-5</v>
      </c>
      <c r="G4" s="21">
        <f>Hydrogen!J$41*#REF!*(1-INDEX('Sales taxes'!$B$64:$AG$64,MATCH(G$1,'Sales taxes'!$B$43:$AG$43,0)))</f>
        <v>4.2742548007849899E-5</v>
      </c>
      <c r="H4" s="21">
        <f>Hydrogen!K$41*#REF!*(1-INDEX('Sales taxes'!$B$64:$AG$64,MATCH(H$1,'Sales taxes'!$B$43:$AG$43,0)))</f>
        <v>3.6826274812466284E-5</v>
      </c>
      <c r="I4" s="21">
        <f>Hydrogen!L$41*#REF!*(1-INDEX('Sales taxes'!$B$64:$AG$64,MATCH(I$1,'Sales taxes'!$B$43:$AG$43,0)))</f>
        <v>3.091000161708111E-5</v>
      </c>
      <c r="J4" s="21">
        <f>Hydrogen!M$41*#REF!*(1-INDEX('Sales taxes'!$B$64:$AG$64,MATCH(J$1,'Sales taxes'!$B$43:$AG$43,0)))</f>
        <v>2.499372842169593E-5</v>
      </c>
      <c r="K4" s="21">
        <f>Hydrogen!N$41*#REF!*(1-INDEX('Sales taxes'!$B$64:$AG$64,MATCH(K$1,'Sales taxes'!$B$43:$AG$43,0)))</f>
        <v>1.9077455226312314E-5</v>
      </c>
      <c r="L4" s="21">
        <f>Hydrogen!O$41*#REF!*(1-INDEX('Sales taxes'!$B$64:$AG$64,MATCH(L$1,'Sales taxes'!$B$43:$AG$43,0)))</f>
        <v>1.3161182030927136E-5</v>
      </c>
      <c r="M4" s="21">
        <f>Hydrogen!P$41*#REF!*(1-INDEX('Sales taxes'!$B$64:$AG$64,MATCH(M$1,'Sales taxes'!$B$43:$AG$43,0)))</f>
        <v>1.284050348397962E-5</v>
      </c>
      <c r="N4" s="21">
        <f>Hydrogen!Q$41*#REF!*(1-INDEX('Sales taxes'!$B$64:$AG$64,MATCH(N$1,'Sales taxes'!$B$43:$AG$43,0)))</f>
        <v>1.251982493703318E-5</v>
      </c>
      <c r="O4" s="21">
        <f>Hydrogen!R$41*#REF!*(1-INDEX('Sales taxes'!$B$64:$AG$64,MATCH(O$1,'Sales taxes'!$B$43:$AG$43,0)))</f>
        <v>1.219914639008674E-5</v>
      </c>
      <c r="P4" s="21">
        <f>Hydrogen!S$41*#REF!*(1-INDEX('Sales taxes'!$B$64:$AG$64,MATCH(P$1,'Sales taxes'!$B$43:$AG$43,0)))</f>
        <v>1.1878467843140302E-5</v>
      </c>
      <c r="Q4" s="21">
        <f>Hydrogen!T$41*#REF!*(1-INDEX('Sales taxes'!$B$64:$AG$64,MATCH(Q$1,'Sales taxes'!$B$43:$AG$43,0)))</f>
        <v>1.1557789296193959E-5</v>
      </c>
      <c r="R4" s="21">
        <f>Hydrogen!U$41*#REF!*(1-INDEX('Sales taxes'!$B$64:$AG$64,MATCH(R$1,'Sales taxes'!$B$43:$AG$43,0)))</f>
        <v>1.1237110749247519E-5</v>
      </c>
      <c r="S4" s="21">
        <f>Hydrogen!V$41*#REF!*(1-INDEX('Sales taxes'!$B$64:$AG$64,MATCH(S$1,'Sales taxes'!$B$43:$AG$43,0)))</f>
        <v>1.0916432202301079E-5</v>
      </c>
      <c r="T4" s="21">
        <f>Hydrogen!W$41*#REF!*(1-INDEX('Sales taxes'!$B$64:$AG$64,MATCH(T$1,'Sales taxes'!$B$43:$AG$43,0)))</f>
        <v>1.059575365535464E-5</v>
      </c>
      <c r="U4" s="21">
        <f>Hydrogen!X$41*#REF!*(1-INDEX('Sales taxes'!$B$64:$AG$64,MATCH(U$1,'Sales taxes'!$B$43:$AG$43,0)))</f>
        <v>1.02750751084082E-5</v>
      </c>
      <c r="V4" s="21">
        <f>Hydrogen!Y$41*#REF!*(1-INDEX('Sales taxes'!$B$64:$AG$64,MATCH(V$1,'Sales taxes'!$B$43:$AG$43,0)))</f>
        <v>9.9543965614618587E-6</v>
      </c>
      <c r="W4" s="21">
        <f>Hydrogen!Z$41*#REF!*(1-INDEX('Sales taxes'!$B$64:$AG$64,MATCH(W$1,'Sales taxes'!$B$43:$AG$43,0)))</f>
        <v>9.6337180145154188E-6</v>
      </c>
      <c r="X4" s="21">
        <f>Hydrogen!AA$41*#REF!*(1-INDEX('Sales taxes'!$B$64:$AG$64,MATCH(X$1,'Sales taxes'!$B$43:$AG$43,0)))</f>
        <v>9.3130394675689806E-6</v>
      </c>
      <c r="Y4" s="21">
        <f>Hydrogen!AB$41*#REF!*(1-INDEX('Sales taxes'!$B$64:$AG$64,MATCH(Y$1,'Sales taxes'!$B$43:$AG$43,0)))</f>
        <v>8.9923609206225406E-6</v>
      </c>
      <c r="Z4" s="21">
        <f>Hydrogen!AC$41*#REF!*(1-INDEX('Sales taxes'!$B$64:$AG$64,MATCH(Z$1,'Sales taxes'!$B$43:$AG$43,0)))</f>
        <v>8.6716823736761007E-6</v>
      </c>
      <c r="AA4" s="21">
        <f>Hydrogen!AD$41*#REF!*(1-INDEX('Sales taxes'!$B$64:$AG$64,MATCH(AA$1,'Sales taxes'!$B$43:$AG$43,0)))</f>
        <v>8.3510038267296607E-6</v>
      </c>
      <c r="AB4" s="21">
        <f>Hydrogen!AE$41*#REF!*(1-INDEX('Sales taxes'!$B$64:$AG$64,MATCH(AB$1,'Sales taxes'!$B$43:$AG$43,0)))</f>
        <v>8.0303252797833207E-6</v>
      </c>
      <c r="AC4" s="21">
        <f>Hydrogen!AF$41*#REF!*(1-INDEX('Sales taxes'!$B$64:$AG$64,MATCH(AC$1,'Sales taxes'!$B$43:$AG$43,0)))</f>
        <v>7.7096467328368808E-6</v>
      </c>
      <c r="AD4" s="21">
        <f>Hydrogen!AG$41*#REF!*(1-INDEX('Sales taxes'!$B$64:$AG$64,MATCH(AD$1,'Sales taxes'!$B$43:$AG$43,0)))</f>
        <v>7.3889681858904408E-6</v>
      </c>
      <c r="AE4" s="21">
        <f>Hydrogen!AH$41*#REF!*(1-INDEX('Sales taxes'!$B$64:$AG$64,MATCH(AE$1,'Sales taxes'!$B$43:$AG$43,0)))</f>
        <v>7.0682896389440018E-6</v>
      </c>
      <c r="AF4" s="21">
        <f>Hydrogen!AI$41*#REF!*(1-INDEX('Sales taxes'!$B$64:$AG$64,MATCH(AF$1,'Sales taxes'!$B$43:$AG$43,0)))</f>
        <v>6.7476110919975618E-6</v>
      </c>
    </row>
    <row r="5" spans="1:32">
      <c r="A5" s="13" t="s">
        <v>167</v>
      </c>
      <c r="B5" s="21">
        <f>Hydrogen!E$41*#REF!*(1-INDEX('Sales taxes'!$B$64:$AG$64,MATCH(B$1,'Sales taxes'!$B$43:$AG$43,0)))</f>
        <v>7.2323913984774236E-5</v>
      </c>
      <c r="C5" s="21">
        <f>Hydrogen!F$41*#REF!*(1-INDEX('Sales taxes'!$B$64:$AG$64,MATCH(C$1,'Sales taxes'!$B$43:$AG$43,0)))</f>
        <v>6.6407640789389056E-5</v>
      </c>
      <c r="D5" s="21">
        <f>Hydrogen!G$41*#REF!*(1-INDEX('Sales taxes'!$B$64:$AG$64,MATCH(D$1,'Sales taxes'!$B$43:$AG$43,0)))</f>
        <v>6.049136759400544E-5</v>
      </c>
      <c r="E5" s="21">
        <f>Hydrogen!H$41*#REF!*(1-INDEX('Sales taxes'!$B$64:$AG$64,MATCH(E$1,'Sales taxes'!$B$43:$AG$43,0)))</f>
        <v>5.457509439862026E-5</v>
      </c>
      <c r="F5" s="21">
        <f>Hydrogen!I$41*#REF!*(1-INDEX('Sales taxes'!$B$64:$AG$64,MATCH(F$1,'Sales taxes'!$B$43:$AG$43,0)))</f>
        <v>4.8658821203235079E-5</v>
      </c>
      <c r="G5" s="21">
        <f>Hydrogen!J$41*#REF!*(1-INDEX('Sales taxes'!$B$64:$AG$64,MATCH(G$1,'Sales taxes'!$B$43:$AG$43,0)))</f>
        <v>4.2742548007849899E-5</v>
      </c>
      <c r="H5" s="21">
        <f>Hydrogen!K$41*#REF!*(1-INDEX('Sales taxes'!$B$64:$AG$64,MATCH(H$1,'Sales taxes'!$B$43:$AG$43,0)))</f>
        <v>3.6826274812466284E-5</v>
      </c>
      <c r="I5" s="21">
        <f>Hydrogen!L$41*#REF!*(1-INDEX('Sales taxes'!$B$64:$AG$64,MATCH(I$1,'Sales taxes'!$B$43:$AG$43,0)))</f>
        <v>3.091000161708111E-5</v>
      </c>
      <c r="J5" s="21">
        <f>Hydrogen!M$41*#REF!*(1-INDEX('Sales taxes'!$B$64:$AG$64,MATCH(J$1,'Sales taxes'!$B$43:$AG$43,0)))</f>
        <v>2.499372842169593E-5</v>
      </c>
      <c r="K5" s="21">
        <f>Hydrogen!N$41*#REF!*(1-INDEX('Sales taxes'!$B$64:$AG$64,MATCH(K$1,'Sales taxes'!$B$43:$AG$43,0)))</f>
        <v>1.9077455226312314E-5</v>
      </c>
      <c r="L5" s="21">
        <f>Hydrogen!O$41*#REF!*(1-INDEX('Sales taxes'!$B$64:$AG$64,MATCH(L$1,'Sales taxes'!$B$43:$AG$43,0)))</f>
        <v>1.3161182030927136E-5</v>
      </c>
      <c r="M5" s="21">
        <f>Hydrogen!P$41*#REF!*(1-INDEX('Sales taxes'!$B$64:$AG$64,MATCH(M$1,'Sales taxes'!$B$43:$AG$43,0)))</f>
        <v>1.284050348397962E-5</v>
      </c>
      <c r="N5" s="21">
        <f>Hydrogen!Q$41*#REF!*(1-INDEX('Sales taxes'!$B$64:$AG$64,MATCH(N$1,'Sales taxes'!$B$43:$AG$43,0)))</f>
        <v>1.251982493703318E-5</v>
      </c>
      <c r="O5" s="21">
        <f>Hydrogen!R$41*#REF!*(1-INDEX('Sales taxes'!$B$64:$AG$64,MATCH(O$1,'Sales taxes'!$B$43:$AG$43,0)))</f>
        <v>1.219914639008674E-5</v>
      </c>
      <c r="P5" s="21">
        <f>Hydrogen!S$41*#REF!*(1-INDEX('Sales taxes'!$B$64:$AG$64,MATCH(P$1,'Sales taxes'!$B$43:$AG$43,0)))</f>
        <v>1.1878467843140302E-5</v>
      </c>
      <c r="Q5" s="21">
        <f>Hydrogen!T$41*#REF!*(1-INDEX('Sales taxes'!$B$64:$AG$64,MATCH(Q$1,'Sales taxes'!$B$43:$AG$43,0)))</f>
        <v>1.1557789296193959E-5</v>
      </c>
      <c r="R5" s="21">
        <f>Hydrogen!U$41*#REF!*(1-INDEX('Sales taxes'!$B$64:$AG$64,MATCH(R$1,'Sales taxes'!$B$43:$AG$43,0)))</f>
        <v>1.1237110749247519E-5</v>
      </c>
      <c r="S5" s="21">
        <f>Hydrogen!V$41*#REF!*(1-INDEX('Sales taxes'!$B$64:$AG$64,MATCH(S$1,'Sales taxes'!$B$43:$AG$43,0)))</f>
        <v>1.0916432202301079E-5</v>
      </c>
      <c r="T5" s="21">
        <f>Hydrogen!W$41*#REF!*(1-INDEX('Sales taxes'!$B$64:$AG$64,MATCH(T$1,'Sales taxes'!$B$43:$AG$43,0)))</f>
        <v>1.059575365535464E-5</v>
      </c>
      <c r="U5" s="21">
        <f>Hydrogen!X$41*#REF!*(1-INDEX('Sales taxes'!$B$64:$AG$64,MATCH(U$1,'Sales taxes'!$B$43:$AG$43,0)))</f>
        <v>1.02750751084082E-5</v>
      </c>
      <c r="V5" s="21">
        <f>Hydrogen!Y$41*#REF!*(1-INDEX('Sales taxes'!$B$64:$AG$64,MATCH(V$1,'Sales taxes'!$B$43:$AG$43,0)))</f>
        <v>9.9543965614618587E-6</v>
      </c>
      <c r="W5" s="21">
        <f>Hydrogen!Z$41*#REF!*(1-INDEX('Sales taxes'!$B$64:$AG$64,MATCH(W$1,'Sales taxes'!$B$43:$AG$43,0)))</f>
        <v>9.6337180145154188E-6</v>
      </c>
      <c r="X5" s="21">
        <f>Hydrogen!AA$41*#REF!*(1-INDEX('Sales taxes'!$B$64:$AG$64,MATCH(X$1,'Sales taxes'!$B$43:$AG$43,0)))</f>
        <v>9.3130394675689806E-6</v>
      </c>
      <c r="Y5" s="21">
        <f>Hydrogen!AB$41*#REF!*(1-INDEX('Sales taxes'!$B$64:$AG$64,MATCH(Y$1,'Sales taxes'!$B$43:$AG$43,0)))</f>
        <v>8.9923609206225406E-6</v>
      </c>
      <c r="Z5" s="21">
        <f>Hydrogen!AC$41*#REF!*(1-INDEX('Sales taxes'!$B$64:$AG$64,MATCH(Z$1,'Sales taxes'!$B$43:$AG$43,0)))</f>
        <v>8.6716823736761007E-6</v>
      </c>
      <c r="AA5" s="21">
        <f>Hydrogen!AD$41*#REF!*(1-INDEX('Sales taxes'!$B$64:$AG$64,MATCH(AA$1,'Sales taxes'!$B$43:$AG$43,0)))</f>
        <v>8.3510038267296607E-6</v>
      </c>
      <c r="AB5" s="21">
        <f>Hydrogen!AE$41*#REF!*(1-INDEX('Sales taxes'!$B$64:$AG$64,MATCH(AB$1,'Sales taxes'!$B$43:$AG$43,0)))</f>
        <v>8.0303252797833207E-6</v>
      </c>
      <c r="AC5" s="21">
        <f>Hydrogen!AF$41*#REF!*(1-INDEX('Sales taxes'!$B$64:$AG$64,MATCH(AC$1,'Sales taxes'!$B$43:$AG$43,0)))</f>
        <v>7.7096467328368808E-6</v>
      </c>
      <c r="AD5" s="21">
        <f>Hydrogen!AG$41*#REF!*(1-INDEX('Sales taxes'!$B$64:$AG$64,MATCH(AD$1,'Sales taxes'!$B$43:$AG$43,0)))</f>
        <v>7.3889681858904408E-6</v>
      </c>
      <c r="AE5" s="21">
        <f>Hydrogen!AH$41*#REF!*(1-INDEX('Sales taxes'!$B$64:$AG$64,MATCH(AE$1,'Sales taxes'!$B$43:$AG$43,0)))</f>
        <v>7.0682896389440018E-6</v>
      </c>
      <c r="AF5" s="21">
        <f>Hydrogen!AI$41*#REF!*(1-INDEX('Sales taxes'!$B$64:$AG$64,MATCH(AF$1,'Sales taxes'!$B$43:$AG$43,0)))</f>
        <v>6.7476110919975618E-6</v>
      </c>
    </row>
    <row r="6" spans="1:32">
      <c r="A6" s="13" t="s">
        <v>168</v>
      </c>
      <c r="B6" s="21">
        <f>Hydrogen!E$41*#REF!*(1-INDEX('Sales taxes'!$B$64:$AG$64,MATCH(B$1,'Sales taxes'!$B$43:$AG$43,0)))</f>
        <v>7.2323913984774236E-5</v>
      </c>
      <c r="C6" s="21">
        <f>Hydrogen!F$41*#REF!*(1-INDEX('Sales taxes'!$B$64:$AG$64,MATCH(C$1,'Sales taxes'!$B$43:$AG$43,0)))</f>
        <v>6.6407640789389056E-5</v>
      </c>
      <c r="D6" s="21">
        <f>Hydrogen!G$41*#REF!*(1-INDEX('Sales taxes'!$B$64:$AG$64,MATCH(D$1,'Sales taxes'!$B$43:$AG$43,0)))</f>
        <v>6.049136759400544E-5</v>
      </c>
      <c r="E6" s="21">
        <f>Hydrogen!H$41*#REF!*(1-INDEX('Sales taxes'!$B$64:$AG$64,MATCH(E$1,'Sales taxes'!$B$43:$AG$43,0)))</f>
        <v>5.457509439862026E-5</v>
      </c>
      <c r="F6" s="21">
        <f>Hydrogen!I$41*#REF!*(1-INDEX('Sales taxes'!$B$64:$AG$64,MATCH(F$1,'Sales taxes'!$B$43:$AG$43,0)))</f>
        <v>4.8658821203235079E-5</v>
      </c>
      <c r="G6" s="21">
        <f>Hydrogen!J$41*#REF!*(1-INDEX('Sales taxes'!$B$64:$AG$64,MATCH(G$1,'Sales taxes'!$B$43:$AG$43,0)))</f>
        <v>4.2742548007849899E-5</v>
      </c>
      <c r="H6" s="21">
        <f>Hydrogen!K$41*#REF!*(1-INDEX('Sales taxes'!$B$64:$AG$64,MATCH(H$1,'Sales taxes'!$B$43:$AG$43,0)))</f>
        <v>3.6826274812466284E-5</v>
      </c>
      <c r="I6" s="21">
        <f>Hydrogen!L$41*#REF!*(1-INDEX('Sales taxes'!$B$64:$AG$64,MATCH(I$1,'Sales taxes'!$B$43:$AG$43,0)))</f>
        <v>3.091000161708111E-5</v>
      </c>
      <c r="J6" s="21">
        <f>Hydrogen!M$41*#REF!*(1-INDEX('Sales taxes'!$B$64:$AG$64,MATCH(J$1,'Sales taxes'!$B$43:$AG$43,0)))</f>
        <v>2.499372842169593E-5</v>
      </c>
      <c r="K6" s="21">
        <f>Hydrogen!N$41*#REF!*(1-INDEX('Sales taxes'!$B$64:$AG$64,MATCH(K$1,'Sales taxes'!$B$43:$AG$43,0)))</f>
        <v>1.9077455226312314E-5</v>
      </c>
      <c r="L6" s="21">
        <f>Hydrogen!O$41*#REF!*(1-INDEX('Sales taxes'!$B$64:$AG$64,MATCH(L$1,'Sales taxes'!$B$43:$AG$43,0)))</f>
        <v>1.3161182030927136E-5</v>
      </c>
      <c r="M6" s="21">
        <f>Hydrogen!P$41*#REF!*(1-INDEX('Sales taxes'!$B$64:$AG$64,MATCH(M$1,'Sales taxes'!$B$43:$AG$43,0)))</f>
        <v>1.284050348397962E-5</v>
      </c>
      <c r="N6" s="21">
        <f>Hydrogen!Q$41*#REF!*(1-INDEX('Sales taxes'!$B$64:$AG$64,MATCH(N$1,'Sales taxes'!$B$43:$AG$43,0)))</f>
        <v>1.251982493703318E-5</v>
      </c>
      <c r="O6" s="21">
        <f>Hydrogen!R$41*#REF!*(1-INDEX('Sales taxes'!$B$64:$AG$64,MATCH(O$1,'Sales taxes'!$B$43:$AG$43,0)))</f>
        <v>1.219914639008674E-5</v>
      </c>
      <c r="P6" s="21">
        <f>Hydrogen!S$41*#REF!*(1-INDEX('Sales taxes'!$B$64:$AG$64,MATCH(P$1,'Sales taxes'!$B$43:$AG$43,0)))</f>
        <v>1.1878467843140302E-5</v>
      </c>
      <c r="Q6" s="21">
        <f>Hydrogen!T$41*#REF!*(1-INDEX('Sales taxes'!$B$64:$AG$64,MATCH(Q$1,'Sales taxes'!$B$43:$AG$43,0)))</f>
        <v>1.1557789296193959E-5</v>
      </c>
      <c r="R6" s="21">
        <f>Hydrogen!U$41*#REF!*(1-INDEX('Sales taxes'!$B$64:$AG$64,MATCH(R$1,'Sales taxes'!$B$43:$AG$43,0)))</f>
        <v>1.1237110749247519E-5</v>
      </c>
      <c r="S6" s="21">
        <f>Hydrogen!V$41*#REF!*(1-INDEX('Sales taxes'!$B$64:$AG$64,MATCH(S$1,'Sales taxes'!$B$43:$AG$43,0)))</f>
        <v>1.0916432202301079E-5</v>
      </c>
      <c r="T6" s="21">
        <f>Hydrogen!W$41*#REF!*(1-INDEX('Sales taxes'!$B$64:$AG$64,MATCH(T$1,'Sales taxes'!$B$43:$AG$43,0)))</f>
        <v>1.059575365535464E-5</v>
      </c>
      <c r="U6" s="21">
        <f>Hydrogen!X$41*#REF!*(1-INDEX('Sales taxes'!$B$64:$AG$64,MATCH(U$1,'Sales taxes'!$B$43:$AG$43,0)))</f>
        <v>1.02750751084082E-5</v>
      </c>
      <c r="V6" s="21">
        <f>Hydrogen!Y$41*#REF!*(1-INDEX('Sales taxes'!$B$64:$AG$64,MATCH(V$1,'Sales taxes'!$B$43:$AG$43,0)))</f>
        <v>9.9543965614618587E-6</v>
      </c>
      <c r="W6" s="21">
        <f>Hydrogen!Z$41*#REF!*(1-INDEX('Sales taxes'!$B$64:$AG$64,MATCH(W$1,'Sales taxes'!$B$43:$AG$43,0)))</f>
        <v>9.6337180145154188E-6</v>
      </c>
      <c r="X6" s="21">
        <f>Hydrogen!AA$41*#REF!*(1-INDEX('Sales taxes'!$B$64:$AG$64,MATCH(X$1,'Sales taxes'!$B$43:$AG$43,0)))</f>
        <v>9.3130394675689806E-6</v>
      </c>
      <c r="Y6" s="21">
        <f>Hydrogen!AB$41*#REF!*(1-INDEX('Sales taxes'!$B$64:$AG$64,MATCH(Y$1,'Sales taxes'!$B$43:$AG$43,0)))</f>
        <v>8.9923609206225406E-6</v>
      </c>
      <c r="Z6" s="21">
        <f>Hydrogen!AC$41*#REF!*(1-INDEX('Sales taxes'!$B$64:$AG$64,MATCH(Z$1,'Sales taxes'!$B$43:$AG$43,0)))</f>
        <v>8.6716823736761007E-6</v>
      </c>
      <c r="AA6" s="21">
        <f>Hydrogen!AD$41*#REF!*(1-INDEX('Sales taxes'!$B$64:$AG$64,MATCH(AA$1,'Sales taxes'!$B$43:$AG$43,0)))</f>
        <v>8.3510038267296607E-6</v>
      </c>
      <c r="AB6" s="21">
        <f>Hydrogen!AE$41*#REF!*(1-INDEX('Sales taxes'!$B$64:$AG$64,MATCH(AB$1,'Sales taxes'!$B$43:$AG$43,0)))</f>
        <v>8.0303252797833207E-6</v>
      </c>
      <c r="AC6" s="21">
        <f>Hydrogen!AF$41*#REF!*(1-INDEX('Sales taxes'!$B$64:$AG$64,MATCH(AC$1,'Sales taxes'!$B$43:$AG$43,0)))</f>
        <v>7.7096467328368808E-6</v>
      </c>
      <c r="AD6" s="21">
        <f>Hydrogen!AG$41*#REF!*(1-INDEX('Sales taxes'!$B$64:$AG$64,MATCH(AD$1,'Sales taxes'!$B$43:$AG$43,0)))</f>
        <v>7.3889681858904408E-6</v>
      </c>
      <c r="AE6" s="21">
        <f>Hydrogen!AH$41*#REF!*(1-INDEX('Sales taxes'!$B$64:$AG$64,MATCH(AE$1,'Sales taxes'!$B$43:$AG$43,0)))</f>
        <v>7.0682896389440018E-6</v>
      </c>
      <c r="AF6" s="21">
        <f>Hydrogen!AI$41*#REF!*(1-INDEX('Sales taxes'!$B$64:$AG$64,MATCH(AF$1,'Sales taxes'!$B$43:$AG$43,0)))</f>
        <v>6.7476110919975618E-6</v>
      </c>
    </row>
    <row r="7" spans="1:32">
      <c r="A7" s="13" t="s">
        <v>169</v>
      </c>
      <c r="B7" s="21">
        <f>Hydrogen!E$41*#REF!*(1-INDEX('Sales taxes'!$B$64:$AG$64,MATCH(B$1,'Sales taxes'!$B$43:$AG$43,0)))</f>
        <v>7.2323913984774236E-5</v>
      </c>
      <c r="C7" s="21">
        <f>Hydrogen!F$41*#REF!*(1-INDEX('Sales taxes'!$B$64:$AG$64,MATCH(C$1,'Sales taxes'!$B$43:$AG$43,0)))</f>
        <v>6.6407640789389056E-5</v>
      </c>
      <c r="D7" s="21">
        <f>Hydrogen!G$41*#REF!*(1-INDEX('Sales taxes'!$B$64:$AG$64,MATCH(D$1,'Sales taxes'!$B$43:$AG$43,0)))</f>
        <v>6.049136759400544E-5</v>
      </c>
      <c r="E7" s="21">
        <f>Hydrogen!H$41*#REF!*(1-INDEX('Sales taxes'!$B$64:$AG$64,MATCH(E$1,'Sales taxes'!$B$43:$AG$43,0)))</f>
        <v>5.457509439862026E-5</v>
      </c>
      <c r="F7" s="21">
        <f>Hydrogen!I$41*#REF!*(1-INDEX('Sales taxes'!$B$64:$AG$64,MATCH(F$1,'Sales taxes'!$B$43:$AG$43,0)))</f>
        <v>4.8658821203235079E-5</v>
      </c>
      <c r="G7" s="21">
        <f>Hydrogen!J$41*#REF!*(1-INDEX('Sales taxes'!$B$64:$AG$64,MATCH(G$1,'Sales taxes'!$B$43:$AG$43,0)))</f>
        <v>4.2742548007849899E-5</v>
      </c>
      <c r="H7" s="21">
        <f>Hydrogen!K$41*#REF!*(1-INDEX('Sales taxes'!$B$64:$AG$64,MATCH(H$1,'Sales taxes'!$B$43:$AG$43,0)))</f>
        <v>3.6826274812466284E-5</v>
      </c>
      <c r="I7" s="21">
        <f>Hydrogen!L$41*#REF!*(1-INDEX('Sales taxes'!$B$64:$AG$64,MATCH(I$1,'Sales taxes'!$B$43:$AG$43,0)))</f>
        <v>3.091000161708111E-5</v>
      </c>
      <c r="J7" s="21">
        <f>Hydrogen!M$41*#REF!*(1-INDEX('Sales taxes'!$B$64:$AG$64,MATCH(J$1,'Sales taxes'!$B$43:$AG$43,0)))</f>
        <v>2.499372842169593E-5</v>
      </c>
      <c r="K7" s="21">
        <f>Hydrogen!N$41*#REF!*(1-INDEX('Sales taxes'!$B$64:$AG$64,MATCH(K$1,'Sales taxes'!$B$43:$AG$43,0)))</f>
        <v>1.9077455226312314E-5</v>
      </c>
      <c r="L7" s="21">
        <f>Hydrogen!O$41*#REF!*(1-INDEX('Sales taxes'!$B$64:$AG$64,MATCH(L$1,'Sales taxes'!$B$43:$AG$43,0)))</f>
        <v>1.3161182030927136E-5</v>
      </c>
      <c r="M7" s="21">
        <f>Hydrogen!P$41*#REF!*(1-INDEX('Sales taxes'!$B$64:$AG$64,MATCH(M$1,'Sales taxes'!$B$43:$AG$43,0)))</f>
        <v>1.284050348397962E-5</v>
      </c>
      <c r="N7" s="21">
        <f>Hydrogen!Q$41*#REF!*(1-INDEX('Sales taxes'!$B$64:$AG$64,MATCH(N$1,'Sales taxes'!$B$43:$AG$43,0)))</f>
        <v>1.251982493703318E-5</v>
      </c>
      <c r="O7" s="21">
        <f>Hydrogen!R$41*#REF!*(1-INDEX('Sales taxes'!$B$64:$AG$64,MATCH(O$1,'Sales taxes'!$B$43:$AG$43,0)))</f>
        <v>1.219914639008674E-5</v>
      </c>
      <c r="P7" s="21">
        <f>Hydrogen!S$41*#REF!*(1-INDEX('Sales taxes'!$B$64:$AG$64,MATCH(P$1,'Sales taxes'!$B$43:$AG$43,0)))</f>
        <v>1.1878467843140302E-5</v>
      </c>
      <c r="Q7" s="21">
        <f>Hydrogen!T$41*#REF!*(1-INDEX('Sales taxes'!$B$64:$AG$64,MATCH(Q$1,'Sales taxes'!$B$43:$AG$43,0)))</f>
        <v>1.1557789296193959E-5</v>
      </c>
      <c r="R7" s="21">
        <f>Hydrogen!U$41*#REF!*(1-INDEX('Sales taxes'!$B$64:$AG$64,MATCH(R$1,'Sales taxes'!$B$43:$AG$43,0)))</f>
        <v>1.1237110749247519E-5</v>
      </c>
      <c r="S7" s="21">
        <f>Hydrogen!V$41*#REF!*(1-INDEX('Sales taxes'!$B$64:$AG$64,MATCH(S$1,'Sales taxes'!$B$43:$AG$43,0)))</f>
        <v>1.0916432202301079E-5</v>
      </c>
      <c r="T7" s="21">
        <f>Hydrogen!W$41*#REF!*(1-INDEX('Sales taxes'!$B$64:$AG$64,MATCH(T$1,'Sales taxes'!$B$43:$AG$43,0)))</f>
        <v>1.059575365535464E-5</v>
      </c>
      <c r="U7" s="21">
        <f>Hydrogen!X$41*#REF!*(1-INDEX('Sales taxes'!$B$64:$AG$64,MATCH(U$1,'Sales taxes'!$B$43:$AG$43,0)))</f>
        <v>1.02750751084082E-5</v>
      </c>
      <c r="V7" s="21">
        <f>Hydrogen!Y$41*#REF!*(1-INDEX('Sales taxes'!$B$64:$AG$64,MATCH(V$1,'Sales taxes'!$B$43:$AG$43,0)))</f>
        <v>9.9543965614618587E-6</v>
      </c>
      <c r="W7" s="21">
        <f>Hydrogen!Z$41*#REF!*(1-INDEX('Sales taxes'!$B$64:$AG$64,MATCH(W$1,'Sales taxes'!$B$43:$AG$43,0)))</f>
        <v>9.6337180145154188E-6</v>
      </c>
      <c r="X7" s="21">
        <f>Hydrogen!AA$41*#REF!*(1-INDEX('Sales taxes'!$B$64:$AG$64,MATCH(X$1,'Sales taxes'!$B$43:$AG$43,0)))</f>
        <v>9.3130394675689806E-6</v>
      </c>
      <c r="Y7" s="21">
        <f>Hydrogen!AB$41*#REF!*(1-INDEX('Sales taxes'!$B$64:$AG$64,MATCH(Y$1,'Sales taxes'!$B$43:$AG$43,0)))</f>
        <v>8.9923609206225406E-6</v>
      </c>
      <c r="Z7" s="21">
        <f>Hydrogen!AC$41*#REF!*(1-INDEX('Sales taxes'!$B$64:$AG$64,MATCH(Z$1,'Sales taxes'!$B$43:$AG$43,0)))</f>
        <v>8.6716823736761007E-6</v>
      </c>
      <c r="AA7" s="21">
        <f>Hydrogen!AD$41*#REF!*(1-INDEX('Sales taxes'!$B$64:$AG$64,MATCH(AA$1,'Sales taxes'!$B$43:$AG$43,0)))</f>
        <v>8.3510038267296607E-6</v>
      </c>
      <c r="AB7" s="21">
        <f>Hydrogen!AE$41*#REF!*(1-INDEX('Sales taxes'!$B$64:$AG$64,MATCH(AB$1,'Sales taxes'!$B$43:$AG$43,0)))</f>
        <v>8.0303252797833207E-6</v>
      </c>
      <c r="AC7" s="21">
        <f>Hydrogen!AF$41*#REF!*(1-INDEX('Sales taxes'!$B$64:$AG$64,MATCH(AC$1,'Sales taxes'!$B$43:$AG$43,0)))</f>
        <v>7.7096467328368808E-6</v>
      </c>
      <c r="AD7" s="21">
        <f>Hydrogen!AG$41*#REF!*(1-INDEX('Sales taxes'!$B$64:$AG$64,MATCH(AD$1,'Sales taxes'!$B$43:$AG$43,0)))</f>
        <v>7.3889681858904408E-6</v>
      </c>
      <c r="AE7" s="21">
        <f>Hydrogen!AH$41*#REF!*(1-INDEX('Sales taxes'!$B$64:$AG$64,MATCH(AE$1,'Sales taxes'!$B$43:$AG$43,0)))</f>
        <v>7.0682896389440018E-6</v>
      </c>
      <c r="AF7" s="21">
        <f>Hydrogen!AI$41*#REF!*(1-INDEX('Sales taxes'!$B$64:$AG$64,MATCH(AF$1,'Sales taxes'!$B$43:$AG$43,0)))</f>
        <v>6.7476110919975618E-6</v>
      </c>
    </row>
    <row r="8" spans="1:32">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2">
      <c r="A9" s="13" t="s">
        <v>171</v>
      </c>
      <c r="B9">
        <f t="shared" ref="B9:AF9" si="0">B6</f>
        <v>7.2323913984774236E-5</v>
      </c>
      <c r="C9">
        <f t="shared" si="0"/>
        <v>6.6407640789389056E-5</v>
      </c>
      <c r="D9">
        <f t="shared" si="0"/>
        <v>6.049136759400544E-5</v>
      </c>
      <c r="E9">
        <f t="shared" si="0"/>
        <v>5.457509439862026E-5</v>
      </c>
      <c r="F9">
        <f t="shared" si="0"/>
        <v>4.8658821203235079E-5</v>
      </c>
      <c r="G9">
        <f t="shared" si="0"/>
        <v>4.2742548007849899E-5</v>
      </c>
      <c r="H9">
        <f t="shared" si="0"/>
        <v>3.6826274812466284E-5</v>
      </c>
      <c r="I9">
        <f t="shared" si="0"/>
        <v>3.091000161708111E-5</v>
      </c>
      <c r="J9">
        <f t="shared" si="0"/>
        <v>2.499372842169593E-5</v>
      </c>
      <c r="K9">
        <f t="shared" si="0"/>
        <v>1.9077455226312314E-5</v>
      </c>
      <c r="L9">
        <f t="shared" si="0"/>
        <v>1.3161182030927136E-5</v>
      </c>
      <c r="M9">
        <f t="shared" si="0"/>
        <v>1.284050348397962E-5</v>
      </c>
      <c r="N9">
        <f t="shared" si="0"/>
        <v>1.251982493703318E-5</v>
      </c>
      <c r="O9">
        <f t="shared" si="0"/>
        <v>1.219914639008674E-5</v>
      </c>
      <c r="P9">
        <f t="shared" si="0"/>
        <v>1.1878467843140302E-5</v>
      </c>
      <c r="Q9">
        <f t="shared" si="0"/>
        <v>1.1557789296193959E-5</v>
      </c>
      <c r="R9">
        <f t="shared" si="0"/>
        <v>1.1237110749247519E-5</v>
      </c>
      <c r="S9">
        <f t="shared" si="0"/>
        <v>1.0916432202301079E-5</v>
      </c>
      <c r="T9">
        <f t="shared" si="0"/>
        <v>1.059575365535464E-5</v>
      </c>
      <c r="U9">
        <f t="shared" si="0"/>
        <v>1.02750751084082E-5</v>
      </c>
      <c r="V9">
        <f t="shared" si="0"/>
        <v>9.9543965614618587E-6</v>
      </c>
      <c r="W9">
        <f t="shared" si="0"/>
        <v>9.6337180145154188E-6</v>
      </c>
      <c r="X9">
        <f t="shared" si="0"/>
        <v>9.3130394675689806E-6</v>
      </c>
      <c r="Y9">
        <f t="shared" si="0"/>
        <v>8.9923609206225406E-6</v>
      </c>
      <c r="Z9">
        <f t="shared" si="0"/>
        <v>8.6716823736761007E-6</v>
      </c>
      <c r="AA9">
        <f t="shared" si="0"/>
        <v>8.3510038267296607E-6</v>
      </c>
      <c r="AB9">
        <f t="shared" si="0"/>
        <v>8.0303252797833207E-6</v>
      </c>
      <c r="AC9">
        <f t="shared" si="0"/>
        <v>7.7096467328368808E-6</v>
      </c>
      <c r="AD9">
        <f t="shared" si="0"/>
        <v>7.3889681858904408E-6</v>
      </c>
      <c r="AE9">
        <f t="shared" si="0"/>
        <v>7.0682896389440018E-6</v>
      </c>
      <c r="AF9">
        <f t="shared" si="0"/>
        <v>6.7476110919975618E-6</v>
      </c>
    </row>
  </sheetData>
  <pageMargins left="0.7" right="0.7" top="0.75" bottom="0.75" header="0.3" footer="0.3"/>
  <pageSetup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C00000"/>
  </sheetPr>
  <dimension ref="A1"/>
  <sheetViews>
    <sheetView workbookViewId="0"/>
  </sheetViews>
  <sheetFormatPr defaultColWidth="8.81640625" defaultRowHeight="14.5"/>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2060"/>
  </sheetPr>
  <dimension ref="A1:AH9"/>
  <sheetViews>
    <sheetView workbookViewId="0">
      <selection activeCell="B2" sqref="B2:AF9"/>
    </sheetView>
  </sheetViews>
  <sheetFormatPr defaultColWidth="9.1796875" defaultRowHeight="14.5"/>
  <cols>
    <col min="1" max="1" width="41.453125" style="14" customWidth="1"/>
    <col min="2" max="32" width="10" style="14" customWidth="1"/>
    <col min="33" max="34" width="9.1796875" style="14" customWidth="1"/>
    <col min="35" max="16384" width="9.1796875" style="14"/>
  </cols>
  <sheetData>
    <row r="1" spans="1:34">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181">
        <f>Electricity!B3</f>
        <v>1.7526635655175524E-6</v>
      </c>
      <c r="C2" s="181">
        <f>Electricity!C3</f>
        <v>1.9414930303365045E-6</v>
      </c>
      <c r="D2" s="181">
        <f>Electricity!D3</f>
        <v>1.9636221133588017E-6</v>
      </c>
      <c r="E2" s="181">
        <f>Electricity!E3</f>
        <v>2.0121224730800415E-6</v>
      </c>
      <c r="F2" s="181">
        <f>Electricity!F3</f>
        <v>2.0377107212079578E-6</v>
      </c>
      <c r="G2" s="181">
        <f>Electricity!G3</f>
        <v>2.0926877787039265E-6</v>
      </c>
      <c r="H2" s="181">
        <f>Electricity!H3</f>
        <v>2.1259652253922661E-6</v>
      </c>
      <c r="I2" s="181">
        <f>Electricity!I3</f>
        <v>2.1388070318137509E-6</v>
      </c>
      <c r="J2" s="181">
        <f>Electricity!J3</f>
        <v>2.1780427610855001E-6</v>
      </c>
      <c r="K2" s="181">
        <f>Electricity!K3</f>
        <v>2.2115562784523547E-6</v>
      </c>
      <c r="L2" s="181">
        <f>Electricity!L3</f>
        <v>2.2395180823023023E-6</v>
      </c>
      <c r="M2" s="181">
        <f>Electricity!M3</f>
        <v>2.2630167958894865E-6</v>
      </c>
      <c r="N2" s="181">
        <f>Electricity!N3</f>
        <v>2.2883902306932714E-6</v>
      </c>
      <c r="O2" s="181">
        <f>Electricity!O3</f>
        <v>2.3129076148179012E-6</v>
      </c>
      <c r="P2" s="181">
        <f>Electricity!P3</f>
        <v>2.336899250142936E-6</v>
      </c>
      <c r="Q2" s="181">
        <f>Electricity!Q3</f>
        <v>2.3586231393768025E-6</v>
      </c>
      <c r="R2" s="181">
        <f>Electricity!R3</f>
        <v>2.3788730436262368E-6</v>
      </c>
      <c r="S2" s="181">
        <f>Electricity!S3</f>
        <v>2.4008451327300075E-6</v>
      </c>
      <c r="T2" s="181">
        <f>Electricity!T3</f>
        <v>2.4224068451953928E-6</v>
      </c>
      <c r="U2" s="181">
        <f>Electricity!U3</f>
        <v>2.4384083907816678E-6</v>
      </c>
      <c r="V2" s="181">
        <f>Electricity!V3</f>
        <v>2.4642567055203444E-6</v>
      </c>
      <c r="W2" s="181">
        <f>Electricity!W3</f>
        <v>2.4867592282577568E-6</v>
      </c>
      <c r="X2" s="181">
        <f>Electricity!X3</f>
        <v>2.4990074865722694E-6</v>
      </c>
      <c r="Y2" s="181">
        <f>Electricity!Y3</f>
        <v>2.5168140781681553E-6</v>
      </c>
      <c r="Z2" s="181">
        <f>Electricity!Z3</f>
        <v>2.5384535002522996E-6</v>
      </c>
      <c r="AA2" s="181">
        <f>Electricity!AA3</f>
        <v>2.550770998710267E-6</v>
      </c>
      <c r="AB2" s="181">
        <f>Electricity!AB3</f>
        <v>2.564026600700732E-6</v>
      </c>
      <c r="AC2" s="181">
        <f>Electricity!AC3</f>
        <v>2.5749658448529987E-6</v>
      </c>
      <c r="AD2" s="181">
        <f>Electricity!AD3</f>
        <v>2.5827615166411309E-6</v>
      </c>
      <c r="AE2" s="181">
        <f>Electricity!AE3</f>
        <v>2.5855620315984257E-6</v>
      </c>
      <c r="AF2" s="181">
        <f>Electricity!AF3</f>
        <v>2.5858719969316657E-6</v>
      </c>
    </row>
    <row r="3" spans="1:34">
      <c r="A3" s="13" t="s">
        <v>165</v>
      </c>
      <c r="B3" s="181">
        <f>Electricity!B4</f>
        <v>1.2099488828053658E-6</v>
      </c>
      <c r="C3" s="181">
        <f>Electricity!C4</f>
        <v>1.2681501118355903E-6</v>
      </c>
      <c r="D3" s="181">
        <f>Electricity!D4</f>
        <v>1.3450236465454133E-6</v>
      </c>
      <c r="E3" s="181">
        <f>Electricity!E4</f>
        <v>1.3916821743136373E-6</v>
      </c>
      <c r="F3" s="181">
        <f>Electricity!F4</f>
        <v>1.4157743667239527E-6</v>
      </c>
      <c r="G3" s="181">
        <f>Electricity!G4</f>
        <v>1.4662573861205167E-6</v>
      </c>
      <c r="H3" s="181">
        <f>Electricity!H4</f>
        <v>1.4968057785402327E-6</v>
      </c>
      <c r="I3" s="181">
        <f>Electricity!I4</f>
        <v>1.513679273571965E-6</v>
      </c>
      <c r="J3" s="181">
        <f>Electricity!J4</f>
        <v>1.5521027229379216E-6</v>
      </c>
      <c r="K3" s="181">
        <f>Electricity!K4</f>
        <v>1.5855383894203288E-6</v>
      </c>
      <c r="L3" s="181">
        <f>Electricity!L4</f>
        <v>1.6143694110883026E-6</v>
      </c>
      <c r="M3" s="181">
        <f>Electricity!M4</f>
        <v>1.6385397155385069E-6</v>
      </c>
      <c r="N3" s="181">
        <f>Electricity!N4</f>
        <v>1.6640604201844633E-6</v>
      </c>
      <c r="O3" s="181">
        <f>Electricity!O4</f>
        <v>1.6893888847876705E-6</v>
      </c>
      <c r="P3" s="181">
        <f>Electricity!P4</f>
        <v>1.7133652681172346E-6</v>
      </c>
      <c r="Q3" s="181">
        <f>Electricity!Q4</f>
        <v>1.7378646627536593E-6</v>
      </c>
      <c r="R3" s="181">
        <f>Electricity!R4</f>
        <v>1.7332457282173407E-6</v>
      </c>
      <c r="S3" s="181">
        <f>Electricity!S4</f>
        <v>1.7208100945397727E-6</v>
      </c>
      <c r="T3" s="181">
        <f>Electricity!T4</f>
        <v>1.7115307842295208E-6</v>
      </c>
      <c r="U3" s="181">
        <f>Electricity!U4</f>
        <v>1.7083034817211999E-6</v>
      </c>
      <c r="V3" s="181">
        <f>Electricity!V4</f>
        <v>1.7047756861538003E-6</v>
      </c>
      <c r="W3" s="181">
        <f>Electricity!W4</f>
        <v>1.6981084964055105E-6</v>
      </c>
      <c r="X3" s="181">
        <f>Electricity!X4</f>
        <v>1.6916304374118336E-6</v>
      </c>
      <c r="Y3" s="181">
        <f>Electricity!Y4</f>
        <v>1.6823925683391896E-6</v>
      </c>
      <c r="Z3" s="181">
        <f>Electricity!Z4</f>
        <v>1.6691062430436702E-6</v>
      </c>
      <c r="AA3" s="181">
        <f>Electricity!AA4</f>
        <v>1.6635093834726555E-6</v>
      </c>
      <c r="AB3" s="181">
        <f>Electricity!AB4</f>
        <v>1.658095923421265E-6</v>
      </c>
      <c r="AC3" s="181">
        <f>Electricity!AC4</f>
        <v>1.6528088150581522E-6</v>
      </c>
      <c r="AD3" s="181">
        <f>Electricity!AD4</f>
        <v>1.6511473741214767E-6</v>
      </c>
      <c r="AE3" s="181">
        <f>Electricity!AE4</f>
        <v>1.6459547870492537E-6</v>
      </c>
      <c r="AF3" s="181">
        <f>Electricity!AF4</f>
        <v>1.6359402033764241E-6</v>
      </c>
    </row>
    <row r="4" spans="1:34">
      <c r="A4" s="13" t="s">
        <v>166</v>
      </c>
      <c r="B4" s="181">
        <f>Electricity!B5</f>
        <v>1.7526635655175524E-6</v>
      </c>
      <c r="C4" s="181">
        <f>Electricity!C5</f>
        <v>1.9414930303365045E-6</v>
      </c>
      <c r="D4" s="181">
        <f>Electricity!D5</f>
        <v>1.9636221133588017E-6</v>
      </c>
      <c r="E4" s="181">
        <f>Electricity!E5</f>
        <v>2.0121224730800415E-6</v>
      </c>
      <c r="F4" s="181">
        <f>Electricity!F5</f>
        <v>2.0377107212079578E-6</v>
      </c>
      <c r="G4" s="181">
        <f>Electricity!G5</f>
        <v>2.0926877787039265E-6</v>
      </c>
      <c r="H4" s="181">
        <f>Electricity!H5</f>
        <v>2.1259652253922661E-6</v>
      </c>
      <c r="I4" s="181">
        <f>Electricity!I5</f>
        <v>2.1388070318137509E-6</v>
      </c>
      <c r="J4" s="181">
        <f>Electricity!J5</f>
        <v>2.1780427610855001E-6</v>
      </c>
      <c r="K4" s="181">
        <f>Electricity!K5</f>
        <v>2.2115562784523547E-6</v>
      </c>
      <c r="L4" s="181">
        <f>Electricity!L5</f>
        <v>2.2395180823023023E-6</v>
      </c>
      <c r="M4" s="181">
        <f>Electricity!M5</f>
        <v>2.2630167958894865E-6</v>
      </c>
      <c r="N4" s="181">
        <f>Electricity!N5</f>
        <v>2.2883902306932714E-6</v>
      </c>
      <c r="O4" s="181">
        <f>Electricity!O5</f>
        <v>2.3129076148179012E-6</v>
      </c>
      <c r="P4" s="181">
        <f>Electricity!P5</f>
        <v>2.336899250142936E-6</v>
      </c>
      <c r="Q4" s="181">
        <f>Electricity!Q5</f>
        <v>2.3586231393768025E-6</v>
      </c>
      <c r="R4" s="181">
        <f>Electricity!R5</f>
        <v>2.3788730436262368E-6</v>
      </c>
      <c r="S4" s="181">
        <f>Electricity!S5</f>
        <v>2.4008451327300075E-6</v>
      </c>
      <c r="T4" s="181">
        <f>Electricity!T5</f>
        <v>2.4224068451953928E-6</v>
      </c>
      <c r="U4" s="181">
        <f>Electricity!U5</f>
        <v>2.4384083907816678E-6</v>
      </c>
      <c r="V4" s="181">
        <f>Electricity!V5</f>
        <v>2.4642567055203444E-6</v>
      </c>
      <c r="W4" s="181">
        <f>Electricity!W5</f>
        <v>2.4867592282577568E-6</v>
      </c>
      <c r="X4" s="181">
        <f>Electricity!X5</f>
        <v>2.4990074865722694E-6</v>
      </c>
      <c r="Y4" s="181">
        <f>Electricity!Y5</f>
        <v>2.5168140781681553E-6</v>
      </c>
      <c r="Z4" s="181">
        <f>Electricity!Z5</f>
        <v>2.5384535002522996E-6</v>
      </c>
      <c r="AA4" s="181">
        <f>Electricity!AA5</f>
        <v>2.550770998710267E-6</v>
      </c>
      <c r="AB4" s="181">
        <f>Electricity!AB5</f>
        <v>2.564026600700732E-6</v>
      </c>
      <c r="AC4" s="181">
        <f>Electricity!AC5</f>
        <v>2.5749658448529987E-6</v>
      </c>
      <c r="AD4" s="181">
        <f>Electricity!AD5</f>
        <v>2.5827615166411309E-6</v>
      </c>
      <c r="AE4" s="181">
        <f>Electricity!AE5</f>
        <v>2.5855620315984257E-6</v>
      </c>
      <c r="AF4" s="181">
        <f>Electricity!AF5</f>
        <v>2.5858719969316657E-6</v>
      </c>
    </row>
    <row r="5" spans="1:34">
      <c r="A5" s="13" t="s">
        <v>167</v>
      </c>
      <c r="B5" s="181">
        <f>Electricity!B6</f>
        <v>1.5931043208105585E-6</v>
      </c>
      <c r="C5" s="181">
        <f>Electricity!C6</f>
        <v>1.6341845461822112E-6</v>
      </c>
      <c r="D5" s="181">
        <f>Electricity!D6</f>
        <v>1.6454103070911854E-6</v>
      </c>
      <c r="E5" s="181">
        <f>Electricity!E6</f>
        <v>1.6772240047180045E-6</v>
      </c>
      <c r="F5" s="181">
        <f>Electricity!F6</f>
        <v>1.7012041691118737E-6</v>
      </c>
      <c r="G5" s="181">
        <f>Electricity!G6</f>
        <v>1.7481595484705597E-6</v>
      </c>
      <c r="H5" s="181">
        <f>Electricity!H6</f>
        <v>1.7716097654486613E-6</v>
      </c>
      <c r="I5" s="181">
        <f>Electricity!I6</f>
        <v>1.7835043582374114E-6</v>
      </c>
      <c r="J5" s="181">
        <f>Electricity!J6</f>
        <v>1.8170285077232745E-6</v>
      </c>
      <c r="K5" s="181">
        <f>Electricity!K6</f>
        <v>1.8466191974204954E-6</v>
      </c>
      <c r="L5" s="181">
        <f>Electricity!L6</f>
        <v>1.8683346512085962E-6</v>
      </c>
      <c r="M5" s="181">
        <f>Electricity!M6</f>
        <v>1.8856832197122537E-6</v>
      </c>
      <c r="N5" s="181">
        <f>Electricity!N6</f>
        <v>1.9037942377523572E-6</v>
      </c>
      <c r="O5" s="181">
        <f>Electricity!O6</f>
        <v>1.9229335648270532E-6</v>
      </c>
      <c r="P5" s="181">
        <f>Electricity!P6</f>
        <v>1.9420386838679267E-6</v>
      </c>
      <c r="Q5" s="181">
        <f>Electricity!Q6</f>
        <v>1.9609073824187426E-6</v>
      </c>
      <c r="R5" s="181">
        <f>Electricity!R6</f>
        <v>1.9525981036074609E-6</v>
      </c>
      <c r="S5" s="181">
        <f>Electricity!S6</f>
        <v>1.9390892237040201E-6</v>
      </c>
      <c r="T5" s="181">
        <f>Electricity!T6</f>
        <v>1.9241848278579515E-6</v>
      </c>
      <c r="U5" s="181">
        <f>Electricity!U6</f>
        <v>1.9242693742171771E-6</v>
      </c>
      <c r="V5" s="181">
        <f>Electricity!V6</f>
        <v>1.920465727456175E-6</v>
      </c>
      <c r="W5" s="181">
        <f>Electricity!W6</f>
        <v>1.9082827223461339E-6</v>
      </c>
      <c r="X5" s="181">
        <f>Electricity!X6</f>
        <v>1.9048175741566845E-6</v>
      </c>
      <c r="Y5" s="181">
        <f>Electricity!Y6</f>
        <v>1.8993064667009919E-6</v>
      </c>
      <c r="Z5" s="181">
        <f>Electricity!Z6</f>
        <v>1.8801254028708088E-6</v>
      </c>
      <c r="AA5" s="181">
        <f>Electricity!AA6</f>
        <v>1.878840736599159E-6</v>
      </c>
      <c r="AB5" s="181">
        <f>Electricity!AB6</f>
        <v>1.8738519377626596E-6</v>
      </c>
      <c r="AC5" s="181">
        <f>Electricity!AC6</f>
        <v>1.8635785530862532E-6</v>
      </c>
      <c r="AD5" s="181">
        <f>Electricity!AD6</f>
        <v>1.8649656143929571E-6</v>
      </c>
      <c r="AE5" s="181">
        <f>Electricity!AE6</f>
        <v>1.8589435964198296E-6</v>
      </c>
      <c r="AF5" s="181">
        <f>Electricity!AF6</f>
        <v>1.8415752065313704E-6</v>
      </c>
    </row>
    <row r="6" spans="1:34">
      <c r="A6" s="13" t="s">
        <v>168</v>
      </c>
      <c r="B6" s="181">
        <f>Electricity!B7</f>
        <v>1.2099488828053658E-6</v>
      </c>
      <c r="C6" s="181">
        <f>Electricity!C7</f>
        <v>1.2681501118355903E-6</v>
      </c>
      <c r="D6" s="181">
        <f>Electricity!D7</f>
        <v>1.3450236465454133E-6</v>
      </c>
      <c r="E6" s="181">
        <f>Electricity!E7</f>
        <v>1.3916821743136373E-6</v>
      </c>
      <c r="F6" s="181">
        <f>Electricity!F7</f>
        <v>1.4157743667239527E-6</v>
      </c>
      <c r="G6" s="181">
        <f>Electricity!G7</f>
        <v>1.4662573861205167E-6</v>
      </c>
      <c r="H6" s="181">
        <f>Electricity!H7</f>
        <v>1.4968057785402327E-6</v>
      </c>
      <c r="I6" s="181">
        <f>Electricity!I7</f>
        <v>1.513679273571965E-6</v>
      </c>
      <c r="J6" s="181">
        <f>Electricity!J7</f>
        <v>1.5521027229379216E-6</v>
      </c>
      <c r="K6" s="181">
        <f>Electricity!K7</f>
        <v>1.5855383894203288E-6</v>
      </c>
      <c r="L6" s="181">
        <f>Electricity!L7</f>
        <v>1.6143694110883026E-6</v>
      </c>
      <c r="M6" s="181">
        <f>Electricity!M7</f>
        <v>1.6385397155385069E-6</v>
      </c>
      <c r="N6" s="181">
        <f>Electricity!N7</f>
        <v>1.6640604201844633E-6</v>
      </c>
      <c r="O6" s="181">
        <f>Electricity!O7</f>
        <v>1.6893888847876705E-6</v>
      </c>
      <c r="P6" s="181">
        <f>Electricity!P7</f>
        <v>1.7133652681172346E-6</v>
      </c>
      <c r="Q6" s="181">
        <f>Electricity!Q7</f>
        <v>1.7378646627536593E-6</v>
      </c>
      <c r="R6" s="181">
        <f>Electricity!R7</f>
        <v>1.7332457282173407E-6</v>
      </c>
      <c r="S6" s="181">
        <f>Electricity!S7</f>
        <v>1.7208100945397727E-6</v>
      </c>
      <c r="T6" s="181">
        <f>Electricity!T7</f>
        <v>1.7115307842295208E-6</v>
      </c>
      <c r="U6" s="181">
        <f>Electricity!U7</f>
        <v>1.7083034817211999E-6</v>
      </c>
      <c r="V6" s="181">
        <f>Electricity!V7</f>
        <v>1.7047756861538003E-6</v>
      </c>
      <c r="W6" s="181">
        <f>Electricity!W7</f>
        <v>1.6981084964055105E-6</v>
      </c>
      <c r="X6" s="181">
        <f>Electricity!X7</f>
        <v>1.6916304374118336E-6</v>
      </c>
      <c r="Y6" s="181">
        <f>Electricity!Y7</f>
        <v>1.6823925683391896E-6</v>
      </c>
      <c r="Z6" s="181">
        <f>Electricity!Z7</f>
        <v>1.6691062430436702E-6</v>
      </c>
      <c r="AA6" s="181">
        <f>Electricity!AA7</f>
        <v>1.6635093834726555E-6</v>
      </c>
      <c r="AB6" s="181">
        <f>Electricity!AB7</f>
        <v>1.658095923421265E-6</v>
      </c>
      <c r="AC6" s="181">
        <f>Electricity!AC7</f>
        <v>1.6528088150581522E-6</v>
      </c>
      <c r="AD6" s="181">
        <f>Electricity!AD7</f>
        <v>1.6511473741214767E-6</v>
      </c>
      <c r="AE6" s="181">
        <f>Electricity!AE7</f>
        <v>1.6459547870492537E-6</v>
      </c>
      <c r="AF6" s="181">
        <f>Electricity!AF7</f>
        <v>1.6359402033764241E-6</v>
      </c>
    </row>
    <row r="7" spans="1:34">
      <c r="A7" s="13" t="s">
        <v>169</v>
      </c>
      <c r="B7" s="181">
        <f t="shared" ref="B7:AF7" si="0">B6</f>
        <v>1.2099488828053658E-6</v>
      </c>
      <c r="C7" s="181">
        <f t="shared" si="0"/>
        <v>1.2681501118355903E-6</v>
      </c>
      <c r="D7" s="181">
        <f t="shared" si="0"/>
        <v>1.3450236465454133E-6</v>
      </c>
      <c r="E7" s="181">
        <f t="shared" si="0"/>
        <v>1.3916821743136373E-6</v>
      </c>
      <c r="F7" s="181">
        <f t="shared" si="0"/>
        <v>1.4157743667239527E-6</v>
      </c>
      <c r="G7" s="181">
        <f t="shared" si="0"/>
        <v>1.4662573861205167E-6</v>
      </c>
      <c r="H7" s="181">
        <f t="shared" si="0"/>
        <v>1.4968057785402327E-6</v>
      </c>
      <c r="I7" s="181">
        <f t="shared" si="0"/>
        <v>1.513679273571965E-6</v>
      </c>
      <c r="J7" s="181">
        <f t="shared" si="0"/>
        <v>1.5521027229379216E-6</v>
      </c>
      <c r="K7" s="181">
        <f t="shared" si="0"/>
        <v>1.5855383894203288E-6</v>
      </c>
      <c r="L7" s="181">
        <f t="shared" si="0"/>
        <v>1.6143694110883026E-6</v>
      </c>
      <c r="M7" s="181">
        <f t="shared" si="0"/>
        <v>1.6385397155385069E-6</v>
      </c>
      <c r="N7" s="181">
        <f t="shared" si="0"/>
        <v>1.6640604201844633E-6</v>
      </c>
      <c r="O7" s="181">
        <f t="shared" si="0"/>
        <v>1.6893888847876705E-6</v>
      </c>
      <c r="P7" s="181">
        <f t="shared" si="0"/>
        <v>1.7133652681172346E-6</v>
      </c>
      <c r="Q7" s="181">
        <f t="shared" si="0"/>
        <v>1.7378646627536593E-6</v>
      </c>
      <c r="R7" s="181">
        <f t="shared" si="0"/>
        <v>1.7332457282173407E-6</v>
      </c>
      <c r="S7" s="181">
        <f t="shared" si="0"/>
        <v>1.7208100945397727E-6</v>
      </c>
      <c r="T7" s="181">
        <f t="shared" si="0"/>
        <v>1.7115307842295208E-6</v>
      </c>
      <c r="U7" s="181">
        <f t="shared" si="0"/>
        <v>1.7083034817211999E-6</v>
      </c>
      <c r="V7" s="181">
        <f t="shared" si="0"/>
        <v>1.7047756861538003E-6</v>
      </c>
      <c r="W7" s="181">
        <f t="shared" si="0"/>
        <v>1.6981084964055105E-6</v>
      </c>
      <c r="X7" s="181">
        <f t="shared" si="0"/>
        <v>1.6916304374118336E-6</v>
      </c>
      <c r="Y7" s="181">
        <f t="shared" si="0"/>
        <v>1.6823925683391896E-6</v>
      </c>
      <c r="Z7" s="181">
        <f t="shared" si="0"/>
        <v>1.6691062430436702E-6</v>
      </c>
      <c r="AA7" s="181">
        <f t="shared" si="0"/>
        <v>1.6635093834726555E-6</v>
      </c>
      <c r="AB7" s="181">
        <f t="shared" si="0"/>
        <v>1.658095923421265E-6</v>
      </c>
      <c r="AC7" s="181">
        <f t="shared" si="0"/>
        <v>1.6528088150581522E-6</v>
      </c>
      <c r="AD7" s="181">
        <f t="shared" si="0"/>
        <v>1.6511473741214767E-6</v>
      </c>
      <c r="AE7" s="181">
        <f t="shared" si="0"/>
        <v>1.6459547870492537E-6</v>
      </c>
      <c r="AF7" s="181">
        <f t="shared" si="0"/>
        <v>1.6359402033764241E-6</v>
      </c>
    </row>
    <row r="8" spans="1:34">
      <c r="A8" s="13" t="s">
        <v>170</v>
      </c>
      <c r="B8" s="181">
        <v>0</v>
      </c>
      <c r="C8" s="181">
        <v>0</v>
      </c>
      <c r="D8" s="181">
        <v>0</v>
      </c>
      <c r="E8" s="181">
        <v>0</v>
      </c>
      <c r="F8" s="181">
        <v>0</v>
      </c>
      <c r="G8" s="181">
        <v>0</v>
      </c>
      <c r="H8" s="181">
        <v>0</v>
      </c>
      <c r="I8" s="181">
        <v>0</v>
      </c>
      <c r="J8" s="181">
        <v>0</v>
      </c>
      <c r="K8" s="181">
        <v>0</v>
      </c>
      <c r="L8" s="181">
        <v>0</v>
      </c>
      <c r="M8" s="181">
        <v>0</v>
      </c>
      <c r="N8" s="181">
        <v>0</v>
      </c>
      <c r="O8" s="181">
        <v>0</v>
      </c>
      <c r="P8" s="181">
        <v>0</v>
      </c>
      <c r="Q8" s="181">
        <v>0</v>
      </c>
      <c r="R8" s="181">
        <v>0</v>
      </c>
      <c r="S8" s="181">
        <v>0</v>
      </c>
      <c r="T8" s="181">
        <v>0</v>
      </c>
      <c r="U8" s="181">
        <v>0</v>
      </c>
      <c r="V8" s="181">
        <v>0</v>
      </c>
      <c r="W8" s="181">
        <v>0</v>
      </c>
      <c r="X8" s="181">
        <v>0</v>
      </c>
      <c r="Y8" s="181">
        <v>0</v>
      </c>
      <c r="Z8" s="181">
        <v>0</v>
      </c>
      <c r="AA8" s="181">
        <v>0</v>
      </c>
      <c r="AB8" s="181">
        <v>0</v>
      </c>
      <c r="AC8" s="181">
        <v>0</v>
      </c>
      <c r="AD8" s="181">
        <v>0</v>
      </c>
      <c r="AE8" s="181">
        <v>0</v>
      </c>
      <c r="AF8" s="181">
        <v>0</v>
      </c>
    </row>
    <row r="9" spans="1:34">
      <c r="A9" s="13" t="s">
        <v>171</v>
      </c>
      <c r="B9" s="181">
        <f t="shared" ref="B9:AF9" si="1">B6</f>
        <v>1.2099488828053658E-6</v>
      </c>
      <c r="C9" s="181">
        <f t="shared" si="1"/>
        <v>1.2681501118355903E-6</v>
      </c>
      <c r="D9" s="181">
        <f t="shared" si="1"/>
        <v>1.3450236465454133E-6</v>
      </c>
      <c r="E9" s="181">
        <f t="shared" si="1"/>
        <v>1.3916821743136373E-6</v>
      </c>
      <c r="F9" s="181">
        <f t="shared" si="1"/>
        <v>1.4157743667239527E-6</v>
      </c>
      <c r="G9" s="181">
        <f t="shared" si="1"/>
        <v>1.4662573861205167E-6</v>
      </c>
      <c r="H9" s="181">
        <f t="shared" si="1"/>
        <v>1.4968057785402327E-6</v>
      </c>
      <c r="I9" s="181">
        <f t="shared" si="1"/>
        <v>1.513679273571965E-6</v>
      </c>
      <c r="J9" s="181">
        <f t="shared" si="1"/>
        <v>1.5521027229379216E-6</v>
      </c>
      <c r="K9" s="181">
        <f t="shared" si="1"/>
        <v>1.5855383894203288E-6</v>
      </c>
      <c r="L9" s="181">
        <f t="shared" si="1"/>
        <v>1.6143694110883026E-6</v>
      </c>
      <c r="M9" s="181">
        <f t="shared" si="1"/>
        <v>1.6385397155385069E-6</v>
      </c>
      <c r="N9" s="181">
        <f t="shared" si="1"/>
        <v>1.6640604201844633E-6</v>
      </c>
      <c r="O9" s="181">
        <f t="shared" si="1"/>
        <v>1.6893888847876705E-6</v>
      </c>
      <c r="P9" s="181">
        <f t="shared" si="1"/>
        <v>1.7133652681172346E-6</v>
      </c>
      <c r="Q9" s="181">
        <f t="shared" si="1"/>
        <v>1.7378646627536593E-6</v>
      </c>
      <c r="R9" s="181">
        <f t="shared" si="1"/>
        <v>1.7332457282173407E-6</v>
      </c>
      <c r="S9" s="181">
        <f t="shared" si="1"/>
        <v>1.7208100945397727E-6</v>
      </c>
      <c r="T9" s="181">
        <f t="shared" si="1"/>
        <v>1.7115307842295208E-6</v>
      </c>
      <c r="U9" s="181">
        <f t="shared" si="1"/>
        <v>1.7083034817211999E-6</v>
      </c>
      <c r="V9" s="181">
        <f t="shared" si="1"/>
        <v>1.7047756861538003E-6</v>
      </c>
      <c r="W9" s="181">
        <f t="shared" si="1"/>
        <v>1.6981084964055105E-6</v>
      </c>
      <c r="X9" s="181">
        <f t="shared" si="1"/>
        <v>1.6916304374118336E-6</v>
      </c>
      <c r="Y9" s="181">
        <f t="shared" si="1"/>
        <v>1.6823925683391896E-6</v>
      </c>
      <c r="Z9" s="181">
        <f t="shared" si="1"/>
        <v>1.6691062430436702E-6</v>
      </c>
      <c r="AA9" s="181">
        <f t="shared" si="1"/>
        <v>1.6635093834726555E-6</v>
      </c>
      <c r="AB9" s="181">
        <f t="shared" si="1"/>
        <v>1.658095923421265E-6</v>
      </c>
      <c r="AC9" s="181">
        <f t="shared" si="1"/>
        <v>1.6528088150581522E-6</v>
      </c>
      <c r="AD9" s="181">
        <f t="shared" si="1"/>
        <v>1.6511473741214767E-6</v>
      </c>
      <c r="AE9" s="181">
        <f t="shared" si="1"/>
        <v>1.6459547870492537E-6</v>
      </c>
      <c r="AF9" s="181">
        <f t="shared" si="1"/>
        <v>1.6359402033764241E-6</v>
      </c>
    </row>
  </sheetData>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2060"/>
  </sheetPr>
  <dimension ref="A1:AH9"/>
  <sheetViews>
    <sheetView topLeftCell="AB1" workbookViewId="0">
      <selection activeCell="B3" sqref="B3:AF3"/>
    </sheetView>
  </sheetViews>
  <sheetFormatPr defaultColWidth="9.1796875" defaultRowHeight="14.5"/>
  <cols>
    <col min="1" max="1" width="41.453125" style="14" customWidth="1"/>
    <col min="2" max="24" width="10" style="14" customWidth="1"/>
    <col min="25" max="26" width="9.1796875" style="14" customWidth="1"/>
    <col min="27" max="32" width="11.81640625" style="14" bestFit="1" customWidth="1"/>
    <col min="33" max="16384" width="9.1796875" style="14"/>
  </cols>
  <sheetData>
    <row r="1" spans="1:34">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181">
        <f>B5</f>
        <v>0</v>
      </c>
      <c r="C2" s="181">
        <f t="shared" ref="C2:AF2" si="0">C5</f>
        <v>0</v>
      </c>
      <c r="D2" s="181">
        <f t="shared" si="0"/>
        <v>0</v>
      </c>
      <c r="E2" s="181">
        <f t="shared" si="0"/>
        <v>0</v>
      </c>
      <c r="F2" s="181">
        <f t="shared" si="0"/>
        <v>0</v>
      </c>
      <c r="G2" s="181">
        <f t="shared" si="0"/>
        <v>0</v>
      </c>
      <c r="H2" s="181">
        <f t="shared" si="0"/>
        <v>0</v>
      </c>
      <c r="I2" s="181">
        <f t="shared" si="0"/>
        <v>0</v>
      </c>
      <c r="J2" s="181">
        <f t="shared" si="0"/>
        <v>0</v>
      </c>
      <c r="K2" s="181">
        <f t="shared" si="0"/>
        <v>0</v>
      </c>
      <c r="L2" s="181">
        <f t="shared" si="0"/>
        <v>0</v>
      </c>
      <c r="M2" s="181">
        <f t="shared" si="0"/>
        <v>0</v>
      </c>
      <c r="N2" s="181">
        <f t="shared" si="0"/>
        <v>0</v>
      </c>
      <c r="O2" s="181">
        <f t="shared" si="0"/>
        <v>0</v>
      </c>
      <c r="P2" s="181">
        <f t="shared" si="0"/>
        <v>0</v>
      </c>
      <c r="Q2" s="181">
        <f t="shared" si="0"/>
        <v>0</v>
      </c>
      <c r="R2" s="181">
        <f t="shared" si="0"/>
        <v>0</v>
      </c>
      <c r="S2" s="181">
        <f t="shared" si="0"/>
        <v>0</v>
      </c>
      <c r="T2" s="181">
        <f t="shared" si="0"/>
        <v>0</v>
      </c>
      <c r="U2" s="181">
        <f t="shared" si="0"/>
        <v>0</v>
      </c>
      <c r="V2" s="181">
        <f t="shared" si="0"/>
        <v>0</v>
      </c>
      <c r="W2" s="181">
        <f t="shared" si="0"/>
        <v>0</v>
      </c>
      <c r="X2" s="181">
        <f t="shared" si="0"/>
        <v>0</v>
      </c>
      <c r="Y2" s="181">
        <f t="shared" si="0"/>
        <v>0</v>
      </c>
      <c r="Z2" s="181">
        <f t="shared" si="0"/>
        <v>0</v>
      </c>
      <c r="AA2" s="181">
        <f t="shared" si="0"/>
        <v>0</v>
      </c>
      <c r="AB2" s="181">
        <f t="shared" si="0"/>
        <v>0</v>
      </c>
      <c r="AC2" s="181">
        <f t="shared" si="0"/>
        <v>0</v>
      </c>
      <c r="AD2" s="181">
        <f t="shared" si="0"/>
        <v>0</v>
      </c>
      <c r="AE2" s="181">
        <f t="shared" si="0"/>
        <v>0</v>
      </c>
      <c r="AF2" s="181">
        <f t="shared" si="0"/>
        <v>0</v>
      </c>
    </row>
    <row r="3" spans="1:34">
      <c r="A3" s="13" t="s">
        <v>165</v>
      </c>
      <c r="B3" s="181">
        <f>B6</f>
        <v>2.4718212970188984E-7</v>
      </c>
      <c r="C3" s="181">
        <f t="shared" ref="C3:AF3" si="1">C6</f>
        <v>2.4203250199976699E-7</v>
      </c>
      <c r="D3" s="181">
        <f t="shared" si="1"/>
        <v>2.3817028122317516E-7</v>
      </c>
      <c r="E3" s="181">
        <f t="shared" si="1"/>
        <v>2.3494190150345597E-7</v>
      </c>
      <c r="F3" s="181">
        <f t="shared" si="1"/>
        <v>2.3295319366348818E-7</v>
      </c>
      <c r="G3" s="181">
        <f t="shared" si="1"/>
        <v>2.3284911586932526E-7</v>
      </c>
      <c r="H3" s="181">
        <f t="shared" si="1"/>
        <v>2.2711152356819636E-7</v>
      </c>
      <c r="I3" s="181">
        <f t="shared" si="1"/>
        <v>2.2335812405256092E-7</v>
      </c>
      <c r="J3" s="181">
        <f t="shared" si="1"/>
        <v>2.2319396130270189E-7</v>
      </c>
      <c r="K3" s="181">
        <f t="shared" si="1"/>
        <v>2.2201391129613618E-7</v>
      </c>
      <c r="L3" s="181">
        <f t="shared" si="1"/>
        <v>2.2284989099763851E-7</v>
      </c>
      <c r="M3" s="181">
        <f t="shared" si="1"/>
        <v>2.2251635581968153E-7</v>
      </c>
      <c r="N3" s="181">
        <f t="shared" si="1"/>
        <v>2.2237222138838801E-7</v>
      </c>
      <c r="O3" s="181">
        <f t="shared" si="1"/>
        <v>2.2107941079059297E-7</v>
      </c>
      <c r="P3" s="181">
        <f t="shared" si="1"/>
        <v>2.2067328742916538E-7</v>
      </c>
      <c r="Q3" s="181">
        <f t="shared" si="1"/>
        <v>2.19872965080947E-7</v>
      </c>
      <c r="R3" s="181">
        <f t="shared" si="1"/>
        <v>2.1829385372123345E-7</v>
      </c>
      <c r="S3" s="181">
        <f t="shared" si="1"/>
        <v>2.1653066706372348E-7</v>
      </c>
      <c r="T3" s="181">
        <f t="shared" si="1"/>
        <v>2.1616205338562025E-7</v>
      </c>
      <c r="U3" s="181">
        <f t="shared" si="1"/>
        <v>2.1608402398265488E-7</v>
      </c>
      <c r="V3" s="181">
        <f t="shared" si="1"/>
        <v>2.1577757913154315E-7</v>
      </c>
      <c r="W3" s="181">
        <f t="shared" si="1"/>
        <v>2.1635423262734495E-7</v>
      </c>
      <c r="X3" s="181">
        <f t="shared" si="1"/>
        <v>2.1587239527550281E-7</v>
      </c>
      <c r="Y3" s="181">
        <f t="shared" si="1"/>
        <v>2.1463307070763369E-7</v>
      </c>
      <c r="Z3" s="181">
        <f t="shared" si="1"/>
        <v>2.1332463107512062E-7</v>
      </c>
      <c r="AA3" s="181">
        <f t="shared" si="1"/>
        <v>2.1271255176729029E-7</v>
      </c>
      <c r="AB3" s="181">
        <f t="shared" si="1"/>
        <v>2.1235678862884427E-7</v>
      </c>
      <c r="AC3" s="181">
        <f t="shared" si="1"/>
        <v>2.1202915775289205E-7</v>
      </c>
      <c r="AD3" s="181">
        <f t="shared" si="1"/>
        <v>2.1139230353076729E-7</v>
      </c>
      <c r="AE3" s="181">
        <f t="shared" si="1"/>
        <v>2.1039574996886028E-7</v>
      </c>
      <c r="AF3" s="181">
        <f t="shared" si="1"/>
        <v>2.1054868296784708E-7</v>
      </c>
    </row>
    <row r="4" spans="1:34">
      <c r="A4" s="13" t="s">
        <v>166</v>
      </c>
      <c r="B4" s="181">
        <f>B5</f>
        <v>0</v>
      </c>
      <c r="C4" s="181">
        <f t="shared" ref="C4:AF4" si="2">C5</f>
        <v>0</v>
      </c>
      <c r="D4" s="181">
        <f t="shared" si="2"/>
        <v>0</v>
      </c>
      <c r="E4" s="181">
        <f t="shared" si="2"/>
        <v>0</v>
      </c>
      <c r="F4" s="181">
        <f t="shared" si="2"/>
        <v>0</v>
      </c>
      <c r="G4" s="181">
        <f t="shared" si="2"/>
        <v>0</v>
      </c>
      <c r="H4" s="181">
        <f t="shared" si="2"/>
        <v>0</v>
      </c>
      <c r="I4" s="181">
        <f t="shared" si="2"/>
        <v>0</v>
      </c>
      <c r="J4" s="181">
        <f t="shared" si="2"/>
        <v>0</v>
      </c>
      <c r="K4" s="181">
        <f t="shared" si="2"/>
        <v>0</v>
      </c>
      <c r="L4" s="181">
        <f t="shared" si="2"/>
        <v>0</v>
      </c>
      <c r="M4" s="181">
        <f t="shared" si="2"/>
        <v>0</v>
      </c>
      <c r="N4" s="181">
        <f t="shared" si="2"/>
        <v>0</v>
      </c>
      <c r="O4" s="181">
        <f t="shared" si="2"/>
        <v>0</v>
      </c>
      <c r="P4" s="181">
        <f t="shared" si="2"/>
        <v>0</v>
      </c>
      <c r="Q4" s="181">
        <f t="shared" si="2"/>
        <v>0</v>
      </c>
      <c r="R4" s="181">
        <f t="shared" si="2"/>
        <v>0</v>
      </c>
      <c r="S4" s="181">
        <f t="shared" si="2"/>
        <v>0</v>
      </c>
      <c r="T4" s="181">
        <f t="shared" si="2"/>
        <v>0</v>
      </c>
      <c r="U4" s="181">
        <f t="shared" si="2"/>
        <v>0</v>
      </c>
      <c r="V4" s="181">
        <f t="shared" si="2"/>
        <v>0</v>
      </c>
      <c r="W4" s="181">
        <f t="shared" si="2"/>
        <v>0</v>
      </c>
      <c r="X4" s="181">
        <f t="shared" si="2"/>
        <v>0</v>
      </c>
      <c r="Y4" s="181">
        <f t="shared" si="2"/>
        <v>0</v>
      </c>
      <c r="Z4" s="181">
        <f t="shared" si="2"/>
        <v>0</v>
      </c>
      <c r="AA4" s="181">
        <f t="shared" si="2"/>
        <v>0</v>
      </c>
      <c r="AB4" s="181">
        <f t="shared" si="2"/>
        <v>0</v>
      </c>
      <c r="AC4" s="181">
        <f t="shared" si="2"/>
        <v>0</v>
      </c>
      <c r="AD4" s="181">
        <f t="shared" si="2"/>
        <v>0</v>
      </c>
      <c r="AE4" s="181">
        <f t="shared" si="2"/>
        <v>0</v>
      </c>
      <c r="AF4" s="181">
        <f t="shared" si="2"/>
        <v>0</v>
      </c>
    </row>
    <row r="5" spans="1:34">
      <c r="A5" s="13" t="s">
        <v>167</v>
      </c>
      <c r="B5" s="181">
        <f>'Heavy+crude oil+'!B63</f>
        <v>0</v>
      </c>
      <c r="C5" s="181">
        <f>'Heavy+crude oil+'!C63</f>
        <v>0</v>
      </c>
      <c r="D5" s="181">
        <f>'Heavy+crude oil+'!D63</f>
        <v>0</v>
      </c>
      <c r="E5" s="181">
        <f>'Heavy+crude oil+'!E63</f>
        <v>0</v>
      </c>
      <c r="F5" s="181">
        <f>'Heavy+crude oil+'!F63</f>
        <v>0</v>
      </c>
      <c r="G5" s="181">
        <f>'Heavy+crude oil+'!G63</f>
        <v>0</v>
      </c>
      <c r="H5" s="181">
        <f>'Heavy+crude oil+'!H63</f>
        <v>0</v>
      </c>
      <c r="I5" s="181">
        <f>'Heavy+crude oil+'!I63</f>
        <v>0</v>
      </c>
      <c r="J5" s="181">
        <f>'Heavy+crude oil+'!J63</f>
        <v>0</v>
      </c>
      <c r="K5" s="181">
        <f>'Heavy+crude oil+'!K63</f>
        <v>0</v>
      </c>
      <c r="L5" s="181">
        <f>'Heavy+crude oil+'!L63</f>
        <v>0</v>
      </c>
      <c r="M5" s="181">
        <f>'Heavy+crude oil+'!M63</f>
        <v>0</v>
      </c>
      <c r="N5" s="181">
        <f>'Heavy+crude oil+'!N63</f>
        <v>0</v>
      </c>
      <c r="O5" s="181">
        <f>'Heavy+crude oil+'!O63</f>
        <v>0</v>
      </c>
      <c r="P5" s="181">
        <f>'Heavy+crude oil+'!P63</f>
        <v>0</v>
      </c>
      <c r="Q5" s="181">
        <f>'Heavy+crude oil+'!Q63</f>
        <v>0</v>
      </c>
      <c r="R5" s="181">
        <f>'Heavy+crude oil+'!R63</f>
        <v>0</v>
      </c>
      <c r="S5" s="181">
        <f>'Heavy+crude oil+'!S63</f>
        <v>0</v>
      </c>
      <c r="T5" s="181">
        <f>'Heavy+crude oil+'!T63</f>
        <v>0</v>
      </c>
      <c r="U5" s="181">
        <f>'Heavy+crude oil+'!U63</f>
        <v>0</v>
      </c>
      <c r="V5" s="181">
        <f>'Heavy+crude oil+'!V63</f>
        <v>0</v>
      </c>
      <c r="W5" s="181">
        <f>'Heavy+crude oil+'!W63</f>
        <v>0</v>
      </c>
      <c r="X5" s="181">
        <f>'Heavy+crude oil+'!X63</f>
        <v>0</v>
      </c>
      <c r="Y5" s="181">
        <f>'Heavy+crude oil+'!Y63</f>
        <v>0</v>
      </c>
      <c r="Z5" s="181">
        <f>'Heavy+crude oil+'!Z63</f>
        <v>0</v>
      </c>
      <c r="AA5" s="181">
        <f>'Heavy+crude oil+'!AA63</f>
        <v>0</v>
      </c>
      <c r="AB5" s="181">
        <f>'Heavy+crude oil+'!AB63</f>
        <v>0</v>
      </c>
      <c r="AC5" s="181">
        <f>'Heavy+crude oil+'!AC63</f>
        <v>0</v>
      </c>
      <c r="AD5" s="181">
        <f>'Heavy+crude oil+'!AD63</f>
        <v>0</v>
      </c>
      <c r="AE5" s="181">
        <f>'Heavy+crude oil+'!AE63</f>
        <v>0</v>
      </c>
      <c r="AF5" s="181">
        <f>'Heavy+crude oil+'!AF63</f>
        <v>0</v>
      </c>
    </row>
    <row r="6" spans="1:34">
      <c r="A6" s="13" t="s">
        <v>168</v>
      </c>
      <c r="B6" s="181">
        <f>'Heavy+crude oil+'!B64</f>
        <v>2.4718212970188984E-7</v>
      </c>
      <c r="C6" s="181">
        <f>'Heavy+crude oil+'!C64</f>
        <v>2.4203250199976699E-7</v>
      </c>
      <c r="D6" s="181">
        <f>'Heavy+crude oil+'!D64</f>
        <v>2.3817028122317516E-7</v>
      </c>
      <c r="E6" s="181">
        <f>'Heavy+crude oil+'!E64</f>
        <v>2.3494190150345597E-7</v>
      </c>
      <c r="F6" s="181">
        <f>'Heavy+crude oil+'!F64</f>
        <v>2.3295319366348818E-7</v>
      </c>
      <c r="G6" s="181">
        <f>'Heavy+crude oil+'!G64</f>
        <v>2.3284911586932526E-7</v>
      </c>
      <c r="H6" s="181">
        <f>'Heavy+crude oil+'!H64</f>
        <v>2.2711152356819636E-7</v>
      </c>
      <c r="I6" s="181">
        <f>'Heavy+crude oil+'!I64</f>
        <v>2.2335812405256092E-7</v>
      </c>
      <c r="J6" s="181">
        <f>'Heavy+crude oil+'!J64</f>
        <v>2.2319396130270189E-7</v>
      </c>
      <c r="K6" s="181">
        <f>'Heavy+crude oil+'!K64</f>
        <v>2.2201391129613618E-7</v>
      </c>
      <c r="L6" s="181">
        <f>'Heavy+crude oil+'!L64</f>
        <v>2.2284989099763851E-7</v>
      </c>
      <c r="M6" s="181">
        <f>'Heavy+crude oil+'!M64</f>
        <v>2.2251635581968153E-7</v>
      </c>
      <c r="N6" s="181">
        <f>'Heavy+crude oil+'!N64</f>
        <v>2.2237222138838801E-7</v>
      </c>
      <c r="O6" s="181">
        <f>'Heavy+crude oil+'!O64</f>
        <v>2.2107941079059297E-7</v>
      </c>
      <c r="P6" s="181">
        <f>'Heavy+crude oil+'!P64</f>
        <v>2.2067328742916538E-7</v>
      </c>
      <c r="Q6" s="181">
        <f>'Heavy+crude oil+'!Q64</f>
        <v>2.19872965080947E-7</v>
      </c>
      <c r="R6" s="181">
        <f>'Heavy+crude oil+'!R64</f>
        <v>2.1829385372123345E-7</v>
      </c>
      <c r="S6" s="181">
        <f>'Heavy+crude oil+'!S64</f>
        <v>2.1653066706372348E-7</v>
      </c>
      <c r="T6" s="181">
        <f>'Heavy+crude oil+'!T64</f>
        <v>2.1616205338562025E-7</v>
      </c>
      <c r="U6" s="181">
        <f>'Heavy+crude oil+'!U64</f>
        <v>2.1608402398265488E-7</v>
      </c>
      <c r="V6" s="181">
        <f>'Heavy+crude oil+'!V64</f>
        <v>2.1577757913154315E-7</v>
      </c>
      <c r="W6" s="181">
        <f>'Heavy+crude oil+'!W64</f>
        <v>2.1635423262734495E-7</v>
      </c>
      <c r="X6" s="181">
        <f>'Heavy+crude oil+'!X64</f>
        <v>2.1587239527550281E-7</v>
      </c>
      <c r="Y6" s="181">
        <f>'Heavy+crude oil+'!Y64</f>
        <v>2.1463307070763369E-7</v>
      </c>
      <c r="Z6" s="181">
        <f>'Heavy+crude oil+'!Z64</f>
        <v>2.1332463107512062E-7</v>
      </c>
      <c r="AA6" s="181">
        <f>'Heavy+crude oil+'!AA64</f>
        <v>2.1271255176729029E-7</v>
      </c>
      <c r="AB6" s="181">
        <f>'Heavy+crude oil+'!AB64</f>
        <v>2.1235678862884427E-7</v>
      </c>
      <c r="AC6" s="181">
        <f>'Heavy+crude oil+'!AC64</f>
        <v>2.1202915775289205E-7</v>
      </c>
      <c r="AD6" s="181">
        <f>'Heavy+crude oil+'!AD64</f>
        <v>2.1139230353076729E-7</v>
      </c>
      <c r="AE6" s="181">
        <f>'Heavy+crude oil+'!AE64</f>
        <v>2.1039574996886028E-7</v>
      </c>
      <c r="AF6" s="181">
        <f>'Heavy+crude oil+'!AF64</f>
        <v>2.1054868296784708E-7</v>
      </c>
    </row>
    <row r="7" spans="1:34">
      <c r="A7" s="13" t="s">
        <v>169</v>
      </c>
      <c r="B7" s="181">
        <f>B5</f>
        <v>0</v>
      </c>
      <c r="C7" s="181">
        <f t="shared" ref="C7:AF7" si="3">C5</f>
        <v>0</v>
      </c>
      <c r="D7" s="181">
        <f t="shared" si="3"/>
        <v>0</v>
      </c>
      <c r="E7" s="181">
        <f t="shared" si="3"/>
        <v>0</v>
      </c>
      <c r="F7" s="181">
        <f t="shared" si="3"/>
        <v>0</v>
      </c>
      <c r="G7" s="181">
        <f t="shared" si="3"/>
        <v>0</v>
      </c>
      <c r="H7" s="181">
        <f t="shared" si="3"/>
        <v>0</v>
      </c>
      <c r="I7" s="181">
        <f t="shared" si="3"/>
        <v>0</v>
      </c>
      <c r="J7" s="181">
        <f t="shared" si="3"/>
        <v>0</v>
      </c>
      <c r="K7" s="181">
        <f t="shared" si="3"/>
        <v>0</v>
      </c>
      <c r="L7" s="181">
        <f t="shared" si="3"/>
        <v>0</v>
      </c>
      <c r="M7" s="181">
        <f t="shared" si="3"/>
        <v>0</v>
      </c>
      <c r="N7" s="181">
        <f t="shared" si="3"/>
        <v>0</v>
      </c>
      <c r="O7" s="181">
        <f t="shared" si="3"/>
        <v>0</v>
      </c>
      <c r="P7" s="181">
        <f t="shared" si="3"/>
        <v>0</v>
      </c>
      <c r="Q7" s="181">
        <f t="shared" si="3"/>
        <v>0</v>
      </c>
      <c r="R7" s="181">
        <f t="shared" si="3"/>
        <v>0</v>
      </c>
      <c r="S7" s="181">
        <f t="shared" si="3"/>
        <v>0</v>
      </c>
      <c r="T7" s="181">
        <f t="shared" si="3"/>
        <v>0</v>
      </c>
      <c r="U7" s="181">
        <f t="shared" si="3"/>
        <v>0</v>
      </c>
      <c r="V7" s="181">
        <f t="shared" si="3"/>
        <v>0</v>
      </c>
      <c r="W7" s="181">
        <f t="shared" si="3"/>
        <v>0</v>
      </c>
      <c r="X7" s="181">
        <f t="shared" si="3"/>
        <v>0</v>
      </c>
      <c r="Y7" s="181">
        <f t="shared" si="3"/>
        <v>0</v>
      </c>
      <c r="Z7" s="181">
        <f t="shared" si="3"/>
        <v>0</v>
      </c>
      <c r="AA7" s="181">
        <f t="shared" si="3"/>
        <v>0</v>
      </c>
      <c r="AB7" s="181">
        <f t="shared" si="3"/>
        <v>0</v>
      </c>
      <c r="AC7" s="181">
        <f t="shared" si="3"/>
        <v>0</v>
      </c>
      <c r="AD7" s="181">
        <f t="shared" si="3"/>
        <v>0</v>
      </c>
      <c r="AE7" s="181">
        <f t="shared" si="3"/>
        <v>0</v>
      </c>
      <c r="AF7" s="181">
        <f t="shared" si="3"/>
        <v>0</v>
      </c>
    </row>
    <row r="8" spans="1:34">
      <c r="A8" s="13" t="s">
        <v>170</v>
      </c>
      <c r="B8" s="181">
        <f>B5</f>
        <v>0</v>
      </c>
      <c r="C8" s="181">
        <f t="shared" ref="C8:AF8" si="4">C5</f>
        <v>0</v>
      </c>
      <c r="D8" s="181">
        <f t="shared" si="4"/>
        <v>0</v>
      </c>
      <c r="E8" s="181">
        <f t="shared" si="4"/>
        <v>0</v>
      </c>
      <c r="F8" s="181">
        <f t="shared" si="4"/>
        <v>0</v>
      </c>
      <c r="G8" s="181">
        <f t="shared" si="4"/>
        <v>0</v>
      </c>
      <c r="H8" s="181">
        <f t="shared" si="4"/>
        <v>0</v>
      </c>
      <c r="I8" s="181">
        <f t="shared" si="4"/>
        <v>0</v>
      </c>
      <c r="J8" s="181">
        <f t="shared" si="4"/>
        <v>0</v>
      </c>
      <c r="K8" s="181">
        <f t="shared" si="4"/>
        <v>0</v>
      </c>
      <c r="L8" s="181">
        <f t="shared" si="4"/>
        <v>0</v>
      </c>
      <c r="M8" s="181">
        <f t="shared" si="4"/>
        <v>0</v>
      </c>
      <c r="N8" s="181">
        <f t="shared" si="4"/>
        <v>0</v>
      </c>
      <c r="O8" s="181">
        <f t="shared" si="4"/>
        <v>0</v>
      </c>
      <c r="P8" s="181">
        <f t="shared" si="4"/>
        <v>0</v>
      </c>
      <c r="Q8" s="181">
        <f t="shared" si="4"/>
        <v>0</v>
      </c>
      <c r="R8" s="181">
        <f t="shared" si="4"/>
        <v>0</v>
      </c>
      <c r="S8" s="181">
        <f t="shared" si="4"/>
        <v>0</v>
      </c>
      <c r="T8" s="181">
        <f t="shared" si="4"/>
        <v>0</v>
      </c>
      <c r="U8" s="181">
        <f t="shared" si="4"/>
        <v>0</v>
      </c>
      <c r="V8" s="181">
        <f t="shared" si="4"/>
        <v>0</v>
      </c>
      <c r="W8" s="181">
        <f t="shared" si="4"/>
        <v>0</v>
      </c>
      <c r="X8" s="181">
        <f t="shared" si="4"/>
        <v>0</v>
      </c>
      <c r="Y8" s="181">
        <f t="shared" si="4"/>
        <v>0</v>
      </c>
      <c r="Z8" s="181">
        <f t="shared" si="4"/>
        <v>0</v>
      </c>
      <c r="AA8" s="181">
        <f t="shared" si="4"/>
        <v>0</v>
      </c>
      <c r="AB8" s="181">
        <f t="shared" si="4"/>
        <v>0</v>
      </c>
      <c r="AC8" s="181">
        <f t="shared" si="4"/>
        <v>0</v>
      </c>
      <c r="AD8" s="181">
        <f t="shared" si="4"/>
        <v>0</v>
      </c>
      <c r="AE8" s="181">
        <f t="shared" si="4"/>
        <v>0</v>
      </c>
      <c r="AF8" s="181">
        <f t="shared" si="4"/>
        <v>0</v>
      </c>
    </row>
    <row r="9" spans="1:34">
      <c r="A9" s="13" t="s">
        <v>171</v>
      </c>
      <c r="B9" s="181">
        <f>B5</f>
        <v>0</v>
      </c>
      <c r="C9" s="181">
        <f t="shared" ref="C9:AF9" si="5">C5</f>
        <v>0</v>
      </c>
      <c r="D9" s="181">
        <f t="shared" si="5"/>
        <v>0</v>
      </c>
      <c r="E9" s="181">
        <f t="shared" si="5"/>
        <v>0</v>
      </c>
      <c r="F9" s="181">
        <f t="shared" si="5"/>
        <v>0</v>
      </c>
      <c r="G9" s="181">
        <f t="shared" si="5"/>
        <v>0</v>
      </c>
      <c r="H9" s="181">
        <f t="shared" si="5"/>
        <v>0</v>
      </c>
      <c r="I9" s="181">
        <f t="shared" si="5"/>
        <v>0</v>
      </c>
      <c r="J9" s="181">
        <f t="shared" si="5"/>
        <v>0</v>
      </c>
      <c r="K9" s="181">
        <f t="shared" si="5"/>
        <v>0</v>
      </c>
      <c r="L9" s="181">
        <f t="shared" si="5"/>
        <v>0</v>
      </c>
      <c r="M9" s="181">
        <f t="shared" si="5"/>
        <v>0</v>
      </c>
      <c r="N9" s="181">
        <f t="shared" si="5"/>
        <v>0</v>
      </c>
      <c r="O9" s="181">
        <f t="shared" si="5"/>
        <v>0</v>
      </c>
      <c r="P9" s="181">
        <f t="shared" si="5"/>
        <v>0</v>
      </c>
      <c r="Q9" s="181">
        <f t="shared" si="5"/>
        <v>0</v>
      </c>
      <c r="R9" s="181">
        <f t="shared" si="5"/>
        <v>0</v>
      </c>
      <c r="S9" s="181">
        <f t="shared" si="5"/>
        <v>0</v>
      </c>
      <c r="T9" s="181">
        <f t="shared" si="5"/>
        <v>0</v>
      </c>
      <c r="U9" s="181">
        <f t="shared" si="5"/>
        <v>0</v>
      </c>
      <c r="V9" s="181">
        <f t="shared" si="5"/>
        <v>0</v>
      </c>
      <c r="W9" s="181">
        <f t="shared" si="5"/>
        <v>0</v>
      </c>
      <c r="X9" s="181">
        <f t="shared" si="5"/>
        <v>0</v>
      </c>
      <c r="Y9" s="181">
        <f t="shared" si="5"/>
        <v>0</v>
      </c>
      <c r="Z9" s="181">
        <f t="shared" si="5"/>
        <v>0</v>
      </c>
      <c r="AA9" s="181">
        <f t="shared" si="5"/>
        <v>0</v>
      </c>
      <c r="AB9" s="181">
        <f t="shared" si="5"/>
        <v>0</v>
      </c>
      <c r="AC9" s="181">
        <f t="shared" si="5"/>
        <v>0</v>
      </c>
      <c r="AD9" s="181">
        <f t="shared" si="5"/>
        <v>0</v>
      </c>
      <c r="AE9" s="181">
        <f t="shared" si="5"/>
        <v>0</v>
      </c>
      <c r="AF9" s="181">
        <f t="shared" si="5"/>
        <v>0</v>
      </c>
    </row>
  </sheetData>
  <pageMargins left="0.7" right="0.7" top="0.75" bottom="0.75" header="0.3" footer="0.3"/>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2060"/>
  </sheetPr>
  <dimension ref="A1:AH9"/>
  <sheetViews>
    <sheetView workbookViewId="0">
      <selection activeCell="C3" sqref="C3"/>
    </sheetView>
  </sheetViews>
  <sheetFormatPr defaultColWidth="9.1796875" defaultRowHeight="14.5"/>
  <cols>
    <col min="1" max="1" width="41.453125" style="14" customWidth="1"/>
    <col min="2" max="24" width="10" style="14" customWidth="1"/>
    <col min="25" max="26" width="9.1796875" style="14" customWidth="1"/>
    <col min="27" max="29" width="11.81640625" style="14" bestFit="1" customWidth="1"/>
    <col min="30" max="31" width="10.81640625" style="14" bestFit="1" customWidth="1"/>
    <col min="32" max="32" width="11.81640625" style="14" bestFit="1" customWidth="1"/>
    <col min="33" max="16384" width="9.1796875" style="14"/>
  </cols>
  <sheetData>
    <row r="1" spans="1:34">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181" t="e">
        <f>'Natural gas'!#REF!</f>
        <v>#REF!</v>
      </c>
      <c r="C2" s="181" t="e">
        <f>'Natural gas'!#REF!</f>
        <v>#REF!</v>
      </c>
      <c r="D2" s="181" t="e">
        <f>'Natural gas'!#REF!</f>
        <v>#REF!</v>
      </c>
      <c r="E2" s="181" t="e">
        <f>'Natural gas'!#REF!</f>
        <v>#REF!</v>
      </c>
      <c r="F2" s="181" t="e">
        <f>'Natural gas'!#REF!</f>
        <v>#REF!</v>
      </c>
      <c r="G2" s="181" t="e">
        <f>'Natural gas'!#REF!</f>
        <v>#REF!</v>
      </c>
      <c r="H2" s="181" t="e">
        <f>'Natural gas'!#REF!</f>
        <v>#REF!</v>
      </c>
      <c r="I2" s="181" t="e">
        <f>'Natural gas'!#REF!</f>
        <v>#REF!</v>
      </c>
      <c r="J2" s="181" t="e">
        <f>'Natural gas'!#REF!</f>
        <v>#REF!</v>
      </c>
      <c r="K2" s="181" t="e">
        <f>'Natural gas'!#REF!</f>
        <v>#REF!</v>
      </c>
      <c r="L2" s="181" t="e">
        <f>'Natural gas'!#REF!</f>
        <v>#REF!</v>
      </c>
      <c r="M2" s="181" t="e">
        <f>'Natural gas'!#REF!</f>
        <v>#REF!</v>
      </c>
      <c r="N2" s="181" t="e">
        <f>'Natural gas'!#REF!</f>
        <v>#REF!</v>
      </c>
      <c r="O2" s="181" t="e">
        <f>'Natural gas'!#REF!</f>
        <v>#REF!</v>
      </c>
      <c r="P2" s="181" t="e">
        <f>'Natural gas'!#REF!</f>
        <v>#REF!</v>
      </c>
      <c r="Q2" s="181" t="e">
        <f>'Natural gas'!#REF!</f>
        <v>#REF!</v>
      </c>
      <c r="R2" s="181" t="e">
        <f>'Natural gas'!#REF!</f>
        <v>#REF!</v>
      </c>
      <c r="S2" s="181" t="e">
        <f>'Natural gas'!#REF!</f>
        <v>#REF!</v>
      </c>
      <c r="T2" s="181" t="e">
        <f>'Natural gas'!#REF!</f>
        <v>#REF!</v>
      </c>
      <c r="U2" s="181" t="e">
        <f>'Natural gas'!#REF!</f>
        <v>#REF!</v>
      </c>
      <c r="V2" s="181" t="e">
        <f>'Natural gas'!#REF!</f>
        <v>#REF!</v>
      </c>
      <c r="W2" s="181" t="e">
        <f>'Natural gas'!#REF!</f>
        <v>#REF!</v>
      </c>
      <c r="X2" s="181" t="e">
        <f>'Natural gas'!#REF!</f>
        <v>#REF!</v>
      </c>
      <c r="Y2" s="181" t="e">
        <f>'Natural gas'!#REF!</f>
        <v>#REF!</v>
      </c>
      <c r="Z2" s="181" t="e">
        <f>'Natural gas'!#REF!</f>
        <v>#REF!</v>
      </c>
      <c r="AA2" s="181" t="e">
        <f>'Natural gas'!#REF!</f>
        <v>#REF!</v>
      </c>
      <c r="AB2" s="181" t="e">
        <f>'Natural gas'!#REF!</f>
        <v>#REF!</v>
      </c>
      <c r="AC2" s="181" t="e">
        <f>'Natural gas'!#REF!</f>
        <v>#REF!</v>
      </c>
      <c r="AD2" s="181" t="e">
        <f>'Natural gas'!#REF!</f>
        <v>#REF!</v>
      </c>
      <c r="AE2" s="181" t="e">
        <f>'Natural gas'!#REF!</f>
        <v>#REF!</v>
      </c>
      <c r="AF2" s="181" t="e">
        <f>'Natural gas'!#REF!</f>
        <v>#REF!</v>
      </c>
    </row>
    <row r="3" spans="1:34">
      <c r="A3" s="13" t="s">
        <v>165</v>
      </c>
      <c r="B3" s="181" t="e">
        <f>'Natural gas'!#REF!</f>
        <v>#REF!</v>
      </c>
      <c r="C3" s="181" t="e">
        <f>'Natural gas'!#REF!</f>
        <v>#REF!</v>
      </c>
      <c r="D3" s="181" t="e">
        <f>'Natural gas'!#REF!</f>
        <v>#REF!</v>
      </c>
      <c r="E3" s="181" t="e">
        <f>'Natural gas'!#REF!</f>
        <v>#REF!</v>
      </c>
      <c r="F3" s="181" t="e">
        <f>'Natural gas'!#REF!</f>
        <v>#REF!</v>
      </c>
      <c r="G3" s="181" t="e">
        <f>'Natural gas'!#REF!</f>
        <v>#REF!</v>
      </c>
      <c r="H3" s="181" t="e">
        <f>'Natural gas'!#REF!</f>
        <v>#REF!</v>
      </c>
      <c r="I3" s="181" t="e">
        <f>'Natural gas'!#REF!</f>
        <v>#REF!</v>
      </c>
      <c r="J3" s="181" t="e">
        <f>'Natural gas'!#REF!</f>
        <v>#REF!</v>
      </c>
      <c r="K3" s="181" t="e">
        <f>'Natural gas'!#REF!</f>
        <v>#REF!</v>
      </c>
      <c r="L3" s="181" t="e">
        <f>'Natural gas'!#REF!</f>
        <v>#REF!</v>
      </c>
      <c r="M3" s="181" t="e">
        <f>'Natural gas'!#REF!</f>
        <v>#REF!</v>
      </c>
      <c r="N3" s="181" t="e">
        <f>'Natural gas'!#REF!</f>
        <v>#REF!</v>
      </c>
      <c r="O3" s="181" t="e">
        <f>'Natural gas'!#REF!</f>
        <v>#REF!</v>
      </c>
      <c r="P3" s="181" t="e">
        <f>'Natural gas'!#REF!</f>
        <v>#REF!</v>
      </c>
      <c r="Q3" s="181" t="e">
        <f>'Natural gas'!#REF!</f>
        <v>#REF!</v>
      </c>
      <c r="R3" s="181" t="e">
        <f>'Natural gas'!#REF!</f>
        <v>#REF!</v>
      </c>
      <c r="S3" s="181" t="e">
        <f>'Natural gas'!#REF!</f>
        <v>#REF!</v>
      </c>
      <c r="T3" s="181" t="e">
        <f>'Natural gas'!#REF!</f>
        <v>#REF!</v>
      </c>
      <c r="U3" s="181" t="e">
        <f>'Natural gas'!#REF!</f>
        <v>#REF!</v>
      </c>
      <c r="V3" s="181" t="e">
        <f>'Natural gas'!#REF!</f>
        <v>#REF!</v>
      </c>
      <c r="W3" s="181" t="e">
        <f>'Natural gas'!#REF!</f>
        <v>#REF!</v>
      </c>
      <c r="X3" s="181" t="e">
        <f>'Natural gas'!#REF!</f>
        <v>#REF!</v>
      </c>
      <c r="Y3" s="181" t="e">
        <f>'Natural gas'!#REF!</f>
        <v>#REF!</v>
      </c>
      <c r="Z3" s="181" t="e">
        <f>'Natural gas'!#REF!</f>
        <v>#REF!</v>
      </c>
      <c r="AA3" s="181" t="e">
        <f>'Natural gas'!#REF!</f>
        <v>#REF!</v>
      </c>
      <c r="AB3" s="181" t="e">
        <f>'Natural gas'!#REF!</f>
        <v>#REF!</v>
      </c>
      <c r="AC3" s="181" t="e">
        <f>'Natural gas'!#REF!</f>
        <v>#REF!</v>
      </c>
      <c r="AD3" s="181" t="e">
        <f>'Natural gas'!#REF!</f>
        <v>#REF!</v>
      </c>
      <c r="AE3" s="181" t="e">
        <f>'Natural gas'!#REF!</f>
        <v>#REF!</v>
      </c>
      <c r="AF3" s="181" t="e">
        <f>'Natural gas'!#REF!</f>
        <v>#REF!</v>
      </c>
    </row>
    <row r="4" spans="1:34">
      <c r="A4" s="13" t="s">
        <v>166</v>
      </c>
      <c r="B4" s="181" t="e">
        <f>'Natural gas'!#REF!</f>
        <v>#REF!</v>
      </c>
      <c r="C4" s="181" t="e">
        <f>'Natural gas'!#REF!</f>
        <v>#REF!</v>
      </c>
      <c r="D4" s="181" t="e">
        <f>'Natural gas'!#REF!</f>
        <v>#REF!</v>
      </c>
      <c r="E4" s="181" t="e">
        <f>'Natural gas'!#REF!</f>
        <v>#REF!</v>
      </c>
      <c r="F4" s="181" t="e">
        <f>'Natural gas'!#REF!</f>
        <v>#REF!</v>
      </c>
      <c r="G4" s="181" t="e">
        <f>'Natural gas'!#REF!</f>
        <v>#REF!</v>
      </c>
      <c r="H4" s="181" t="e">
        <f>'Natural gas'!#REF!</f>
        <v>#REF!</v>
      </c>
      <c r="I4" s="181" t="e">
        <f>'Natural gas'!#REF!</f>
        <v>#REF!</v>
      </c>
      <c r="J4" s="181" t="e">
        <f>'Natural gas'!#REF!</f>
        <v>#REF!</v>
      </c>
      <c r="K4" s="181" t="e">
        <f>'Natural gas'!#REF!</f>
        <v>#REF!</v>
      </c>
      <c r="L4" s="181" t="e">
        <f>'Natural gas'!#REF!</f>
        <v>#REF!</v>
      </c>
      <c r="M4" s="181" t="e">
        <f>'Natural gas'!#REF!</f>
        <v>#REF!</v>
      </c>
      <c r="N4" s="181" t="e">
        <f>'Natural gas'!#REF!</f>
        <v>#REF!</v>
      </c>
      <c r="O4" s="181" t="e">
        <f>'Natural gas'!#REF!</f>
        <v>#REF!</v>
      </c>
      <c r="P4" s="181" t="e">
        <f>'Natural gas'!#REF!</f>
        <v>#REF!</v>
      </c>
      <c r="Q4" s="181" t="e">
        <f>'Natural gas'!#REF!</f>
        <v>#REF!</v>
      </c>
      <c r="R4" s="181" t="e">
        <f>'Natural gas'!#REF!</f>
        <v>#REF!</v>
      </c>
      <c r="S4" s="181" t="e">
        <f>'Natural gas'!#REF!</f>
        <v>#REF!</v>
      </c>
      <c r="T4" s="181" t="e">
        <f>'Natural gas'!#REF!</f>
        <v>#REF!</v>
      </c>
      <c r="U4" s="181" t="e">
        <f>'Natural gas'!#REF!</f>
        <v>#REF!</v>
      </c>
      <c r="V4" s="181" t="e">
        <f>'Natural gas'!#REF!</f>
        <v>#REF!</v>
      </c>
      <c r="W4" s="181" t="e">
        <f>'Natural gas'!#REF!</f>
        <v>#REF!</v>
      </c>
      <c r="X4" s="181" t="e">
        <f>'Natural gas'!#REF!</f>
        <v>#REF!</v>
      </c>
      <c r="Y4" s="181" t="e">
        <f>'Natural gas'!#REF!</f>
        <v>#REF!</v>
      </c>
      <c r="Z4" s="181" t="e">
        <f>'Natural gas'!#REF!</f>
        <v>#REF!</v>
      </c>
      <c r="AA4" s="181" t="e">
        <f>'Natural gas'!#REF!</f>
        <v>#REF!</v>
      </c>
      <c r="AB4" s="181" t="e">
        <f>'Natural gas'!#REF!</f>
        <v>#REF!</v>
      </c>
      <c r="AC4" s="181" t="e">
        <f>'Natural gas'!#REF!</f>
        <v>#REF!</v>
      </c>
      <c r="AD4" s="181" t="e">
        <f>'Natural gas'!#REF!</f>
        <v>#REF!</v>
      </c>
      <c r="AE4" s="181" t="e">
        <f>'Natural gas'!#REF!</f>
        <v>#REF!</v>
      </c>
      <c r="AF4" s="181" t="e">
        <f>'Natural gas'!#REF!</f>
        <v>#REF!</v>
      </c>
    </row>
    <row r="5" spans="1:34">
      <c r="A5" s="13" t="s">
        <v>167</v>
      </c>
      <c r="B5" s="181" t="e">
        <f>'Natural gas'!#REF!</f>
        <v>#REF!</v>
      </c>
      <c r="C5" s="181" t="e">
        <f>'Natural gas'!#REF!</f>
        <v>#REF!</v>
      </c>
      <c r="D5" s="181" t="e">
        <f>'Natural gas'!#REF!</f>
        <v>#REF!</v>
      </c>
      <c r="E5" s="181" t="e">
        <f>'Natural gas'!#REF!</f>
        <v>#REF!</v>
      </c>
      <c r="F5" s="181" t="e">
        <f>'Natural gas'!#REF!</f>
        <v>#REF!</v>
      </c>
      <c r="G5" s="181" t="e">
        <f>'Natural gas'!#REF!</f>
        <v>#REF!</v>
      </c>
      <c r="H5" s="181" t="e">
        <f>'Natural gas'!#REF!</f>
        <v>#REF!</v>
      </c>
      <c r="I5" s="181" t="e">
        <f>'Natural gas'!#REF!</f>
        <v>#REF!</v>
      </c>
      <c r="J5" s="181" t="e">
        <f>'Natural gas'!#REF!</f>
        <v>#REF!</v>
      </c>
      <c r="K5" s="181" t="e">
        <f>'Natural gas'!#REF!</f>
        <v>#REF!</v>
      </c>
      <c r="L5" s="181" t="e">
        <f>'Natural gas'!#REF!</f>
        <v>#REF!</v>
      </c>
      <c r="M5" s="181" t="e">
        <f>'Natural gas'!#REF!</f>
        <v>#REF!</v>
      </c>
      <c r="N5" s="181" t="e">
        <f>'Natural gas'!#REF!</f>
        <v>#REF!</v>
      </c>
      <c r="O5" s="181" t="e">
        <f>'Natural gas'!#REF!</f>
        <v>#REF!</v>
      </c>
      <c r="P5" s="181" t="e">
        <f>'Natural gas'!#REF!</f>
        <v>#REF!</v>
      </c>
      <c r="Q5" s="181" t="e">
        <f>'Natural gas'!#REF!</f>
        <v>#REF!</v>
      </c>
      <c r="R5" s="181" t="e">
        <f>'Natural gas'!#REF!</f>
        <v>#REF!</v>
      </c>
      <c r="S5" s="181" t="e">
        <f>'Natural gas'!#REF!</f>
        <v>#REF!</v>
      </c>
      <c r="T5" s="181" t="e">
        <f>'Natural gas'!#REF!</f>
        <v>#REF!</v>
      </c>
      <c r="U5" s="181" t="e">
        <f>'Natural gas'!#REF!</f>
        <v>#REF!</v>
      </c>
      <c r="V5" s="181" t="e">
        <f>'Natural gas'!#REF!</f>
        <v>#REF!</v>
      </c>
      <c r="W5" s="181" t="e">
        <f>'Natural gas'!#REF!</f>
        <v>#REF!</v>
      </c>
      <c r="X5" s="181" t="e">
        <f>'Natural gas'!#REF!</f>
        <v>#REF!</v>
      </c>
      <c r="Y5" s="181" t="e">
        <f>'Natural gas'!#REF!</f>
        <v>#REF!</v>
      </c>
      <c r="Z5" s="181" t="e">
        <f>'Natural gas'!#REF!</f>
        <v>#REF!</v>
      </c>
      <c r="AA5" s="181" t="e">
        <f>'Natural gas'!#REF!</f>
        <v>#REF!</v>
      </c>
      <c r="AB5" s="181" t="e">
        <f>'Natural gas'!#REF!</f>
        <v>#REF!</v>
      </c>
      <c r="AC5" s="181" t="e">
        <f>'Natural gas'!#REF!</f>
        <v>#REF!</v>
      </c>
      <c r="AD5" s="181" t="e">
        <f>'Natural gas'!#REF!</f>
        <v>#REF!</v>
      </c>
      <c r="AE5" s="181" t="e">
        <f>'Natural gas'!#REF!</f>
        <v>#REF!</v>
      </c>
      <c r="AF5" s="181" t="e">
        <f>'Natural gas'!#REF!</f>
        <v>#REF!</v>
      </c>
    </row>
    <row r="6" spans="1:34">
      <c r="A6" s="13" t="s">
        <v>168</v>
      </c>
      <c r="B6" s="181" t="e">
        <f>'Natural gas'!#REF!</f>
        <v>#REF!</v>
      </c>
      <c r="C6" s="181" t="e">
        <f>'Natural gas'!#REF!</f>
        <v>#REF!</v>
      </c>
      <c r="D6" s="181" t="e">
        <f>'Natural gas'!#REF!</f>
        <v>#REF!</v>
      </c>
      <c r="E6" s="181" t="e">
        <f>'Natural gas'!#REF!</f>
        <v>#REF!</v>
      </c>
      <c r="F6" s="181" t="e">
        <f>'Natural gas'!#REF!</f>
        <v>#REF!</v>
      </c>
      <c r="G6" s="181" t="e">
        <f>'Natural gas'!#REF!</f>
        <v>#REF!</v>
      </c>
      <c r="H6" s="181" t="e">
        <f>'Natural gas'!#REF!</f>
        <v>#REF!</v>
      </c>
      <c r="I6" s="181" t="e">
        <f>'Natural gas'!#REF!</f>
        <v>#REF!</v>
      </c>
      <c r="J6" s="181" t="e">
        <f>'Natural gas'!#REF!</f>
        <v>#REF!</v>
      </c>
      <c r="K6" s="181" t="e">
        <f>'Natural gas'!#REF!</f>
        <v>#REF!</v>
      </c>
      <c r="L6" s="181" t="e">
        <f>'Natural gas'!#REF!</f>
        <v>#REF!</v>
      </c>
      <c r="M6" s="181" t="e">
        <f>'Natural gas'!#REF!</f>
        <v>#REF!</v>
      </c>
      <c r="N6" s="181" t="e">
        <f>'Natural gas'!#REF!</f>
        <v>#REF!</v>
      </c>
      <c r="O6" s="181" t="e">
        <f>'Natural gas'!#REF!</f>
        <v>#REF!</v>
      </c>
      <c r="P6" s="181" t="e">
        <f>'Natural gas'!#REF!</f>
        <v>#REF!</v>
      </c>
      <c r="Q6" s="181" t="e">
        <f>'Natural gas'!#REF!</f>
        <v>#REF!</v>
      </c>
      <c r="R6" s="181" t="e">
        <f>'Natural gas'!#REF!</f>
        <v>#REF!</v>
      </c>
      <c r="S6" s="181" t="e">
        <f>'Natural gas'!#REF!</f>
        <v>#REF!</v>
      </c>
      <c r="T6" s="181" t="e">
        <f>'Natural gas'!#REF!</f>
        <v>#REF!</v>
      </c>
      <c r="U6" s="181" t="e">
        <f>'Natural gas'!#REF!</f>
        <v>#REF!</v>
      </c>
      <c r="V6" s="181" t="e">
        <f>'Natural gas'!#REF!</f>
        <v>#REF!</v>
      </c>
      <c r="W6" s="181" t="e">
        <f>'Natural gas'!#REF!</f>
        <v>#REF!</v>
      </c>
      <c r="X6" s="181" t="e">
        <f>'Natural gas'!#REF!</f>
        <v>#REF!</v>
      </c>
      <c r="Y6" s="181" t="e">
        <f>'Natural gas'!#REF!</f>
        <v>#REF!</v>
      </c>
      <c r="Z6" s="181" t="e">
        <f>'Natural gas'!#REF!</f>
        <v>#REF!</v>
      </c>
      <c r="AA6" s="181" t="e">
        <f>'Natural gas'!#REF!</f>
        <v>#REF!</v>
      </c>
      <c r="AB6" s="181" t="e">
        <f>'Natural gas'!#REF!</f>
        <v>#REF!</v>
      </c>
      <c r="AC6" s="181" t="e">
        <f>'Natural gas'!#REF!</f>
        <v>#REF!</v>
      </c>
      <c r="AD6" s="181" t="e">
        <f>'Natural gas'!#REF!</f>
        <v>#REF!</v>
      </c>
      <c r="AE6" s="181" t="e">
        <f>'Natural gas'!#REF!</f>
        <v>#REF!</v>
      </c>
      <c r="AF6" s="181" t="e">
        <f>'Natural gas'!#REF!</f>
        <v>#REF!</v>
      </c>
    </row>
    <row r="7" spans="1:34">
      <c r="A7" s="13" t="s">
        <v>169</v>
      </c>
      <c r="B7" s="181" t="e">
        <f t="shared" ref="B7:AF7" si="0">B3</f>
        <v>#REF!</v>
      </c>
      <c r="C7" s="181" t="e">
        <f t="shared" si="0"/>
        <v>#REF!</v>
      </c>
      <c r="D7" s="181" t="e">
        <f t="shared" si="0"/>
        <v>#REF!</v>
      </c>
      <c r="E7" s="181" t="e">
        <f t="shared" si="0"/>
        <v>#REF!</v>
      </c>
      <c r="F7" s="181" t="e">
        <f t="shared" si="0"/>
        <v>#REF!</v>
      </c>
      <c r="G7" s="181" t="e">
        <f t="shared" si="0"/>
        <v>#REF!</v>
      </c>
      <c r="H7" s="181" t="e">
        <f t="shared" si="0"/>
        <v>#REF!</v>
      </c>
      <c r="I7" s="181" t="e">
        <f t="shared" si="0"/>
        <v>#REF!</v>
      </c>
      <c r="J7" s="181" t="e">
        <f t="shared" si="0"/>
        <v>#REF!</v>
      </c>
      <c r="K7" s="181" t="e">
        <f t="shared" si="0"/>
        <v>#REF!</v>
      </c>
      <c r="L7" s="181" t="e">
        <f t="shared" si="0"/>
        <v>#REF!</v>
      </c>
      <c r="M7" s="181" t="e">
        <f t="shared" si="0"/>
        <v>#REF!</v>
      </c>
      <c r="N7" s="181" t="e">
        <f t="shared" si="0"/>
        <v>#REF!</v>
      </c>
      <c r="O7" s="181" t="e">
        <f t="shared" si="0"/>
        <v>#REF!</v>
      </c>
      <c r="P7" s="181" t="e">
        <f t="shared" si="0"/>
        <v>#REF!</v>
      </c>
      <c r="Q7" s="181" t="e">
        <f t="shared" si="0"/>
        <v>#REF!</v>
      </c>
      <c r="R7" s="181" t="e">
        <f t="shared" si="0"/>
        <v>#REF!</v>
      </c>
      <c r="S7" s="181" t="e">
        <f t="shared" si="0"/>
        <v>#REF!</v>
      </c>
      <c r="T7" s="181" t="e">
        <f t="shared" si="0"/>
        <v>#REF!</v>
      </c>
      <c r="U7" s="181" t="e">
        <f t="shared" si="0"/>
        <v>#REF!</v>
      </c>
      <c r="V7" s="181" t="e">
        <f t="shared" si="0"/>
        <v>#REF!</v>
      </c>
      <c r="W7" s="181" t="e">
        <f t="shared" si="0"/>
        <v>#REF!</v>
      </c>
      <c r="X7" s="181" t="e">
        <f t="shared" si="0"/>
        <v>#REF!</v>
      </c>
      <c r="Y7" s="181" t="e">
        <f t="shared" si="0"/>
        <v>#REF!</v>
      </c>
      <c r="Z7" s="181" t="e">
        <f t="shared" si="0"/>
        <v>#REF!</v>
      </c>
      <c r="AA7" s="181" t="e">
        <f t="shared" si="0"/>
        <v>#REF!</v>
      </c>
      <c r="AB7" s="181" t="e">
        <f t="shared" si="0"/>
        <v>#REF!</v>
      </c>
      <c r="AC7" s="181" t="e">
        <f t="shared" si="0"/>
        <v>#REF!</v>
      </c>
      <c r="AD7" s="181" t="e">
        <f t="shared" si="0"/>
        <v>#REF!</v>
      </c>
      <c r="AE7" s="181" t="e">
        <f t="shared" si="0"/>
        <v>#REF!</v>
      </c>
      <c r="AF7" s="181" t="e">
        <f t="shared" si="0"/>
        <v>#REF!</v>
      </c>
    </row>
    <row r="8" spans="1:34">
      <c r="A8" s="13" t="s">
        <v>170</v>
      </c>
      <c r="B8" s="181">
        <v>0</v>
      </c>
      <c r="C8" s="181">
        <v>0</v>
      </c>
      <c r="D8" s="181">
        <v>0</v>
      </c>
      <c r="E8" s="181">
        <v>0</v>
      </c>
      <c r="F8" s="181">
        <v>0</v>
      </c>
      <c r="G8" s="181">
        <v>0</v>
      </c>
      <c r="H8" s="181">
        <v>0</v>
      </c>
      <c r="I8" s="181">
        <v>0</v>
      </c>
      <c r="J8" s="181">
        <v>0</v>
      </c>
      <c r="K8" s="181">
        <v>0</v>
      </c>
      <c r="L8" s="181">
        <v>0</v>
      </c>
      <c r="M8" s="181">
        <v>0</v>
      </c>
      <c r="N8" s="181">
        <v>0</v>
      </c>
      <c r="O8" s="181">
        <v>0</v>
      </c>
      <c r="P8" s="181">
        <v>0</v>
      </c>
      <c r="Q8" s="181">
        <v>0</v>
      </c>
      <c r="R8" s="181">
        <v>0</v>
      </c>
      <c r="S8" s="181">
        <v>0</v>
      </c>
      <c r="T8" s="181">
        <v>0</v>
      </c>
      <c r="U8" s="181">
        <v>0</v>
      </c>
      <c r="V8" s="181">
        <v>0</v>
      </c>
      <c r="W8" s="181">
        <v>0</v>
      </c>
      <c r="X8" s="181">
        <v>0</v>
      </c>
      <c r="Y8" s="181">
        <v>0</v>
      </c>
      <c r="Z8" s="181">
        <v>0</v>
      </c>
      <c r="AA8" s="181">
        <v>0</v>
      </c>
      <c r="AB8" s="181">
        <v>0</v>
      </c>
      <c r="AC8" s="181">
        <v>0</v>
      </c>
      <c r="AD8" s="181">
        <v>0</v>
      </c>
      <c r="AE8" s="181">
        <v>0</v>
      </c>
      <c r="AF8" s="181">
        <v>0</v>
      </c>
    </row>
    <row r="9" spans="1:34">
      <c r="A9" s="13" t="s">
        <v>171</v>
      </c>
      <c r="B9" s="181" t="e">
        <f t="shared" ref="B9:AF9" si="1">B6</f>
        <v>#REF!</v>
      </c>
      <c r="C9" s="181" t="e">
        <f t="shared" si="1"/>
        <v>#REF!</v>
      </c>
      <c r="D9" s="181" t="e">
        <f t="shared" si="1"/>
        <v>#REF!</v>
      </c>
      <c r="E9" s="181" t="e">
        <f t="shared" si="1"/>
        <v>#REF!</v>
      </c>
      <c r="F9" s="181" t="e">
        <f t="shared" si="1"/>
        <v>#REF!</v>
      </c>
      <c r="G9" s="181" t="e">
        <f t="shared" si="1"/>
        <v>#REF!</v>
      </c>
      <c r="H9" s="181" t="e">
        <f t="shared" si="1"/>
        <v>#REF!</v>
      </c>
      <c r="I9" s="181" t="e">
        <f t="shared" si="1"/>
        <v>#REF!</v>
      </c>
      <c r="J9" s="181" t="e">
        <f t="shared" si="1"/>
        <v>#REF!</v>
      </c>
      <c r="K9" s="181" t="e">
        <f t="shared" si="1"/>
        <v>#REF!</v>
      </c>
      <c r="L9" s="181" t="e">
        <f t="shared" si="1"/>
        <v>#REF!</v>
      </c>
      <c r="M9" s="181" t="e">
        <f t="shared" si="1"/>
        <v>#REF!</v>
      </c>
      <c r="N9" s="181" t="e">
        <f t="shared" si="1"/>
        <v>#REF!</v>
      </c>
      <c r="O9" s="181" t="e">
        <f t="shared" si="1"/>
        <v>#REF!</v>
      </c>
      <c r="P9" s="181" t="e">
        <f t="shared" si="1"/>
        <v>#REF!</v>
      </c>
      <c r="Q9" s="181" t="e">
        <f t="shared" si="1"/>
        <v>#REF!</v>
      </c>
      <c r="R9" s="181" t="e">
        <f t="shared" si="1"/>
        <v>#REF!</v>
      </c>
      <c r="S9" s="181" t="e">
        <f t="shared" si="1"/>
        <v>#REF!</v>
      </c>
      <c r="T9" s="181" t="e">
        <f t="shared" si="1"/>
        <v>#REF!</v>
      </c>
      <c r="U9" s="181" t="e">
        <f t="shared" si="1"/>
        <v>#REF!</v>
      </c>
      <c r="V9" s="181" t="e">
        <f t="shared" si="1"/>
        <v>#REF!</v>
      </c>
      <c r="W9" s="181" t="e">
        <f t="shared" si="1"/>
        <v>#REF!</v>
      </c>
      <c r="X9" s="181" t="e">
        <f t="shared" si="1"/>
        <v>#REF!</v>
      </c>
      <c r="Y9" s="181" t="e">
        <f t="shared" si="1"/>
        <v>#REF!</v>
      </c>
      <c r="Z9" s="181" t="e">
        <f t="shared" si="1"/>
        <v>#REF!</v>
      </c>
      <c r="AA9" s="181" t="e">
        <f t="shared" si="1"/>
        <v>#REF!</v>
      </c>
      <c r="AB9" s="181" t="e">
        <f t="shared" si="1"/>
        <v>#REF!</v>
      </c>
      <c r="AC9" s="181" t="e">
        <f t="shared" si="1"/>
        <v>#REF!</v>
      </c>
      <c r="AD9" s="181" t="e">
        <f t="shared" si="1"/>
        <v>#REF!</v>
      </c>
      <c r="AE9" s="181" t="e">
        <f t="shared" si="1"/>
        <v>#REF!</v>
      </c>
      <c r="AF9" s="181" t="e">
        <f t="shared" si="1"/>
        <v>#REF!</v>
      </c>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2060"/>
  </sheetPr>
  <dimension ref="A1:AH9"/>
  <sheetViews>
    <sheetView workbookViewId="0">
      <selection activeCell="B3" sqref="B3:AF3"/>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4">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4">
      <c r="A3" s="13" t="s">
        <v>165</v>
      </c>
      <c r="B3" s="26">
        <f>'AEO Table 3'!C10</f>
        <v>5.1687971348525212E-8</v>
      </c>
      <c r="C3" s="26">
        <f>'AEO Table 3'!D10</f>
        <v>5.1763756738574191E-8</v>
      </c>
      <c r="D3" s="26">
        <f>'AEO Table 3'!E10</f>
        <v>5.1839542128623276E-8</v>
      </c>
      <c r="E3" s="26">
        <f>'AEO Table 3'!F10</f>
        <v>5.1991112908721339E-8</v>
      </c>
      <c r="F3" s="26">
        <f>'AEO Table 3'!G10</f>
        <v>5.2066898298770318E-8</v>
      </c>
      <c r="G3" s="26">
        <f>'AEO Table 3'!H10</f>
        <v>5.2218469078868381E-8</v>
      </c>
      <c r="H3" s="26">
        <f>'AEO Table 3'!I10</f>
        <v>5.2294254468917466E-8</v>
      </c>
      <c r="I3" s="26">
        <f>'AEO Table 3'!J10</f>
        <v>5.2445825249015529E-8</v>
      </c>
      <c r="J3" s="26">
        <f>'AEO Table 3'!K10</f>
        <v>5.2521610639064614E-8</v>
      </c>
      <c r="K3" s="26">
        <f>'AEO Table 3'!L10</f>
        <v>5.2673181419162677E-8</v>
      </c>
      <c r="L3" s="26">
        <f>'AEO Table 3'!M10</f>
        <v>5.2824752199260741E-8</v>
      </c>
      <c r="M3" s="26">
        <f>'AEO Table 3'!N10</f>
        <v>5.2900537589309825E-8</v>
      </c>
      <c r="N3" s="26">
        <f>'AEO Table 3'!O10</f>
        <v>5.3052108369407889E-8</v>
      </c>
      <c r="O3" s="26">
        <f>'AEO Table 3'!P10</f>
        <v>5.3203679149505952E-8</v>
      </c>
      <c r="P3" s="26">
        <f>'AEO Table 3'!Q10</f>
        <v>5.3279539872944724E-8</v>
      </c>
      <c r="Q3" s="26">
        <f>'AEO Table 3'!R10</f>
        <v>5.3431110653042787E-8</v>
      </c>
      <c r="R3" s="26">
        <f>'AEO Table 3'!S10</f>
        <v>5.3582681433140851E-8</v>
      </c>
      <c r="S3" s="26">
        <f>'AEO Table 3'!T10</f>
        <v>5.3658466823189829E-8</v>
      </c>
      <c r="T3" s="26">
        <f>'AEO Table 3'!U10</f>
        <v>5.3810037603287999E-8</v>
      </c>
      <c r="U3" s="26">
        <f>'AEO Table 3'!V10</f>
        <v>5.3961608383386062E-8</v>
      </c>
      <c r="V3" s="26">
        <f>'AEO Table 3'!W10</f>
        <v>5.4113179163484126E-8</v>
      </c>
      <c r="W3" s="26">
        <f>'AEO Table 3'!X10</f>
        <v>5.4264749943582189E-8</v>
      </c>
      <c r="X3" s="26">
        <f>'AEO Table 3'!Y10</f>
        <v>5.4416320723680252E-8</v>
      </c>
      <c r="Y3" s="26">
        <f>'AEO Table 3'!Z10</f>
        <v>5.4567891503778316E-8</v>
      </c>
      <c r="Z3" s="26">
        <f>'AEO Table 3'!AA10</f>
        <v>5.4719462283876379E-8</v>
      </c>
      <c r="AA3" s="26">
        <f>'AEO Table 3'!AB10</f>
        <v>5.4871033063974442E-8</v>
      </c>
      <c r="AB3" s="26">
        <f>'AEO Table 3'!AC10</f>
        <v>5.5022679177462299E-8</v>
      </c>
      <c r="AC3" s="26">
        <f>'AEO Table 3'!AD10</f>
        <v>5.5174249957560362E-8</v>
      </c>
      <c r="AD3" s="26">
        <f>'AEO Table 3'!AE10</f>
        <v>5.5325820737658426E-8</v>
      </c>
      <c r="AE3" s="26">
        <f>'AEO Table 3'!AF10</f>
        <v>5.5477391517756489E-8</v>
      </c>
      <c r="AF3" s="26">
        <f>'AEO Table 3'!AG10</f>
        <v>5.5628962297854552E-8</v>
      </c>
      <c r="AG3" s="21"/>
      <c r="AH3" s="21"/>
    </row>
    <row r="4" spans="1:34">
      <c r="A4" s="13" t="s">
        <v>166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4">
      <c r="A5" s="13" t="s">
        <v>167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4">
      <c r="A6" s="13" t="s">
        <v>168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4">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4">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4">
      <c r="A9" s="13" t="s">
        <v>171</v>
      </c>
      <c r="B9">
        <f t="shared" ref="B9:AF9" si="0">B6</f>
        <v>0</v>
      </c>
      <c r="C9">
        <f t="shared" si="0"/>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0"/>
        <v>0</v>
      </c>
      <c r="AF9">
        <f t="shared" si="0"/>
        <v>0</v>
      </c>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2060"/>
  </sheetPr>
  <dimension ref="A1:AH9"/>
  <sheetViews>
    <sheetView workbookViewId="0">
      <selection activeCell="B1" sqref="B1:B1048576"/>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4">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4">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4">
      <c r="A4" s="13" t="s">
        <v>166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4">
      <c r="A5" s="13" t="s">
        <v>167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4">
      <c r="A6" s="13" t="s">
        <v>168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4">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4">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4">
      <c r="A9" s="13" t="s">
        <v>171</v>
      </c>
      <c r="B9">
        <f t="shared" ref="B9:X9" si="0">B6</f>
        <v>0</v>
      </c>
      <c r="C9">
        <f t="shared" si="0"/>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f t="shared" si="0"/>
        <v>0</v>
      </c>
      <c r="X9">
        <f t="shared" si="0"/>
        <v>0</v>
      </c>
      <c r="Y9">
        <v>0</v>
      </c>
      <c r="Z9">
        <v>0</v>
      </c>
      <c r="AA9">
        <v>0</v>
      </c>
      <c r="AB9">
        <v>0</v>
      </c>
      <c r="AC9">
        <v>0</v>
      </c>
      <c r="AD9">
        <v>0</v>
      </c>
      <c r="AE9">
        <v>0</v>
      </c>
      <c r="AF9">
        <v>0</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2060"/>
  </sheetPr>
  <dimension ref="A1:AH9"/>
  <sheetViews>
    <sheetView workbookViewId="0">
      <selection activeCell="B1" sqref="B1:B1048576"/>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4">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4">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4">
      <c r="A4" s="13" t="s">
        <v>166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4">
      <c r="A5" s="13" t="s">
        <v>167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4">
      <c r="A6" s="13" t="s">
        <v>168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4">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4">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4">
      <c r="A9" s="13" t="s">
        <v>171</v>
      </c>
      <c r="B9">
        <f t="shared" ref="B9:X9" si="0">B6</f>
        <v>0</v>
      </c>
      <c r="C9">
        <f t="shared" si="0"/>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f t="shared" si="0"/>
        <v>0</v>
      </c>
      <c r="X9">
        <f t="shared" si="0"/>
        <v>0</v>
      </c>
      <c r="Y9">
        <v>0</v>
      </c>
      <c r="Z9">
        <v>0</v>
      </c>
      <c r="AA9">
        <v>0</v>
      </c>
      <c r="AB9">
        <v>0</v>
      </c>
      <c r="AC9">
        <v>0</v>
      </c>
      <c r="AD9">
        <v>0</v>
      </c>
      <c r="AE9">
        <v>0</v>
      </c>
      <c r="AF9">
        <v>0</v>
      </c>
    </row>
  </sheetData>
  <pageMargins left="0.7" right="0.7" top="0.75" bottom="0.75" header="0.3" footer="0.3"/>
  <pageSetup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2060"/>
  </sheetPr>
  <dimension ref="A1:AH9"/>
  <sheetViews>
    <sheetView workbookViewId="0">
      <selection activeCell="B1" sqref="B1:B1048576"/>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4">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4">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4">
      <c r="A4" s="13" t="s">
        <v>166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4">
      <c r="A5" s="13" t="s">
        <v>167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4">
      <c r="A6" s="13" t="s">
        <v>168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4">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4">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4">
      <c r="A9" s="13" t="s">
        <v>171</v>
      </c>
      <c r="B9">
        <f t="shared" ref="B9:X9" si="0">B6</f>
        <v>0</v>
      </c>
      <c r="C9">
        <f t="shared" si="0"/>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f t="shared" si="0"/>
        <v>0</v>
      </c>
      <c r="X9">
        <f t="shared" si="0"/>
        <v>0</v>
      </c>
      <c r="Y9">
        <v>0</v>
      </c>
      <c r="Z9">
        <v>0</v>
      </c>
      <c r="AA9">
        <v>0</v>
      </c>
      <c r="AB9">
        <v>0</v>
      </c>
      <c r="AC9">
        <v>0</v>
      </c>
      <c r="AD9">
        <v>0</v>
      </c>
      <c r="AE9">
        <v>0</v>
      </c>
      <c r="AF9">
        <v>0</v>
      </c>
    </row>
  </sheetData>
  <pageMargins left="0.7" right="0.7" top="0.75" bottom="0.75" header="0.3" footer="0.3"/>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2060"/>
  </sheetPr>
  <dimension ref="A1:AJ9"/>
  <sheetViews>
    <sheetView topLeftCell="T1" workbookViewId="0">
      <selection activeCell="C9" sqref="C9"/>
    </sheetView>
  </sheetViews>
  <sheetFormatPr defaultColWidth="9.1796875" defaultRowHeight="14.5"/>
  <cols>
    <col min="1" max="1" width="41.453125" style="14" customWidth="1"/>
    <col min="2" max="26" width="10" style="14" customWidth="1"/>
    <col min="27" max="28" width="9.1796875" style="14" customWidth="1"/>
    <col min="29" max="16384" width="9.1796875" style="14"/>
  </cols>
  <sheetData>
    <row r="1" spans="1:36">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c r="AI1" s="13"/>
      <c r="AJ1" s="13"/>
    </row>
    <row r="2" spans="1:36">
      <c r="A2" s="13" t="s">
        <v>164</v>
      </c>
      <c r="B2" s="32">
        <f>'Heavy+crude oil+'!B19</f>
        <v>0</v>
      </c>
      <c r="C2">
        <f>'Heavy+crude oil+'!C19</f>
        <v>0</v>
      </c>
      <c r="D2">
        <f>'Heavy+crude oil+'!D19</f>
        <v>0</v>
      </c>
      <c r="E2">
        <f>'Heavy+crude oil+'!E19</f>
        <v>0</v>
      </c>
      <c r="F2">
        <f>'Heavy+crude oil+'!F19</f>
        <v>0</v>
      </c>
      <c r="G2">
        <f>'Heavy+crude oil+'!G19</f>
        <v>0</v>
      </c>
      <c r="H2">
        <f>'Heavy+crude oil+'!H19</f>
        <v>0</v>
      </c>
      <c r="I2">
        <f>'Heavy+crude oil+'!I19</f>
        <v>0</v>
      </c>
      <c r="J2">
        <f>'Heavy+crude oil+'!J19</f>
        <v>0</v>
      </c>
      <c r="K2">
        <f>'Heavy+crude oil+'!K19</f>
        <v>0</v>
      </c>
      <c r="L2">
        <f>'Heavy+crude oil+'!L19</f>
        <v>0</v>
      </c>
      <c r="M2">
        <f>'Heavy+crude oil+'!M19</f>
        <v>0</v>
      </c>
      <c r="N2">
        <f>'Heavy+crude oil+'!N19</f>
        <v>0</v>
      </c>
      <c r="O2">
        <f>'Heavy+crude oil+'!O19</f>
        <v>0</v>
      </c>
      <c r="P2">
        <f>'Heavy+crude oil+'!P19</f>
        <v>0</v>
      </c>
      <c r="Q2">
        <f>'Heavy+crude oil+'!Q19</f>
        <v>0</v>
      </c>
      <c r="R2">
        <f>'Heavy+crude oil+'!R19</f>
        <v>0</v>
      </c>
      <c r="S2">
        <f>'Heavy+crude oil+'!S19</f>
        <v>0</v>
      </c>
      <c r="T2">
        <f>'Heavy+crude oil+'!T19</f>
        <v>0</v>
      </c>
      <c r="U2">
        <f>'Heavy+crude oil+'!U19</f>
        <v>0</v>
      </c>
      <c r="V2">
        <f>'Heavy+crude oil+'!V19</f>
        <v>0</v>
      </c>
      <c r="W2">
        <f>'Heavy+crude oil+'!W19</f>
        <v>0</v>
      </c>
      <c r="X2">
        <f>'Heavy+crude oil+'!X19</f>
        <v>0</v>
      </c>
      <c r="Y2">
        <f>'Heavy+crude oil+'!Y19</f>
        <v>0</v>
      </c>
      <c r="Z2">
        <f>'Heavy+crude oil+'!Z19</f>
        <v>0</v>
      </c>
      <c r="AA2">
        <f>'Heavy+crude oil+'!AA19</f>
        <v>0</v>
      </c>
      <c r="AB2">
        <f>'Heavy+crude oil+'!AB19</f>
        <v>0</v>
      </c>
      <c r="AC2">
        <f>'Heavy+crude oil+'!AC19</f>
        <v>0</v>
      </c>
      <c r="AD2">
        <f>'Heavy+crude oil+'!AD19</f>
        <v>0</v>
      </c>
      <c r="AE2">
        <f>'Heavy+crude oil+'!AE19</f>
        <v>0</v>
      </c>
      <c r="AF2">
        <f>'Heavy+crude oil+'!AF19</f>
        <v>0</v>
      </c>
    </row>
    <row r="3" spans="1:36">
      <c r="A3" s="13" t="s">
        <v>165</v>
      </c>
      <c r="B3" s="21">
        <f>'Heavy+crude oil+'!B20</f>
        <v>1.7769235881826054E-7</v>
      </c>
      <c r="C3" s="21">
        <f>'Heavy+crude oil+'!C20</f>
        <v>1.7769235881826054E-7</v>
      </c>
      <c r="D3" s="21">
        <f>'Heavy+crude oil+'!D20</f>
        <v>1.7769235881826054E-7</v>
      </c>
      <c r="E3" s="21">
        <f>'Heavy+crude oil+'!E20</f>
        <v>1.7769235881826054E-7</v>
      </c>
      <c r="F3" s="21">
        <f>'Heavy+crude oil+'!F20</f>
        <v>1.7769235881826054E-7</v>
      </c>
      <c r="G3" s="21">
        <f>'Heavy+crude oil+'!G20</f>
        <v>1.7769235881826054E-7</v>
      </c>
      <c r="H3" s="21">
        <f>'Heavy+crude oil+'!H20</f>
        <v>1.7769235881826054E-7</v>
      </c>
      <c r="I3" s="21">
        <f>'Heavy+crude oil+'!I20</f>
        <v>1.7769235881826054E-7</v>
      </c>
      <c r="J3" s="21">
        <f>'Heavy+crude oil+'!J20</f>
        <v>1.7769235881826054E-7</v>
      </c>
      <c r="K3" s="21">
        <f>'Heavy+crude oil+'!K20</f>
        <v>1.7769235881826054E-7</v>
      </c>
      <c r="L3" s="21">
        <f>'Heavy+crude oil+'!L20</f>
        <v>1.7769235881826054E-7</v>
      </c>
      <c r="M3" s="21">
        <f>'Heavy+crude oil+'!M20</f>
        <v>1.7769235881826054E-7</v>
      </c>
      <c r="N3" s="21">
        <f>'Heavy+crude oil+'!N20</f>
        <v>1.7769235881826054E-7</v>
      </c>
      <c r="O3" s="21">
        <f>'Heavy+crude oil+'!O20</f>
        <v>1.7769235881826054E-7</v>
      </c>
      <c r="P3" s="21">
        <f>'Heavy+crude oil+'!P20</f>
        <v>1.7769235881826054E-7</v>
      </c>
      <c r="Q3" s="21">
        <f>'Heavy+crude oil+'!Q20</f>
        <v>1.7769235881826054E-7</v>
      </c>
      <c r="R3" s="21">
        <f>'Heavy+crude oil+'!R20</f>
        <v>1.7769235881826054E-7</v>
      </c>
      <c r="S3" s="21">
        <f>'Heavy+crude oil+'!S20</f>
        <v>1.7769235881826054E-7</v>
      </c>
      <c r="T3" s="21">
        <f>'Heavy+crude oil+'!T20</f>
        <v>1.7769235881826054E-7</v>
      </c>
      <c r="U3" s="21">
        <f>'Heavy+crude oil+'!U20</f>
        <v>1.7769235881826054E-7</v>
      </c>
      <c r="V3" s="21">
        <f>'Heavy+crude oil+'!V20</f>
        <v>1.7769235881826054E-7</v>
      </c>
      <c r="W3" s="21">
        <f>'Heavy+crude oil+'!W20</f>
        <v>1.7769235881826054E-7</v>
      </c>
      <c r="X3" s="21">
        <f>'Heavy+crude oil+'!X20</f>
        <v>1.7769235881826054E-7</v>
      </c>
      <c r="Y3" s="21">
        <f>'Heavy+crude oil+'!Y20</f>
        <v>1.7769235881826054E-7</v>
      </c>
      <c r="Z3" s="21">
        <f>'Heavy+crude oil+'!Z20</f>
        <v>1.7769235881826054E-7</v>
      </c>
      <c r="AA3" s="21">
        <f>'Heavy+crude oil+'!AA20</f>
        <v>1.7769235881826054E-7</v>
      </c>
      <c r="AB3" s="21">
        <f>'Heavy+crude oil+'!AB20</f>
        <v>1.7769235881826054E-7</v>
      </c>
      <c r="AC3" s="21">
        <f>'Heavy+crude oil+'!AC20</f>
        <v>1.7769235881826054E-7</v>
      </c>
      <c r="AD3" s="21">
        <f>'Heavy+crude oil+'!AD20</f>
        <v>1.7769235881826054E-7</v>
      </c>
      <c r="AE3" s="21">
        <f>'Heavy+crude oil+'!AE20</f>
        <v>1.7769235881826054E-7</v>
      </c>
      <c r="AF3" s="21">
        <f>'Heavy+crude oil+'!AF20</f>
        <v>1.7769235881826054E-7</v>
      </c>
      <c r="AG3" s="21"/>
      <c r="AH3" s="21"/>
    </row>
    <row r="4" spans="1:36">
      <c r="A4" s="13" t="s">
        <v>166</v>
      </c>
      <c r="B4" s="21">
        <f>'Heavy+crude oil+'!B21</f>
        <v>8.7397185925204408E-7</v>
      </c>
      <c r="C4" s="21">
        <f>'Heavy+crude oil+'!C21</f>
        <v>8.7397185925204408E-7</v>
      </c>
      <c r="D4" s="21">
        <f>'Heavy+crude oil+'!D21</f>
        <v>8.7397185925204408E-7</v>
      </c>
      <c r="E4" s="21">
        <f>'Heavy+crude oil+'!E21</f>
        <v>8.7397185925204408E-7</v>
      </c>
      <c r="F4" s="21">
        <f>'Heavy+crude oil+'!F21</f>
        <v>8.7397185925204408E-7</v>
      </c>
      <c r="G4" s="21">
        <f>'Heavy+crude oil+'!G21</f>
        <v>8.7397185925204408E-7</v>
      </c>
      <c r="H4" s="21">
        <f>'Heavy+crude oil+'!H21</f>
        <v>8.7397185925204408E-7</v>
      </c>
      <c r="I4" s="21">
        <f>'Heavy+crude oil+'!I21</f>
        <v>8.7397185925204408E-7</v>
      </c>
      <c r="J4" s="21">
        <f>'Heavy+crude oil+'!J21</f>
        <v>8.7397185925204408E-7</v>
      </c>
      <c r="K4" s="21">
        <f>'Heavy+crude oil+'!K21</f>
        <v>8.7397185925204408E-7</v>
      </c>
      <c r="L4" s="21">
        <f>'Heavy+crude oil+'!L21</f>
        <v>8.7397185925204408E-7</v>
      </c>
      <c r="M4" s="21">
        <f>'Heavy+crude oil+'!M21</f>
        <v>8.7397185925204408E-7</v>
      </c>
      <c r="N4" s="21">
        <f>'Heavy+crude oil+'!N21</f>
        <v>8.7397185925204408E-7</v>
      </c>
      <c r="O4" s="21">
        <f>'Heavy+crude oil+'!O21</f>
        <v>8.7397185925204408E-7</v>
      </c>
      <c r="P4" s="21">
        <f>'Heavy+crude oil+'!P21</f>
        <v>8.7397185925204408E-7</v>
      </c>
      <c r="Q4" s="21">
        <f>'Heavy+crude oil+'!Q21</f>
        <v>8.7397185925204408E-7</v>
      </c>
      <c r="R4" s="21">
        <f>'Heavy+crude oil+'!R21</f>
        <v>8.7397185925204408E-7</v>
      </c>
      <c r="S4" s="21">
        <f>'Heavy+crude oil+'!S21</f>
        <v>8.7397185925204408E-7</v>
      </c>
      <c r="T4" s="21">
        <f>'Heavy+crude oil+'!T21</f>
        <v>8.7397185925204408E-7</v>
      </c>
      <c r="U4" s="21">
        <f>'Heavy+crude oil+'!U21</f>
        <v>8.7397185925204408E-7</v>
      </c>
      <c r="V4" s="21">
        <f>'Heavy+crude oil+'!V21</f>
        <v>8.7397185925204408E-7</v>
      </c>
      <c r="W4" s="21">
        <f>'Heavy+crude oil+'!W21</f>
        <v>8.7397185925204408E-7</v>
      </c>
      <c r="X4" s="21">
        <f>'Heavy+crude oil+'!X21</f>
        <v>8.7397185925204408E-7</v>
      </c>
      <c r="Y4" s="21">
        <f>'Heavy+crude oil+'!Y21</f>
        <v>8.7397185925204408E-7</v>
      </c>
      <c r="Z4" s="21">
        <f>'Heavy+crude oil+'!Z21</f>
        <v>8.7397185925204408E-7</v>
      </c>
      <c r="AA4" s="21">
        <f>'Heavy+crude oil+'!AA21</f>
        <v>8.7397185925204408E-7</v>
      </c>
      <c r="AB4" s="21">
        <f>'Heavy+crude oil+'!AB21</f>
        <v>8.7397185925204408E-7</v>
      </c>
      <c r="AC4" s="21">
        <f>'Heavy+crude oil+'!AC21</f>
        <v>8.7397185925204408E-7</v>
      </c>
      <c r="AD4" s="21">
        <f>'Heavy+crude oil+'!AD21</f>
        <v>8.7397185925204408E-7</v>
      </c>
      <c r="AE4" s="21">
        <f>'Heavy+crude oil+'!AE21</f>
        <v>8.7397185925204408E-7</v>
      </c>
      <c r="AF4" s="21">
        <f>'Heavy+crude oil+'!AF21</f>
        <v>8.7397185925204408E-7</v>
      </c>
      <c r="AG4" s="21"/>
      <c r="AH4" s="21"/>
    </row>
    <row r="5" spans="1:36">
      <c r="A5" s="13" t="s">
        <v>167</v>
      </c>
      <c r="B5" s="21">
        <f>'Heavy+crude oil+'!B22</f>
        <v>2.0667222849677478E-7</v>
      </c>
      <c r="C5" s="21">
        <f>'Heavy+crude oil+'!C22</f>
        <v>2.0667222849677478E-7</v>
      </c>
      <c r="D5" s="21">
        <f>'Heavy+crude oil+'!D22</f>
        <v>2.0667222849677478E-7</v>
      </c>
      <c r="E5" s="21">
        <f>'Heavy+crude oil+'!E22</f>
        <v>2.0667222849677478E-7</v>
      </c>
      <c r="F5" s="21">
        <f>'Heavy+crude oil+'!F22</f>
        <v>2.0667222849677478E-7</v>
      </c>
      <c r="G5" s="21">
        <f>'Heavy+crude oil+'!G22</f>
        <v>2.0667222849677478E-7</v>
      </c>
      <c r="H5" s="21">
        <f>'Heavy+crude oil+'!H22</f>
        <v>2.0667222849677478E-7</v>
      </c>
      <c r="I5" s="21">
        <f>'Heavy+crude oil+'!I22</f>
        <v>2.0667222849677478E-7</v>
      </c>
      <c r="J5" s="21">
        <f>'Heavy+crude oil+'!J22</f>
        <v>2.0667222849677478E-7</v>
      </c>
      <c r="K5" s="21">
        <f>'Heavy+crude oil+'!K22</f>
        <v>2.0667222849677478E-7</v>
      </c>
      <c r="L5" s="21">
        <f>'Heavy+crude oil+'!L22</f>
        <v>2.0667222849677478E-7</v>
      </c>
      <c r="M5" s="21">
        <f>'Heavy+crude oil+'!M22</f>
        <v>2.0667222849677478E-7</v>
      </c>
      <c r="N5" s="21">
        <f>'Heavy+crude oil+'!N22</f>
        <v>2.0667222849677478E-7</v>
      </c>
      <c r="O5" s="21">
        <f>'Heavy+crude oil+'!O22</f>
        <v>2.0667222849677478E-7</v>
      </c>
      <c r="P5" s="21">
        <f>'Heavy+crude oil+'!P22</f>
        <v>2.0667222849677478E-7</v>
      </c>
      <c r="Q5" s="21">
        <f>'Heavy+crude oil+'!Q22</f>
        <v>2.0667222849677478E-7</v>
      </c>
      <c r="R5" s="21">
        <f>'Heavy+crude oil+'!R22</f>
        <v>2.0667222849677478E-7</v>
      </c>
      <c r="S5" s="21">
        <f>'Heavy+crude oil+'!S22</f>
        <v>2.0667222849677478E-7</v>
      </c>
      <c r="T5" s="21">
        <f>'Heavy+crude oil+'!T22</f>
        <v>2.0667222849677478E-7</v>
      </c>
      <c r="U5" s="21">
        <f>'Heavy+crude oil+'!U22</f>
        <v>2.0667222849677478E-7</v>
      </c>
      <c r="V5" s="21">
        <f>'Heavy+crude oil+'!V22</f>
        <v>2.0667222849677478E-7</v>
      </c>
      <c r="W5" s="21">
        <f>'Heavy+crude oil+'!W22</f>
        <v>2.0667222849677478E-7</v>
      </c>
      <c r="X5" s="21">
        <f>'Heavy+crude oil+'!X22</f>
        <v>2.0667222849677478E-7</v>
      </c>
      <c r="Y5" s="21">
        <f>'Heavy+crude oil+'!Y22</f>
        <v>2.0667222849677478E-7</v>
      </c>
      <c r="Z5" s="21">
        <f>'Heavy+crude oil+'!Z22</f>
        <v>2.0667222849677478E-7</v>
      </c>
      <c r="AA5" s="21">
        <f>'Heavy+crude oil+'!AA22</f>
        <v>2.0667222849677478E-7</v>
      </c>
      <c r="AB5" s="21">
        <f>'Heavy+crude oil+'!AB22</f>
        <v>2.0667222849677478E-7</v>
      </c>
      <c r="AC5" s="21">
        <f>'Heavy+crude oil+'!AC22</f>
        <v>2.0667222849677478E-7</v>
      </c>
      <c r="AD5" s="21">
        <f>'Heavy+crude oil+'!AD22</f>
        <v>2.0667222849677478E-7</v>
      </c>
      <c r="AE5" s="21">
        <f>'Heavy+crude oil+'!AE22</f>
        <v>2.0667222849677478E-7</v>
      </c>
      <c r="AF5" s="21">
        <f>'Heavy+crude oil+'!AF22</f>
        <v>2.0667222849677478E-7</v>
      </c>
      <c r="AG5" s="21"/>
      <c r="AH5" s="21"/>
    </row>
    <row r="6" spans="1:36">
      <c r="A6" s="13" t="s">
        <v>168</v>
      </c>
      <c r="B6" s="21">
        <f>'Heavy+crude oil+'!B23</f>
        <v>1.9828331885299449E-7</v>
      </c>
      <c r="C6" s="21">
        <f>'Heavy+crude oil+'!C23</f>
        <v>1.9828331885299449E-7</v>
      </c>
      <c r="D6" s="21">
        <f>'Heavy+crude oil+'!D23</f>
        <v>1.9828331885299449E-7</v>
      </c>
      <c r="E6" s="21">
        <f>'Heavy+crude oil+'!E23</f>
        <v>1.9828331885299449E-7</v>
      </c>
      <c r="F6" s="21">
        <f>'Heavy+crude oil+'!F23</f>
        <v>1.9828331885299449E-7</v>
      </c>
      <c r="G6" s="21">
        <f>'Heavy+crude oil+'!G23</f>
        <v>1.9828331885299449E-7</v>
      </c>
      <c r="H6" s="21">
        <f>'Heavy+crude oil+'!H23</f>
        <v>1.9828331885299449E-7</v>
      </c>
      <c r="I6" s="21">
        <f>'Heavy+crude oil+'!I23</f>
        <v>1.9828331885299449E-7</v>
      </c>
      <c r="J6" s="21">
        <f>'Heavy+crude oil+'!J23</f>
        <v>1.9828331885299449E-7</v>
      </c>
      <c r="K6" s="21">
        <f>'Heavy+crude oil+'!K23</f>
        <v>1.9828331885299449E-7</v>
      </c>
      <c r="L6" s="21">
        <f>'Heavy+crude oil+'!L23</f>
        <v>1.9828331885299449E-7</v>
      </c>
      <c r="M6" s="21">
        <f>'Heavy+crude oil+'!M23</f>
        <v>1.9828331885299449E-7</v>
      </c>
      <c r="N6" s="21">
        <f>'Heavy+crude oil+'!N23</f>
        <v>1.9828331885299449E-7</v>
      </c>
      <c r="O6" s="21">
        <f>'Heavy+crude oil+'!O23</f>
        <v>1.9828331885299449E-7</v>
      </c>
      <c r="P6" s="21">
        <f>'Heavy+crude oil+'!P23</f>
        <v>1.9828331885299449E-7</v>
      </c>
      <c r="Q6" s="21">
        <f>'Heavy+crude oil+'!Q23</f>
        <v>1.9828331885299449E-7</v>
      </c>
      <c r="R6" s="21">
        <f>'Heavy+crude oil+'!R23</f>
        <v>1.9828331885299449E-7</v>
      </c>
      <c r="S6" s="21">
        <f>'Heavy+crude oil+'!S23</f>
        <v>1.9828331885299449E-7</v>
      </c>
      <c r="T6" s="21">
        <f>'Heavy+crude oil+'!T23</f>
        <v>1.9828331885299449E-7</v>
      </c>
      <c r="U6" s="21">
        <f>'Heavy+crude oil+'!U23</f>
        <v>1.9828331885299449E-7</v>
      </c>
      <c r="V6" s="21">
        <f>'Heavy+crude oil+'!V23</f>
        <v>1.9828331885299449E-7</v>
      </c>
      <c r="W6" s="21">
        <f>'Heavy+crude oil+'!W23</f>
        <v>1.9828331885299449E-7</v>
      </c>
      <c r="X6" s="21">
        <f>'Heavy+crude oil+'!X23</f>
        <v>1.9828331885299449E-7</v>
      </c>
      <c r="Y6" s="21">
        <f>'Heavy+crude oil+'!Y23</f>
        <v>1.9828331885299449E-7</v>
      </c>
      <c r="Z6" s="21">
        <f>'Heavy+crude oil+'!Z23</f>
        <v>1.9828331885299449E-7</v>
      </c>
      <c r="AA6" s="21">
        <f>'Heavy+crude oil+'!AA23</f>
        <v>1.9828331885299449E-7</v>
      </c>
      <c r="AB6" s="21">
        <f>'Heavy+crude oil+'!AB23</f>
        <v>1.9828331885299449E-7</v>
      </c>
      <c r="AC6" s="21">
        <f>'Heavy+crude oil+'!AC23</f>
        <v>1.9828331885299449E-7</v>
      </c>
      <c r="AD6" s="21">
        <f>'Heavy+crude oil+'!AD23</f>
        <v>1.9828331885299449E-7</v>
      </c>
      <c r="AE6" s="21">
        <f>'Heavy+crude oil+'!AE23</f>
        <v>1.9828331885299449E-7</v>
      </c>
      <c r="AF6" s="21">
        <f>'Heavy+crude oil+'!AF23</f>
        <v>1.9828331885299449E-7</v>
      </c>
      <c r="AG6" s="21"/>
      <c r="AH6" s="21"/>
    </row>
    <row r="7" spans="1:36">
      <c r="A7" s="13" t="s">
        <v>169</v>
      </c>
      <c r="B7" s="21">
        <f t="shared" ref="B7" si="0">B3</f>
        <v>1.7769235881826054E-7</v>
      </c>
      <c r="C7" s="21">
        <f t="shared" ref="C7:AF7" si="1">C3</f>
        <v>1.7769235881826054E-7</v>
      </c>
      <c r="D7" s="21">
        <f t="shared" si="1"/>
        <v>1.7769235881826054E-7</v>
      </c>
      <c r="E7" s="21">
        <f t="shared" si="1"/>
        <v>1.7769235881826054E-7</v>
      </c>
      <c r="F7" s="21">
        <f t="shared" si="1"/>
        <v>1.7769235881826054E-7</v>
      </c>
      <c r="G7" s="21">
        <f t="shared" si="1"/>
        <v>1.7769235881826054E-7</v>
      </c>
      <c r="H7" s="21">
        <f t="shared" si="1"/>
        <v>1.7769235881826054E-7</v>
      </c>
      <c r="I7" s="21">
        <f t="shared" si="1"/>
        <v>1.7769235881826054E-7</v>
      </c>
      <c r="J7" s="21">
        <f t="shared" si="1"/>
        <v>1.7769235881826054E-7</v>
      </c>
      <c r="K7" s="21">
        <f t="shared" si="1"/>
        <v>1.7769235881826054E-7</v>
      </c>
      <c r="L7" s="21">
        <f t="shared" si="1"/>
        <v>1.7769235881826054E-7</v>
      </c>
      <c r="M7" s="21">
        <f t="shared" si="1"/>
        <v>1.7769235881826054E-7</v>
      </c>
      <c r="N7" s="21">
        <f t="shared" si="1"/>
        <v>1.7769235881826054E-7</v>
      </c>
      <c r="O7" s="21">
        <f t="shared" si="1"/>
        <v>1.7769235881826054E-7</v>
      </c>
      <c r="P7" s="21">
        <f t="shared" si="1"/>
        <v>1.7769235881826054E-7</v>
      </c>
      <c r="Q7" s="21">
        <f t="shared" si="1"/>
        <v>1.7769235881826054E-7</v>
      </c>
      <c r="R7" s="21">
        <f t="shared" si="1"/>
        <v>1.7769235881826054E-7</v>
      </c>
      <c r="S7" s="21">
        <f t="shared" si="1"/>
        <v>1.7769235881826054E-7</v>
      </c>
      <c r="T7" s="21">
        <f t="shared" si="1"/>
        <v>1.7769235881826054E-7</v>
      </c>
      <c r="U7" s="21">
        <f t="shared" si="1"/>
        <v>1.7769235881826054E-7</v>
      </c>
      <c r="V7" s="21">
        <f t="shared" si="1"/>
        <v>1.7769235881826054E-7</v>
      </c>
      <c r="W7" s="21">
        <f t="shared" si="1"/>
        <v>1.7769235881826054E-7</v>
      </c>
      <c r="X7" s="21">
        <f t="shared" si="1"/>
        <v>1.7769235881826054E-7</v>
      </c>
      <c r="Y7" s="21">
        <f t="shared" si="1"/>
        <v>1.7769235881826054E-7</v>
      </c>
      <c r="Z7" s="21">
        <f t="shared" si="1"/>
        <v>1.7769235881826054E-7</v>
      </c>
      <c r="AA7" s="21">
        <f t="shared" si="1"/>
        <v>1.7769235881826054E-7</v>
      </c>
      <c r="AB7" s="21">
        <f t="shared" si="1"/>
        <v>1.7769235881826054E-7</v>
      </c>
      <c r="AC7" s="21">
        <f t="shared" si="1"/>
        <v>1.7769235881826054E-7</v>
      </c>
      <c r="AD7" s="21">
        <f t="shared" si="1"/>
        <v>1.7769235881826054E-7</v>
      </c>
      <c r="AE7" s="21">
        <f t="shared" si="1"/>
        <v>1.7769235881826054E-7</v>
      </c>
      <c r="AF7" s="21">
        <f t="shared" si="1"/>
        <v>1.7769235881826054E-7</v>
      </c>
      <c r="AG7" s="21"/>
      <c r="AH7" s="21"/>
    </row>
    <row r="8" spans="1:36">
      <c r="A8" s="13" t="s">
        <v>170</v>
      </c>
      <c r="B8" s="32">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6">
      <c r="A9" s="13" t="s">
        <v>171</v>
      </c>
      <c r="B9" s="32">
        <f t="shared" ref="B9" si="2">B6</f>
        <v>1.9828331885299449E-7</v>
      </c>
      <c r="C9">
        <f t="shared" ref="C9:AF9" si="3">C6</f>
        <v>1.9828331885299449E-7</v>
      </c>
      <c r="D9">
        <f t="shared" si="3"/>
        <v>1.9828331885299449E-7</v>
      </c>
      <c r="E9">
        <f t="shared" si="3"/>
        <v>1.9828331885299449E-7</v>
      </c>
      <c r="F9">
        <f t="shared" si="3"/>
        <v>1.9828331885299449E-7</v>
      </c>
      <c r="G9">
        <f t="shared" si="3"/>
        <v>1.9828331885299449E-7</v>
      </c>
      <c r="H9">
        <f t="shared" si="3"/>
        <v>1.9828331885299449E-7</v>
      </c>
      <c r="I9">
        <f t="shared" si="3"/>
        <v>1.9828331885299449E-7</v>
      </c>
      <c r="J9">
        <f t="shared" si="3"/>
        <v>1.9828331885299449E-7</v>
      </c>
      <c r="K9">
        <f t="shared" si="3"/>
        <v>1.9828331885299449E-7</v>
      </c>
      <c r="L9">
        <f t="shared" si="3"/>
        <v>1.9828331885299449E-7</v>
      </c>
      <c r="M9">
        <f t="shared" si="3"/>
        <v>1.9828331885299449E-7</v>
      </c>
      <c r="N9">
        <f t="shared" si="3"/>
        <v>1.9828331885299449E-7</v>
      </c>
      <c r="O9">
        <f t="shared" si="3"/>
        <v>1.9828331885299449E-7</v>
      </c>
      <c r="P9">
        <f t="shared" si="3"/>
        <v>1.9828331885299449E-7</v>
      </c>
      <c r="Q9">
        <f t="shared" si="3"/>
        <v>1.9828331885299449E-7</v>
      </c>
      <c r="R9">
        <f t="shared" si="3"/>
        <v>1.9828331885299449E-7</v>
      </c>
      <c r="S9">
        <f t="shared" si="3"/>
        <v>1.9828331885299449E-7</v>
      </c>
      <c r="T9">
        <f t="shared" si="3"/>
        <v>1.9828331885299449E-7</v>
      </c>
      <c r="U9">
        <f t="shared" si="3"/>
        <v>1.9828331885299449E-7</v>
      </c>
      <c r="V9">
        <f t="shared" si="3"/>
        <v>1.9828331885299449E-7</v>
      </c>
      <c r="W9">
        <f t="shared" si="3"/>
        <v>1.9828331885299449E-7</v>
      </c>
      <c r="X9">
        <f t="shared" si="3"/>
        <v>1.9828331885299449E-7</v>
      </c>
      <c r="Y9">
        <f t="shared" si="3"/>
        <v>1.9828331885299449E-7</v>
      </c>
      <c r="Z9">
        <f t="shared" si="3"/>
        <v>1.9828331885299449E-7</v>
      </c>
      <c r="AA9">
        <f t="shared" si="3"/>
        <v>1.9828331885299449E-7</v>
      </c>
      <c r="AB9">
        <f t="shared" si="3"/>
        <v>1.9828331885299449E-7</v>
      </c>
      <c r="AC9">
        <f t="shared" si="3"/>
        <v>1.9828331885299449E-7</v>
      </c>
      <c r="AD9">
        <f t="shared" si="3"/>
        <v>1.9828331885299449E-7</v>
      </c>
      <c r="AE9">
        <f t="shared" si="3"/>
        <v>1.9828331885299449E-7</v>
      </c>
      <c r="AF9">
        <f t="shared" si="3"/>
        <v>1.9828331885299449E-7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19448-44A8-41BF-AA4D-D74527CEFC43}">
  <sheetPr>
    <tabColor theme="0" tint="-0.14999847407452621"/>
  </sheetPr>
  <dimension ref="A1:M66"/>
  <sheetViews>
    <sheetView topLeftCell="A7" workbookViewId="0">
      <selection activeCell="B7" sqref="B7:K10"/>
    </sheetView>
  </sheetViews>
  <sheetFormatPr defaultRowHeight="14.5"/>
  <cols>
    <col min="1" max="1" width="11.7265625" customWidth="1"/>
    <col min="2" max="2" width="22.1796875" bestFit="1" customWidth="1"/>
    <col min="3" max="3" width="12.81640625" bestFit="1" customWidth="1"/>
    <col min="4" max="4" width="15.453125" bestFit="1" customWidth="1"/>
  </cols>
  <sheetData>
    <row r="1" spans="1:13">
      <c r="A1">
        <f>AggregateSEDS!C1</f>
        <v>2019</v>
      </c>
      <c r="B1">
        <f>AggregateSEDS!D1</f>
        <v>2019</v>
      </c>
      <c r="C1">
        <f>AggregateSEDS!E1</f>
        <v>2019</v>
      </c>
      <c r="D1">
        <f>AggregateSEDS!F1</f>
        <v>2019</v>
      </c>
      <c r="E1">
        <f>AggregateSEDS!G1</f>
        <v>2019</v>
      </c>
      <c r="F1">
        <v>2019</v>
      </c>
    </row>
    <row r="2" spans="1:13">
      <c r="A2" t="str">
        <f>AggregateSEDS!C2</f>
        <v>Natural gas</v>
      </c>
      <c r="B2" t="str">
        <f>AggregateSEDS!D2</f>
        <v>Diesel / Distallate Fuel Oil</v>
      </c>
      <c r="C2" t="str">
        <f>AggregateSEDS!E2</f>
        <v>HGLs/Propane</v>
      </c>
      <c r="D2" t="str">
        <f>AggregateSEDS!F2</f>
        <v>Kerosene/Jet fuel</v>
      </c>
      <c r="E2" t="str">
        <f>AggregateSEDS!G2</f>
        <v>Wood</v>
      </c>
      <c r="F2" s="32" t="s">
        <v>645</v>
      </c>
    </row>
    <row r="3" spans="1:13">
      <c r="A3" s="32">
        <f>C66</f>
        <v>9.1</v>
      </c>
      <c r="B3" s="32">
        <f t="shared" ref="B3:D3" si="0">D66</f>
        <v>18.12</v>
      </c>
      <c r="C3" s="32">
        <f t="shared" si="0"/>
        <v>16.079999999999998</v>
      </c>
      <c r="D3" s="32">
        <f t="shared" si="0"/>
        <v>23.09</v>
      </c>
      <c r="E3" s="32">
        <f>J66</f>
        <v>2.71</v>
      </c>
      <c r="F3" t="str">
        <f>H66</f>
        <v>—</v>
      </c>
    </row>
    <row r="4" spans="1:13">
      <c r="A4" s="32" t="s">
        <v>595</v>
      </c>
    </row>
    <row r="5" spans="1:13" ht="21">
      <c r="A5" s="95" t="s">
        <v>623</v>
      </c>
    </row>
    <row r="6" spans="1:13" ht="15" thickBot="1">
      <c r="A6" s="94"/>
    </row>
    <row r="7" spans="1:13">
      <c r="A7" s="212" t="s">
        <v>325</v>
      </c>
      <c r="B7" s="215" t="s">
        <v>770</v>
      </c>
      <c r="C7" s="216"/>
      <c r="D7" s="216"/>
      <c r="E7" s="216"/>
      <c r="F7" s="216"/>
      <c r="G7" s="216"/>
      <c r="H7" s="216"/>
      <c r="I7" s="216"/>
      <c r="J7" s="216"/>
      <c r="K7" s="217"/>
      <c r="L7" s="85"/>
      <c r="M7" s="85"/>
    </row>
    <row r="8" spans="1:13">
      <c r="A8" s="213"/>
      <c r="B8" s="218"/>
      <c r="C8" s="219"/>
      <c r="D8" s="219"/>
      <c r="E8" s="219"/>
      <c r="F8" s="219"/>
      <c r="G8" s="219"/>
      <c r="H8" s="219"/>
      <c r="I8" s="219"/>
      <c r="J8" s="219"/>
      <c r="K8" s="220"/>
      <c r="L8" s="86"/>
      <c r="M8" s="86"/>
    </row>
    <row r="9" spans="1:13">
      <c r="A9" s="213"/>
      <c r="B9" s="218"/>
      <c r="C9" s="219"/>
      <c r="D9" s="219"/>
      <c r="E9" s="219"/>
      <c r="F9" s="219"/>
      <c r="G9" s="219"/>
      <c r="H9" s="219"/>
      <c r="I9" s="219"/>
      <c r="J9" s="219"/>
      <c r="K9" s="220"/>
      <c r="L9" s="86"/>
      <c r="M9" s="86"/>
    </row>
    <row r="10" spans="1:13" ht="15" thickBot="1">
      <c r="A10" s="213"/>
      <c r="B10" s="221"/>
      <c r="C10" s="222"/>
      <c r="D10" s="222"/>
      <c r="E10" s="222"/>
      <c r="F10" s="222"/>
      <c r="G10" s="222"/>
      <c r="H10" s="222"/>
      <c r="I10" s="222"/>
      <c r="J10" s="222"/>
      <c r="K10" s="223"/>
      <c r="L10" s="87" t="s">
        <v>130</v>
      </c>
      <c r="M10" s="86"/>
    </row>
    <row r="11" spans="1:13">
      <c r="A11" s="213"/>
      <c r="B11" s="212" t="s">
        <v>96</v>
      </c>
      <c r="C11" s="85"/>
      <c r="D11" s="215" t="s">
        <v>98</v>
      </c>
      <c r="E11" s="216"/>
      <c r="F11" s="216"/>
      <c r="G11" s="216"/>
      <c r="H11" s="216"/>
      <c r="I11" s="217"/>
      <c r="J11" s="212" t="s">
        <v>604</v>
      </c>
      <c r="K11" s="212" t="s">
        <v>615</v>
      </c>
      <c r="L11" s="87" t="s">
        <v>597</v>
      </c>
      <c r="M11" s="87" t="s">
        <v>599</v>
      </c>
    </row>
    <row r="12" spans="1:13">
      <c r="A12" s="213"/>
      <c r="B12" s="213"/>
      <c r="C12" s="86"/>
      <c r="D12" s="218"/>
      <c r="E12" s="219"/>
      <c r="F12" s="219"/>
      <c r="G12" s="219"/>
      <c r="H12" s="219"/>
      <c r="I12" s="220"/>
      <c r="J12" s="213"/>
      <c r="K12" s="213"/>
      <c r="L12" s="87" t="s">
        <v>598</v>
      </c>
      <c r="M12" s="87" t="s">
        <v>613</v>
      </c>
    </row>
    <row r="13" spans="1:13" ht="15" thickBot="1">
      <c r="A13" s="213"/>
      <c r="B13" s="213"/>
      <c r="C13" s="87" t="s">
        <v>602</v>
      </c>
      <c r="D13" s="221"/>
      <c r="E13" s="222"/>
      <c r="F13" s="222"/>
      <c r="G13" s="222"/>
      <c r="H13" s="222"/>
      <c r="I13" s="223"/>
      <c r="J13" s="214"/>
      <c r="K13" s="213"/>
      <c r="L13" s="87"/>
      <c r="M13" s="87"/>
    </row>
    <row r="14" spans="1:13">
      <c r="A14" s="213"/>
      <c r="B14" s="213"/>
      <c r="C14" s="87" t="s">
        <v>614</v>
      </c>
      <c r="D14" s="84" t="s">
        <v>606</v>
      </c>
      <c r="E14" s="212" t="s">
        <v>616</v>
      </c>
      <c r="F14" s="212" t="s">
        <v>608</v>
      </c>
      <c r="G14" s="84" t="s">
        <v>617</v>
      </c>
      <c r="H14" s="84" t="s">
        <v>619</v>
      </c>
      <c r="I14" s="212" t="s">
        <v>620</v>
      </c>
      <c r="J14" s="84" t="s">
        <v>621</v>
      </c>
      <c r="K14" s="213"/>
      <c r="L14" s="87"/>
      <c r="M14" s="87"/>
    </row>
    <row r="15" spans="1:13" ht="15" thickBot="1">
      <c r="A15" s="213"/>
      <c r="B15" s="214"/>
      <c r="C15" s="88"/>
      <c r="D15" s="88" t="s">
        <v>415</v>
      </c>
      <c r="E15" s="214"/>
      <c r="F15" s="214"/>
      <c r="G15" s="88" t="s">
        <v>618</v>
      </c>
      <c r="H15" s="88" t="s">
        <v>415</v>
      </c>
      <c r="I15" s="214"/>
      <c r="J15" s="88" t="s">
        <v>622</v>
      </c>
      <c r="K15" s="214"/>
      <c r="L15" s="88"/>
      <c r="M15" s="88"/>
    </row>
    <row r="16" spans="1:13" ht="15" thickBot="1">
      <c r="A16" s="214"/>
      <c r="B16" s="228" t="s">
        <v>610</v>
      </c>
      <c r="C16" s="229"/>
      <c r="D16" s="229"/>
      <c r="E16" s="229"/>
      <c r="F16" s="229"/>
      <c r="G16" s="229"/>
      <c r="H16" s="229"/>
      <c r="I16" s="229"/>
      <c r="J16" s="229"/>
      <c r="K16" s="229"/>
      <c r="L16" s="229"/>
      <c r="M16" s="230"/>
    </row>
    <row r="17" spans="1:13" ht="15" thickBot="1">
      <c r="A17" s="89">
        <v>1970</v>
      </c>
      <c r="B17" s="90">
        <v>0.63</v>
      </c>
      <c r="C17" s="90">
        <v>0.69</v>
      </c>
      <c r="D17" s="90">
        <v>1.1200000000000001</v>
      </c>
      <c r="E17" s="90">
        <v>1.35</v>
      </c>
      <c r="F17" s="90">
        <v>0.78</v>
      </c>
      <c r="G17" s="90">
        <v>2.8</v>
      </c>
      <c r="H17" s="90">
        <v>0.4</v>
      </c>
      <c r="I17" s="90">
        <v>0.78</v>
      </c>
      <c r="J17" s="90">
        <v>0.82</v>
      </c>
      <c r="K17" s="90">
        <v>0.71</v>
      </c>
      <c r="L17" s="90">
        <v>5.0199999999999996</v>
      </c>
      <c r="M17" s="90">
        <v>2.08</v>
      </c>
    </row>
    <row r="18" spans="1:13" ht="15" thickBot="1">
      <c r="A18" s="89">
        <v>1971</v>
      </c>
      <c r="B18" s="90">
        <v>0.53</v>
      </c>
      <c r="C18" s="90">
        <v>0.72</v>
      </c>
      <c r="D18" s="90">
        <v>1.18</v>
      </c>
      <c r="E18" s="90">
        <v>1.44</v>
      </c>
      <c r="F18" s="90">
        <v>0.8</v>
      </c>
      <c r="G18" s="90">
        <v>2.84</v>
      </c>
      <c r="H18" s="90">
        <v>0.63</v>
      </c>
      <c r="I18" s="90">
        <v>0.94</v>
      </c>
      <c r="J18" s="90">
        <v>0.86</v>
      </c>
      <c r="K18" s="90">
        <v>0.77</v>
      </c>
      <c r="L18" s="90">
        <v>5.31</v>
      </c>
      <c r="M18" s="90">
        <v>2.15</v>
      </c>
    </row>
    <row r="19" spans="1:13" ht="15" thickBot="1">
      <c r="A19" s="89">
        <v>1972</v>
      </c>
      <c r="B19" s="90">
        <v>0.61</v>
      </c>
      <c r="C19" s="90">
        <v>0.77</v>
      </c>
      <c r="D19" s="90">
        <v>1.18</v>
      </c>
      <c r="E19" s="90">
        <v>1.47</v>
      </c>
      <c r="F19" s="90">
        <v>0.81</v>
      </c>
      <c r="G19" s="90">
        <v>2.79</v>
      </c>
      <c r="H19" s="90">
        <v>0.79</v>
      </c>
      <c r="I19" s="90">
        <v>1.1399999999999999</v>
      </c>
      <c r="J19" s="90">
        <v>0.87</v>
      </c>
      <c r="K19" s="90">
        <v>0.85</v>
      </c>
      <c r="L19" s="90">
        <v>5.63</v>
      </c>
      <c r="M19" s="90">
        <v>2.5099999999999998</v>
      </c>
    </row>
    <row r="20" spans="1:13" ht="15" thickBot="1">
      <c r="A20" s="89">
        <v>1973</v>
      </c>
      <c r="B20" s="90" t="s">
        <v>611</v>
      </c>
      <c r="C20" s="90">
        <v>0.81</v>
      </c>
      <c r="D20" s="90">
        <v>1.41</v>
      </c>
      <c r="E20" s="90">
        <v>1.59</v>
      </c>
      <c r="F20" s="90">
        <v>1.0900000000000001</v>
      </c>
      <c r="G20" s="90">
        <v>3.08</v>
      </c>
      <c r="H20" s="90">
        <v>0.93</v>
      </c>
      <c r="I20" s="90">
        <v>1.3</v>
      </c>
      <c r="J20" s="90">
        <v>1</v>
      </c>
      <c r="K20" s="90">
        <v>0.91</v>
      </c>
      <c r="L20" s="90">
        <v>6.14</v>
      </c>
      <c r="M20" s="90">
        <v>2.75</v>
      </c>
    </row>
    <row r="21" spans="1:13" ht="15" thickBot="1">
      <c r="A21" s="89">
        <v>1974</v>
      </c>
      <c r="B21" s="90">
        <v>1.02</v>
      </c>
      <c r="C21" s="90">
        <v>0.94</v>
      </c>
      <c r="D21" s="90">
        <v>2.37</v>
      </c>
      <c r="E21" s="90">
        <v>2.42</v>
      </c>
      <c r="F21" s="90">
        <v>2.2599999999999998</v>
      </c>
      <c r="G21" s="90">
        <v>4.47</v>
      </c>
      <c r="H21" s="90">
        <v>1.97</v>
      </c>
      <c r="I21" s="90">
        <v>2.36</v>
      </c>
      <c r="J21" s="90">
        <v>1.54</v>
      </c>
      <c r="K21" s="90">
        <v>1.25</v>
      </c>
      <c r="L21" s="90">
        <v>8.0399999999999991</v>
      </c>
      <c r="M21" s="90">
        <v>3.54</v>
      </c>
    </row>
    <row r="22" spans="1:13" ht="15" thickBot="1">
      <c r="A22" s="89">
        <v>1975</v>
      </c>
      <c r="B22" s="90" t="s">
        <v>611</v>
      </c>
      <c r="C22" s="90">
        <v>1.22</v>
      </c>
      <c r="D22" s="90">
        <v>2.6</v>
      </c>
      <c r="E22" s="90">
        <v>2.68</v>
      </c>
      <c r="F22" s="90">
        <v>2.5</v>
      </c>
      <c r="G22" s="90">
        <v>4.84</v>
      </c>
      <c r="H22" s="90">
        <v>2.4500000000000002</v>
      </c>
      <c r="I22" s="90">
        <v>2.92</v>
      </c>
      <c r="J22" s="90">
        <v>1.62</v>
      </c>
      <c r="K22" s="90">
        <v>1.48</v>
      </c>
      <c r="L22" s="90">
        <v>8.73</v>
      </c>
      <c r="M22" s="90">
        <v>4.3600000000000003</v>
      </c>
    </row>
    <row r="23" spans="1:13" ht="15" thickBot="1">
      <c r="A23" s="89">
        <v>1976</v>
      </c>
      <c r="B23" s="90" t="s">
        <v>611</v>
      </c>
      <c r="C23" s="90">
        <v>1.51</v>
      </c>
      <c r="D23" s="90">
        <v>2.9</v>
      </c>
      <c r="E23" s="90">
        <v>2.91</v>
      </c>
      <c r="F23" s="90">
        <v>2.84</v>
      </c>
      <c r="G23" s="90">
        <v>5.04</v>
      </c>
      <c r="H23" s="90">
        <v>2.2599999999999998</v>
      </c>
      <c r="I23" s="90">
        <v>3.07</v>
      </c>
      <c r="J23" s="90">
        <v>1.74</v>
      </c>
      <c r="K23" s="90">
        <v>1.77</v>
      </c>
      <c r="L23" s="90">
        <v>9.61</v>
      </c>
      <c r="M23" s="90">
        <v>5.12</v>
      </c>
    </row>
    <row r="24" spans="1:13" ht="15" thickBot="1">
      <c r="A24" s="89">
        <v>1977</v>
      </c>
      <c r="B24" s="90" t="s">
        <v>611</v>
      </c>
      <c r="C24" s="90">
        <v>1.97</v>
      </c>
      <c r="D24" s="90">
        <v>3</v>
      </c>
      <c r="E24" s="90">
        <v>3.5</v>
      </c>
      <c r="F24" s="90">
        <v>2.97</v>
      </c>
      <c r="G24" s="90">
        <v>5.33</v>
      </c>
      <c r="H24" s="90">
        <v>2.35</v>
      </c>
      <c r="I24" s="90">
        <v>3.29</v>
      </c>
      <c r="J24" s="90">
        <v>1.96</v>
      </c>
      <c r="K24" s="90">
        <v>2.21</v>
      </c>
      <c r="L24" s="90">
        <v>12.04</v>
      </c>
      <c r="M24" s="90">
        <v>6.3</v>
      </c>
    </row>
    <row r="25" spans="1:13" ht="15" thickBot="1">
      <c r="A25" s="89">
        <v>1978</v>
      </c>
      <c r="B25" s="90">
        <v>1.4</v>
      </c>
      <c r="C25" s="90">
        <v>2.13</v>
      </c>
      <c r="D25" s="90">
        <v>3.04</v>
      </c>
      <c r="E25" s="90">
        <v>3.96</v>
      </c>
      <c r="F25" s="90">
        <v>3.11</v>
      </c>
      <c r="G25" s="90">
        <v>5.48</v>
      </c>
      <c r="H25" s="90">
        <v>2.5099999999999998</v>
      </c>
      <c r="I25" s="90">
        <v>3.59</v>
      </c>
      <c r="J25" s="90">
        <v>2.08</v>
      </c>
      <c r="K25" s="90">
        <v>2.42</v>
      </c>
      <c r="L25" s="90">
        <v>13.1</v>
      </c>
      <c r="M25" s="90">
        <v>6.9</v>
      </c>
    </row>
    <row r="26" spans="1:13" ht="15" thickBot="1">
      <c r="A26" s="89">
        <v>1979</v>
      </c>
      <c r="B26" s="90">
        <v>1.6</v>
      </c>
      <c r="C26" s="90">
        <v>2.61</v>
      </c>
      <c r="D26" s="90">
        <v>4.38</v>
      </c>
      <c r="E26" s="90">
        <v>4.01</v>
      </c>
      <c r="F26" s="90">
        <v>4.3099999999999996</v>
      </c>
      <c r="G26" s="90">
        <v>7.47</v>
      </c>
      <c r="H26" s="90">
        <v>3.15</v>
      </c>
      <c r="I26" s="90">
        <v>4.51</v>
      </c>
      <c r="J26" s="90">
        <v>2.98</v>
      </c>
      <c r="K26" s="90">
        <v>2.92</v>
      </c>
      <c r="L26" s="90">
        <v>13.07</v>
      </c>
      <c r="M26" s="90">
        <v>6.96</v>
      </c>
    </row>
    <row r="27" spans="1:13" ht="15" thickBot="1">
      <c r="A27" s="89">
        <v>1980</v>
      </c>
      <c r="B27" s="90">
        <v>1.82</v>
      </c>
      <c r="C27" s="90">
        <v>3.82</v>
      </c>
      <c r="D27" s="90">
        <v>6.6</v>
      </c>
      <c r="E27" s="90">
        <v>4.9800000000000004</v>
      </c>
      <c r="F27" s="90">
        <v>6.38</v>
      </c>
      <c r="G27" s="90">
        <v>10.19</v>
      </c>
      <c r="H27" s="90">
        <v>4.9000000000000004</v>
      </c>
      <c r="I27" s="90">
        <v>5.98</v>
      </c>
      <c r="J27" s="90">
        <v>4.1500000000000004</v>
      </c>
      <c r="K27" s="90">
        <v>4.3</v>
      </c>
      <c r="L27" s="90">
        <v>17.989999999999998</v>
      </c>
      <c r="M27" s="90">
        <v>9.5500000000000007</v>
      </c>
    </row>
    <row r="28" spans="1:13" ht="15" thickBot="1">
      <c r="A28" s="89">
        <v>1981</v>
      </c>
      <c r="B28" s="90">
        <v>2.06</v>
      </c>
      <c r="C28" s="90">
        <v>4.1900000000000004</v>
      </c>
      <c r="D28" s="90">
        <v>7.54</v>
      </c>
      <c r="E28" s="90">
        <v>5.78</v>
      </c>
      <c r="F28" s="90">
        <v>7.27</v>
      </c>
      <c r="G28" s="90">
        <v>11.33</v>
      </c>
      <c r="H28" s="90">
        <v>6.5</v>
      </c>
      <c r="I28" s="90">
        <v>7.05</v>
      </c>
      <c r="J28" s="90">
        <v>5.0999999999999996</v>
      </c>
      <c r="K28" s="90">
        <v>5.07</v>
      </c>
      <c r="L28" s="90">
        <v>19.3</v>
      </c>
      <c r="M28" s="90">
        <v>10.66</v>
      </c>
    </row>
    <row r="29" spans="1:13" ht="15" thickBot="1">
      <c r="A29" s="89">
        <v>1982</v>
      </c>
      <c r="B29" s="90">
        <v>2.31</v>
      </c>
      <c r="C29" s="90">
        <v>5.08</v>
      </c>
      <c r="D29" s="90">
        <v>7.49</v>
      </c>
      <c r="E29" s="90">
        <v>6.6</v>
      </c>
      <c r="F29" s="90">
        <v>6.89</v>
      </c>
      <c r="G29" s="90">
        <v>10.82</v>
      </c>
      <c r="H29" s="90">
        <v>6.62</v>
      </c>
      <c r="I29" s="90">
        <v>7.35</v>
      </c>
      <c r="J29" s="90">
        <v>4.95</v>
      </c>
      <c r="K29" s="90">
        <v>5.6</v>
      </c>
      <c r="L29" s="90">
        <v>21.78</v>
      </c>
      <c r="M29" s="90">
        <v>12.28</v>
      </c>
    </row>
    <row r="30" spans="1:13" ht="15" thickBot="1">
      <c r="A30" s="89">
        <v>1983</v>
      </c>
      <c r="B30" s="90">
        <v>2.37</v>
      </c>
      <c r="C30" s="90">
        <v>6.08</v>
      </c>
      <c r="D30" s="90">
        <v>6.27</v>
      </c>
      <c r="E30" s="90">
        <v>6.83</v>
      </c>
      <c r="F30" s="90">
        <v>8.39</v>
      </c>
      <c r="G30" s="90">
        <v>8.9600000000000009</v>
      </c>
      <c r="H30" s="90">
        <v>5.97</v>
      </c>
      <c r="I30" s="90">
        <v>6.75</v>
      </c>
      <c r="J30" s="90">
        <v>4.79</v>
      </c>
      <c r="K30" s="90">
        <v>6.22</v>
      </c>
      <c r="L30" s="90">
        <v>21.41</v>
      </c>
      <c r="M30" s="90">
        <v>12.75</v>
      </c>
    </row>
    <row r="31" spans="1:13" ht="15" thickBot="1">
      <c r="A31" s="89">
        <v>1984</v>
      </c>
      <c r="B31" s="90">
        <v>2.39</v>
      </c>
      <c r="C31" s="90">
        <v>6.7</v>
      </c>
      <c r="D31" s="90">
        <v>6</v>
      </c>
      <c r="E31" s="90">
        <v>6.67</v>
      </c>
      <c r="F31" s="90">
        <v>8.2899999999999991</v>
      </c>
      <c r="G31" s="90">
        <v>8.74</v>
      </c>
      <c r="H31" s="90">
        <v>4.49</v>
      </c>
      <c r="I31" s="90">
        <v>6.22</v>
      </c>
      <c r="J31" s="90">
        <v>4.88</v>
      </c>
      <c r="K31" s="90">
        <v>6.56</v>
      </c>
      <c r="L31" s="90">
        <v>22.03</v>
      </c>
      <c r="M31" s="90">
        <v>13.9</v>
      </c>
    </row>
    <row r="32" spans="1:13" ht="15" thickBot="1">
      <c r="A32" s="89">
        <v>1985</v>
      </c>
      <c r="B32" s="90">
        <v>2.25</v>
      </c>
      <c r="C32" s="90">
        <v>6.39</v>
      </c>
      <c r="D32" s="90">
        <v>5.93</v>
      </c>
      <c r="E32" s="90">
        <v>9.48</v>
      </c>
      <c r="F32" s="90">
        <v>11.15</v>
      </c>
      <c r="G32" s="90">
        <v>8.68</v>
      </c>
      <c r="H32" s="90">
        <v>3.93</v>
      </c>
      <c r="I32" s="90">
        <v>7.46</v>
      </c>
      <c r="J32" s="90">
        <v>4.6900000000000004</v>
      </c>
      <c r="K32" s="90">
        <v>6.53</v>
      </c>
      <c r="L32" s="90">
        <v>23.61</v>
      </c>
      <c r="M32" s="90">
        <v>15.05</v>
      </c>
    </row>
    <row r="33" spans="1:13" ht="15" thickBot="1">
      <c r="A33" s="89">
        <v>1986</v>
      </c>
      <c r="B33" s="90" t="s">
        <v>611</v>
      </c>
      <c r="C33" s="90">
        <v>5.65</v>
      </c>
      <c r="D33" s="90">
        <v>3.52</v>
      </c>
      <c r="E33" s="90">
        <v>8.9600000000000009</v>
      </c>
      <c r="F33" s="90">
        <v>4.97</v>
      </c>
      <c r="G33" s="90">
        <v>6.68</v>
      </c>
      <c r="H33" s="90">
        <v>2.16</v>
      </c>
      <c r="I33" s="90">
        <v>4.4000000000000004</v>
      </c>
      <c r="J33" s="90">
        <v>3.76</v>
      </c>
      <c r="K33" s="90">
        <v>5.37</v>
      </c>
      <c r="L33" s="90">
        <v>24.19</v>
      </c>
      <c r="M33" s="90">
        <v>14.98</v>
      </c>
    </row>
    <row r="34" spans="1:13" ht="15" thickBot="1">
      <c r="A34" s="89">
        <v>1987</v>
      </c>
      <c r="B34" s="90">
        <v>2.09</v>
      </c>
      <c r="C34" s="90">
        <v>5.28</v>
      </c>
      <c r="D34" s="90">
        <v>4.1500000000000004</v>
      </c>
      <c r="E34" s="90">
        <v>8.4499999999999993</v>
      </c>
      <c r="F34" s="90">
        <v>4.6900000000000004</v>
      </c>
      <c r="G34" s="90">
        <v>6.95</v>
      </c>
      <c r="H34" s="90">
        <v>2.6</v>
      </c>
      <c r="I34" s="90">
        <v>5.05</v>
      </c>
      <c r="J34" s="90">
        <v>3.58</v>
      </c>
      <c r="K34" s="90">
        <v>5.23</v>
      </c>
      <c r="L34" s="90">
        <v>23.47</v>
      </c>
      <c r="M34" s="90">
        <v>14.1</v>
      </c>
    </row>
    <row r="35" spans="1:13" ht="15" thickBot="1">
      <c r="A35" s="89">
        <v>1988</v>
      </c>
      <c r="B35" s="90">
        <v>1.94</v>
      </c>
      <c r="C35" s="90">
        <v>4.55</v>
      </c>
      <c r="D35" s="90">
        <v>3.82</v>
      </c>
      <c r="E35" s="90">
        <v>8.5</v>
      </c>
      <c r="F35" s="90">
        <v>5.07</v>
      </c>
      <c r="G35" s="90">
        <v>7.08</v>
      </c>
      <c r="H35" s="90">
        <v>2.09</v>
      </c>
      <c r="I35" s="90">
        <v>4.78</v>
      </c>
      <c r="J35" s="90">
        <v>3.62</v>
      </c>
      <c r="K35" s="90">
        <v>4.59</v>
      </c>
      <c r="L35" s="90">
        <v>24.15</v>
      </c>
      <c r="M35" s="90">
        <v>13.75</v>
      </c>
    </row>
    <row r="36" spans="1:13" ht="15" thickBot="1">
      <c r="A36" s="89">
        <v>1989</v>
      </c>
      <c r="B36" s="90">
        <v>1.93</v>
      </c>
      <c r="C36" s="90">
        <v>4.6900000000000004</v>
      </c>
      <c r="D36" s="90">
        <v>4.78</v>
      </c>
      <c r="E36" s="90">
        <v>7.66</v>
      </c>
      <c r="F36" s="90">
        <v>5.37</v>
      </c>
      <c r="G36" s="90">
        <v>7.66</v>
      </c>
      <c r="H36" s="90">
        <v>2.2999999999999998</v>
      </c>
      <c r="I36" s="90">
        <v>5.53</v>
      </c>
      <c r="J36" s="90">
        <v>3.99</v>
      </c>
      <c r="K36" s="90">
        <v>4.8099999999999996</v>
      </c>
      <c r="L36" s="90">
        <v>25.33</v>
      </c>
      <c r="M36" s="90">
        <v>14.48</v>
      </c>
    </row>
    <row r="37" spans="1:13" ht="15" thickBot="1">
      <c r="A37" s="89">
        <v>1990</v>
      </c>
      <c r="B37" s="90">
        <v>2</v>
      </c>
      <c r="C37" s="90">
        <v>4.96</v>
      </c>
      <c r="D37" s="90">
        <v>5.63</v>
      </c>
      <c r="E37" s="90">
        <v>8.9499999999999993</v>
      </c>
      <c r="F37" s="90">
        <v>7.44</v>
      </c>
      <c r="G37" s="90">
        <v>8.57</v>
      </c>
      <c r="H37" s="90">
        <v>3</v>
      </c>
      <c r="I37" s="90">
        <v>6.44</v>
      </c>
      <c r="J37" s="90">
        <v>4.66</v>
      </c>
      <c r="K37" s="90">
        <v>5.16</v>
      </c>
      <c r="L37" s="90">
        <v>26.32</v>
      </c>
      <c r="M37" s="90">
        <v>15.03</v>
      </c>
    </row>
    <row r="38" spans="1:13" ht="15" thickBot="1">
      <c r="A38" s="89">
        <v>1991</v>
      </c>
      <c r="B38" s="90">
        <v>1.97</v>
      </c>
      <c r="C38" s="90">
        <v>5.36</v>
      </c>
      <c r="D38" s="90">
        <v>5.29</v>
      </c>
      <c r="E38" s="90">
        <v>9.26</v>
      </c>
      <c r="F38" s="90">
        <v>5.88</v>
      </c>
      <c r="G38" s="90">
        <v>8.18</v>
      </c>
      <c r="H38" s="90">
        <v>2.2400000000000002</v>
      </c>
      <c r="I38" s="90">
        <v>6.19</v>
      </c>
      <c r="J38" s="90">
        <v>4.47</v>
      </c>
      <c r="K38" s="90">
        <v>5.46</v>
      </c>
      <c r="L38" s="90">
        <v>28.13</v>
      </c>
      <c r="M38" s="90">
        <v>15.85</v>
      </c>
    </row>
    <row r="39" spans="1:13" ht="15" thickBot="1">
      <c r="A39" s="89">
        <v>1992</v>
      </c>
      <c r="B39" s="90">
        <v>1.83</v>
      </c>
      <c r="C39" s="90">
        <v>5.01</v>
      </c>
      <c r="D39" s="90">
        <v>5.01</v>
      </c>
      <c r="E39" s="90">
        <v>9.26</v>
      </c>
      <c r="F39" s="90">
        <v>5.28</v>
      </c>
      <c r="G39" s="90">
        <v>9.19</v>
      </c>
      <c r="H39" s="90">
        <v>2.25</v>
      </c>
      <c r="I39" s="90">
        <v>7.07</v>
      </c>
      <c r="J39" s="90">
        <v>4.09</v>
      </c>
      <c r="K39" s="90">
        <v>5.17</v>
      </c>
      <c r="L39" s="90">
        <v>29.07</v>
      </c>
      <c r="M39" s="90">
        <v>16.670000000000002</v>
      </c>
    </row>
    <row r="40" spans="1:13" ht="15" thickBot="1">
      <c r="A40" s="89">
        <v>1993</v>
      </c>
      <c r="B40" s="90">
        <v>1.85</v>
      </c>
      <c r="C40" s="90">
        <v>5.81</v>
      </c>
      <c r="D40" s="90">
        <v>5.24</v>
      </c>
      <c r="E40" s="90">
        <v>9.17</v>
      </c>
      <c r="F40" s="90">
        <v>5.78</v>
      </c>
      <c r="G40" s="90">
        <v>9.14</v>
      </c>
      <c r="H40" s="90">
        <v>2.14</v>
      </c>
      <c r="I40" s="90">
        <v>6.56</v>
      </c>
      <c r="J40" s="90">
        <v>3.93</v>
      </c>
      <c r="K40" s="90">
        <v>5.81</v>
      </c>
      <c r="L40" s="90">
        <v>29.28</v>
      </c>
      <c r="M40" s="90">
        <v>17.71</v>
      </c>
    </row>
    <row r="41" spans="1:13" ht="15" thickBot="1">
      <c r="A41" s="89">
        <v>1994</v>
      </c>
      <c r="B41" s="90">
        <v>1.87</v>
      </c>
      <c r="C41" s="90">
        <v>6.99</v>
      </c>
      <c r="D41" s="90">
        <v>4.8099999999999996</v>
      </c>
      <c r="E41" s="90">
        <v>10.130000000000001</v>
      </c>
      <c r="F41" s="90">
        <v>5.05</v>
      </c>
      <c r="G41" s="90">
        <v>9.1300000000000008</v>
      </c>
      <c r="H41" s="90">
        <v>2.41</v>
      </c>
      <c r="I41" s="90">
        <v>6.54</v>
      </c>
      <c r="J41" s="90">
        <v>3.65</v>
      </c>
      <c r="K41" s="90">
        <v>6.86</v>
      </c>
      <c r="L41" s="90">
        <v>30.38</v>
      </c>
      <c r="M41" s="90">
        <v>18.5</v>
      </c>
    </row>
    <row r="42" spans="1:13" ht="15" thickBot="1">
      <c r="A42" s="89">
        <v>1995</v>
      </c>
      <c r="B42" s="90">
        <v>1.76</v>
      </c>
      <c r="C42" s="90">
        <v>6.14</v>
      </c>
      <c r="D42" s="90">
        <v>5.1100000000000003</v>
      </c>
      <c r="E42" s="90">
        <v>10.220000000000001</v>
      </c>
      <c r="F42" s="90">
        <v>5.0999999999999996</v>
      </c>
      <c r="G42" s="90">
        <v>9.27</v>
      </c>
      <c r="H42" s="90">
        <v>2.7</v>
      </c>
      <c r="I42" s="90">
        <v>6.45</v>
      </c>
      <c r="J42" s="90">
        <v>3.04</v>
      </c>
      <c r="K42" s="90">
        <v>6.08</v>
      </c>
      <c r="L42" s="90">
        <v>30.09</v>
      </c>
      <c r="M42" s="90">
        <v>17.670000000000002</v>
      </c>
    </row>
    <row r="43" spans="1:13" ht="15" thickBot="1">
      <c r="A43" s="89">
        <v>1996</v>
      </c>
      <c r="B43" s="90">
        <v>1.7</v>
      </c>
      <c r="C43" s="90">
        <v>5.76</v>
      </c>
      <c r="D43" s="90">
        <v>6.06</v>
      </c>
      <c r="E43" s="90">
        <v>11.46</v>
      </c>
      <c r="F43" s="90">
        <v>5.32</v>
      </c>
      <c r="G43" s="90">
        <v>10.029999999999999</v>
      </c>
      <c r="H43" s="90">
        <v>2.95</v>
      </c>
      <c r="I43" s="90">
        <v>7.46</v>
      </c>
      <c r="J43" s="90">
        <v>3.64</v>
      </c>
      <c r="K43" s="90">
        <v>5.8</v>
      </c>
      <c r="L43" s="90">
        <v>28.23</v>
      </c>
      <c r="M43" s="90">
        <v>17.600000000000001</v>
      </c>
    </row>
    <row r="44" spans="1:13" ht="15" thickBot="1">
      <c r="A44" s="89">
        <v>1997</v>
      </c>
      <c r="B44" s="90">
        <v>1.74</v>
      </c>
      <c r="C44" s="90">
        <v>6.3</v>
      </c>
      <c r="D44" s="90">
        <v>5.45</v>
      </c>
      <c r="E44" s="90">
        <v>11.67</v>
      </c>
      <c r="F44" s="90">
        <v>4.95</v>
      </c>
      <c r="G44" s="90">
        <v>10.27</v>
      </c>
      <c r="H44" s="90">
        <v>2.78</v>
      </c>
      <c r="I44" s="90">
        <v>7.05</v>
      </c>
      <c r="J44" s="90">
        <v>3.47</v>
      </c>
      <c r="K44" s="90">
        <v>6.28</v>
      </c>
      <c r="L44" s="90">
        <v>28.57</v>
      </c>
      <c r="M44" s="90">
        <v>17.989999999999998</v>
      </c>
    </row>
    <row r="45" spans="1:13" ht="15" thickBot="1">
      <c r="A45" s="89">
        <v>1998</v>
      </c>
      <c r="B45" s="90">
        <v>1.78</v>
      </c>
      <c r="C45" s="90">
        <v>5.99</v>
      </c>
      <c r="D45" s="90">
        <v>4.16</v>
      </c>
      <c r="E45" s="90">
        <v>10.19</v>
      </c>
      <c r="F45" s="90">
        <v>6.63</v>
      </c>
      <c r="G45" s="90">
        <v>9.01</v>
      </c>
      <c r="H45" s="90">
        <v>2</v>
      </c>
      <c r="I45" s="90">
        <v>6.16</v>
      </c>
      <c r="J45" s="90">
        <v>2.97</v>
      </c>
      <c r="K45" s="90">
        <v>5.94</v>
      </c>
      <c r="L45" s="90">
        <v>26.96</v>
      </c>
      <c r="M45" s="90">
        <v>16.61</v>
      </c>
    </row>
    <row r="46" spans="1:13" ht="15" thickBot="1">
      <c r="A46" s="89">
        <v>1999</v>
      </c>
      <c r="B46" s="90">
        <v>1.73</v>
      </c>
      <c r="C46" s="90">
        <v>6.05</v>
      </c>
      <c r="D46" s="90">
        <v>5.45</v>
      </c>
      <c r="E46" s="90">
        <v>10.49</v>
      </c>
      <c r="F46" s="90">
        <v>6.58</v>
      </c>
      <c r="G46" s="90">
        <v>10.52</v>
      </c>
      <c r="H46" s="90" t="s">
        <v>611</v>
      </c>
      <c r="I46" s="90">
        <v>7.11</v>
      </c>
      <c r="J46" s="90">
        <v>2.72</v>
      </c>
      <c r="K46" s="90">
        <v>6.09</v>
      </c>
      <c r="L46" s="90">
        <v>27.08</v>
      </c>
      <c r="M46" s="90">
        <v>17.45</v>
      </c>
    </row>
    <row r="47" spans="1:13" ht="15" thickBot="1">
      <c r="A47" s="89">
        <v>2000</v>
      </c>
      <c r="B47" s="90">
        <v>1.66</v>
      </c>
      <c r="C47" s="90">
        <v>7.88</v>
      </c>
      <c r="D47" s="90">
        <v>7.97</v>
      </c>
      <c r="E47" s="90">
        <v>13.35</v>
      </c>
      <c r="F47" s="90">
        <v>9.8699999999999992</v>
      </c>
      <c r="G47" s="90">
        <v>12.55</v>
      </c>
      <c r="H47" s="90">
        <v>4.3099999999999996</v>
      </c>
      <c r="I47" s="90">
        <v>9.5</v>
      </c>
      <c r="J47" s="90">
        <v>3.81</v>
      </c>
      <c r="K47" s="90">
        <v>7.96</v>
      </c>
      <c r="L47" s="90">
        <v>28.91</v>
      </c>
      <c r="M47" s="90">
        <v>19.72</v>
      </c>
    </row>
    <row r="48" spans="1:13" ht="15" thickBot="1">
      <c r="A48" s="89">
        <v>2001</v>
      </c>
      <c r="B48" s="90">
        <v>1.61</v>
      </c>
      <c r="C48" s="90">
        <v>9.19</v>
      </c>
      <c r="D48" s="90">
        <v>6.99</v>
      </c>
      <c r="E48" s="90">
        <v>14.52</v>
      </c>
      <c r="F48" s="90">
        <v>8.99</v>
      </c>
      <c r="G48" s="90">
        <v>12.27</v>
      </c>
      <c r="H48" s="90">
        <v>3.51</v>
      </c>
      <c r="I48" s="90">
        <v>8.7100000000000009</v>
      </c>
      <c r="J48" s="90">
        <v>3.93</v>
      </c>
      <c r="K48" s="90">
        <v>9.07</v>
      </c>
      <c r="L48" s="90">
        <v>34.5</v>
      </c>
      <c r="M48" s="90">
        <v>23.56</v>
      </c>
    </row>
    <row r="49" spans="1:13" ht="15" thickBot="1">
      <c r="A49" s="89">
        <v>2002</v>
      </c>
      <c r="B49" s="90">
        <v>1.64</v>
      </c>
      <c r="C49" s="90">
        <v>5.96</v>
      </c>
      <c r="D49" s="90">
        <v>6.52</v>
      </c>
      <c r="E49" s="90">
        <v>12.06</v>
      </c>
      <c r="F49" s="90">
        <v>9.19</v>
      </c>
      <c r="G49" s="90">
        <v>11.19</v>
      </c>
      <c r="H49" s="90" t="s">
        <v>611</v>
      </c>
      <c r="I49" s="90">
        <v>8.2899999999999991</v>
      </c>
      <c r="J49" s="90">
        <v>3.22</v>
      </c>
      <c r="K49" s="90">
        <v>6.07</v>
      </c>
      <c r="L49" s="90">
        <v>38</v>
      </c>
      <c r="M49" s="90">
        <v>24.64</v>
      </c>
    </row>
    <row r="50" spans="1:13" ht="15" thickBot="1">
      <c r="A50" s="89">
        <v>2003</v>
      </c>
      <c r="B50" s="90">
        <v>1.68</v>
      </c>
      <c r="C50" s="90">
        <v>7.99</v>
      </c>
      <c r="D50" s="90">
        <v>7.9</v>
      </c>
      <c r="E50" s="90">
        <v>12.99</v>
      </c>
      <c r="F50" s="90">
        <v>9.1</v>
      </c>
      <c r="G50" s="90">
        <v>13.78</v>
      </c>
      <c r="H50" s="90" t="s">
        <v>611</v>
      </c>
      <c r="I50" s="90">
        <v>10.39</v>
      </c>
      <c r="J50" s="90">
        <v>3.93</v>
      </c>
      <c r="K50" s="90">
        <v>8.08</v>
      </c>
      <c r="L50" s="90">
        <v>36.57</v>
      </c>
      <c r="M50" s="90">
        <v>24.78</v>
      </c>
    </row>
    <row r="51" spans="1:13" ht="15" thickBot="1">
      <c r="A51" s="89">
        <v>2004</v>
      </c>
      <c r="B51" s="90">
        <v>1.76</v>
      </c>
      <c r="C51" s="90">
        <v>8.4600000000000009</v>
      </c>
      <c r="D51" s="90">
        <v>10.91</v>
      </c>
      <c r="E51" s="90">
        <v>14.87</v>
      </c>
      <c r="F51" s="90">
        <v>11.61</v>
      </c>
      <c r="G51" s="90">
        <v>16.3</v>
      </c>
      <c r="H51" s="90" t="s">
        <v>611</v>
      </c>
      <c r="I51" s="90">
        <v>13.26</v>
      </c>
      <c r="J51" s="90">
        <v>4.0199999999999996</v>
      </c>
      <c r="K51" s="90">
        <v>8.77</v>
      </c>
      <c r="L51" s="90">
        <v>34.11</v>
      </c>
      <c r="M51" s="90">
        <v>24.08</v>
      </c>
    </row>
    <row r="52" spans="1:13" ht="15" thickBot="1">
      <c r="A52" s="89">
        <v>2005</v>
      </c>
      <c r="B52" s="90">
        <v>2.12</v>
      </c>
      <c r="C52" s="90">
        <v>10.45</v>
      </c>
      <c r="D52" s="90">
        <v>14.85</v>
      </c>
      <c r="E52" s="90">
        <v>17.84</v>
      </c>
      <c r="F52" s="90">
        <v>13.76</v>
      </c>
      <c r="G52" s="90">
        <v>18.96</v>
      </c>
      <c r="H52" s="90" t="s">
        <v>611</v>
      </c>
      <c r="I52" s="90">
        <v>16.329999999999998</v>
      </c>
      <c r="J52" s="90">
        <v>4.29</v>
      </c>
      <c r="K52" s="90">
        <v>10.8</v>
      </c>
      <c r="L52" s="90">
        <v>34.92</v>
      </c>
      <c r="M52" s="90">
        <v>25.28</v>
      </c>
    </row>
    <row r="53" spans="1:13" ht="15" thickBot="1">
      <c r="A53" s="89">
        <v>2006</v>
      </c>
      <c r="B53" s="90">
        <v>2.39</v>
      </c>
      <c r="C53" s="90">
        <v>10.199999999999999</v>
      </c>
      <c r="D53" s="90">
        <v>17.14</v>
      </c>
      <c r="E53" s="90">
        <v>20.49</v>
      </c>
      <c r="F53" s="90">
        <v>22.13</v>
      </c>
      <c r="G53" s="90">
        <v>21.47</v>
      </c>
      <c r="H53" s="90" t="s">
        <v>611</v>
      </c>
      <c r="I53" s="90">
        <v>18.93</v>
      </c>
      <c r="J53" s="90">
        <v>3.84</v>
      </c>
      <c r="K53" s="90">
        <v>10.59</v>
      </c>
      <c r="L53" s="90">
        <v>37.79</v>
      </c>
      <c r="M53" s="90">
        <v>26.96</v>
      </c>
    </row>
    <row r="54" spans="1:13" ht="15" thickBot="1">
      <c r="A54" s="89">
        <v>2007</v>
      </c>
      <c r="B54" s="90" t="s">
        <v>611</v>
      </c>
      <c r="C54" s="90">
        <v>9.91</v>
      </c>
      <c r="D54" s="90">
        <v>18.32</v>
      </c>
      <c r="E54" s="90">
        <v>22.25</v>
      </c>
      <c r="F54" s="90">
        <v>24.26</v>
      </c>
      <c r="G54" s="90">
        <v>23.34</v>
      </c>
      <c r="H54" s="90" t="s">
        <v>611</v>
      </c>
      <c r="I54" s="90">
        <v>20.25</v>
      </c>
      <c r="J54" s="90">
        <v>4.84</v>
      </c>
      <c r="K54" s="90">
        <v>10.53</v>
      </c>
      <c r="L54" s="90">
        <v>37.57</v>
      </c>
      <c r="M54" s="90">
        <v>26.68</v>
      </c>
    </row>
    <row r="55" spans="1:13" ht="15" thickBot="1">
      <c r="A55" s="89">
        <v>2008</v>
      </c>
      <c r="B55" s="90" t="s">
        <v>611</v>
      </c>
      <c r="C55" s="90">
        <v>11.43</v>
      </c>
      <c r="D55" s="90">
        <v>24.46</v>
      </c>
      <c r="E55" s="90">
        <v>25.91</v>
      </c>
      <c r="F55" s="90">
        <v>30.07</v>
      </c>
      <c r="G55" s="90">
        <v>26.96</v>
      </c>
      <c r="H55" s="90" t="s">
        <v>611</v>
      </c>
      <c r="I55" s="90">
        <v>25.12</v>
      </c>
      <c r="J55" s="90">
        <v>5.83</v>
      </c>
      <c r="K55" s="90">
        <v>12.63</v>
      </c>
      <c r="L55" s="90">
        <v>36.770000000000003</v>
      </c>
      <c r="M55" s="90">
        <v>26.96</v>
      </c>
    </row>
    <row r="56" spans="1:13" ht="15" thickBot="1">
      <c r="A56" s="89">
        <v>2009</v>
      </c>
      <c r="B56" s="90" t="s">
        <v>611</v>
      </c>
      <c r="C56" s="90">
        <v>7.55</v>
      </c>
      <c r="D56" s="90">
        <v>14.76</v>
      </c>
      <c r="E56" s="90">
        <v>19.98</v>
      </c>
      <c r="F56" s="90">
        <v>25.27</v>
      </c>
      <c r="G56" s="90">
        <v>20.56</v>
      </c>
      <c r="H56" s="90" t="s">
        <v>611</v>
      </c>
      <c r="I56" s="90">
        <v>16.47</v>
      </c>
      <c r="J56" s="90">
        <v>4.59</v>
      </c>
      <c r="K56" s="90">
        <v>8.39</v>
      </c>
      <c r="L56" s="90">
        <v>38.9</v>
      </c>
      <c r="M56" s="90">
        <v>26.3</v>
      </c>
    </row>
    <row r="57" spans="1:13" ht="15" thickBot="1">
      <c r="A57" s="89">
        <v>2010</v>
      </c>
      <c r="B57" s="90" t="s">
        <v>611</v>
      </c>
      <c r="C57" s="90">
        <v>8.1300000000000008</v>
      </c>
      <c r="D57" s="90">
        <v>18.93</v>
      </c>
      <c r="E57" s="90">
        <v>21.61</v>
      </c>
      <c r="F57" s="90">
        <v>27.17</v>
      </c>
      <c r="G57" s="90">
        <v>24.76</v>
      </c>
      <c r="H57" s="90" t="s">
        <v>611</v>
      </c>
      <c r="I57" s="90">
        <v>19.8</v>
      </c>
      <c r="J57" s="90">
        <v>5.19</v>
      </c>
      <c r="K57" s="90">
        <v>9.5299999999999994</v>
      </c>
      <c r="L57" s="90">
        <v>38.380000000000003</v>
      </c>
      <c r="M57" s="90">
        <v>26.3</v>
      </c>
    </row>
    <row r="58" spans="1:13" ht="15" thickBot="1">
      <c r="A58" s="89">
        <v>2011</v>
      </c>
      <c r="B58" s="90" t="s">
        <v>611</v>
      </c>
      <c r="C58" s="90">
        <v>8.1300000000000008</v>
      </c>
      <c r="D58" s="90">
        <v>25.42</v>
      </c>
      <c r="E58" s="90">
        <v>26.35</v>
      </c>
      <c r="F58" s="90">
        <v>32.46</v>
      </c>
      <c r="G58" s="90">
        <v>30.51</v>
      </c>
      <c r="H58" s="90" t="s">
        <v>611</v>
      </c>
      <c r="I58" s="90">
        <v>25.87</v>
      </c>
      <c r="J58" s="90">
        <v>3.93</v>
      </c>
      <c r="K58" s="90">
        <v>9.99</v>
      </c>
      <c r="L58" s="90">
        <v>38.24</v>
      </c>
      <c r="M58" s="90">
        <v>26.5</v>
      </c>
    </row>
    <row r="59" spans="1:13" ht="15" thickBot="1">
      <c r="A59" s="89">
        <v>2012</v>
      </c>
      <c r="B59" s="90" t="s">
        <v>611</v>
      </c>
      <c r="C59" s="90">
        <v>6.91</v>
      </c>
      <c r="D59" s="90">
        <v>26.06</v>
      </c>
      <c r="E59" s="90">
        <v>19.309999999999999</v>
      </c>
      <c r="F59" s="90">
        <v>33.86</v>
      </c>
      <c r="G59" s="90">
        <v>32.24</v>
      </c>
      <c r="H59" s="90" t="s">
        <v>611</v>
      </c>
      <c r="I59" s="90">
        <v>24.5</v>
      </c>
      <c r="J59" s="90">
        <v>3.49</v>
      </c>
      <c r="K59" s="90">
        <v>8.58</v>
      </c>
      <c r="L59" s="90">
        <v>39.29</v>
      </c>
      <c r="M59" s="90">
        <v>26.31</v>
      </c>
    </row>
    <row r="60" spans="1:13" ht="15" thickBot="1">
      <c r="A60" s="89">
        <v>2013</v>
      </c>
      <c r="B60" s="90" t="s">
        <v>611</v>
      </c>
      <c r="C60" s="90">
        <v>7.61</v>
      </c>
      <c r="D60" s="90">
        <v>25.39</v>
      </c>
      <c r="E60" s="90">
        <v>20.350000000000001</v>
      </c>
      <c r="F60" s="90">
        <v>33.54</v>
      </c>
      <c r="G60" s="90">
        <v>31.08</v>
      </c>
      <c r="H60" s="90" t="s">
        <v>611</v>
      </c>
      <c r="I60" s="90">
        <v>24.28</v>
      </c>
      <c r="J60" s="90">
        <v>3.6</v>
      </c>
      <c r="K60" s="90">
        <v>9.0399999999999991</v>
      </c>
      <c r="L60" s="90">
        <v>41.63</v>
      </c>
      <c r="M60" s="90">
        <v>27.49</v>
      </c>
    </row>
    <row r="61" spans="1:13" ht="15" thickBot="1">
      <c r="A61" s="89">
        <v>2014</v>
      </c>
      <c r="B61" s="90" t="s">
        <v>611</v>
      </c>
      <c r="C61" s="90">
        <v>8.8000000000000007</v>
      </c>
      <c r="D61" s="90">
        <v>23.94</v>
      </c>
      <c r="E61" s="90">
        <v>21.11</v>
      </c>
      <c r="F61" s="90">
        <v>33.369999999999997</v>
      </c>
      <c r="G61" s="90">
        <v>29.99</v>
      </c>
      <c r="H61" s="90">
        <v>15.94</v>
      </c>
      <c r="I61" s="90">
        <v>23.31</v>
      </c>
      <c r="J61" s="90">
        <v>3.91</v>
      </c>
      <c r="K61" s="90">
        <v>10.08</v>
      </c>
      <c r="L61" s="90">
        <v>45.78</v>
      </c>
      <c r="M61" s="90">
        <v>30.97</v>
      </c>
    </row>
    <row r="62" spans="1:13" ht="15" thickBot="1">
      <c r="A62" s="89">
        <v>2015</v>
      </c>
      <c r="B62" s="90" t="s">
        <v>611</v>
      </c>
      <c r="C62" s="90">
        <v>7.75</v>
      </c>
      <c r="D62" s="90">
        <v>15.13</v>
      </c>
      <c r="E62" s="90">
        <v>13.23</v>
      </c>
      <c r="F62" s="90">
        <v>17.21</v>
      </c>
      <c r="G62" s="90">
        <v>25.47</v>
      </c>
      <c r="H62" s="90">
        <v>8.31</v>
      </c>
      <c r="I62" s="90">
        <v>21.51</v>
      </c>
      <c r="J62" s="90">
        <v>2.46</v>
      </c>
      <c r="K62" s="90">
        <v>10.8</v>
      </c>
      <c r="L62" s="90">
        <v>46.12</v>
      </c>
      <c r="M62" s="90">
        <v>30.05</v>
      </c>
    </row>
    <row r="63" spans="1:13" ht="15" thickBot="1">
      <c r="A63" s="89">
        <v>2016</v>
      </c>
      <c r="B63" s="90" t="s">
        <v>611</v>
      </c>
      <c r="C63" s="90">
        <v>8.1300000000000008</v>
      </c>
      <c r="D63" s="90">
        <v>12.79</v>
      </c>
      <c r="E63" s="90">
        <v>13.4</v>
      </c>
      <c r="F63" s="90">
        <v>13.72</v>
      </c>
      <c r="G63" s="90">
        <v>22.01</v>
      </c>
      <c r="H63" s="90">
        <v>6.11</v>
      </c>
      <c r="I63" s="90">
        <v>18.510000000000002</v>
      </c>
      <c r="J63" s="90">
        <v>1.89</v>
      </c>
      <c r="K63" s="90">
        <v>10.44</v>
      </c>
      <c r="L63" s="90">
        <v>44.18</v>
      </c>
      <c r="M63" s="90">
        <v>28.63</v>
      </c>
    </row>
    <row r="64" spans="1:13" ht="15" thickBot="1">
      <c r="A64" s="89">
        <v>2017</v>
      </c>
      <c r="B64" s="90" t="s">
        <v>611</v>
      </c>
      <c r="C64" s="90">
        <v>8.4600000000000009</v>
      </c>
      <c r="D64" s="90">
        <v>15.25</v>
      </c>
      <c r="E64" s="90">
        <v>17.2</v>
      </c>
      <c r="F64" s="90">
        <v>17.12</v>
      </c>
      <c r="G64" s="90">
        <v>24.37</v>
      </c>
      <c r="H64" s="90" t="s">
        <v>611</v>
      </c>
      <c r="I64" s="90">
        <v>21.1</v>
      </c>
      <c r="J64" s="90">
        <v>2.0099999999999998</v>
      </c>
      <c r="K64" s="90">
        <v>11.37</v>
      </c>
      <c r="L64" s="90">
        <v>46.2</v>
      </c>
      <c r="M64" s="90">
        <v>30.21</v>
      </c>
    </row>
    <row r="65" spans="1:13" ht="15" thickBot="1">
      <c r="A65" s="89">
        <v>2018</v>
      </c>
      <c r="B65" s="90" t="s">
        <v>611</v>
      </c>
      <c r="C65" s="90">
        <v>8.2899999999999991</v>
      </c>
      <c r="D65" s="90">
        <v>18.850000000000001</v>
      </c>
      <c r="E65" s="90">
        <v>18.260000000000002</v>
      </c>
      <c r="F65" s="90">
        <v>24.73</v>
      </c>
      <c r="G65" s="90">
        <v>28.09</v>
      </c>
      <c r="H65" s="90" t="s">
        <v>611</v>
      </c>
      <c r="I65" s="90">
        <v>24.42</v>
      </c>
      <c r="J65" s="90">
        <v>2.09</v>
      </c>
      <c r="K65" s="90">
        <v>12.01</v>
      </c>
      <c r="L65" s="90">
        <v>47.9</v>
      </c>
      <c r="M65" s="90">
        <v>30.96</v>
      </c>
    </row>
    <row r="66" spans="1:13">
      <c r="A66" s="92">
        <v>2019</v>
      </c>
      <c r="B66" s="93" t="s">
        <v>611</v>
      </c>
      <c r="C66" s="93">
        <v>9.1</v>
      </c>
      <c r="D66" s="93">
        <v>18.12</v>
      </c>
      <c r="E66" s="93">
        <v>16.079999999999998</v>
      </c>
      <c r="F66" s="93">
        <v>23.09</v>
      </c>
      <c r="G66" s="93">
        <v>29.1</v>
      </c>
      <c r="H66" s="93" t="s">
        <v>611</v>
      </c>
      <c r="I66" s="93">
        <v>24.54</v>
      </c>
      <c r="J66" s="93">
        <v>2.71</v>
      </c>
      <c r="K66" s="93">
        <v>12.59</v>
      </c>
      <c r="L66" s="93">
        <v>48.86</v>
      </c>
      <c r="M66" s="93">
        <v>31.41</v>
      </c>
    </row>
  </sheetData>
  <mergeCells count="10">
    <mergeCell ref="A7:A16"/>
    <mergeCell ref="B7:K10"/>
    <mergeCell ref="B11:B15"/>
    <mergeCell ref="D11:I13"/>
    <mergeCell ref="J11:J13"/>
    <mergeCell ref="K11:K15"/>
    <mergeCell ref="E14:E15"/>
    <mergeCell ref="F14:F15"/>
    <mergeCell ref="I14:I15"/>
    <mergeCell ref="B16:M16"/>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2060"/>
  </sheetPr>
  <dimension ref="A1:AH9"/>
  <sheetViews>
    <sheetView workbookViewId="0">
      <selection activeCell="B2" sqref="B2:AF9"/>
    </sheetView>
  </sheetViews>
  <sheetFormatPr defaultColWidth="9.1796875" defaultRowHeight="14.5"/>
  <cols>
    <col min="1" max="1" width="41.453125" style="14" customWidth="1"/>
    <col min="2" max="24" width="10" style="14" customWidth="1"/>
    <col min="25" max="26" width="9.1796875" style="14" customWidth="1"/>
    <col min="27" max="32" width="11.81640625" style="14" bestFit="1" customWidth="1"/>
    <col min="33" max="16384" width="9.1796875" style="14"/>
  </cols>
  <sheetData>
    <row r="1" spans="1:34">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181">
        <f>'Gasoline+diesel'!B4</f>
        <v>4.1200800768020528E-6</v>
      </c>
      <c r="C2" s="181">
        <f>'Gasoline+diesel'!C4</f>
        <v>5.1514475189019674E-6</v>
      </c>
      <c r="D2" s="181">
        <f>'Gasoline+diesel'!D4</f>
        <v>4.9396264129028598E-6</v>
      </c>
      <c r="E2" s="181">
        <f>'Gasoline+diesel'!E4</f>
        <v>4.4200117070601548E-6</v>
      </c>
      <c r="F2" s="181">
        <f>'Gasoline+diesel'!F4</f>
        <v>4.390874245685288E-6</v>
      </c>
      <c r="G2" s="181">
        <f>'Gasoline+diesel'!G4</f>
        <v>4.3465330965962625E-6</v>
      </c>
      <c r="H2" s="181">
        <f>'Gasoline+diesel'!H4</f>
        <v>4.3924120555930525E-6</v>
      </c>
      <c r="I2" s="181">
        <f>'Gasoline+diesel'!I4</f>
        <v>4.444910274656859E-6</v>
      </c>
      <c r="J2" s="181">
        <f>'Gasoline+diesel'!J4</f>
        <v>4.4929575157245056E-6</v>
      </c>
      <c r="K2" s="181">
        <f>'Gasoline+diesel'!K4</f>
        <v>4.5266769131136022E-6</v>
      </c>
      <c r="L2" s="181">
        <f>'Gasoline+diesel'!L4</f>
        <v>4.6385403751080197E-6</v>
      </c>
      <c r="M2" s="181">
        <f>'Gasoline+diesel'!M4</f>
        <v>4.7871035758707831E-6</v>
      </c>
      <c r="N2" s="181">
        <f>'Gasoline+diesel'!N4</f>
        <v>4.8357001629015925E-6</v>
      </c>
      <c r="O2" s="181">
        <f>'Gasoline+diesel'!O4</f>
        <v>4.8757569715943129E-6</v>
      </c>
      <c r="P2" s="181">
        <f>'Gasoline+diesel'!P4</f>
        <v>4.9135526117071666E-6</v>
      </c>
      <c r="Q2" s="181">
        <f>'Gasoline+diesel'!Q4</f>
        <v>4.9320471926912132E-6</v>
      </c>
      <c r="R2" s="181">
        <f>'Gasoline+diesel'!R4</f>
        <v>4.96710826195188E-6</v>
      </c>
      <c r="S2" s="181">
        <f>'Gasoline+diesel'!S4</f>
        <v>4.9982397933613905E-6</v>
      </c>
      <c r="T2" s="181">
        <f>'Gasoline+diesel'!T4</f>
        <v>5.0530593778413768E-6</v>
      </c>
      <c r="U2" s="181">
        <f>'Gasoline+diesel'!U4</f>
        <v>5.0557355458027046E-6</v>
      </c>
      <c r="V2" s="181">
        <f>'Gasoline+diesel'!V4</f>
        <v>5.0954379506048224E-6</v>
      </c>
      <c r="W2" s="181">
        <f>'Gasoline+diesel'!W4</f>
        <v>5.1277188030678869E-6</v>
      </c>
      <c r="X2" s="181">
        <f>'Gasoline+diesel'!X4</f>
        <v>5.1358886299881126E-6</v>
      </c>
      <c r="Y2" s="181">
        <f>'Gasoline+diesel'!Y4</f>
        <v>5.1868566135805118E-6</v>
      </c>
      <c r="Z2" s="181">
        <f>'Gasoline+diesel'!Z4</f>
        <v>5.2359062715018396E-6</v>
      </c>
      <c r="AA2" s="181">
        <f>'Gasoline+diesel'!AA4</f>
        <v>5.2526884318873633E-6</v>
      </c>
      <c r="AB2" s="181">
        <f>'Gasoline+diesel'!AB4</f>
        <v>5.2947522668874449E-6</v>
      </c>
      <c r="AC2" s="181">
        <f>'Gasoline+diesel'!AC4</f>
        <v>5.3110608256733763E-6</v>
      </c>
      <c r="AD2" s="181">
        <f>'Gasoline+diesel'!AD4</f>
        <v>5.2967877969947792E-6</v>
      </c>
      <c r="AE2" s="181">
        <f>'Gasoline+diesel'!AE4</f>
        <v>5.2999214210466219E-6</v>
      </c>
      <c r="AF2" s="181">
        <f>'Gasoline+diesel'!AF4</f>
        <v>5.2988839225929715E-6</v>
      </c>
      <c r="AG2" s="26"/>
      <c r="AH2" s="26"/>
    </row>
    <row r="3" spans="1:34">
      <c r="A3" s="13" t="s">
        <v>165</v>
      </c>
      <c r="B3" s="181">
        <f>B2</f>
        <v>4.1200800768020528E-6</v>
      </c>
      <c r="C3" s="181">
        <f t="shared" ref="C3:AF3" si="0">C2</f>
        <v>5.1514475189019674E-6</v>
      </c>
      <c r="D3" s="181">
        <f t="shared" si="0"/>
        <v>4.9396264129028598E-6</v>
      </c>
      <c r="E3" s="181">
        <f t="shared" si="0"/>
        <v>4.4200117070601548E-6</v>
      </c>
      <c r="F3" s="181">
        <f t="shared" si="0"/>
        <v>4.390874245685288E-6</v>
      </c>
      <c r="G3" s="181">
        <f t="shared" si="0"/>
        <v>4.3465330965962625E-6</v>
      </c>
      <c r="H3" s="181">
        <f t="shared" si="0"/>
        <v>4.3924120555930525E-6</v>
      </c>
      <c r="I3" s="181">
        <f t="shared" si="0"/>
        <v>4.444910274656859E-6</v>
      </c>
      <c r="J3" s="181">
        <f t="shared" si="0"/>
        <v>4.4929575157245056E-6</v>
      </c>
      <c r="K3" s="181">
        <f t="shared" si="0"/>
        <v>4.5266769131136022E-6</v>
      </c>
      <c r="L3" s="181">
        <f t="shared" si="0"/>
        <v>4.6385403751080197E-6</v>
      </c>
      <c r="M3" s="181">
        <f t="shared" si="0"/>
        <v>4.7871035758707831E-6</v>
      </c>
      <c r="N3" s="181">
        <f t="shared" si="0"/>
        <v>4.8357001629015925E-6</v>
      </c>
      <c r="O3" s="181">
        <f t="shared" si="0"/>
        <v>4.8757569715943129E-6</v>
      </c>
      <c r="P3" s="181">
        <f t="shared" si="0"/>
        <v>4.9135526117071666E-6</v>
      </c>
      <c r="Q3" s="181">
        <f t="shared" si="0"/>
        <v>4.9320471926912132E-6</v>
      </c>
      <c r="R3" s="181">
        <f t="shared" si="0"/>
        <v>4.96710826195188E-6</v>
      </c>
      <c r="S3" s="181">
        <f t="shared" si="0"/>
        <v>4.9982397933613905E-6</v>
      </c>
      <c r="T3" s="181">
        <f t="shared" si="0"/>
        <v>5.0530593778413768E-6</v>
      </c>
      <c r="U3" s="181">
        <f t="shared" si="0"/>
        <v>5.0557355458027046E-6</v>
      </c>
      <c r="V3" s="181">
        <f t="shared" si="0"/>
        <v>5.0954379506048224E-6</v>
      </c>
      <c r="W3" s="181">
        <f t="shared" si="0"/>
        <v>5.1277188030678869E-6</v>
      </c>
      <c r="X3" s="181">
        <f t="shared" si="0"/>
        <v>5.1358886299881126E-6</v>
      </c>
      <c r="Y3" s="181">
        <f t="shared" si="0"/>
        <v>5.1868566135805118E-6</v>
      </c>
      <c r="Z3" s="181">
        <f t="shared" si="0"/>
        <v>5.2359062715018396E-6</v>
      </c>
      <c r="AA3" s="181">
        <f t="shared" si="0"/>
        <v>5.2526884318873633E-6</v>
      </c>
      <c r="AB3" s="181">
        <f t="shared" si="0"/>
        <v>5.2947522668874449E-6</v>
      </c>
      <c r="AC3" s="181">
        <f t="shared" si="0"/>
        <v>5.3110608256733763E-6</v>
      </c>
      <c r="AD3" s="181">
        <f t="shared" si="0"/>
        <v>5.2967877969947792E-6</v>
      </c>
      <c r="AE3" s="181">
        <f t="shared" si="0"/>
        <v>5.2999214210466219E-6</v>
      </c>
      <c r="AF3" s="181">
        <f t="shared" si="0"/>
        <v>5.2988839225929715E-6</v>
      </c>
    </row>
    <row r="4" spans="1:34">
      <c r="A4" s="13" t="s">
        <v>166</v>
      </c>
      <c r="B4" s="181">
        <f>B2</f>
        <v>4.1200800768020528E-6</v>
      </c>
      <c r="C4" s="181">
        <f t="shared" ref="C4:AF4" si="1">C2</f>
        <v>5.1514475189019674E-6</v>
      </c>
      <c r="D4" s="181">
        <f t="shared" si="1"/>
        <v>4.9396264129028598E-6</v>
      </c>
      <c r="E4" s="181">
        <f t="shared" si="1"/>
        <v>4.4200117070601548E-6</v>
      </c>
      <c r="F4" s="181">
        <f t="shared" si="1"/>
        <v>4.390874245685288E-6</v>
      </c>
      <c r="G4" s="181">
        <f t="shared" si="1"/>
        <v>4.3465330965962625E-6</v>
      </c>
      <c r="H4" s="181">
        <f t="shared" si="1"/>
        <v>4.3924120555930525E-6</v>
      </c>
      <c r="I4" s="181">
        <f t="shared" si="1"/>
        <v>4.444910274656859E-6</v>
      </c>
      <c r="J4" s="181">
        <f t="shared" si="1"/>
        <v>4.4929575157245056E-6</v>
      </c>
      <c r="K4" s="181">
        <f t="shared" si="1"/>
        <v>4.5266769131136022E-6</v>
      </c>
      <c r="L4" s="181">
        <f t="shared" si="1"/>
        <v>4.6385403751080197E-6</v>
      </c>
      <c r="M4" s="181">
        <f t="shared" si="1"/>
        <v>4.7871035758707831E-6</v>
      </c>
      <c r="N4" s="181">
        <f t="shared" si="1"/>
        <v>4.8357001629015925E-6</v>
      </c>
      <c r="O4" s="181">
        <f t="shared" si="1"/>
        <v>4.8757569715943129E-6</v>
      </c>
      <c r="P4" s="181">
        <f t="shared" si="1"/>
        <v>4.9135526117071666E-6</v>
      </c>
      <c r="Q4" s="181">
        <f t="shared" si="1"/>
        <v>4.9320471926912132E-6</v>
      </c>
      <c r="R4" s="181">
        <f t="shared" si="1"/>
        <v>4.96710826195188E-6</v>
      </c>
      <c r="S4" s="181">
        <f t="shared" si="1"/>
        <v>4.9982397933613905E-6</v>
      </c>
      <c r="T4" s="181">
        <f t="shared" si="1"/>
        <v>5.0530593778413768E-6</v>
      </c>
      <c r="U4" s="181">
        <f t="shared" si="1"/>
        <v>5.0557355458027046E-6</v>
      </c>
      <c r="V4" s="181">
        <f t="shared" si="1"/>
        <v>5.0954379506048224E-6</v>
      </c>
      <c r="W4" s="181">
        <f t="shared" si="1"/>
        <v>5.1277188030678869E-6</v>
      </c>
      <c r="X4" s="181">
        <f t="shared" si="1"/>
        <v>5.1358886299881126E-6</v>
      </c>
      <c r="Y4" s="181">
        <f t="shared" si="1"/>
        <v>5.1868566135805118E-6</v>
      </c>
      <c r="Z4" s="181">
        <f t="shared" si="1"/>
        <v>5.2359062715018396E-6</v>
      </c>
      <c r="AA4" s="181">
        <f t="shared" si="1"/>
        <v>5.2526884318873633E-6</v>
      </c>
      <c r="AB4" s="181">
        <f t="shared" si="1"/>
        <v>5.2947522668874449E-6</v>
      </c>
      <c r="AC4" s="181">
        <f t="shared" si="1"/>
        <v>5.3110608256733763E-6</v>
      </c>
      <c r="AD4" s="181">
        <f t="shared" si="1"/>
        <v>5.2967877969947792E-6</v>
      </c>
      <c r="AE4" s="181">
        <f t="shared" si="1"/>
        <v>5.2999214210466219E-6</v>
      </c>
      <c r="AF4" s="181">
        <f t="shared" si="1"/>
        <v>5.2988839225929715E-6</v>
      </c>
    </row>
    <row r="5" spans="1:34">
      <c r="A5" s="13" t="s">
        <v>167</v>
      </c>
      <c r="B5" s="181">
        <f>B2</f>
        <v>4.1200800768020528E-6</v>
      </c>
      <c r="C5" s="181">
        <f t="shared" ref="C5:AF5" si="2">C2</f>
        <v>5.1514475189019674E-6</v>
      </c>
      <c r="D5" s="181">
        <f t="shared" si="2"/>
        <v>4.9396264129028598E-6</v>
      </c>
      <c r="E5" s="181">
        <f t="shared" si="2"/>
        <v>4.4200117070601548E-6</v>
      </c>
      <c r="F5" s="181">
        <f t="shared" si="2"/>
        <v>4.390874245685288E-6</v>
      </c>
      <c r="G5" s="181">
        <f t="shared" si="2"/>
        <v>4.3465330965962625E-6</v>
      </c>
      <c r="H5" s="181">
        <f t="shared" si="2"/>
        <v>4.3924120555930525E-6</v>
      </c>
      <c r="I5" s="181">
        <f t="shared" si="2"/>
        <v>4.444910274656859E-6</v>
      </c>
      <c r="J5" s="181">
        <f t="shared" si="2"/>
        <v>4.4929575157245056E-6</v>
      </c>
      <c r="K5" s="181">
        <f t="shared" si="2"/>
        <v>4.5266769131136022E-6</v>
      </c>
      <c r="L5" s="181">
        <f t="shared" si="2"/>
        <v>4.6385403751080197E-6</v>
      </c>
      <c r="M5" s="181">
        <f t="shared" si="2"/>
        <v>4.7871035758707831E-6</v>
      </c>
      <c r="N5" s="181">
        <f t="shared" si="2"/>
        <v>4.8357001629015925E-6</v>
      </c>
      <c r="O5" s="181">
        <f t="shared" si="2"/>
        <v>4.8757569715943129E-6</v>
      </c>
      <c r="P5" s="181">
        <f t="shared" si="2"/>
        <v>4.9135526117071666E-6</v>
      </c>
      <c r="Q5" s="181">
        <f t="shared" si="2"/>
        <v>4.9320471926912132E-6</v>
      </c>
      <c r="R5" s="181">
        <f t="shared" si="2"/>
        <v>4.96710826195188E-6</v>
      </c>
      <c r="S5" s="181">
        <f t="shared" si="2"/>
        <v>4.9982397933613905E-6</v>
      </c>
      <c r="T5" s="181">
        <f t="shared" si="2"/>
        <v>5.0530593778413768E-6</v>
      </c>
      <c r="U5" s="181">
        <f t="shared" si="2"/>
        <v>5.0557355458027046E-6</v>
      </c>
      <c r="V5" s="181">
        <f t="shared" si="2"/>
        <v>5.0954379506048224E-6</v>
      </c>
      <c r="W5" s="181">
        <f t="shared" si="2"/>
        <v>5.1277188030678869E-6</v>
      </c>
      <c r="X5" s="181">
        <f t="shared" si="2"/>
        <v>5.1358886299881126E-6</v>
      </c>
      <c r="Y5" s="181">
        <f t="shared" si="2"/>
        <v>5.1868566135805118E-6</v>
      </c>
      <c r="Z5" s="181">
        <f t="shared" si="2"/>
        <v>5.2359062715018396E-6</v>
      </c>
      <c r="AA5" s="181">
        <f t="shared" si="2"/>
        <v>5.2526884318873633E-6</v>
      </c>
      <c r="AB5" s="181">
        <f t="shared" si="2"/>
        <v>5.2947522668874449E-6</v>
      </c>
      <c r="AC5" s="181">
        <f t="shared" si="2"/>
        <v>5.3110608256733763E-6</v>
      </c>
      <c r="AD5" s="181">
        <f t="shared" si="2"/>
        <v>5.2967877969947792E-6</v>
      </c>
      <c r="AE5" s="181">
        <f t="shared" si="2"/>
        <v>5.2999214210466219E-6</v>
      </c>
      <c r="AF5" s="181">
        <f t="shared" si="2"/>
        <v>5.2988839225929715E-6</v>
      </c>
    </row>
    <row r="6" spans="1:34">
      <c r="A6" s="13" t="s">
        <v>168</v>
      </c>
      <c r="B6" s="181">
        <f>B2</f>
        <v>4.1200800768020528E-6</v>
      </c>
      <c r="C6" s="181">
        <f t="shared" ref="C6:AF6" si="3">C2</f>
        <v>5.1514475189019674E-6</v>
      </c>
      <c r="D6" s="181">
        <f t="shared" si="3"/>
        <v>4.9396264129028598E-6</v>
      </c>
      <c r="E6" s="181">
        <f t="shared" si="3"/>
        <v>4.4200117070601548E-6</v>
      </c>
      <c r="F6" s="181">
        <f t="shared" si="3"/>
        <v>4.390874245685288E-6</v>
      </c>
      <c r="G6" s="181">
        <f t="shared" si="3"/>
        <v>4.3465330965962625E-6</v>
      </c>
      <c r="H6" s="181">
        <f t="shared" si="3"/>
        <v>4.3924120555930525E-6</v>
      </c>
      <c r="I6" s="181">
        <f t="shared" si="3"/>
        <v>4.444910274656859E-6</v>
      </c>
      <c r="J6" s="181">
        <f t="shared" si="3"/>
        <v>4.4929575157245056E-6</v>
      </c>
      <c r="K6" s="181">
        <f t="shared" si="3"/>
        <v>4.5266769131136022E-6</v>
      </c>
      <c r="L6" s="181">
        <f t="shared" si="3"/>
        <v>4.6385403751080197E-6</v>
      </c>
      <c r="M6" s="181">
        <f t="shared" si="3"/>
        <v>4.7871035758707831E-6</v>
      </c>
      <c r="N6" s="181">
        <f t="shared" si="3"/>
        <v>4.8357001629015925E-6</v>
      </c>
      <c r="O6" s="181">
        <f t="shared" si="3"/>
        <v>4.8757569715943129E-6</v>
      </c>
      <c r="P6" s="181">
        <f t="shared" si="3"/>
        <v>4.9135526117071666E-6</v>
      </c>
      <c r="Q6" s="181">
        <f t="shared" si="3"/>
        <v>4.9320471926912132E-6</v>
      </c>
      <c r="R6" s="181">
        <f t="shared" si="3"/>
        <v>4.96710826195188E-6</v>
      </c>
      <c r="S6" s="181">
        <f t="shared" si="3"/>
        <v>4.9982397933613905E-6</v>
      </c>
      <c r="T6" s="181">
        <f t="shared" si="3"/>
        <v>5.0530593778413768E-6</v>
      </c>
      <c r="U6" s="181">
        <f t="shared" si="3"/>
        <v>5.0557355458027046E-6</v>
      </c>
      <c r="V6" s="181">
        <f t="shared" si="3"/>
        <v>5.0954379506048224E-6</v>
      </c>
      <c r="W6" s="181">
        <f t="shared" si="3"/>
        <v>5.1277188030678869E-6</v>
      </c>
      <c r="X6" s="181">
        <f t="shared" si="3"/>
        <v>5.1358886299881126E-6</v>
      </c>
      <c r="Y6" s="181">
        <f t="shared" si="3"/>
        <v>5.1868566135805118E-6</v>
      </c>
      <c r="Z6" s="181">
        <f t="shared" si="3"/>
        <v>5.2359062715018396E-6</v>
      </c>
      <c r="AA6" s="181">
        <f t="shared" si="3"/>
        <v>5.2526884318873633E-6</v>
      </c>
      <c r="AB6" s="181">
        <f t="shared" si="3"/>
        <v>5.2947522668874449E-6</v>
      </c>
      <c r="AC6" s="181">
        <f t="shared" si="3"/>
        <v>5.3110608256733763E-6</v>
      </c>
      <c r="AD6" s="181">
        <f t="shared" si="3"/>
        <v>5.2967877969947792E-6</v>
      </c>
      <c r="AE6" s="181">
        <f t="shared" si="3"/>
        <v>5.2999214210466219E-6</v>
      </c>
      <c r="AF6" s="181">
        <f t="shared" si="3"/>
        <v>5.2988839225929715E-6</v>
      </c>
    </row>
    <row r="7" spans="1:34">
      <c r="A7" s="13" t="s">
        <v>169</v>
      </c>
      <c r="B7" s="181">
        <f>B2</f>
        <v>4.1200800768020528E-6</v>
      </c>
      <c r="C7" s="181">
        <f t="shared" ref="C7:AF7" si="4">C2</f>
        <v>5.1514475189019674E-6</v>
      </c>
      <c r="D7" s="181">
        <f t="shared" si="4"/>
        <v>4.9396264129028598E-6</v>
      </c>
      <c r="E7" s="181">
        <f t="shared" si="4"/>
        <v>4.4200117070601548E-6</v>
      </c>
      <c r="F7" s="181">
        <f t="shared" si="4"/>
        <v>4.390874245685288E-6</v>
      </c>
      <c r="G7" s="181">
        <f t="shared" si="4"/>
        <v>4.3465330965962625E-6</v>
      </c>
      <c r="H7" s="181">
        <f t="shared" si="4"/>
        <v>4.3924120555930525E-6</v>
      </c>
      <c r="I7" s="181">
        <f t="shared" si="4"/>
        <v>4.444910274656859E-6</v>
      </c>
      <c r="J7" s="181">
        <f t="shared" si="4"/>
        <v>4.4929575157245056E-6</v>
      </c>
      <c r="K7" s="181">
        <f t="shared" si="4"/>
        <v>4.5266769131136022E-6</v>
      </c>
      <c r="L7" s="181">
        <f t="shared" si="4"/>
        <v>4.6385403751080197E-6</v>
      </c>
      <c r="M7" s="181">
        <f t="shared" si="4"/>
        <v>4.7871035758707831E-6</v>
      </c>
      <c r="N7" s="181">
        <f t="shared" si="4"/>
        <v>4.8357001629015925E-6</v>
      </c>
      <c r="O7" s="181">
        <f t="shared" si="4"/>
        <v>4.8757569715943129E-6</v>
      </c>
      <c r="P7" s="181">
        <f t="shared" si="4"/>
        <v>4.9135526117071666E-6</v>
      </c>
      <c r="Q7" s="181">
        <f t="shared" si="4"/>
        <v>4.9320471926912132E-6</v>
      </c>
      <c r="R7" s="181">
        <f t="shared" si="4"/>
        <v>4.96710826195188E-6</v>
      </c>
      <c r="S7" s="181">
        <f t="shared" si="4"/>
        <v>4.9982397933613905E-6</v>
      </c>
      <c r="T7" s="181">
        <f t="shared" si="4"/>
        <v>5.0530593778413768E-6</v>
      </c>
      <c r="U7" s="181">
        <f t="shared" si="4"/>
        <v>5.0557355458027046E-6</v>
      </c>
      <c r="V7" s="181">
        <f t="shared" si="4"/>
        <v>5.0954379506048224E-6</v>
      </c>
      <c r="W7" s="181">
        <f t="shared" si="4"/>
        <v>5.1277188030678869E-6</v>
      </c>
      <c r="X7" s="181">
        <f t="shared" si="4"/>
        <v>5.1358886299881126E-6</v>
      </c>
      <c r="Y7" s="181">
        <f t="shared" si="4"/>
        <v>5.1868566135805118E-6</v>
      </c>
      <c r="Z7" s="181">
        <f t="shared" si="4"/>
        <v>5.2359062715018396E-6</v>
      </c>
      <c r="AA7" s="181">
        <f t="shared" si="4"/>
        <v>5.2526884318873633E-6</v>
      </c>
      <c r="AB7" s="181">
        <f t="shared" si="4"/>
        <v>5.2947522668874449E-6</v>
      </c>
      <c r="AC7" s="181">
        <f t="shared" si="4"/>
        <v>5.3110608256733763E-6</v>
      </c>
      <c r="AD7" s="181">
        <f t="shared" si="4"/>
        <v>5.2967877969947792E-6</v>
      </c>
      <c r="AE7" s="181">
        <f t="shared" si="4"/>
        <v>5.2999214210466219E-6</v>
      </c>
      <c r="AF7" s="181">
        <f t="shared" si="4"/>
        <v>5.2988839225929715E-6</v>
      </c>
    </row>
    <row r="8" spans="1:34">
      <c r="A8" s="13" t="s">
        <v>170</v>
      </c>
      <c r="B8" s="181">
        <v>0</v>
      </c>
      <c r="C8" s="181">
        <v>0</v>
      </c>
      <c r="D8" s="181">
        <v>0</v>
      </c>
      <c r="E8" s="181">
        <v>0</v>
      </c>
      <c r="F8" s="181">
        <v>0</v>
      </c>
      <c r="G8" s="181">
        <v>0</v>
      </c>
      <c r="H8" s="181">
        <v>0</v>
      </c>
      <c r="I8" s="181">
        <v>0</v>
      </c>
      <c r="J8" s="181">
        <v>0</v>
      </c>
      <c r="K8" s="181">
        <v>0</v>
      </c>
      <c r="L8" s="181">
        <v>0</v>
      </c>
      <c r="M8" s="181">
        <v>0</v>
      </c>
      <c r="N8" s="181">
        <v>0</v>
      </c>
      <c r="O8" s="181">
        <v>0</v>
      </c>
      <c r="P8" s="181">
        <v>0</v>
      </c>
      <c r="Q8" s="181">
        <v>0</v>
      </c>
      <c r="R8" s="181">
        <v>0</v>
      </c>
      <c r="S8" s="181">
        <v>0</v>
      </c>
      <c r="T8" s="181">
        <v>0</v>
      </c>
      <c r="U8" s="181">
        <v>0</v>
      </c>
      <c r="V8" s="181">
        <v>0</v>
      </c>
      <c r="W8" s="181">
        <v>0</v>
      </c>
      <c r="X8" s="181">
        <v>0</v>
      </c>
      <c r="Y8" s="181">
        <v>0</v>
      </c>
      <c r="Z8" s="181">
        <v>0</v>
      </c>
      <c r="AA8" s="181">
        <v>0</v>
      </c>
      <c r="AB8" s="181">
        <v>0</v>
      </c>
      <c r="AC8" s="181">
        <v>0</v>
      </c>
      <c r="AD8" s="181">
        <v>0</v>
      </c>
      <c r="AE8" s="181">
        <v>0</v>
      </c>
      <c r="AF8" s="181">
        <v>0</v>
      </c>
    </row>
    <row r="9" spans="1:34">
      <c r="A9" s="13" t="s">
        <v>171</v>
      </c>
      <c r="B9" s="181">
        <f>B2</f>
        <v>4.1200800768020528E-6</v>
      </c>
      <c r="C9" s="181">
        <f t="shared" ref="C9:AF9" si="5">C2</f>
        <v>5.1514475189019674E-6</v>
      </c>
      <c r="D9" s="181">
        <f t="shared" si="5"/>
        <v>4.9396264129028598E-6</v>
      </c>
      <c r="E9" s="181">
        <f t="shared" si="5"/>
        <v>4.4200117070601548E-6</v>
      </c>
      <c r="F9" s="181">
        <f t="shared" si="5"/>
        <v>4.390874245685288E-6</v>
      </c>
      <c r="G9" s="181">
        <f t="shared" si="5"/>
        <v>4.3465330965962625E-6</v>
      </c>
      <c r="H9" s="181">
        <f t="shared" si="5"/>
        <v>4.3924120555930525E-6</v>
      </c>
      <c r="I9" s="181">
        <f t="shared" si="5"/>
        <v>4.444910274656859E-6</v>
      </c>
      <c r="J9" s="181">
        <f t="shared" si="5"/>
        <v>4.4929575157245056E-6</v>
      </c>
      <c r="K9" s="181">
        <f t="shared" si="5"/>
        <v>4.5266769131136022E-6</v>
      </c>
      <c r="L9" s="181">
        <f t="shared" si="5"/>
        <v>4.6385403751080197E-6</v>
      </c>
      <c r="M9" s="181">
        <f t="shared" si="5"/>
        <v>4.7871035758707831E-6</v>
      </c>
      <c r="N9" s="181">
        <f t="shared" si="5"/>
        <v>4.8357001629015925E-6</v>
      </c>
      <c r="O9" s="181">
        <f t="shared" si="5"/>
        <v>4.8757569715943129E-6</v>
      </c>
      <c r="P9" s="181">
        <f t="shared" si="5"/>
        <v>4.9135526117071666E-6</v>
      </c>
      <c r="Q9" s="181">
        <f t="shared" si="5"/>
        <v>4.9320471926912132E-6</v>
      </c>
      <c r="R9" s="181">
        <f t="shared" si="5"/>
        <v>4.96710826195188E-6</v>
      </c>
      <c r="S9" s="181">
        <f t="shared" si="5"/>
        <v>4.9982397933613905E-6</v>
      </c>
      <c r="T9" s="181">
        <f t="shared" si="5"/>
        <v>5.0530593778413768E-6</v>
      </c>
      <c r="U9" s="181">
        <f t="shared" si="5"/>
        <v>5.0557355458027046E-6</v>
      </c>
      <c r="V9" s="181">
        <f t="shared" si="5"/>
        <v>5.0954379506048224E-6</v>
      </c>
      <c r="W9" s="181">
        <f t="shared" si="5"/>
        <v>5.1277188030678869E-6</v>
      </c>
      <c r="X9" s="181">
        <f t="shared" si="5"/>
        <v>5.1358886299881126E-6</v>
      </c>
      <c r="Y9" s="181">
        <f t="shared" si="5"/>
        <v>5.1868566135805118E-6</v>
      </c>
      <c r="Z9" s="181">
        <f t="shared" si="5"/>
        <v>5.2359062715018396E-6</v>
      </c>
      <c r="AA9" s="181">
        <f t="shared" si="5"/>
        <v>5.2526884318873633E-6</v>
      </c>
      <c r="AB9" s="181">
        <f t="shared" si="5"/>
        <v>5.2947522668874449E-6</v>
      </c>
      <c r="AC9" s="181">
        <f t="shared" si="5"/>
        <v>5.3110608256733763E-6</v>
      </c>
      <c r="AD9" s="181">
        <f t="shared" si="5"/>
        <v>5.2967877969947792E-6</v>
      </c>
      <c r="AE9" s="181">
        <f t="shared" si="5"/>
        <v>5.2999214210466219E-6</v>
      </c>
      <c r="AF9" s="181">
        <f t="shared" si="5"/>
        <v>5.2988839225929715E-6</v>
      </c>
    </row>
  </sheetData>
  <pageMargins left="0.7" right="0.7" top="0.75" bottom="0.75" header="0.3" footer="0.3"/>
  <pageSetup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2060"/>
  </sheetPr>
  <dimension ref="A1:AH9"/>
  <sheetViews>
    <sheetView topLeftCell="S1" workbookViewId="0">
      <selection activeCell="E21" sqref="E21"/>
    </sheetView>
  </sheetViews>
  <sheetFormatPr defaultColWidth="9.1796875" defaultRowHeight="14.5"/>
  <cols>
    <col min="1" max="1" width="41.453125" style="14" customWidth="1"/>
    <col min="2" max="24" width="10" style="14" customWidth="1"/>
    <col min="25" max="26" width="9.1796875" style="14" customWidth="1"/>
    <col min="27" max="32" width="11.81640625" style="14" bestFit="1" customWidth="1"/>
    <col min="33" max="16384" width="9.1796875" style="14"/>
  </cols>
  <sheetData>
    <row r="1" spans="1:34">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181">
        <f>'Gasoline+diesel'!B16</f>
        <v>6.7129837070997621E-6</v>
      </c>
      <c r="C2" s="181">
        <f>'Gasoline+diesel'!C16</f>
        <v>7.9059993224886051E-6</v>
      </c>
      <c r="D2" s="181">
        <f>'Gasoline+diesel'!D16</f>
        <v>7.6040919224882212E-6</v>
      </c>
      <c r="E2" s="181">
        <f>'Gasoline+diesel'!E16</f>
        <v>7.3349924263292742E-6</v>
      </c>
      <c r="F2" s="181">
        <f>'Gasoline+diesel'!F16</f>
        <v>7.5956332180120302E-6</v>
      </c>
      <c r="G2" s="181">
        <f>'Gasoline+diesel'!G16</f>
        <v>7.5869991379522947E-6</v>
      </c>
      <c r="H2" s="181">
        <f>'Gasoline+diesel'!H16</f>
        <v>7.5788681791008599E-6</v>
      </c>
      <c r="I2" s="181">
        <f>'Gasoline+diesel'!I16</f>
        <v>7.5985752601207378E-6</v>
      </c>
      <c r="J2" s="181">
        <f>'Gasoline+diesel'!J16</f>
        <v>7.6582559712966882E-6</v>
      </c>
      <c r="K2" s="181">
        <f>'Gasoline+diesel'!K16</f>
        <v>7.7030854379522222E-6</v>
      </c>
      <c r="L2" s="181">
        <f>'Gasoline+diesel'!L16</f>
        <v>7.6908411548153015E-6</v>
      </c>
      <c r="M2" s="181">
        <f>'Gasoline+diesel'!M16</f>
        <v>7.8953144150251246E-6</v>
      </c>
      <c r="N2" s="181">
        <f>'Gasoline+diesel'!N16</f>
        <v>7.9275868565335417E-6</v>
      </c>
      <c r="O2" s="181">
        <f>'Gasoline+diesel'!O16</f>
        <v>7.9713030549886006E-6</v>
      </c>
      <c r="P2" s="181">
        <f>'Gasoline+diesel'!P16</f>
        <v>7.9845795868073622E-6</v>
      </c>
      <c r="Q2" s="181">
        <f>'Gasoline+diesel'!Q16</f>
        <v>8.0177002326589962E-6</v>
      </c>
      <c r="R2" s="181">
        <f>'Gasoline+diesel'!R16</f>
        <v>8.0783251713113618E-6</v>
      </c>
      <c r="S2" s="181">
        <f>'Gasoline+diesel'!S16</f>
        <v>8.1451132614119857E-6</v>
      </c>
      <c r="T2" s="181">
        <f>'Gasoline+diesel'!T16</f>
        <v>8.1897653520020342E-6</v>
      </c>
      <c r="U2" s="181">
        <f>'Gasoline+diesel'!U16</f>
        <v>8.2192321175874245E-6</v>
      </c>
      <c r="V2" s="181">
        <f>'Gasoline+diesel'!V16</f>
        <v>8.2871528138806261E-6</v>
      </c>
      <c r="W2" s="181">
        <f>'Gasoline+diesel'!W16</f>
        <v>8.325445705792141E-6</v>
      </c>
      <c r="X2" s="181">
        <f>'Gasoline+diesel'!X16</f>
        <v>8.3294806778682508E-6</v>
      </c>
      <c r="Y2" s="181">
        <f>'Gasoline+diesel'!Y16</f>
        <v>8.4164066194335013E-6</v>
      </c>
      <c r="Z2" s="181">
        <f>'Gasoline+diesel'!Z16</f>
        <v>8.5117966000934522E-6</v>
      </c>
      <c r="AA2" s="181">
        <f>'Gasoline+diesel'!AA16</f>
        <v>8.5460595211337129E-6</v>
      </c>
      <c r="AB2" s="181">
        <f>'Gasoline+diesel'!AB16</f>
        <v>8.6066914614728726E-6</v>
      </c>
      <c r="AC2" s="181">
        <f>'Gasoline+diesel'!AC16</f>
        <v>8.6265822534177164E-6</v>
      </c>
      <c r="AD2" s="181">
        <f>'Gasoline+diesel'!AD16</f>
        <v>8.6097301935420889E-6</v>
      </c>
      <c r="AE2" s="181">
        <f>'Gasoline+diesel'!AE16</f>
        <v>8.6027111692364984E-6</v>
      </c>
      <c r="AF2" s="181">
        <f>'Gasoline+diesel'!AF16</f>
        <v>8.5823849390557135E-6</v>
      </c>
    </row>
    <row r="3" spans="1:34">
      <c r="A3" s="13" t="s">
        <v>165</v>
      </c>
      <c r="B3" s="181">
        <f>'Gasoline+diesel'!B16</f>
        <v>6.7129837070997621E-6</v>
      </c>
      <c r="C3" s="181">
        <f>'Gasoline+diesel'!C16</f>
        <v>7.9059993224886051E-6</v>
      </c>
      <c r="D3" s="181">
        <f>'Gasoline+diesel'!D16</f>
        <v>7.6040919224882212E-6</v>
      </c>
      <c r="E3" s="181">
        <f>'Gasoline+diesel'!E16</f>
        <v>7.3349924263292742E-6</v>
      </c>
      <c r="F3" s="181">
        <f>'Gasoline+diesel'!F16</f>
        <v>7.5956332180120302E-6</v>
      </c>
      <c r="G3" s="181">
        <f>'Gasoline+diesel'!G16</f>
        <v>7.5869991379522947E-6</v>
      </c>
      <c r="H3" s="181">
        <f>'Gasoline+diesel'!H16</f>
        <v>7.5788681791008599E-6</v>
      </c>
      <c r="I3" s="181">
        <f>'Gasoline+diesel'!I16</f>
        <v>7.5985752601207378E-6</v>
      </c>
      <c r="J3" s="181">
        <f>'Gasoline+diesel'!J16</f>
        <v>7.6582559712966882E-6</v>
      </c>
      <c r="K3" s="181">
        <f>'Gasoline+diesel'!K16</f>
        <v>7.7030854379522222E-6</v>
      </c>
      <c r="L3" s="181">
        <f>'Gasoline+diesel'!L16</f>
        <v>7.6908411548153015E-6</v>
      </c>
      <c r="M3" s="181">
        <f>'Gasoline+diesel'!M16</f>
        <v>7.8953144150251246E-6</v>
      </c>
      <c r="N3" s="181">
        <f>'Gasoline+diesel'!N16</f>
        <v>7.9275868565335417E-6</v>
      </c>
      <c r="O3" s="181">
        <f>'Gasoline+diesel'!O16</f>
        <v>7.9713030549886006E-6</v>
      </c>
      <c r="P3" s="181">
        <f>'Gasoline+diesel'!P16</f>
        <v>7.9845795868073622E-6</v>
      </c>
      <c r="Q3" s="181">
        <f>'Gasoline+diesel'!Q16</f>
        <v>8.0177002326589962E-6</v>
      </c>
      <c r="R3" s="181">
        <f>'Gasoline+diesel'!R16</f>
        <v>8.0783251713113618E-6</v>
      </c>
      <c r="S3" s="181">
        <f>'Gasoline+diesel'!S16</f>
        <v>8.1451132614119857E-6</v>
      </c>
      <c r="T3" s="181">
        <f>'Gasoline+diesel'!T16</f>
        <v>8.1897653520020342E-6</v>
      </c>
      <c r="U3" s="181">
        <f>'Gasoline+diesel'!U16</f>
        <v>8.2192321175874245E-6</v>
      </c>
      <c r="V3" s="181">
        <f>'Gasoline+diesel'!V16</f>
        <v>8.2871528138806261E-6</v>
      </c>
      <c r="W3" s="181">
        <f>'Gasoline+diesel'!W16</f>
        <v>8.325445705792141E-6</v>
      </c>
      <c r="X3" s="181">
        <f>'Gasoline+diesel'!X16</f>
        <v>8.3294806778682508E-6</v>
      </c>
      <c r="Y3" s="181">
        <f>'Gasoline+diesel'!Y16</f>
        <v>8.4164066194335013E-6</v>
      </c>
      <c r="Z3" s="181">
        <f>'Gasoline+diesel'!Z16</f>
        <v>8.5117966000934522E-6</v>
      </c>
      <c r="AA3" s="181">
        <f>'Gasoline+diesel'!AA16</f>
        <v>8.5460595211337129E-6</v>
      </c>
      <c r="AB3" s="181">
        <f>'Gasoline+diesel'!AB16</f>
        <v>8.6066914614728726E-6</v>
      </c>
      <c r="AC3" s="181">
        <f>'Gasoline+diesel'!AC16</f>
        <v>8.6265822534177164E-6</v>
      </c>
      <c r="AD3" s="181">
        <f>'Gasoline+diesel'!AD16</f>
        <v>8.6097301935420889E-6</v>
      </c>
      <c r="AE3" s="181">
        <f>'Gasoline+diesel'!AE16</f>
        <v>8.6027111692364984E-6</v>
      </c>
      <c r="AF3" s="181">
        <f>'Gasoline+diesel'!AF16</f>
        <v>8.5823849390557135E-6</v>
      </c>
    </row>
    <row r="4" spans="1:34">
      <c r="A4" s="13" t="s">
        <v>166</v>
      </c>
      <c r="B4" s="181">
        <f>'Gasoline+diesel'!B16</f>
        <v>6.7129837070997621E-6</v>
      </c>
      <c r="C4" s="181">
        <f>'Gasoline+diesel'!C16</f>
        <v>7.9059993224886051E-6</v>
      </c>
      <c r="D4" s="181">
        <f>'Gasoline+diesel'!D16</f>
        <v>7.6040919224882212E-6</v>
      </c>
      <c r="E4" s="181">
        <f>'Gasoline+diesel'!E16</f>
        <v>7.3349924263292742E-6</v>
      </c>
      <c r="F4" s="181">
        <f>'Gasoline+diesel'!F16</f>
        <v>7.5956332180120302E-6</v>
      </c>
      <c r="G4" s="181">
        <f>'Gasoline+diesel'!G16</f>
        <v>7.5869991379522947E-6</v>
      </c>
      <c r="H4" s="181">
        <f>'Gasoline+diesel'!H16</f>
        <v>7.5788681791008599E-6</v>
      </c>
      <c r="I4" s="181">
        <f>'Gasoline+diesel'!I16</f>
        <v>7.5985752601207378E-6</v>
      </c>
      <c r="J4" s="181">
        <f>'Gasoline+diesel'!J16</f>
        <v>7.6582559712966882E-6</v>
      </c>
      <c r="K4" s="181">
        <f>'Gasoline+diesel'!K16</f>
        <v>7.7030854379522222E-6</v>
      </c>
      <c r="L4" s="181">
        <f>'Gasoline+diesel'!L16</f>
        <v>7.6908411548153015E-6</v>
      </c>
      <c r="M4" s="181">
        <f>'Gasoline+diesel'!M16</f>
        <v>7.8953144150251246E-6</v>
      </c>
      <c r="N4" s="181">
        <f>'Gasoline+diesel'!N16</f>
        <v>7.9275868565335417E-6</v>
      </c>
      <c r="O4" s="181">
        <f>'Gasoline+diesel'!O16</f>
        <v>7.9713030549886006E-6</v>
      </c>
      <c r="P4" s="181">
        <f>'Gasoline+diesel'!P16</f>
        <v>7.9845795868073622E-6</v>
      </c>
      <c r="Q4" s="181">
        <f>'Gasoline+diesel'!Q16</f>
        <v>8.0177002326589962E-6</v>
      </c>
      <c r="R4" s="181">
        <f>'Gasoline+diesel'!R16</f>
        <v>8.0783251713113618E-6</v>
      </c>
      <c r="S4" s="181">
        <f>'Gasoline+diesel'!S16</f>
        <v>8.1451132614119857E-6</v>
      </c>
      <c r="T4" s="181">
        <f>'Gasoline+diesel'!T16</f>
        <v>8.1897653520020342E-6</v>
      </c>
      <c r="U4" s="181">
        <f>'Gasoline+diesel'!U16</f>
        <v>8.2192321175874245E-6</v>
      </c>
      <c r="V4" s="181">
        <f>'Gasoline+diesel'!V16</f>
        <v>8.2871528138806261E-6</v>
      </c>
      <c r="W4" s="181">
        <f>'Gasoline+diesel'!W16</f>
        <v>8.325445705792141E-6</v>
      </c>
      <c r="X4" s="181">
        <f>'Gasoline+diesel'!X16</f>
        <v>8.3294806778682508E-6</v>
      </c>
      <c r="Y4" s="181">
        <f>'Gasoline+diesel'!Y16</f>
        <v>8.4164066194335013E-6</v>
      </c>
      <c r="Z4" s="181">
        <f>'Gasoline+diesel'!Z16</f>
        <v>8.5117966000934522E-6</v>
      </c>
      <c r="AA4" s="181">
        <f>'Gasoline+diesel'!AA16</f>
        <v>8.5460595211337129E-6</v>
      </c>
      <c r="AB4" s="181">
        <f>'Gasoline+diesel'!AB16</f>
        <v>8.6066914614728726E-6</v>
      </c>
      <c r="AC4" s="181">
        <f>'Gasoline+diesel'!AC16</f>
        <v>8.6265822534177164E-6</v>
      </c>
      <c r="AD4" s="181">
        <f>'Gasoline+diesel'!AD16</f>
        <v>8.6097301935420889E-6</v>
      </c>
      <c r="AE4" s="181">
        <f>'Gasoline+diesel'!AE16</f>
        <v>8.6027111692364984E-6</v>
      </c>
      <c r="AF4" s="181">
        <f>'Gasoline+diesel'!AF16</f>
        <v>8.5823849390557135E-6</v>
      </c>
    </row>
    <row r="5" spans="1:34">
      <c r="A5" s="13" t="s">
        <v>167</v>
      </c>
      <c r="B5" s="181">
        <f>'Gasoline+diesel'!B16</f>
        <v>6.7129837070997621E-6</v>
      </c>
      <c r="C5" s="181">
        <f>'Gasoline+diesel'!C16</f>
        <v>7.9059993224886051E-6</v>
      </c>
      <c r="D5" s="181">
        <f>'Gasoline+diesel'!D16</f>
        <v>7.6040919224882212E-6</v>
      </c>
      <c r="E5" s="181">
        <f>'Gasoline+diesel'!E16</f>
        <v>7.3349924263292742E-6</v>
      </c>
      <c r="F5" s="181">
        <f>'Gasoline+diesel'!F16</f>
        <v>7.5956332180120302E-6</v>
      </c>
      <c r="G5" s="181">
        <f>'Gasoline+diesel'!G16</f>
        <v>7.5869991379522947E-6</v>
      </c>
      <c r="H5" s="181">
        <f>'Gasoline+diesel'!H16</f>
        <v>7.5788681791008599E-6</v>
      </c>
      <c r="I5" s="181">
        <f>'Gasoline+diesel'!I16</f>
        <v>7.5985752601207378E-6</v>
      </c>
      <c r="J5" s="181">
        <f>'Gasoline+diesel'!J16</f>
        <v>7.6582559712966882E-6</v>
      </c>
      <c r="K5" s="181">
        <f>'Gasoline+diesel'!K16</f>
        <v>7.7030854379522222E-6</v>
      </c>
      <c r="L5" s="181">
        <f>'Gasoline+diesel'!L16</f>
        <v>7.6908411548153015E-6</v>
      </c>
      <c r="M5" s="181">
        <f>'Gasoline+diesel'!M16</f>
        <v>7.8953144150251246E-6</v>
      </c>
      <c r="N5" s="181">
        <f>'Gasoline+diesel'!N16</f>
        <v>7.9275868565335417E-6</v>
      </c>
      <c r="O5" s="181">
        <f>'Gasoline+diesel'!O16</f>
        <v>7.9713030549886006E-6</v>
      </c>
      <c r="P5" s="181">
        <f>'Gasoline+diesel'!P16</f>
        <v>7.9845795868073622E-6</v>
      </c>
      <c r="Q5" s="181">
        <f>'Gasoline+diesel'!Q16</f>
        <v>8.0177002326589962E-6</v>
      </c>
      <c r="R5" s="181">
        <f>'Gasoline+diesel'!R16</f>
        <v>8.0783251713113618E-6</v>
      </c>
      <c r="S5" s="181">
        <f>'Gasoline+diesel'!S16</f>
        <v>8.1451132614119857E-6</v>
      </c>
      <c r="T5" s="181">
        <f>'Gasoline+diesel'!T16</f>
        <v>8.1897653520020342E-6</v>
      </c>
      <c r="U5" s="181">
        <f>'Gasoline+diesel'!U16</f>
        <v>8.2192321175874245E-6</v>
      </c>
      <c r="V5" s="181">
        <f>'Gasoline+diesel'!V16</f>
        <v>8.2871528138806261E-6</v>
      </c>
      <c r="W5" s="181">
        <f>'Gasoline+diesel'!W16</f>
        <v>8.325445705792141E-6</v>
      </c>
      <c r="X5" s="181">
        <f>'Gasoline+diesel'!X16</f>
        <v>8.3294806778682508E-6</v>
      </c>
      <c r="Y5" s="181">
        <f>'Gasoline+diesel'!Y16</f>
        <v>8.4164066194335013E-6</v>
      </c>
      <c r="Z5" s="181">
        <f>'Gasoline+diesel'!Z16</f>
        <v>8.5117966000934522E-6</v>
      </c>
      <c r="AA5" s="181">
        <f>'Gasoline+diesel'!AA16</f>
        <v>8.5460595211337129E-6</v>
      </c>
      <c r="AB5" s="181">
        <f>'Gasoline+diesel'!AB16</f>
        <v>8.6066914614728726E-6</v>
      </c>
      <c r="AC5" s="181">
        <f>'Gasoline+diesel'!AC16</f>
        <v>8.6265822534177164E-6</v>
      </c>
      <c r="AD5" s="181">
        <f>'Gasoline+diesel'!AD16</f>
        <v>8.6097301935420889E-6</v>
      </c>
      <c r="AE5" s="181">
        <f>'Gasoline+diesel'!AE16</f>
        <v>8.6027111692364984E-6</v>
      </c>
      <c r="AF5" s="181">
        <f>'Gasoline+diesel'!AF16</f>
        <v>8.5823849390557135E-6</v>
      </c>
    </row>
    <row r="6" spans="1:34">
      <c r="A6" s="13" t="s">
        <v>168</v>
      </c>
      <c r="B6" s="181">
        <f>'Gasoline+diesel'!B16</f>
        <v>6.7129837070997621E-6</v>
      </c>
      <c r="C6" s="181">
        <f>'Gasoline+diesel'!C16</f>
        <v>7.9059993224886051E-6</v>
      </c>
      <c r="D6" s="181">
        <f>'Gasoline+diesel'!D16</f>
        <v>7.6040919224882212E-6</v>
      </c>
      <c r="E6" s="181">
        <f>'Gasoline+diesel'!E16</f>
        <v>7.3349924263292742E-6</v>
      </c>
      <c r="F6" s="181">
        <f>'Gasoline+diesel'!F16</f>
        <v>7.5956332180120302E-6</v>
      </c>
      <c r="G6" s="181">
        <f>'Gasoline+diesel'!G16</f>
        <v>7.5869991379522947E-6</v>
      </c>
      <c r="H6" s="181">
        <f>'Gasoline+diesel'!H16</f>
        <v>7.5788681791008599E-6</v>
      </c>
      <c r="I6" s="181">
        <f>'Gasoline+diesel'!I16</f>
        <v>7.5985752601207378E-6</v>
      </c>
      <c r="J6" s="181">
        <f>'Gasoline+diesel'!J16</f>
        <v>7.6582559712966882E-6</v>
      </c>
      <c r="K6" s="181">
        <f>'Gasoline+diesel'!K16</f>
        <v>7.7030854379522222E-6</v>
      </c>
      <c r="L6" s="181">
        <f>'Gasoline+diesel'!L16</f>
        <v>7.6908411548153015E-6</v>
      </c>
      <c r="M6" s="181">
        <f>'Gasoline+diesel'!M16</f>
        <v>7.8953144150251246E-6</v>
      </c>
      <c r="N6" s="181">
        <f>'Gasoline+diesel'!N16</f>
        <v>7.9275868565335417E-6</v>
      </c>
      <c r="O6" s="181">
        <f>'Gasoline+diesel'!O16</f>
        <v>7.9713030549886006E-6</v>
      </c>
      <c r="P6" s="181">
        <f>'Gasoline+diesel'!P16</f>
        <v>7.9845795868073622E-6</v>
      </c>
      <c r="Q6" s="181">
        <f>'Gasoline+diesel'!Q16</f>
        <v>8.0177002326589962E-6</v>
      </c>
      <c r="R6" s="181">
        <f>'Gasoline+diesel'!R16</f>
        <v>8.0783251713113618E-6</v>
      </c>
      <c r="S6" s="181">
        <f>'Gasoline+diesel'!S16</f>
        <v>8.1451132614119857E-6</v>
      </c>
      <c r="T6" s="181">
        <f>'Gasoline+diesel'!T16</f>
        <v>8.1897653520020342E-6</v>
      </c>
      <c r="U6" s="181">
        <f>'Gasoline+diesel'!U16</f>
        <v>8.2192321175874245E-6</v>
      </c>
      <c r="V6" s="181">
        <f>'Gasoline+diesel'!V16</f>
        <v>8.2871528138806261E-6</v>
      </c>
      <c r="W6" s="181">
        <f>'Gasoline+diesel'!W16</f>
        <v>8.325445705792141E-6</v>
      </c>
      <c r="X6" s="181">
        <f>'Gasoline+diesel'!X16</f>
        <v>8.3294806778682508E-6</v>
      </c>
      <c r="Y6" s="181">
        <f>'Gasoline+diesel'!Y16</f>
        <v>8.4164066194335013E-6</v>
      </c>
      <c r="Z6" s="181">
        <f>'Gasoline+diesel'!Z16</f>
        <v>8.5117966000934522E-6</v>
      </c>
      <c r="AA6" s="181">
        <f>'Gasoline+diesel'!AA16</f>
        <v>8.5460595211337129E-6</v>
      </c>
      <c r="AB6" s="181">
        <f>'Gasoline+diesel'!AB16</f>
        <v>8.6066914614728726E-6</v>
      </c>
      <c r="AC6" s="181">
        <f>'Gasoline+diesel'!AC16</f>
        <v>8.6265822534177164E-6</v>
      </c>
      <c r="AD6" s="181">
        <f>'Gasoline+diesel'!AD16</f>
        <v>8.6097301935420889E-6</v>
      </c>
      <c r="AE6" s="181">
        <f>'Gasoline+diesel'!AE16</f>
        <v>8.6027111692364984E-6</v>
      </c>
      <c r="AF6" s="181">
        <f>'Gasoline+diesel'!AF16</f>
        <v>8.5823849390557135E-6</v>
      </c>
    </row>
    <row r="7" spans="1:34">
      <c r="A7" s="13" t="s">
        <v>169</v>
      </c>
      <c r="B7" s="181">
        <f>B6</f>
        <v>6.7129837070997621E-6</v>
      </c>
      <c r="C7" s="181">
        <f t="shared" ref="C7:AF7" si="0">C6</f>
        <v>7.9059993224886051E-6</v>
      </c>
      <c r="D7" s="181">
        <f t="shared" si="0"/>
        <v>7.6040919224882212E-6</v>
      </c>
      <c r="E7" s="181">
        <f t="shared" si="0"/>
        <v>7.3349924263292742E-6</v>
      </c>
      <c r="F7" s="181">
        <f t="shared" si="0"/>
        <v>7.5956332180120302E-6</v>
      </c>
      <c r="G7" s="181">
        <f t="shared" si="0"/>
        <v>7.5869991379522947E-6</v>
      </c>
      <c r="H7" s="181">
        <f t="shared" si="0"/>
        <v>7.5788681791008599E-6</v>
      </c>
      <c r="I7" s="181">
        <f t="shared" si="0"/>
        <v>7.5985752601207378E-6</v>
      </c>
      <c r="J7" s="181">
        <f t="shared" si="0"/>
        <v>7.6582559712966882E-6</v>
      </c>
      <c r="K7" s="181">
        <f t="shared" si="0"/>
        <v>7.7030854379522222E-6</v>
      </c>
      <c r="L7" s="181">
        <f t="shared" si="0"/>
        <v>7.6908411548153015E-6</v>
      </c>
      <c r="M7" s="181">
        <f t="shared" si="0"/>
        <v>7.8953144150251246E-6</v>
      </c>
      <c r="N7" s="181">
        <f t="shared" si="0"/>
        <v>7.9275868565335417E-6</v>
      </c>
      <c r="O7" s="181">
        <f t="shared" si="0"/>
        <v>7.9713030549886006E-6</v>
      </c>
      <c r="P7" s="181">
        <f t="shared" si="0"/>
        <v>7.9845795868073622E-6</v>
      </c>
      <c r="Q7" s="181">
        <f t="shared" si="0"/>
        <v>8.0177002326589962E-6</v>
      </c>
      <c r="R7" s="181">
        <f t="shared" si="0"/>
        <v>8.0783251713113618E-6</v>
      </c>
      <c r="S7" s="181">
        <f t="shared" si="0"/>
        <v>8.1451132614119857E-6</v>
      </c>
      <c r="T7" s="181">
        <f t="shared" si="0"/>
        <v>8.1897653520020342E-6</v>
      </c>
      <c r="U7" s="181">
        <f t="shared" si="0"/>
        <v>8.2192321175874245E-6</v>
      </c>
      <c r="V7" s="181">
        <f t="shared" si="0"/>
        <v>8.2871528138806261E-6</v>
      </c>
      <c r="W7" s="181">
        <f t="shared" si="0"/>
        <v>8.325445705792141E-6</v>
      </c>
      <c r="X7" s="181">
        <f t="shared" si="0"/>
        <v>8.3294806778682508E-6</v>
      </c>
      <c r="Y7" s="181">
        <f t="shared" si="0"/>
        <v>8.4164066194335013E-6</v>
      </c>
      <c r="Z7" s="181">
        <f t="shared" si="0"/>
        <v>8.5117966000934522E-6</v>
      </c>
      <c r="AA7" s="181">
        <f t="shared" si="0"/>
        <v>8.5460595211337129E-6</v>
      </c>
      <c r="AB7" s="181">
        <f t="shared" si="0"/>
        <v>8.6066914614728726E-6</v>
      </c>
      <c r="AC7" s="181">
        <f t="shared" si="0"/>
        <v>8.6265822534177164E-6</v>
      </c>
      <c r="AD7" s="181">
        <f t="shared" si="0"/>
        <v>8.6097301935420889E-6</v>
      </c>
      <c r="AE7" s="181">
        <f t="shared" si="0"/>
        <v>8.6027111692364984E-6</v>
      </c>
      <c r="AF7" s="181">
        <f t="shared" si="0"/>
        <v>8.5823849390557135E-6</v>
      </c>
    </row>
    <row r="8" spans="1:34">
      <c r="A8" s="13" t="s">
        <v>170</v>
      </c>
      <c r="B8" s="181">
        <v>0</v>
      </c>
      <c r="C8" s="181">
        <v>0</v>
      </c>
      <c r="D8" s="181">
        <v>0</v>
      </c>
      <c r="E8" s="181">
        <v>0</v>
      </c>
      <c r="F8" s="181">
        <v>0</v>
      </c>
      <c r="G8" s="181">
        <v>0</v>
      </c>
      <c r="H8" s="181">
        <v>0</v>
      </c>
      <c r="I8" s="181">
        <v>0</v>
      </c>
      <c r="J8" s="181">
        <v>0</v>
      </c>
      <c r="K8" s="181">
        <v>0</v>
      </c>
      <c r="L8" s="181">
        <v>0</v>
      </c>
      <c r="M8" s="181">
        <v>0</v>
      </c>
      <c r="N8" s="181">
        <v>0</v>
      </c>
      <c r="O8" s="181">
        <v>0</v>
      </c>
      <c r="P8" s="181">
        <v>0</v>
      </c>
      <c r="Q8" s="181">
        <v>0</v>
      </c>
      <c r="R8" s="181">
        <v>0</v>
      </c>
      <c r="S8" s="181">
        <v>0</v>
      </c>
      <c r="T8" s="181">
        <v>0</v>
      </c>
      <c r="U8" s="181">
        <v>0</v>
      </c>
      <c r="V8" s="181">
        <v>0</v>
      </c>
      <c r="W8" s="181">
        <v>0</v>
      </c>
      <c r="X8" s="181">
        <v>0</v>
      </c>
      <c r="Y8" s="181">
        <v>0</v>
      </c>
      <c r="Z8" s="181">
        <v>0</v>
      </c>
      <c r="AA8" s="181">
        <v>0</v>
      </c>
      <c r="AB8" s="181">
        <v>0</v>
      </c>
      <c r="AC8" s="181">
        <v>0</v>
      </c>
      <c r="AD8" s="181">
        <v>0</v>
      </c>
      <c r="AE8" s="181">
        <v>0</v>
      </c>
      <c r="AF8" s="181">
        <v>0</v>
      </c>
    </row>
    <row r="9" spans="1:34">
      <c r="A9" s="13" t="s">
        <v>171</v>
      </c>
      <c r="B9" s="181">
        <f t="shared" ref="B9:AF9" si="1">B7</f>
        <v>6.7129837070997621E-6</v>
      </c>
      <c r="C9" s="181">
        <f t="shared" si="1"/>
        <v>7.9059993224886051E-6</v>
      </c>
      <c r="D9" s="181">
        <f t="shared" si="1"/>
        <v>7.6040919224882212E-6</v>
      </c>
      <c r="E9" s="181">
        <f t="shared" si="1"/>
        <v>7.3349924263292742E-6</v>
      </c>
      <c r="F9" s="181">
        <f t="shared" si="1"/>
        <v>7.5956332180120302E-6</v>
      </c>
      <c r="G9" s="181">
        <f t="shared" si="1"/>
        <v>7.5869991379522947E-6</v>
      </c>
      <c r="H9" s="181">
        <f t="shared" si="1"/>
        <v>7.5788681791008599E-6</v>
      </c>
      <c r="I9" s="181">
        <f t="shared" si="1"/>
        <v>7.5985752601207378E-6</v>
      </c>
      <c r="J9" s="181">
        <f t="shared" si="1"/>
        <v>7.6582559712966882E-6</v>
      </c>
      <c r="K9" s="181">
        <f t="shared" si="1"/>
        <v>7.7030854379522222E-6</v>
      </c>
      <c r="L9" s="181">
        <f t="shared" si="1"/>
        <v>7.6908411548153015E-6</v>
      </c>
      <c r="M9" s="181">
        <f t="shared" si="1"/>
        <v>7.8953144150251246E-6</v>
      </c>
      <c r="N9" s="181">
        <f t="shared" si="1"/>
        <v>7.9275868565335417E-6</v>
      </c>
      <c r="O9" s="181">
        <f t="shared" si="1"/>
        <v>7.9713030549886006E-6</v>
      </c>
      <c r="P9" s="181">
        <f t="shared" si="1"/>
        <v>7.9845795868073622E-6</v>
      </c>
      <c r="Q9" s="181">
        <f t="shared" si="1"/>
        <v>8.0177002326589962E-6</v>
      </c>
      <c r="R9" s="181">
        <f t="shared" si="1"/>
        <v>8.0783251713113618E-6</v>
      </c>
      <c r="S9" s="181">
        <f t="shared" si="1"/>
        <v>8.1451132614119857E-6</v>
      </c>
      <c r="T9" s="181">
        <f t="shared" si="1"/>
        <v>8.1897653520020342E-6</v>
      </c>
      <c r="U9" s="181">
        <f t="shared" si="1"/>
        <v>8.2192321175874245E-6</v>
      </c>
      <c r="V9" s="181">
        <f t="shared" si="1"/>
        <v>8.2871528138806261E-6</v>
      </c>
      <c r="W9" s="181">
        <f t="shared" si="1"/>
        <v>8.325445705792141E-6</v>
      </c>
      <c r="X9" s="181">
        <f t="shared" si="1"/>
        <v>8.3294806778682508E-6</v>
      </c>
      <c r="Y9" s="181">
        <f t="shared" si="1"/>
        <v>8.4164066194335013E-6</v>
      </c>
      <c r="Z9" s="181">
        <f t="shared" si="1"/>
        <v>8.5117966000934522E-6</v>
      </c>
      <c r="AA9" s="181">
        <f t="shared" si="1"/>
        <v>8.5460595211337129E-6</v>
      </c>
      <c r="AB9" s="181">
        <f t="shared" si="1"/>
        <v>8.6066914614728726E-6</v>
      </c>
      <c r="AC9" s="181">
        <f t="shared" si="1"/>
        <v>8.6265822534177164E-6</v>
      </c>
      <c r="AD9" s="181">
        <f t="shared" si="1"/>
        <v>8.6097301935420889E-6</v>
      </c>
      <c r="AE9" s="181">
        <f t="shared" si="1"/>
        <v>8.6027111692364984E-6</v>
      </c>
      <c r="AF9" s="181">
        <f t="shared" si="1"/>
        <v>8.5823849390557135E-6</v>
      </c>
    </row>
  </sheetData>
  <pageMargins left="0.7" right="0.7" top="0.75" bottom="0.75" header="0.3" footer="0.3"/>
  <pageSetup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2060"/>
  </sheetPr>
  <dimension ref="A1:AH9"/>
  <sheetViews>
    <sheetView workbookViewId="0">
      <selection activeCell="AF9" sqref="B2:AF9"/>
    </sheetView>
  </sheetViews>
  <sheetFormatPr defaultColWidth="9.1796875" defaultRowHeight="14.5"/>
  <cols>
    <col min="1" max="1" width="41.453125" style="14" customWidth="1"/>
    <col min="2" max="24" width="10" style="14" customWidth="1"/>
    <col min="25" max="26" width="9.1796875" style="14" customWidth="1"/>
    <col min="27" max="32" width="11.81640625" style="14" bestFit="1" customWidth="1"/>
    <col min="33" max="16384" width="9.1796875" style="14"/>
  </cols>
  <sheetData>
    <row r="1" spans="1:34">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181">
        <f>'Gasoline+diesel'!B12</f>
        <v>2.2248591331925699E-6</v>
      </c>
      <c r="C2" s="181">
        <f>'Gasoline+diesel'!C12</f>
        <v>2.6202558455564028E-6</v>
      </c>
      <c r="D2" s="181">
        <f>'Gasoline+diesel'!D12</f>
        <v>3.3075489538458472E-6</v>
      </c>
      <c r="E2" s="181">
        <f>'Gasoline+diesel'!E12</f>
        <v>3.0284917062940903E-6</v>
      </c>
      <c r="F2" s="181">
        <f>'Gasoline+diesel'!F12</f>
        <v>2.8562731347799185E-6</v>
      </c>
      <c r="G2" s="181">
        <f>'Gasoline+diesel'!G12</f>
        <v>2.6840545632657459E-6</v>
      </c>
      <c r="H2" s="181">
        <f>'Gasoline+diesel'!H12</f>
        <v>2.5118359917515741E-6</v>
      </c>
      <c r="I2" s="181">
        <f>'Gasoline+diesel'!I12</f>
        <v>2.518367436055434E-6</v>
      </c>
      <c r="J2" s="181">
        <f>'Gasoline+diesel'!J12</f>
        <v>2.5381471913965369E-6</v>
      </c>
      <c r="K2" s="181">
        <f>'Gasoline+diesel'!K12</f>
        <v>2.5530048541999235E-6</v>
      </c>
      <c r="L2" s="181">
        <f>'Gasoline+diesel'!L12</f>
        <v>2.5489467771428072E-6</v>
      </c>
      <c r="M2" s="181">
        <f>'Gasoline+diesel'!M12</f>
        <v>2.6167145865582172E-6</v>
      </c>
      <c r="N2" s="181">
        <f>'Gasoline+diesel'!N12</f>
        <v>2.6274105213873875E-6</v>
      </c>
      <c r="O2" s="181">
        <f>'Gasoline+diesel'!O12</f>
        <v>2.6418992178664707E-6</v>
      </c>
      <c r="P2" s="181">
        <f>'Gasoline+diesel'!P12</f>
        <v>2.6462994092512425E-6</v>
      </c>
      <c r="Q2" s="181">
        <f>'Gasoline+diesel'!Q12</f>
        <v>2.6572764612798821E-6</v>
      </c>
      <c r="R2" s="181">
        <f>'Gasoline+diesel'!R12</f>
        <v>2.6773691584090734E-6</v>
      </c>
      <c r="S2" s="181">
        <f>'Gasoline+diesel'!S12</f>
        <v>2.6995044858182116E-6</v>
      </c>
      <c r="T2" s="181">
        <f>'Gasoline+diesel'!T12</f>
        <v>2.7143033615342874E-6</v>
      </c>
      <c r="U2" s="181">
        <f>'Gasoline+diesel'!U12</f>
        <v>2.7240694216647424E-6</v>
      </c>
      <c r="V2" s="181">
        <f>'Gasoline+diesel'!V12</f>
        <v>2.7465801245167261E-6</v>
      </c>
      <c r="W2" s="181">
        <f>'Gasoline+diesel'!W12</f>
        <v>2.7592713947510901E-6</v>
      </c>
      <c r="X2" s="181">
        <f>'Gasoline+diesel'!X12</f>
        <v>2.7606086904853569E-6</v>
      </c>
      <c r="Y2" s="181">
        <f>'Gasoline+diesel'!Y12</f>
        <v>2.7894182308389664E-6</v>
      </c>
      <c r="Z2" s="181">
        <f>'Gasoline+diesel'!Z12</f>
        <v>2.8210329760768995E-6</v>
      </c>
      <c r="AA2" s="181">
        <f>'Gasoline+diesel'!AA12</f>
        <v>2.8323886081076549E-6</v>
      </c>
      <c r="AB2" s="181">
        <f>'Gasoline+diesel'!AB12</f>
        <v>2.8524836257797667E-6</v>
      </c>
      <c r="AC2" s="181">
        <f>'Gasoline+diesel'!AC12</f>
        <v>2.8590759567097695E-6</v>
      </c>
      <c r="AD2" s="181">
        <f>'Gasoline+diesel'!AD12</f>
        <v>2.8534907414071099E-6</v>
      </c>
      <c r="AE2" s="181">
        <f>'Gasoline+diesel'!AE12</f>
        <v>2.8511644523806855E-6</v>
      </c>
      <c r="AF2" s="181">
        <f>'Gasoline+diesel'!AF12</f>
        <v>2.8444278057814584E-6</v>
      </c>
      <c r="AG2" s="26"/>
      <c r="AH2" s="26"/>
    </row>
    <row r="3" spans="1:34">
      <c r="A3" s="13" t="s">
        <v>165</v>
      </c>
      <c r="B3" s="181">
        <f>'Gasoline+diesel'!B12</f>
        <v>2.2248591331925699E-6</v>
      </c>
      <c r="C3" s="181">
        <f>'Gasoline+diesel'!C12</f>
        <v>2.6202558455564028E-6</v>
      </c>
      <c r="D3" s="181">
        <f>'Gasoline+diesel'!D12</f>
        <v>3.3075489538458472E-6</v>
      </c>
      <c r="E3" s="181">
        <f>'Gasoline+diesel'!E12</f>
        <v>3.0284917062940903E-6</v>
      </c>
      <c r="F3" s="181">
        <f>'Gasoline+diesel'!F12</f>
        <v>2.8562731347799185E-6</v>
      </c>
      <c r="G3" s="181">
        <f>'Gasoline+diesel'!G12</f>
        <v>2.6840545632657459E-6</v>
      </c>
      <c r="H3" s="181">
        <f>'Gasoline+diesel'!H12</f>
        <v>2.5118359917515741E-6</v>
      </c>
      <c r="I3" s="181">
        <f>'Gasoline+diesel'!I12</f>
        <v>2.518367436055434E-6</v>
      </c>
      <c r="J3" s="181">
        <f>'Gasoline+diesel'!J12</f>
        <v>2.5381471913965369E-6</v>
      </c>
      <c r="K3" s="181">
        <f>'Gasoline+diesel'!K12</f>
        <v>2.5530048541999235E-6</v>
      </c>
      <c r="L3" s="181">
        <f>'Gasoline+diesel'!L12</f>
        <v>2.5489467771428072E-6</v>
      </c>
      <c r="M3" s="181">
        <f>'Gasoline+diesel'!M12</f>
        <v>2.6167145865582172E-6</v>
      </c>
      <c r="N3" s="181">
        <f>'Gasoline+diesel'!N12</f>
        <v>2.6274105213873875E-6</v>
      </c>
      <c r="O3" s="181">
        <f>'Gasoline+diesel'!O12</f>
        <v>2.6418992178664707E-6</v>
      </c>
      <c r="P3" s="181">
        <f>'Gasoline+diesel'!P12</f>
        <v>2.6462994092512425E-6</v>
      </c>
      <c r="Q3" s="181">
        <f>'Gasoline+diesel'!Q12</f>
        <v>2.6572764612798821E-6</v>
      </c>
      <c r="R3" s="181">
        <f>'Gasoline+diesel'!R12</f>
        <v>2.6773691584090734E-6</v>
      </c>
      <c r="S3" s="181">
        <f>'Gasoline+diesel'!S12</f>
        <v>2.6995044858182116E-6</v>
      </c>
      <c r="T3" s="181">
        <f>'Gasoline+diesel'!T12</f>
        <v>2.7143033615342874E-6</v>
      </c>
      <c r="U3" s="181">
        <f>'Gasoline+diesel'!U12</f>
        <v>2.7240694216647424E-6</v>
      </c>
      <c r="V3" s="181">
        <f>'Gasoline+diesel'!V12</f>
        <v>2.7465801245167261E-6</v>
      </c>
      <c r="W3" s="181">
        <f>'Gasoline+diesel'!W12</f>
        <v>2.7592713947510901E-6</v>
      </c>
      <c r="X3" s="181">
        <f>'Gasoline+diesel'!X12</f>
        <v>2.7606086904853569E-6</v>
      </c>
      <c r="Y3" s="181">
        <f>'Gasoline+diesel'!Y12</f>
        <v>2.7894182308389664E-6</v>
      </c>
      <c r="Z3" s="181">
        <f>'Gasoline+diesel'!Z12</f>
        <v>2.8210329760768995E-6</v>
      </c>
      <c r="AA3" s="181">
        <f>'Gasoline+diesel'!AA12</f>
        <v>2.8323886081076549E-6</v>
      </c>
      <c r="AB3" s="181">
        <f>'Gasoline+diesel'!AB12</f>
        <v>2.8524836257797667E-6</v>
      </c>
      <c r="AC3" s="181">
        <f>'Gasoline+diesel'!AC12</f>
        <v>2.8590759567097695E-6</v>
      </c>
      <c r="AD3" s="181">
        <f>'Gasoline+diesel'!AD12</f>
        <v>2.8534907414071099E-6</v>
      </c>
      <c r="AE3" s="181">
        <f>'Gasoline+diesel'!AE12</f>
        <v>2.8511644523806855E-6</v>
      </c>
      <c r="AF3" s="181">
        <f>'Gasoline+diesel'!AF12</f>
        <v>2.8444278057814584E-6</v>
      </c>
    </row>
    <row r="4" spans="1:34">
      <c r="A4" s="13" t="s">
        <v>166</v>
      </c>
      <c r="B4" s="181">
        <f>'Gasoline+diesel'!B12</f>
        <v>2.2248591331925699E-6</v>
      </c>
      <c r="C4" s="181">
        <f>'Gasoline+diesel'!C12</f>
        <v>2.6202558455564028E-6</v>
      </c>
      <c r="D4" s="181">
        <f>'Gasoline+diesel'!D12</f>
        <v>3.3075489538458472E-6</v>
      </c>
      <c r="E4" s="181">
        <f>'Gasoline+diesel'!E12</f>
        <v>3.0284917062940903E-6</v>
      </c>
      <c r="F4" s="181">
        <f>'Gasoline+diesel'!F12</f>
        <v>2.8562731347799185E-6</v>
      </c>
      <c r="G4" s="181">
        <f>'Gasoline+diesel'!G12</f>
        <v>2.6840545632657459E-6</v>
      </c>
      <c r="H4" s="181">
        <f>'Gasoline+diesel'!H12</f>
        <v>2.5118359917515741E-6</v>
      </c>
      <c r="I4" s="181">
        <f>'Gasoline+diesel'!I12</f>
        <v>2.518367436055434E-6</v>
      </c>
      <c r="J4" s="181">
        <f>'Gasoline+diesel'!J12</f>
        <v>2.5381471913965369E-6</v>
      </c>
      <c r="K4" s="181">
        <f>'Gasoline+diesel'!K12</f>
        <v>2.5530048541999235E-6</v>
      </c>
      <c r="L4" s="181">
        <f>'Gasoline+diesel'!L12</f>
        <v>2.5489467771428072E-6</v>
      </c>
      <c r="M4" s="181">
        <f>'Gasoline+diesel'!M12</f>
        <v>2.6167145865582172E-6</v>
      </c>
      <c r="N4" s="181">
        <f>'Gasoline+diesel'!N12</f>
        <v>2.6274105213873875E-6</v>
      </c>
      <c r="O4" s="181">
        <f>'Gasoline+diesel'!O12</f>
        <v>2.6418992178664707E-6</v>
      </c>
      <c r="P4" s="181">
        <f>'Gasoline+diesel'!P12</f>
        <v>2.6462994092512425E-6</v>
      </c>
      <c r="Q4" s="181">
        <f>'Gasoline+diesel'!Q12</f>
        <v>2.6572764612798821E-6</v>
      </c>
      <c r="R4" s="181">
        <f>'Gasoline+diesel'!R12</f>
        <v>2.6773691584090734E-6</v>
      </c>
      <c r="S4" s="181">
        <f>'Gasoline+diesel'!S12</f>
        <v>2.6995044858182116E-6</v>
      </c>
      <c r="T4" s="181">
        <f>'Gasoline+diesel'!T12</f>
        <v>2.7143033615342874E-6</v>
      </c>
      <c r="U4" s="181">
        <f>'Gasoline+diesel'!U12</f>
        <v>2.7240694216647424E-6</v>
      </c>
      <c r="V4" s="181">
        <f>'Gasoline+diesel'!V12</f>
        <v>2.7465801245167261E-6</v>
      </c>
      <c r="W4" s="181">
        <f>'Gasoline+diesel'!W12</f>
        <v>2.7592713947510901E-6</v>
      </c>
      <c r="X4" s="181">
        <f>'Gasoline+diesel'!X12</f>
        <v>2.7606086904853569E-6</v>
      </c>
      <c r="Y4" s="181">
        <f>'Gasoline+diesel'!Y12</f>
        <v>2.7894182308389664E-6</v>
      </c>
      <c r="Z4" s="181">
        <f>'Gasoline+diesel'!Z12</f>
        <v>2.8210329760768995E-6</v>
      </c>
      <c r="AA4" s="181">
        <f>'Gasoline+diesel'!AA12</f>
        <v>2.8323886081076549E-6</v>
      </c>
      <c r="AB4" s="181">
        <f>'Gasoline+diesel'!AB12</f>
        <v>2.8524836257797667E-6</v>
      </c>
      <c r="AC4" s="181">
        <f>'Gasoline+diesel'!AC12</f>
        <v>2.8590759567097695E-6</v>
      </c>
      <c r="AD4" s="181">
        <f>'Gasoline+diesel'!AD12</f>
        <v>2.8534907414071099E-6</v>
      </c>
      <c r="AE4" s="181">
        <f>'Gasoline+diesel'!AE12</f>
        <v>2.8511644523806855E-6</v>
      </c>
      <c r="AF4" s="181">
        <f>'Gasoline+diesel'!AF12</f>
        <v>2.8444278057814584E-6</v>
      </c>
    </row>
    <row r="5" spans="1:34">
      <c r="A5" s="13" t="s">
        <v>167</v>
      </c>
      <c r="B5" s="181">
        <f>'Gasoline+diesel'!B12</f>
        <v>2.2248591331925699E-6</v>
      </c>
      <c r="C5" s="181">
        <f>'Gasoline+diesel'!C12</f>
        <v>2.6202558455564028E-6</v>
      </c>
      <c r="D5" s="181">
        <f>'Gasoline+diesel'!D12</f>
        <v>3.3075489538458472E-6</v>
      </c>
      <c r="E5" s="181">
        <f>'Gasoline+diesel'!E12</f>
        <v>3.0284917062940903E-6</v>
      </c>
      <c r="F5" s="181">
        <f>'Gasoline+diesel'!F12</f>
        <v>2.8562731347799185E-6</v>
      </c>
      <c r="G5" s="181">
        <f>'Gasoline+diesel'!G12</f>
        <v>2.6840545632657459E-6</v>
      </c>
      <c r="H5" s="181">
        <f>'Gasoline+diesel'!H12</f>
        <v>2.5118359917515741E-6</v>
      </c>
      <c r="I5" s="181">
        <f>'Gasoline+diesel'!I12</f>
        <v>2.518367436055434E-6</v>
      </c>
      <c r="J5" s="181">
        <f>'Gasoline+diesel'!J12</f>
        <v>2.5381471913965369E-6</v>
      </c>
      <c r="K5" s="181">
        <f>'Gasoline+diesel'!K12</f>
        <v>2.5530048541999235E-6</v>
      </c>
      <c r="L5" s="181">
        <f>'Gasoline+diesel'!L12</f>
        <v>2.5489467771428072E-6</v>
      </c>
      <c r="M5" s="181">
        <f>'Gasoline+diesel'!M12</f>
        <v>2.6167145865582172E-6</v>
      </c>
      <c r="N5" s="181">
        <f>'Gasoline+diesel'!N12</f>
        <v>2.6274105213873875E-6</v>
      </c>
      <c r="O5" s="181">
        <f>'Gasoline+diesel'!O12</f>
        <v>2.6418992178664707E-6</v>
      </c>
      <c r="P5" s="181">
        <f>'Gasoline+diesel'!P12</f>
        <v>2.6462994092512425E-6</v>
      </c>
      <c r="Q5" s="181">
        <f>'Gasoline+diesel'!Q12</f>
        <v>2.6572764612798821E-6</v>
      </c>
      <c r="R5" s="181">
        <f>'Gasoline+diesel'!R12</f>
        <v>2.6773691584090734E-6</v>
      </c>
      <c r="S5" s="181">
        <f>'Gasoline+diesel'!S12</f>
        <v>2.6995044858182116E-6</v>
      </c>
      <c r="T5" s="181">
        <f>'Gasoline+diesel'!T12</f>
        <v>2.7143033615342874E-6</v>
      </c>
      <c r="U5" s="181">
        <f>'Gasoline+diesel'!U12</f>
        <v>2.7240694216647424E-6</v>
      </c>
      <c r="V5" s="181">
        <f>'Gasoline+diesel'!V12</f>
        <v>2.7465801245167261E-6</v>
      </c>
      <c r="W5" s="181">
        <f>'Gasoline+diesel'!W12</f>
        <v>2.7592713947510901E-6</v>
      </c>
      <c r="X5" s="181">
        <f>'Gasoline+diesel'!X12</f>
        <v>2.7606086904853569E-6</v>
      </c>
      <c r="Y5" s="181">
        <f>'Gasoline+diesel'!Y12</f>
        <v>2.7894182308389664E-6</v>
      </c>
      <c r="Z5" s="181">
        <f>'Gasoline+diesel'!Z12</f>
        <v>2.8210329760768995E-6</v>
      </c>
      <c r="AA5" s="181">
        <f>'Gasoline+diesel'!AA12</f>
        <v>2.8323886081076549E-6</v>
      </c>
      <c r="AB5" s="181">
        <f>'Gasoline+diesel'!AB12</f>
        <v>2.8524836257797667E-6</v>
      </c>
      <c r="AC5" s="181">
        <f>'Gasoline+diesel'!AC12</f>
        <v>2.8590759567097695E-6</v>
      </c>
      <c r="AD5" s="181">
        <f>'Gasoline+diesel'!AD12</f>
        <v>2.8534907414071099E-6</v>
      </c>
      <c r="AE5" s="181">
        <f>'Gasoline+diesel'!AE12</f>
        <v>2.8511644523806855E-6</v>
      </c>
      <c r="AF5" s="181">
        <f>'Gasoline+diesel'!AF12</f>
        <v>2.8444278057814584E-6</v>
      </c>
    </row>
    <row r="6" spans="1:34">
      <c r="A6" s="13" t="s">
        <v>168</v>
      </c>
      <c r="B6" s="181">
        <f>'Gasoline+diesel'!B12</f>
        <v>2.2248591331925699E-6</v>
      </c>
      <c r="C6" s="181">
        <f>'Gasoline+diesel'!C12</f>
        <v>2.6202558455564028E-6</v>
      </c>
      <c r="D6" s="181">
        <f>'Gasoline+diesel'!D12</f>
        <v>3.3075489538458472E-6</v>
      </c>
      <c r="E6" s="181">
        <f>'Gasoline+diesel'!E12</f>
        <v>3.0284917062940903E-6</v>
      </c>
      <c r="F6" s="181">
        <f>'Gasoline+diesel'!F12</f>
        <v>2.8562731347799185E-6</v>
      </c>
      <c r="G6" s="181">
        <f>'Gasoline+diesel'!G12</f>
        <v>2.6840545632657459E-6</v>
      </c>
      <c r="H6" s="181">
        <f>'Gasoline+diesel'!H12</f>
        <v>2.5118359917515741E-6</v>
      </c>
      <c r="I6" s="181">
        <f>'Gasoline+diesel'!I12</f>
        <v>2.518367436055434E-6</v>
      </c>
      <c r="J6" s="181">
        <f>'Gasoline+diesel'!J12</f>
        <v>2.5381471913965369E-6</v>
      </c>
      <c r="K6" s="181">
        <f>'Gasoline+diesel'!K12</f>
        <v>2.5530048541999235E-6</v>
      </c>
      <c r="L6" s="181">
        <f>'Gasoline+diesel'!L12</f>
        <v>2.5489467771428072E-6</v>
      </c>
      <c r="M6" s="181">
        <f>'Gasoline+diesel'!M12</f>
        <v>2.6167145865582172E-6</v>
      </c>
      <c r="N6" s="181">
        <f>'Gasoline+diesel'!N12</f>
        <v>2.6274105213873875E-6</v>
      </c>
      <c r="O6" s="181">
        <f>'Gasoline+diesel'!O12</f>
        <v>2.6418992178664707E-6</v>
      </c>
      <c r="P6" s="181">
        <f>'Gasoline+diesel'!P12</f>
        <v>2.6462994092512425E-6</v>
      </c>
      <c r="Q6" s="181">
        <f>'Gasoline+diesel'!Q12</f>
        <v>2.6572764612798821E-6</v>
      </c>
      <c r="R6" s="181">
        <f>'Gasoline+diesel'!R12</f>
        <v>2.6773691584090734E-6</v>
      </c>
      <c r="S6" s="181">
        <f>'Gasoline+diesel'!S12</f>
        <v>2.6995044858182116E-6</v>
      </c>
      <c r="T6" s="181">
        <f>'Gasoline+diesel'!T12</f>
        <v>2.7143033615342874E-6</v>
      </c>
      <c r="U6" s="181">
        <f>'Gasoline+diesel'!U12</f>
        <v>2.7240694216647424E-6</v>
      </c>
      <c r="V6" s="181">
        <f>'Gasoline+diesel'!V12</f>
        <v>2.7465801245167261E-6</v>
      </c>
      <c r="W6" s="181">
        <f>'Gasoline+diesel'!W12</f>
        <v>2.7592713947510901E-6</v>
      </c>
      <c r="X6" s="181">
        <f>'Gasoline+diesel'!X12</f>
        <v>2.7606086904853569E-6</v>
      </c>
      <c r="Y6" s="181">
        <f>'Gasoline+diesel'!Y12</f>
        <v>2.7894182308389664E-6</v>
      </c>
      <c r="Z6" s="181">
        <f>'Gasoline+diesel'!Z12</f>
        <v>2.8210329760768995E-6</v>
      </c>
      <c r="AA6" s="181">
        <f>'Gasoline+diesel'!AA12</f>
        <v>2.8323886081076549E-6</v>
      </c>
      <c r="AB6" s="181">
        <f>'Gasoline+diesel'!AB12</f>
        <v>2.8524836257797667E-6</v>
      </c>
      <c r="AC6" s="181">
        <f>'Gasoline+diesel'!AC12</f>
        <v>2.8590759567097695E-6</v>
      </c>
      <c r="AD6" s="181">
        <f>'Gasoline+diesel'!AD12</f>
        <v>2.8534907414071099E-6</v>
      </c>
      <c r="AE6" s="181">
        <f>'Gasoline+diesel'!AE12</f>
        <v>2.8511644523806855E-6</v>
      </c>
      <c r="AF6" s="181">
        <f>'Gasoline+diesel'!AF12</f>
        <v>2.8444278057814584E-6</v>
      </c>
    </row>
    <row r="7" spans="1:34">
      <c r="A7" s="13" t="s">
        <v>169</v>
      </c>
      <c r="B7" s="181">
        <f t="shared" ref="B7:X7" si="0">B3</f>
        <v>2.2248591331925699E-6</v>
      </c>
      <c r="C7" s="181">
        <f t="shared" si="0"/>
        <v>2.6202558455564028E-6</v>
      </c>
      <c r="D7" s="181">
        <f t="shared" si="0"/>
        <v>3.3075489538458472E-6</v>
      </c>
      <c r="E7" s="181">
        <f t="shared" si="0"/>
        <v>3.0284917062940903E-6</v>
      </c>
      <c r="F7" s="181">
        <f t="shared" si="0"/>
        <v>2.8562731347799185E-6</v>
      </c>
      <c r="G7" s="181">
        <f t="shared" si="0"/>
        <v>2.6840545632657459E-6</v>
      </c>
      <c r="H7" s="181">
        <f t="shared" si="0"/>
        <v>2.5118359917515741E-6</v>
      </c>
      <c r="I7" s="181">
        <f t="shared" si="0"/>
        <v>2.518367436055434E-6</v>
      </c>
      <c r="J7" s="181">
        <f t="shared" si="0"/>
        <v>2.5381471913965369E-6</v>
      </c>
      <c r="K7" s="181">
        <f t="shared" si="0"/>
        <v>2.5530048541999235E-6</v>
      </c>
      <c r="L7" s="181">
        <f t="shared" si="0"/>
        <v>2.5489467771428072E-6</v>
      </c>
      <c r="M7" s="181">
        <f t="shared" si="0"/>
        <v>2.6167145865582172E-6</v>
      </c>
      <c r="N7" s="181">
        <f t="shared" si="0"/>
        <v>2.6274105213873875E-6</v>
      </c>
      <c r="O7" s="181">
        <f t="shared" si="0"/>
        <v>2.6418992178664707E-6</v>
      </c>
      <c r="P7" s="181">
        <f t="shared" si="0"/>
        <v>2.6462994092512425E-6</v>
      </c>
      <c r="Q7" s="181">
        <f t="shared" si="0"/>
        <v>2.6572764612798821E-6</v>
      </c>
      <c r="R7" s="181">
        <f t="shared" si="0"/>
        <v>2.6773691584090734E-6</v>
      </c>
      <c r="S7" s="181">
        <f t="shared" si="0"/>
        <v>2.6995044858182116E-6</v>
      </c>
      <c r="T7" s="181">
        <f t="shared" si="0"/>
        <v>2.7143033615342874E-6</v>
      </c>
      <c r="U7" s="181">
        <f t="shared" si="0"/>
        <v>2.7240694216647424E-6</v>
      </c>
      <c r="V7" s="181">
        <f t="shared" si="0"/>
        <v>2.7465801245167261E-6</v>
      </c>
      <c r="W7" s="181">
        <f t="shared" si="0"/>
        <v>2.7592713947510901E-6</v>
      </c>
      <c r="X7" s="181">
        <f t="shared" si="0"/>
        <v>2.7606086904853569E-6</v>
      </c>
      <c r="Y7" s="181">
        <f t="shared" ref="Y7:AF7" si="1">Y3</f>
        <v>2.7894182308389664E-6</v>
      </c>
      <c r="Z7" s="181">
        <f t="shared" si="1"/>
        <v>2.8210329760768995E-6</v>
      </c>
      <c r="AA7" s="181">
        <f t="shared" si="1"/>
        <v>2.8323886081076549E-6</v>
      </c>
      <c r="AB7" s="181">
        <f t="shared" si="1"/>
        <v>2.8524836257797667E-6</v>
      </c>
      <c r="AC7" s="181">
        <f t="shared" si="1"/>
        <v>2.8590759567097695E-6</v>
      </c>
      <c r="AD7" s="181">
        <f t="shared" si="1"/>
        <v>2.8534907414071099E-6</v>
      </c>
      <c r="AE7" s="181">
        <f t="shared" si="1"/>
        <v>2.8511644523806855E-6</v>
      </c>
      <c r="AF7" s="181">
        <f t="shared" si="1"/>
        <v>2.8444278057814584E-6</v>
      </c>
    </row>
    <row r="8" spans="1:34">
      <c r="A8" s="13" t="s">
        <v>170</v>
      </c>
      <c r="B8" s="181">
        <v>0</v>
      </c>
      <c r="C8" s="181">
        <v>0</v>
      </c>
      <c r="D8" s="181">
        <v>0</v>
      </c>
      <c r="E8" s="181">
        <v>0</v>
      </c>
      <c r="F8" s="181">
        <v>0</v>
      </c>
      <c r="G8" s="181">
        <v>0</v>
      </c>
      <c r="H8" s="181">
        <v>0</v>
      </c>
      <c r="I8" s="181">
        <v>0</v>
      </c>
      <c r="J8" s="181">
        <v>0</v>
      </c>
      <c r="K8" s="181">
        <v>0</v>
      </c>
      <c r="L8" s="181">
        <v>0</v>
      </c>
      <c r="M8" s="181">
        <v>0</v>
      </c>
      <c r="N8" s="181">
        <v>0</v>
      </c>
      <c r="O8" s="181">
        <v>0</v>
      </c>
      <c r="P8" s="181">
        <v>0</v>
      </c>
      <c r="Q8" s="181">
        <v>0</v>
      </c>
      <c r="R8" s="181">
        <v>0</v>
      </c>
      <c r="S8" s="181">
        <v>0</v>
      </c>
      <c r="T8" s="181">
        <v>0</v>
      </c>
      <c r="U8" s="181">
        <v>0</v>
      </c>
      <c r="V8" s="181">
        <v>0</v>
      </c>
      <c r="W8" s="181">
        <v>0</v>
      </c>
      <c r="X8" s="181">
        <v>0</v>
      </c>
      <c r="Y8" s="181">
        <v>0</v>
      </c>
      <c r="Z8" s="181">
        <v>0</v>
      </c>
      <c r="AA8" s="181">
        <v>0</v>
      </c>
      <c r="AB8" s="181">
        <v>0</v>
      </c>
      <c r="AC8" s="181">
        <v>0</v>
      </c>
      <c r="AD8" s="181">
        <v>0</v>
      </c>
      <c r="AE8" s="181">
        <v>0</v>
      </c>
      <c r="AF8" s="181">
        <v>0</v>
      </c>
      <c r="AG8" s="181"/>
      <c r="AH8" s="181"/>
    </row>
    <row r="9" spans="1:34">
      <c r="A9" s="13" t="s">
        <v>171</v>
      </c>
      <c r="B9" s="181">
        <f t="shared" ref="B9:X9" si="2">B6</f>
        <v>2.2248591331925699E-6</v>
      </c>
      <c r="C9" s="181">
        <f t="shared" si="2"/>
        <v>2.6202558455564028E-6</v>
      </c>
      <c r="D9" s="181">
        <f t="shared" si="2"/>
        <v>3.3075489538458472E-6</v>
      </c>
      <c r="E9" s="181">
        <f t="shared" si="2"/>
        <v>3.0284917062940903E-6</v>
      </c>
      <c r="F9" s="181">
        <f t="shared" si="2"/>
        <v>2.8562731347799185E-6</v>
      </c>
      <c r="G9" s="181">
        <f t="shared" si="2"/>
        <v>2.6840545632657459E-6</v>
      </c>
      <c r="H9" s="181">
        <f t="shared" si="2"/>
        <v>2.5118359917515741E-6</v>
      </c>
      <c r="I9" s="181">
        <f t="shared" si="2"/>
        <v>2.518367436055434E-6</v>
      </c>
      <c r="J9" s="181">
        <f t="shared" si="2"/>
        <v>2.5381471913965369E-6</v>
      </c>
      <c r="K9" s="181">
        <f t="shared" si="2"/>
        <v>2.5530048541999235E-6</v>
      </c>
      <c r="L9" s="181">
        <f t="shared" si="2"/>
        <v>2.5489467771428072E-6</v>
      </c>
      <c r="M9" s="181">
        <f t="shared" si="2"/>
        <v>2.6167145865582172E-6</v>
      </c>
      <c r="N9" s="181">
        <f t="shared" si="2"/>
        <v>2.6274105213873875E-6</v>
      </c>
      <c r="O9" s="181">
        <f t="shared" si="2"/>
        <v>2.6418992178664707E-6</v>
      </c>
      <c r="P9" s="181">
        <f t="shared" si="2"/>
        <v>2.6462994092512425E-6</v>
      </c>
      <c r="Q9" s="181">
        <f t="shared" si="2"/>
        <v>2.6572764612798821E-6</v>
      </c>
      <c r="R9" s="181">
        <f t="shared" si="2"/>
        <v>2.6773691584090734E-6</v>
      </c>
      <c r="S9" s="181">
        <f t="shared" si="2"/>
        <v>2.6995044858182116E-6</v>
      </c>
      <c r="T9" s="181">
        <f t="shared" si="2"/>
        <v>2.7143033615342874E-6</v>
      </c>
      <c r="U9" s="181">
        <f t="shared" si="2"/>
        <v>2.7240694216647424E-6</v>
      </c>
      <c r="V9" s="181">
        <f t="shared" si="2"/>
        <v>2.7465801245167261E-6</v>
      </c>
      <c r="W9" s="181">
        <f t="shared" si="2"/>
        <v>2.7592713947510901E-6</v>
      </c>
      <c r="X9" s="181">
        <f t="shared" si="2"/>
        <v>2.7606086904853569E-6</v>
      </c>
      <c r="Y9" s="181">
        <f t="shared" ref="Y9:AF9" si="3">Y6</f>
        <v>2.7894182308389664E-6</v>
      </c>
      <c r="Z9" s="181">
        <f t="shared" si="3"/>
        <v>2.8210329760768995E-6</v>
      </c>
      <c r="AA9" s="181">
        <f t="shared" si="3"/>
        <v>2.8323886081076549E-6</v>
      </c>
      <c r="AB9" s="181">
        <f t="shared" si="3"/>
        <v>2.8524836257797667E-6</v>
      </c>
      <c r="AC9" s="181">
        <f t="shared" si="3"/>
        <v>2.8590759567097695E-6</v>
      </c>
      <c r="AD9" s="181">
        <f t="shared" si="3"/>
        <v>2.8534907414071099E-6</v>
      </c>
      <c r="AE9" s="181">
        <f t="shared" si="3"/>
        <v>2.8511644523806855E-6</v>
      </c>
      <c r="AF9" s="181">
        <f t="shared" si="3"/>
        <v>2.8444278057814584E-6</v>
      </c>
    </row>
  </sheetData>
  <pageMargins left="0.7" right="0.7" top="0.75" bottom="0.75" header="0.3" footer="0.3"/>
  <pageSetup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2060"/>
  </sheetPr>
  <dimension ref="A1:AH9"/>
  <sheetViews>
    <sheetView workbookViewId="0">
      <selection activeCell="AF9" sqref="B2:AF9"/>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4">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26">
        <f>'Gasoline+diesel'!B8</f>
        <v>2.0741764985777883E-6</v>
      </c>
      <c r="C2" s="26">
        <f>'Gasoline+diesel'!C8</f>
        <v>2.5933989578321179E-6</v>
      </c>
      <c r="D2" s="26">
        <f>'Gasoline+diesel'!D8</f>
        <v>3.1883246787588056E-6</v>
      </c>
      <c r="E2" s="26">
        <f>'Gasoline+diesel'!E8</f>
        <v>2.8172092878930296E-6</v>
      </c>
      <c r="F2" s="26">
        <f>'Gasoline+diesel'!F8</f>
        <v>2.6152318218477056E-6</v>
      </c>
      <c r="G2" s="26">
        <f>'Gasoline+diesel'!G8</f>
        <v>2.4132543558023816E-6</v>
      </c>
      <c r="H2" s="26">
        <f>'Gasoline+diesel'!H8</f>
        <v>2.2112768897570575E-6</v>
      </c>
      <c r="I2" s="26">
        <f>'Gasoline+diesel'!I8</f>
        <v>2.2377061266091371E-6</v>
      </c>
      <c r="J2" s="26">
        <f>'Gasoline+diesel'!J8</f>
        <v>2.2618946026548179E-6</v>
      </c>
      <c r="K2" s="26">
        <f>'Gasoline+diesel'!K8</f>
        <v>2.2788699964109888E-6</v>
      </c>
      <c r="L2" s="26">
        <f>'Gasoline+diesel'!L8</f>
        <v>2.3351855435831846E-6</v>
      </c>
      <c r="M2" s="26">
        <f>'Gasoline+diesel'!M8</f>
        <v>2.4099768810891283E-6</v>
      </c>
      <c r="N2" s="26">
        <f>'Gasoline+diesel'!N8</f>
        <v>2.4344419149844485E-6</v>
      </c>
      <c r="O2" s="26">
        <f>'Gasoline+diesel'!O8</f>
        <v>2.4546077587665328E-6</v>
      </c>
      <c r="P2" s="26">
        <f>'Gasoline+diesel'!P8</f>
        <v>2.4736352599338483E-6</v>
      </c>
      <c r="Q2" s="26">
        <f>'Gasoline+diesel'!Q8</f>
        <v>2.4829460074225056E-6</v>
      </c>
      <c r="R2" s="26">
        <f>'Gasoline+diesel'!R8</f>
        <v>2.5005968405422182E-6</v>
      </c>
      <c r="S2" s="26">
        <f>'Gasoline+diesel'!S8</f>
        <v>2.5162694220480761E-6</v>
      </c>
      <c r="T2" s="26">
        <f>'Gasoline+diesel'!T8</f>
        <v>2.5438673064752262E-6</v>
      </c>
      <c r="U2" s="26">
        <f>'Gasoline+diesel'!U8</f>
        <v>2.5452145726904845E-6</v>
      </c>
      <c r="V2" s="26">
        <f>'Gasoline+diesel'!V8</f>
        <v>2.5652019985274824E-6</v>
      </c>
      <c r="W2" s="26">
        <f>'Gasoline+diesel'!W8</f>
        <v>2.5814531840104877E-6</v>
      </c>
      <c r="X2" s="26">
        <f>'Gasoline+diesel'!X8</f>
        <v>2.5855661290696851E-6</v>
      </c>
      <c r="Y2" s="26">
        <f>'Gasoline+diesel'!Y8</f>
        <v>2.6112249977752927E-6</v>
      </c>
      <c r="Z2" s="26">
        <f>'Gasoline+diesel'!Z8</f>
        <v>2.6359181216532797E-6</v>
      </c>
      <c r="AA2" s="26">
        <f>'Gasoline+diesel'!AA8</f>
        <v>2.6443667833341549E-6</v>
      </c>
      <c r="AB2" s="26">
        <f>'Gasoline+diesel'!AB8</f>
        <v>2.6655430266039075E-6</v>
      </c>
      <c r="AC2" s="26">
        <f>'Gasoline+diesel'!AC8</f>
        <v>2.6737532625043982E-6</v>
      </c>
      <c r="AD2" s="26">
        <f>'Gasoline+diesel'!AD8</f>
        <v>2.6665677757913212E-6</v>
      </c>
      <c r="AE2" s="26">
        <f>'Gasoline+diesel'!AE8</f>
        <v>2.6681453396353604E-6</v>
      </c>
      <c r="AF2" s="26">
        <f>'Gasoline+diesel'!AF8</f>
        <v>2.667623030634138E-6</v>
      </c>
      <c r="AG2" s="26"/>
      <c r="AH2" s="26"/>
    </row>
    <row r="3" spans="1:34">
      <c r="A3" s="13" t="s">
        <v>165</v>
      </c>
      <c r="B3" s="21">
        <f>'Gasoline+diesel'!B8</f>
        <v>2.0741764985777883E-6</v>
      </c>
      <c r="C3" s="21">
        <f>'Gasoline+diesel'!C8</f>
        <v>2.5933989578321179E-6</v>
      </c>
      <c r="D3" s="21">
        <f>'Gasoline+diesel'!D8</f>
        <v>3.1883246787588056E-6</v>
      </c>
      <c r="E3" s="21">
        <f>'Gasoline+diesel'!E8</f>
        <v>2.8172092878930296E-6</v>
      </c>
      <c r="F3" s="21">
        <f>'Gasoline+diesel'!F8</f>
        <v>2.6152318218477056E-6</v>
      </c>
      <c r="G3" s="21">
        <f>'Gasoline+diesel'!G8</f>
        <v>2.4132543558023816E-6</v>
      </c>
      <c r="H3" s="21">
        <f>'Gasoline+diesel'!H8</f>
        <v>2.2112768897570575E-6</v>
      </c>
      <c r="I3" s="21">
        <f>'Gasoline+diesel'!I8</f>
        <v>2.2377061266091371E-6</v>
      </c>
      <c r="J3" s="21">
        <f>'Gasoline+diesel'!J8</f>
        <v>2.2618946026548179E-6</v>
      </c>
      <c r="K3" s="21">
        <f>'Gasoline+diesel'!K8</f>
        <v>2.2788699964109888E-6</v>
      </c>
      <c r="L3" s="21">
        <f>'Gasoline+diesel'!L8</f>
        <v>2.3351855435831846E-6</v>
      </c>
      <c r="M3" s="21">
        <f>'Gasoline+diesel'!M8</f>
        <v>2.4099768810891283E-6</v>
      </c>
      <c r="N3" s="21">
        <f>'Gasoline+diesel'!N8</f>
        <v>2.4344419149844485E-6</v>
      </c>
      <c r="O3" s="21">
        <f>'Gasoline+diesel'!O8</f>
        <v>2.4546077587665328E-6</v>
      </c>
      <c r="P3" s="21">
        <f>'Gasoline+diesel'!P8</f>
        <v>2.4736352599338483E-6</v>
      </c>
      <c r="Q3" s="21">
        <f>'Gasoline+diesel'!Q8</f>
        <v>2.4829460074225056E-6</v>
      </c>
      <c r="R3" s="21">
        <f>'Gasoline+diesel'!R8</f>
        <v>2.5005968405422182E-6</v>
      </c>
      <c r="S3" s="21">
        <f>'Gasoline+diesel'!S8</f>
        <v>2.5162694220480761E-6</v>
      </c>
      <c r="T3" s="21">
        <f>'Gasoline+diesel'!T8</f>
        <v>2.5438673064752262E-6</v>
      </c>
      <c r="U3" s="21">
        <f>'Gasoline+diesel'!U8</f>
        <v>2.5452145726904845E-6</v>
      </c>
      <c r="V3" s="21">
        <f>'Gasoline+diesel'!V8</f>
        <v>2.5652019985274824E-6</v>
      </c>
      <c r="W3" s="21">
        <f>'Gasoline+diesel'!W8</f>
        <v>2.5814531840104877E-6</v>
      </c>
      <c r="X3" s="21">
        <f>'Gasoline+diesel'!X8</f>
        <v>2.5855661290696851E-6</v>
      </c>
      <c r="Y3" s="21">
        <f>'Gasoline+diesel'!Y8</f>
        <v>2.6112249977752927E-6</v>
      </c>
      <c r="Z3" s="21">
        <f>'Gasoline+diesel'!Z8</f>
        <v>2.6359181216532797E-6</v>
      </c>
      <c r="AA3" s="21">
        <f>'Gasoline+diesel'!AA8</f>
        <v>2.6443667833341549E-6</v>
      </c>
      <c r="AB3" s="21">
        <f>'Gasoline+diesel'!AB8</f>
        <v>2.6655430266039075E-6</v>
      </c>
      <c r="AC3" s="21">
        <f>'Gasoline+diesel'!AC8</f>
        <v>2.6737532625043982E-6</v>
      </c>
      <c r="AD3" s="21">
        <f>'Gasoline+diesel'!AD8</f>
        <v>2.6665677757913212E-6</v>
      </c>
      <c r="AE3" s="21">
        <f>'Gasoline+diesel'!AE8</f>
        <v>2.6681453396353604E-6</v>
      </c>
      <c r="AF3" s="21">
        <f>'Gasoline+diesel'!AF8</f>
        <v>2.667623030634138E-6</v>
      </c>
    </row>
    <row r="4" spans="1:34">
      <c r="A4" s="13" t="s">
        <v>166</v>
      </c>
      <c r="B4" s="21">
        <f>'Gasoline+diesel'!B8</f>
        <v>2.0741764985777883E-6</v>
      </c>
      <c r="C4" s="21">
        <f>'Gasoline+diesel'!C8</f>
        <v>2.5933989578321179E-6</v>
      </c>
      <c r="D4" s="21">
        <f>'Gasoline+diesel'!D8</f>
        <v>3.1883246787588056E-6</v>
      </c>
      <c r="E4" s="21">
        <f>'Gasoline+diesel'!E8</f>
        <v>2.8172092878930296E-6</v>
      </c>
      <c r="F4" s="21">
        <f>'Gasoline+diesel'!F8</f>
        <v>2.6152318218477056E-6</v>
      </c>
      <c r="G4" s="21">
        <f>'Gasoline+diesel'!G8</f>
        <v>2.4132543558023816E-6</v>
      </c>
      <c r="H4" s="21">
        <f>'Gasoline+diesel'!H8</f>
        <v>2.2112768897570575E-6</v>
      </c>
      <c r="I4" s="21">
        <f>'Gasoline+diesel'!I8</f>
        <v>2.2377061266091371E-6</v>
      </c>
      <c r="J4" s="21">
        <f>'Gasoline+diesel'!J8</f>
        <v>2.2618946026548179E-6</v>
      </c>
      <c r="K4" s="21">
        <f>'Gasoline+diesel'!K8</f>
        <v>2.2788699964109888E-6</v>
      </c>
      <c r="L4" s="21">
        <f>'Gasoline+diesel'!L8</f>
        <v>2.3351855435831846E-6</v>
      </c>
      <c r="M4" s="21">
        <f>'Gasoline+diesel'!M8</f>
        <v>2.4099768810891283E-6</v>
      </c>
      <c r="N4" s="21">
        <f>'Gasoline+diesel'!N8</f>
        <v>2.4344419149844485E-6</v>
      </c>
      <c r="O4" s="21">
        <f>'Gasoline+diesel'!O8</f>
        <v>2.4546077587665328E-6</v>
      </c>
      <c r="P4" s="21">
        <f>'Gasoline+diesel'!P8</f>
        <v>2.4736352599338483E-6</v>
      </c>
      <c r="Q4" s="21">
        <f>'Gasoline+diesel'!Q8</f>
        <v>2.4829460074225056E-6</v>
      </c>
      <c r="R4" s="21">
        <f>'Gasoline+diesel'!R8</f>
        <v>2.5005968405422182E-6</v>
      </c>
      <c r="S4" s="21">
        <f>'Gasoline+diesel'!S8</f>
        <v>2.5162694220480761E-6</v>
      </c>
      <c r="T4" s="21">
        <f>'Gasoline+diesel'!T8</f>
        <v>2.5438673064752262E-6</v>
      </c>
      <c r="U4" s="21">
        <f>'Gasoline+diesel'!U8</f>
        <v>2.5452145726904845E-6</v>
      </c>
      <c r="V4" s="21">
        <f>'Gasoline+diesel'!V8</f>
        <v>2.5652019985274824E-6</v>
      </c>
      <c r="W4" s="21">
        <f>'Gasoline+diesel'!W8</f>
        <v>2.5814531840104877E-6</v>
      </c>
      <c r="X4" s="21">
        <f>'Gasoline+diesel'!X8</f>
        <v>2.5855661290696851E-6</v>
      </c>
      <c r="Y4" s="21">
        <f>'Gasoline+diesel'!Y8</f>
        <v>2.6112249977752927E-6</v>
      </c>
      <c r="Z4" s="21">
        <f>'Gasoline+diesel'!Z8</f>
        <v>2.6359181216532797E-6</v>
      </c>
      <c r="AA4" s="21">
        <f>'Gasoline+diesel'!AA8</f>
        <v>2.6443667833341549E-6</v>
      </c>
      <c r="AB4" s="21">
        <f>'Gasoline+diesel'!AB8</f>
        <v>2.6655430266039075E-6</v>
      </c>
      <c r="AC4" s="21">
        <f>'Gasoline+diesel'!AC8</f>
        <v>2.6737532625043982E-6</v>
      </c>
      <c r="AD4" s="21">
        <f>'Gasoline+diesel'!AD8</f>
        <v>2.6665677757913212E-6</v>
      </c>
      <c r="AE4" s="21">
        <f>'Gasoline+diesel'!AE8</f>
        <v>2.6681453396353604E-6</v>
      </c>
      <c r="AF4" s="21">
        <f>'Gasoline+diesel'!AF8</f>
        <v>2.667623030634138E-6</v>
      </c>
    </row>
    <row r="5" spans="1:34">
      <c r="A5" s="13" t="s">
        <v>167</v>
      </c>
      <c r="B5" s="21">
        <f>'Gasoline+diesel'!B8</f>
        <v>2.0741764985777883E-6</v>
      </c>
      <c r="C5" s="21">
        <f>'Gasoline+diesel'!C8</f>
        <v>2.5933989578321179E-6</v>
      </c>
      <c r="D5" s="21">
        <f>'Gasoline+diesel'!D8</f>
        <v>3.1883246787588056E-6</v>
      </c>
      <c r="E5" s="21">
        <f>'Gasoline+diesel'!E8</f>
        <v>2.8172092878930296E-6</v>
      </c>
      <c r="F5" s="21">
        <f>'Gasoline+diesel'!F8</f>
        <v>2.6152318218477056E-6</v>
      </c>
      <c r="G5" s="21">
        <f>'Gasoline+diesel'!G8</f>
        <v>2.4132543558023816E-6</v>
      </c>
      <c r="H5" s="21">
        <f>'Gasoline+diesel'!H8</f>
        <v>2.2112768897570575E-6</v>
      </c>
      <c r="I5" s="21">
        <f>'Gasoline+diesel'!I8</f>
        <v>2.2377061266091371E-6</v>
      </c>
      <c r="J5" s="21">
        <f>'Gasoline+diesel'!J8</f>
        <v>2.2618946026548179E-6</v>
      </c>
      <c r="K5" s="21">
        <f>'Gasoline+diesel'!K8</f>
        <v>2.2788699964109888E-6</v>
      </c>
      <c r="L5" s="21">
        <f>'Gasoline+diesel'!L8</f>
        <v>2.3351855435831846E-6</v>
      </c>
      <c r="M5" s="21">
        <f>'Gasoline+diesel'!M8</f>
        <v>2.4099768810891283E-6</v>
      </c>
      <c r="N5" s="21">
        <f>'Gasoline+diesel'!N8</f>
        <v>2.4344419149844485E-6</v>
      </c>
      <c r="O5" s="21">
        <f>'Gasoline+diesel'!O8</f>
        <v>2.4546077587665328E-6</v>
      </c>
      <c r="P5" s="21">
        <f>'Gasoline+diesel'!P8</f>
        <v>2.4736352599338483E-6</v>
      </c>
      <c r="Q5" s="21">
        <f>'Gasoline+diesel'!Q8</f>
        <v>2.4829460074225056E-6</v>
      </c>
      <c r="R5" s="21">
        <f>'Gasoline+diesel'!R8</f>
        <v>2.5005968405422182E-6</v>
      </c>
      <c r="S5" s="21">
        <f>'Gasoline+diesel'!S8</f>
        <v>2.5162694220480761E-6</v>
      </c>
      <c r="T5" s="21">
        <f>'Gasoline+diesel'!T8</f>
        <v>2.5438673064752262E-6</v>
      </c>
      <c r="U5" s="21">
        <f>'Gasoline+diesel'!U8</f>
        <v>2.5452145726904845E-6</v>
      </c>
      <c r="V5" s="21">
        <f>'Gasoline+diesel'!V8</f>
        <v>2.5652019985274824E-6</v>
      </c>
      <c r="W5" s="21">
        <f>'Gasoline+diesel'!W8</f>
        <v>2.5814531840104877E-6</v>
      </c>
      <c r="X5" s="21">
        <f>'Gasoline+diesel'!X8</f>
        <v>2.5855661290696851E-6</v>
      </c>
      <c r="Y5" s="21">
        <f>'Gasoline+diesel'!Y8</f>
        <v>2.6112249977752927E-6</v>
      </c>
      <c r="Z5" s="21">
        <f>'Gasoline+diesel'!Z8</f>
        <v>2.6359181216532797E-6</v>
      </c>
      <c r="AA5" s="21">
        <f>'Gasoline+diesel'!AA8</f>
        <v>2.6443667833341549E-6</v>
      </c>
      <c r="AB5" s="21">
        <f>'Gasoline+diesel'!AB8</f>
        <v>2.6655430266039075E-6</v>
      </c>
      <c r="AC5" s="21">
        <f>'Gasoline+diesel'!AC8</f>
        <v>2.6737532625043982E-6</v>
      </c>
      <c r="AD5" s="21">
        <f>'Gasoline+diesel'!AD8</f>
        <v>2.6665677757913212E-6</v>
      </c>
      <c r="AE5" s="21">
        <f>'Gasoline+diesel'!AE8</f>
        <v>2.6681453396353604E-6</v>
      </c>
      <c r="AF5" s="21">
        <f>'Gasoline+diesel'!AF8</f>
        <v>2.667623030634138E-6</v>
      </c>
    </row>
    <row r="6" spans="1:34">
      <c r="A6" s="13" t="s">
        <v>168</v>
      </c>
      <c r="B6" s="21">
        <f>'Gasoline+diesel'!B8</f>
        <v>2.0741764985777883E-6</v>
      </c>
      <c r="C6" s="21">
        <f>'Gasoline+diesel'!C8</f>
        <v>2.5933989578321179E-6</v>
      </c>
      <c r="D6" s="21">
        <f>'Gasoline+diesel'!D8</f>
        <v>3.1883246787588056E-6</v>
      </c>
      <c r="E6" s="21">
        <f>'Gasoline+diesel'!E8</f>
        <v>2.8172092878930296E-6</v>
      </c>
      <c r="F6" s="21">
        <f>'Gasoline+diesel'!F8</f>
        <v>2.6152318218477056E-6</v>
      </c>
      <c r="G6" s="21">
        <f>'Gasoline+diesel'!G8</f>
        <v>2.4132543558023816E-6</v>
      </c>
      <c r="H6" s="21">
        <f>'Gasoline+diesel'!H8</f>
        <v>2.2112768897570575E-6</v>
      </c>
      <c r="I6" s="21">
        <f>'Gasoline+diesel'!I8</f>
        <v>2.2377061266091371E-6</v>
      </c>
      <c r="J6" s="21">
        <f>'Gasoline+diesel'!J8</f>
        <v>2.2618946026548179E-6</v>
      </c>
      <c r="K6" s="21">
        <f>'Gasoline+diesel'!K8</f>
        <v>2.2788699964109888E-6</v>
      </c>
      <c r="L6" s="21">
        <f>'Gasoline+diesel'!L8</f>
        <v>2.3351855435831846E-6</v>
      </c>
      <c r="M6" s="21">
        <f>'Gasoline+diesel'!M8</f>
        <v>2.4099768810891283E-6</v>
      </c>
      <c r="N6" s="21">
        <f>'Gasoline+diesel'!N8</f>
        <v>2.4344419149844485E-6</v>
      </c>
      <c r="O6" s="21">
        <f>'Gasoline+diesel'!O8</f>
        <v>2.4546077587665328E-6</v>
      </c>
      <c r="P6" s="21">
        <f>'Gasoline+diesel'!P8</f>
        <v>2.4736352599338483E-6</v>
      </c>
      <c r="Q6" s="21">
        <f>'Gasoline+diesel'!Q8</f>
        <v>2.4829460074225056E-6</v>
      </c>
      <c r="R6" s="21">
        <f>'Gasoline+diesel'!R8</f>
        <v>2.5005968405422182E-6</v>
      </c>
      <c r="S6" s="21">
        <f>'Gasoline+diesel'!S8</f>
        <v>2.5162694220480761E-6</v>
      </c>
      <c r="T6" s="21">
        <f>'Gasoline+diesel'!T8</f>
        <v>2.5438673064752262E-6</v>
      </c>
      <c r="U6" s="21">
        <f>'Gasoline+diesel'!U8</f>
        <v>2.5452145726904845E-6</v>
      </c>
      <c r="V6" s="21">
        <f>'Gasoline+diesel'!V8</f>
        <v>2.5652019985274824E-6</v>
      </c>
      <c r="W6" s="21">
        <f>'Gasoline+diesel'!W8</f>
        <v>2.5814531840104877E-6</v>
      </c>
      <c r="X6" s="21">
        <f>'Gasoline+diesel'!X8</f>
        <v>2.5855661290696851E-6</v>
      </c>
      <c r="Y6" s="21">
        <f>'Gasoline+diesel'!Y8</f>
        <v>2.6112249977752927E-6</v>
      </c>
      <c r="Z6" s="21">
        <f>'Gasoline+diesel'!Z8</f>
        <v>2.6359181216532797E-6</v>
      </c>
      <c r="AA6" s="21">
        <f>'Gasoline+diesel'!AA8</f>
        <v>2.6443667833341549E-6</v>
      </c>
      <c r="AB6" s="21">
        <f>'Gasoline+diesel'!AB8</f>
        <v>2.6655430266039075E-6</v>
      </c>
      <c r="AC6" s="21">
        <f>'Gasoline+diesel'!AC8</f>
        <v>2.6737532625043982E-6</v>
      </c>
      <c r="AD6" s="21">
        <f>'Gasoline+diesel'!AD8</f>
        <v>2.6665677757913212E-6</v>
      </c>
      <c r="AE6" s="21">
        <f>'Gasoline+diesel'!AE8</f>
        <v>2.6681453396353604E-6</v>
      </c>
      <c r="AF6" s="21">
        <f>'Gasoline+diesel'!AF8</f>
        <v>2.667623030634138E-6</v>
      </c>
    </row>
    <row r="7" spans="1:34">
      <c r="A7" s="13" t="s">
        <v>169</v>
      </c>
      <c r="B7">
        <f t="shared" ref="B7:AF7" si="0">B3</f>
        <v>2.0741764985777883E-6</v>
      </c>
      <c r="C7">
        <f t="shared" si="0"/>
        <v>2.5933989578321179E-6</v>
      </c>
      <c r="D7">
        <f t="shared" si="0"/>
        <v>3.1883246787588056E-6</v>
      </c>
      <c r="E7">
        <f t="shared" si="0"/>
        <v>2.8172092878930296E-6</v>
      </c>
      <c r="F7">
        <f t="shared" si="0"/>
        <v>2.6152318218477056E-6</v>
      </c>
      <c r="G7">
        <f t="shared" si="0"/>
        <v>2.4132543558023816E-6</v>
      </c>
      <c r="H7">
        <f t="shared" si="0"/>
        <v>2.2112768897570575E-6</v>
      </c>
      <c r="I7">
        <f t="shared" si="0"/>
        <v>2.2377061266091371E-6</v>
      </c>
      <c r="J7">
        <f t="shared" si="0"/>
        <v>2.2618946026548179E-6</v>
      </c>
      <c r="K7">
        <f t="shared" si="0"/>
        <v>2.2788699964109888E-6</v>
      </c>
      <c r="L7">
        <f t="shared" si="0"/>
        <v>2.3351855435831846E-6</v>
      </c>
      <c r="M7">
        <f t="shared" si="0"/>
        <v>2.4099768810891283E-6</v>
      </c>
      <c r="N7">
        <f t="shared" si="0"/>
        <v>2.4344419149844485E-6</v>
      </c>
      <c r="O7">
        <f t="shared" si="0"/>
        <v>2.4546077587665328E-6</v>
      </c>
      <c r="P7">
        <f t="shared" si="0"/>
        <v>2.4736352599338483E-6</v>
      </c>
      <c r="Q7">
        <f t="shared" si="0"/>
        <v>2.4829460074225056E-6</v>
      </c>
      <c r="R7">
        <f t="shared" si="0"/>
        <v>2.5005968405422182E-6</v>
      </c>
      <c r="S7">
        <f t="shared" si="0"/>
        <v>2.5162694220480761E-6</v>
      </c>
      <c r="T7">
        <f t="shared" si="0"/>
        <v>2.5438673064752262E-6</v>
      </c>
      <c r="U7">
        <f t="shared" si="0"/>
        <v>2.5452145726904845E-6</v>
      </c>
      <c r="V7">
        <f t="shared" si="0"/>
        <v>2.5652019985274824E-6</v>
      </c>
      <c r="W7">
        <f t="shared" si="0"/>
        <v>2.5814531840104877E-6</v>
      </c>
      <c r="X7">
        <f t="shared" si="0"/>
        <v>2.5855661290696851E-6</v>
      </c>
      <c r="Y7" s="113">
        <f t="shared" si="0"/>
        <v>2.6112249977752927E-6</v>
      </c>
      <c r="Z7" s="113">
        <f t="shared" si="0"/>
        <v>2.6359181216532797E-6</v>
      </c>
      <c r="AA7" s="113">
        <f t="shared" si="0"/>
        <v>2.6443667833341549E-6</v>
      </c>
      <c r="AB7" s="113">
        <f t="shared" si="0"/>
        <v>2.6655430266039075E-6</v>
      </c>
      <c r="AC7" s="113">
        <f t="shared" si="0"/>
        <v>2.6737532625043982E-6</v>
      </c>
      <c r="AD7" s="113">
        <f t="shared" si="0"/>
        <v>2.6665677757913212E-6</v>
      </c>
      <c r="AE7" s="113">
        <f t="shared" si="0"/>
        <v>2.6681453396353604E-6</v>
      </c>
      <c r="AF7" s="113">
        <f t="shared" si="0"/>
        <v>2.667623030634138E-6</v>
      </c>
    </row>
    <row r="8" spans="1:34">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4">
      <c r="A9" s="13" t="s">
        <v>171</v>
      </c>
      <c r="B9">
        <f t="shared" ref="B9:AF9" si="1">B6</f>
        <v>2.0741764985777883E-6</v>
      </c>
      <c r="C9">
        <f t="shared" si="1"/>
        <v>2.5933989578321179E-6</v>
      </c>
      <c r="D9">
        <f t="shared" si="1"/>
        <v>3.1883246787588056E-6</v>
      </c>
      <c r="E9">
        <f t="shared" si="1"/>
        <v>2.8172092878930296E-6</v>
      </c>
      <c r="F9">
        <f t="shared" si="1"/>
        <v>2.6152318218477056E-6</v>
      </c>
      <c r="G9">
        <f t="shared" si="1"/>
        <v>2.4132543558023816E-6</v>
      </c>
      <c r="H9">
        <f t="shared" si="1"/>
        <v>2.2112768897570575E-6</v>
      </c>
      <c r="I9">
        <f t="shared" si="1"/>
        <v>2.2377061266091371E-6</v>
      </c>
      <c r="J9">
        <f t="shared" si="1"/>
        <v>2.2618946026548179E-6</v>
      </c>
      <c r="K9">
        <f t="shared" si="1"/>
        <v>2.2788699964109888E-6</v>
      </c>
      <c r="L9">
        <f t="shared" si="1"/>
        <v>2.3351855435831846E-6</v>
      </c>
      <c r="M9">
        <f t="shared" si="1"/>
        <v>2.4099768810891283E-6</v>
      </c>
      <c r="N9">
        <f t="shared" si="1"/>
        <v>2.4344419149844485E-6</v>
      </c>
      <c r="O9">
        <f t="shared" si="1"/>
        <v>2.4546077587665328E-6</v>
      </c>
      <c r="P9">
        <f t="shared" si="1"/>
        <v>2.4736352599338483E-6</v>
      </c>
      <c r="Q9">
        <f t="shared" si="1"/>
        <v>2.4829460074225056E-6</v>
      </c>
      <c r="R9">
        <f t="shared" si="1"/>
        <v>2.5005968405422182E-6</v>
      </c>
      <c r="S9">
        <f t="shared" si="1"/>
        <v>2.5162694220480761E-6</v>
      </c>
      <c r="T9">
        <f t="shared" si="1"/>
        <v>2.5438673064752262E-6</v>
      </c>
      <c r="U9">
        <f t="shared" si="1"/>
        <v>2.5452145726904845E-6</v>
      </c>
      <c r="V9">
        <f t="shared" si="1"/>
        <v>2.5652019985274824E-6</v>
      </c>
      <c r="W9">
        <f t="shared" si="1"/>
        <v>2.5814531840104877E-6</v>
      </c>
      <c r="X9">
        <f t="shared" si="1"/>
        <v>2.5855661290696851E-6</v>
      </c>
      <c r="Y9" s="113">
        <f t="shared" si="1"/>
        <v>2.6112249977752927E-6</v>
      </c>
      <c r="Z9" s="113">
        <f t="shared" si="1"/>
        <v>2.6359181216532797E-6</v>
      </c>
      <c r="AA9" s="113">
        <f t="shared" si="1"/>
        <v>2.6443667833341549E-6</v>
      </c>
      <c r="AB9" s="113">
        <f t="shared" si="1"/>
        <v>2.6655430266039075E-6</v>
      </c>
      <c r="AC9" s="113">
        <f t="shared" si="1"/>
        <v>2.6737532625043982E-6</v>
      </c>
      <c r="AD9" s="113">
        <f t="shared" si="1"/>
        <v>2.6665677757913212E-6</v>
      </c>
      <c r="AE9" s="113">
        <f t="shared" si="1"/>
        <v>2.6681453396353604E-6</v>
      </c>
      <c r="AF9" s="113">
        <f t="shared" si="1"/>
        <v>2.667623030634138E-6</v>
      </c>
    </row>
  </sheetData>
  <pageMargins left="0.7" right="0.7" top="0.75" bottom="0.75" header="0.3" footer="0.3"/>
  <pageSetup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2060"/>
  </sheetPr>
  <dimension ref="A1:AH9"/>
  <sheetViews>
    <sheetView topLeftCell="X1" workbookViewId="0">
      <selection activeCell="AF9" sqref="B2:AF9"/>
    </sheetView>
  </sheetViews>
  <sheetFormatPr defaultColWidth="9.1796875" defaultRowHeight="14.5"/>
  <cols>
    <col min="1" max="1" width="41.453125" style="14" customWidth="1"/>
    <col min="2" max="24" width="10" style="14" customWidth="1"/>
    <col min="25" max="26" width="9.1796875" style="14" customWidth="1"/>
    <col min="27" max="27" width="10.81640625" style="14" bestFit="1" customWidth="1"/>
    <col min="28" max="32" width="11.81640625" style="14" bestFit="1" customWidth="1"/>
    <col min="33" max="16384" width="9.1796875" style="14"/>
  </cols>
  <sheetData>
    <row r="1" spans="1:34">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row>
    <row r="2" spans="1:34">
      <c r="A2" s="13" t="s">
        <v>164</v>
      </c>
      <c r="B2" s="181">
        <f>Jetkerosene!C3</f>
        <v>1.3983281845959298E-6</v>
      </c>
      <c r="C2" s="181">
        <f>Jetkerosene!D3</f>
        <v>2.0174353197605401E-6</v>
      </c>
      <c r="D2" s="181">
        <f>Jetkerosene!E3</f>
        <v>2.1089013018285352E-6</v>
      </c>
      <c r="E2" s="181">
        <f>Jetkerosene!F3</f>
        <v>1.9686240694255748E-6</v>
      </c>
      <c r="F2" s="181">
        <f>Jetkerosene!G3</f>
        <v>2.129565604148939E-6</v>
      </c>
      <c r="G2" s="181">
        <f>Jetkerosene!H3</f>
        <v>2.1379616179904573E-6</v>
      </c>
      <c r="H2" s="181">
        <f>Jetkerosene!I3</f>
        <v>2.1581548233042869E-6</v>
      </c>
      <c r="I2" s="181">
        <f>Jetkerosene!J3</f>
        <v>2.1968494301423141E-6</v>
      </c>
      <c r="J2" s="181">
        <f>Jetkerosene!K3</f>
        <v>2.234973010305706E-6</v>
      </c>
      <c r="K2" s="181">
        <f>Jetkerosene!L3</f>
        <v>2.2581896371424949E-6</v>
      </c>
      <c r="L2" s="181">
        <f>Jetkerosene!M3</f>
        <v>2.2503579239402612E-6</v>
      </c>
      <c r="M2" s="181">
        <f>Jetkerosene!N3</f>
        <v>2.3169836965975302E-6</v>
      </c>
      <c r="N2" s="181">
        <f>Jetkerosene!O3</f>
        <v>2.3422565685271145E-6</v>
      </c>
      <c r="O2" s="181">
        <f>Jetkerosene!P3</f>
        <v>2.3575175309387862E-6</v>
      </c>
      <c r="P2" s="181">
        <f>Jetkerosene!Q3</f>
        <v>2.3807126070092484E-6</v>
      </c>
      <c r="Q2" s="181">
        <f>Jetkerosene!R3</f>
        <v>2.3961209931345152E-6</v>
      </c>
      <c r="R2" s="181">
        <f>Jetkerosene!S3</f>
        <v>2.4231655576817703E-6</v>
      </c>
      <c r="S2" s="181">
        <f>Jetkerosene!T3</f>
        <v>2.4584259057763623E-6</v>
      </c>
      <c r="T2" s="181">
        <f>Jetkerosene!U3</f>
        <v>2.483044842350667E-6</v>
      </c>
      <c r="U2" s="181">
        <f>Jetkerosene!V3</f>
        <v>2.4973130968510503E-6</v>
      </c>
      <c r="V2" s="181">
        <f>Jetkerosene!W3</f>
        <v>2.5230256318668977E-6</v>
      </c>
      <c r="W2" s="181">
        <f>Jetkerosene!X3</f>
        <v>2.5425421156648745E-6</v>
      </c>
      <c r="X2" s="181">
        <f>Jetkerosene!Y3</f>
        <v>2.5481634340253662E-6</v>
      </c>
      <c r="Y2" s="181">
        <f>Jetkerosene!Z3</f>
        <v>2.5881963846320683E-6</v>
      </c>
      <c r="Z2" s="181">
        <f>Jetkerosene!AA3</f>
        <v>2.6309216711032622E-6</v>
      </c>
      <c r="AA2" s="181">
        <f>Jetkerosene!AB3</f>
        <v>2.6458581366257906E-6</v>
      </c>
      <c r="AB2" s="181">
        <f>Jetkerosene!AC3</f>
        <v>2.6746056235109107E-6</v>
      </c>
      <c r="AC2" s="181">
        <f>Jetkerosene!AD3</f>
        <v>2.6871564054745079E-6</v>
      </c>
      <c r="AD2" s="181">
        <f>Jetkerosene!AE3</f>
        <v>2.6833106231804586E-6</v>
      </c>
      <c r="AE2" s="181">
        <f>Jetkerosene!AF3</f>
        <v>2.6890134775613195E-6</v>
      </c>
      <c r="AF2" s="181">
        <f>Jetkerosene!AG3</f>
        <v>2.681031046260829E-6</v>
      </c>
      <c r="AG2" s="26"/>
      <c r="AH2" s="26"/>
    </row>
    <row r="3" spans="1:34">
      <c r="A3" s="13" t="s">
        <v>165</v>
      </c>
      <c r="B3" s="181">
        <f>Jetkerosene!C4</f>
        <v>3.4648003642234743E-6</v>
      </c>
      <c r="C3" s="181">
        <f>Jetkerosene!D4</f>
        <v>4.2828405441869643E-6</v>
      </c>
      <c r="D3" s="181">
        <f>Jetkerosene!E4</f>
        <v>4.6952123906553018E-6</v>
      </c>
      <c r="E3" s="181">
        <f>Jetkerosene!F4</f>
        <v>4.4354231464219112E-6</v>
      </c>
      <c r="F3" s="181">
        <f>Jetkerosene!G4</f>
        <v>4.4351673598853783E-6</v>
      </c>
      <c r="G3" s="181">
        <f>Jetkerosene!H4</f>
        <v>4.4142269248116116E-6</v>
      </c>
      <c r="H3" s="181">
        <f>Jetkerosene!I4</f>
        <v>4.43508495442902E-6</v>
      </c>
      <c r="I3" s="181">
        <f>Jetkerosene!J4</f>
        <v>4.507188410254413E-6</v>
      </c>
      <c r="J3" s="181">
        <f>Jetkerosene!K4</f>
        <v>4.6204262526666825E-6</v>
      </c>
      <c r="K3" s="181">
        <f>Jetkerosene!L4</f>
        <v>4.7122175806292085E-6</v>
      </c>
      <c r="L3" s="181">
        <f>Jetkerosene!M4</f>
        <v>4.8075360818717138E-6</v>
      </c>
      <c r="M3" s="181">
        <f>Jetkerosene!N4</f>
        <v>4.9330413498870485E-6</v>
      </c>
      <c r="N3" s="181">
        <f>Jetkerosene!O4</f>
        <v>5.0077426651925929E-6</v>
      </c>
      <c r="O3" s="181">
        <f>Jetkerosene!P4</f>
        <v>5.0842232791118039E-6</v>
      </c>
      <c r="P3" s="181">
        <f>Jetkerosene!Q4</f>
        <v>5.1342152633916213E-6</v>
      </c>
      <c r="Q3" s="181">
        <f>Jetkerosene!R4</f>
        <v>5.1695948924022671E-6</v>
      </c>
      <c r="R3" s="181">
        <f>Jetkerosene!S4</f>
        <v>5.2074653636737414E-6</v>
      </c>
      <c r="S3" s="181">
        <f>Jetkerosene!T4</f>
        <v>5.2511604723484376E-6</v>
      </c>
      <c r="T3" s="181">
        <f>Jetkerosene!U4</f>
        <v>5.2928229130996525E-6</v>
      </c>
      <c r="U3" s="181">
        <f>Jetkerosene!V4</f>
        <v>5.3180275558550584E-6</v>
      </c>
      <c r="V3" s="181">
        <f>Jetkerosene!W4</f>
        <v>5.3770918315101123E-6</v>
      </c>
      <c r="W3" s="181">
        <f>Jetkerosene!X4</f>
        <v>5.4205902658289683E-6</v>
      </c>
      <c r="X3" s="181">
        <f>Jetkerosene!Y4</f>
        <v>5.434258144694343E-6</v>
      </c>
      <c r="Y3" s="181">
        <f>Jetkerosene!Z4</f>
        <v>5.4716581357469881E-6</v>
      </c>
      <c r="Z3" s="181">
        <f>Jetkerosene!AA4</f>
        <v>5.5182928118608629E-6</v>
      </c>
      <c r="AA3" s="181">
        <f>Jetkerosene!AB4</f>
        <v>5.5335971532155521E-6</v>
      </c>
      <c r="AB3" s="181">
        <f>Jetkerosene!AC4</f>
        <v>5.5573101473369478E-6</v>
      </c>
      <c r="AC3" s="181">
        <f>Jetkerosene!AD4</f>
        <v>5.5747256066095716E-6</v>
      </c>
      <c r="AD3" s="181">
        <f>Jetkerosene!AE4</f>
        <v>5.5844123130674081E-6</v>
      </c>
      <c r="AE3" s="181">
        <f>Jetkerosene!AF4</f>
        <v>5.5813797922734578E-6</v>
      </c>
      <c r="AF3" s="181">
        <f>Jetkerosene!AG4</f>
        <v>5.5743744494915462E-6</v>
      </c>
      <c r="AG3" s="21"/>
    </row>
    <row r="4" spans="1:34">
      <c r="A4" s="13" t="s">
        <v>166</v>
      </c>
      <c r="B4" s="181">
        <f>Jetkerosene!C5</f>
        <v>2.7492178835024058E-6</v>
      </c>
      <c r="C4" s="181">
        <f>Jetkerosene!D5</f>
        <v>3.3983088716590029E-6</v>
      </c>
      <c r="D4" s="181">
        <f>Jetkerosene!E5</f>
        <v>3.6728156199124186E-6</v>
      </c>
      <c r="E4" s="181">
        <f>Jetkerosene!F5</f>
        <v>3.6378677367300638E-6</v>
      </c>
      <c r="F4" s="181">
        <f>Jetkerosene!G5</f>
        <v>3.6448836961704817E-6</v>
      </c>
      <c r="G4" s="181">
        <f>Jetkerosene!H5</f>
        <v>3.6360198332617868E-6</v>
      </c>
      <c r="H4" s="181">
        <f>Jetkerosene!I5</f>
        <v>3.6495581026754906E-6</v>
      </c>
      <c r="I4" s="181">
        <f>Jetkerosene!J5</f>
        <v>3.6992620083146263E-6</v>
      </c>
      <c r="J4" s="181">
        <f>Jetkerosene!K5</f>
        <v>3.7817411700677031E-6</v>
      </c>
      <c r="K4" s="181">
        <f>Jetkerosene!L5</f>
        <v>3.8597271884651892E-6</v>
      </c>
      <c r="L4" s="181">
        <f>Jetkerosene!M5</f>
        <v>3.9404085867311106E-6</v>
      </c>
      <c r="M4" s="181">
        <f>Jetkerosene!N5</f>
        <v>4.0460089229333344E-6</v>
      </c>
      <c r="N4" s="181">
        <f>Jetkerosene!O5</f>
        <v>4.1152802330031899E-6</v>
      </c>
      <c r="O4" s="181">
        <f>Jetkerosene!P5</f>
        <v>4.1839338881005538E-6</v>
      </c>
      <c r="P4" s="181">
        <f>Jetkerosene!Q5</f>
        <v>4.2343910006485257E-6</v>
      </c>
      <c r="Q4" s="181">
        <f>Jetkerosene!R5</f>
        <v>4.2726634651027905E-6</v>
      </c>
      <c r="R4" s="181">
        <f>Jetkerosene!S5</f>
        <v>4.3093463181681835E-6</v>
      </c>
      <c r="S4" s="181">
        <f>Jetkerosene!T5</f>
        <v>4.3491489219832396E-6</v>
      </c>
      <c r="T4" s="181">
        <f>Jetkerosene!U5</f>
        <v>4.3882081254472803E-6</v>
      </c>
      <c r="U4" s="181">
        <f>Jetkerosene!V5</f>
        <v>4.4171950450065081E-6</v>
      </c>
      <c r="V4" s="181">
        <f>Jetkerosene!W5</f>
        <v>4.4640194605626169E-6</v>
      </c>
      <c r="W4" s="181">
        <f>Jetkerosene!X5</f>
        <v>4.5047829488739305E-6</v>
      </c>
      <c r="X4" s="181">
        <f>Jetkerosene!Y5</f>
        <v>4.5269707604568352E-6</v>
      </c>
      <c r="Y4" s="181">
        <f>Jetkerosene!Z5</f>
        <v>4.5592275343685157E-6</v>
      </c>
      <c r="Z4" s="181">
        <f>Jetkerosene!AA5</f>
        <v>4.5984275093883871E-6</v>
      </c>
      <c r="AA4" s="181">
        <f>Jetkerosene!AB5</f>
        <v>4.6207407500092389E-6</v>
      </c>
      <c r="AB4" s="181">
        <f>Jetkerosene!AC5</f>
        <v>4.6447533721984537E-6</v>
      </c>
      <c r="AC4" s="181">
        <f>Jetkerosene!AD5</f>
        <v>4.6645698948319079E-6</v>
      </c>
      <c r="AD4" s="181">
        <f>Jetkerosene!AE5</f>
        <v>4.6786918126063021E-6</v>
      </c>
      <c r="AE4" s="181">
        <f>Jetkerosene!AF5</f>
        <v>4.6837649664059712E-6</v>
      </c>
      <c r="AF4" s="181">
        <f>Jetkerosene!AG5</f>
        <v>4.6843264709264184E-6</v>
      </c>
      <c r="AG4" s="21"/>
    </row>
    <row r="5" spans="1:34">
      <c r="A5" s="13" t="s">
        <v>167</v>
      </c>
      <c r="B5" s="181">
        <f>Jetkerosene!C6</f>
        <v>2.7492178835024058E-6</v>
      </c>
      <c r="C5" s="181">
        <f>Jetkerosene!D6</f>
        <v>3.3983088716590029E-6</v>
      </c>
      <c r="D5" s="181">
        <f>Jetkerosene!E6</f>
        <v>3.5822806155171133E-6</v>
      </c>
      <c r="E5" s="181">
        <f>Jetkerosene!F6</f>
        <v>3.301646665380926E-6</v>
      </c>
      <c r="F5" s="181">
        <f>Jetkerosene!G6</f>
        <v>3.2881745474873961E-6</v>
      </c>
      <c r="G5" s="181">
        <f>Jetkerosene!H6</f>
        <v>3.2654412640254519E-6</v>
      </c>
      <c r="H5" s="181">
        <f>Jetkerosene!I6</f>
        <v>3.2893309951434602E-6</v>
      </c>
      <c r="I5" s="181">
        <f>Jetkerosene!J6</f>
        <v>3.3592410137049605E-6</v>
      </c>
      <c r="J5" s="181">
        <f>Jetkerosene!K6</f>
        <v>3.4575705299734847E-6</v>
      </c>
      <c r="K5" s="181">
        <f>Jetkerosene!L6</f>
        <v>3.5249432354681773E-6</v>
      </c>
      <c r="L5" s="181">
        <f>Jetkerosene!M6</f>
        <v>3.5941165272508183E-6</v>
      </c>
      <c r="M5" s="181">
        <f>Jetkerosene!N6</f>
        <v>3.700365946810193E-6</v>
      </c>
      <c r="N5" s="181">
        <f>Jetkerosene!O6</f>
        <v>3.7509865269702781E-6</v>
      </c>
      <c r="O5" s="181">
        <f>Jetkerosene!P6</f>
        <v>3.8054413775997202E-6</v>
      </c>
      <c r="P5" s="181">
        <f>Jetkerosene!Q6</f>
        <v>3.8352695894960691E-6</v>
      </c>
      <c r="Q5" s="181">
        <f>Jetkerosene!R6</f>
        <v>3.8553082323758382E-6</v>
      </c>
      <c r="R5" s="181">
        <f>Jetkerosene!S6</f>
        <v>3.8817206288264639E-6</v>
      </c>
      <c r="S5" s="181">
        <f>Jetkerosene!T6</f>
        <v>3.9156167515943009E-6</v>
      </c>
      <c r="T5" s="181">
        <f>Jetkerosene!U6</f>
        <v>3.9471294529224303E-6</v>
      </c>
      <c r="U5" s="181">
        <f>Jetkerosene!V6</f>
        <v>3.9633696309053065E-6</v>
      </c>
      <c r="V5" s="181">
        <f>Jetkerosene!W6</f>
        <v>4.0126735425143672E-6</v>
      </c>
      <c r="W5" s="181">
        <f>Jetkerosene!X6</f>
        <v>4.0437357808071179E-6</v>
      </c>
      <c r="X5" s="181">
        <f>Jetkerosene!Y6</f>
        <v>4.0479693376603021E-6</v>
      </c>
      <c r="Y5" s="181">
        <f>Jetkerosene!Z6</f>
        <v>4.0783868948124942E-6</v>
      </c>
      <c r="Z5" s="181">
        <f>Jetkerosene!AA6</f>
        <v>4.1160104138409703E-6</v>
      </c>
      <c r="AA5" s="181">
        <f>Jetkerosene!AB6</f>
        <v>4.1231878035937748E-6</v>
      </c>
      <c r="AB5" s="181">
        <f>Jetkerosene!AC6</f>
        <v>4.1414719734228583E-6</v>
      </c>
      <c r="AC5" s="181">
        <f>Jetkerosene!AD6</f>
        <v>4.1541670380594516E-6</v>
      </c>
      <c r="AD5" s="181">
        <f>Jetkerosene!AE6</f>
        <v>4.1607514658319224E-6</v>
      </c>
      <c r="AE5" s="181">
        <f>Jetkerosene!AF6</f>
        <v>4.1572804953377087E-6</v>
      </c>
      <c r="AF5" s="181">
        <f>Jetkerosene!AG6</f>
        <v>4.1527715249145185E-6</v>
      </c>
      <c r="AG5" s="21"/>
    </row>
    <row r="6" spans="1:34">
      <c r="A6" s="13" t="s">
        <v>168</v>
      </c>
      <c r="B6" s="181">
        <f>Jetkerosene!C7</f>
        <v>3.4648003642234743E-6</v>
      </c>
      <c r="C6" s="181">
        <f>Jetkerosene!D7</f>
        <v>4.2828405441869643E-6</v>
      </c>
      <c r="D6" s="181">
        <f>Jetkerosene!E7</f>
        <v>4.5440047067361292E-6</v>
      </c>
      <c r="E6" s="181">
        <f>Jetkerosene!F7</f>
        <v>3.9841893877753109E-6</v>
      </c>
      <c r="F6" s="181">
        <f>Jetkerosene!G7</f>
        <v>3.9788802529478435E-6</v>
      </c>
      <c r="G6" s="181">
        <f>Jetkerosene!H7</f>
        <v>3.9414642108014573E-6</v>
      </c>
      <c r="H6" s="181">
        <f>Jetkerosene!I7</f>
        <v>3.9885234074248394E-6</v>
      </c>
      <c r="I6" s="181">
        <f>Jetkerosene!J7</f>
        <v>4.1168559111696355E-6</v>
      </c>
      <c r="J6" s="181">
        <f>Jetkerosene!K7</f>
        <v>4.2952222465381238E-6</v>
      </c>
      <c r="K6" s="181">
        <f>Jetkerosene!L7</f>
        <v>4.4131973694602028E-6</v>
      </c>
      <c r="L6" s="181">
        <f>Jetkerosene!M7</f>
        <v>4.5379264050748076E-6</v>
      </c>
      <c r="M6" s="181">
        <f>Jetkerosene!N7</f>
        <v>4.649644905208371E-6</v>
      </c>
      <c r="N6" s="181">
        <f>Jetkerosene!O7</f>
        <v>4.7415179591915775E-6</v>
      </c>
      <c r="O6" s="181">
        <f>Jetkerosene!P7</f>
        <v>4.8304270523264539E-6</v>
      </c>
      <c r="P6" s="181">
        <f>Jetkerosene!Q7</f>
        <v>4.8840630962977519E-6</v>
      </c>
      <c r="Q6" s="181">
        <f>Jetkerosene!R7</f>
        <v>4.9203479922799043E-6</v>
      </c>
      <c r="R6" s="181">
        <f>Jetkerosene!S7</f>
        <v>4.9705180763141654E-6</v>
      </c>
      <c r="S6" s="181">
        <f>Jetkerosene!T7</f>
        <v>5.0352542965077303E-6</v>
      </c>
      <c r="T6" s="181">
        <f>Jetkerosene!U7</f>
        <v>5.0947196832426995E-6</v>
      </c>
      <c r="U6" s="181">
        <f>Jetkerosene!V7</f>
        <v>5.1240054749824326E-6</v>
      </c>
      <c r="V6" s="181">
        <f>Jetkerosene!W7</f>
        <v>5.2210121681767289E-6</v>
      </c>
      <c r="W6" s="181">
        <f>Jetkerosene!X7</f>
        <v>5.2788214916265641E-6</v>
      </c>
      <c r="X6" s="181">
        <f>Jetkerosene!Y7</f>
        <v>5.2840668954877968E-6</v>
      </c>
      <c r="Y6" s="181">
        <f>Jetkerosene!Z7</f>
        <v>5.3448863297959943E-6</v>
      </c>
      <c r="Z6" s="181">
        <f>Jetkerosene!AA7</f>
        <v>5.4183492971245069E-6</v>
      </c>
      <c r="AA6" s="181">
        <f>Jetkerosene!AB7</f>
        <v>5.4292444668396297E-6</v>
      </c>
      <c r="AB6" s="181">
        <f>Jetkerosene!AC7</f>
        <v>5.4655416067019946E-6</v>
      </c>
      <c r="AC6" s="181">
        <f>Jetkerosene!AD7</f>
        <v>5.4898548133472759E-6</v>
      </c>
      <c r="AD6" s="181">
        <f>Jetkerosene!AE7</f>
        <v>5.5021746684060825E-6</v>
      </c>
      <c r="AE6" s="181">
        <f>Jetkerosene!AF7</f>
        <v>5.4946974249440877E-6</v>
      </c>
      <c r="AF6" s="181">
        <f>Jetkerosene!AG7</f>
        <v>5.4861929513268408E-6</v>
      </c>
      <c r="AG6" s="21"/>
    </row>
    <row r="7" spans="1:34">
      <c r="A7" s="13" t="s">
        <v>169</v>
      </c>
      <c r="B7" s="181">
        <f t="shared" ref="B7:X7" si="0">B3</f>
        <v>3.4648003642234743E-6</v>
      </c>
      <c r="C7" s="181">
        <f t="shared" si="0"/>
        <v>4.2828405441869643E-6</v>
      </c>
      <c r="D7" s="181">
        <f t="shared" si="0"/>
        <v>4.6952123906553018E-6</v>
      </c>
      <c r="E7" s="181">
        <f t="shared" si="0"/>
        <v>4.4354231464219112E-6</v>
      </c>
      <c r="F7" s="181">
        <f t="shared" si="0"/>
        <v>4.4351673598853783E-6</v>
      </c>
      <c r="G7" s="181">
        <f t="shared" si="0"/>
        <v>4.4142269248116116E-6</v>
      </c>
      <c r="H7" s="181">
        <f t="shared" si="0"/>
        <v>4.43508495442902E-6</v>
      </c>
      <c r="I7" s="181">
        <f t="shared" si="0"/>
        <v>4.507188410254413E-6</v>
      </c>
      <c r="J7" s="181">
        <f t="shared" si="0"/>
        <v>4.6204262526666825E-6</v>
      </c>
      <c r="K7" s="181">
        <f t="shared" si="0"/>
        <v>4.7122175806292085E-6</v>
      </c>
      <c r="L7" s="181">
        <f t="shared" si="0"/>
        <v>4.8075360818717138E-6</v>
      </c>
      <c r="M7" s="181">
        <f t="shared" si="0"/>
        <v>4.9330413498870485E-6</v>
      </c>
      <c r="N7" s="181">
        <f t="shared" si="0"/>
        <v>5.0077426651925929E-6</v>
      </c>
      <c r="O7" s="181">
        <f t="shared" si="0"/>
        <v>5.0842232791118039E-6</v>
      </c>
      <c r="P7" s="181">
        <f t="shared" si="0"/>
        <v>5.1342152633916213E-6</v>
      </c>
      <c r="Q7" s="181">
        <f t="shared" si="0"/>
        <v>5.1695948924022671E-6</v>
      </c>
      <c r="R7" s="181">
        <f t="shared" si="0"/>
        <v>5.2074653636737414E-6</v>
      </c>
      <c r="S7" s="181">
        <f t="shared" si="0"/>
        <v>5.2511604723484376E-6</v>
      </c>
      <c r="T7" s="181">
        <f t="shared" si="0"/>
        <v>5.2928229130996525E-6</v>
      </c>
      <c r="U7" s="181">
        <f t="shared" si="0"/>
        <v>5.3180275558550584E-6</v>
      </c>
      <c r="V7" s="181">
        <f t="shared" si="0"/>
        <v>5.3770918315101123E-6</v>
      </c>
      <c r="W7" s="181">
        <f t="shared" si="0"/>
        <v>5.4205902658289683E-6</v>
      </c>
      <c r="X7" s="181">
        <f t="shared" si="0"/>
        <v>5.434258144694343E-6</v>
      </c>
      <c r="Y7" s="181">
        <f t="shared" ref="Y7:AF7" si="1">Y3</f>
        <v>5.4716581357469881E-6</v>
      </c>
      <c r="Z7" s="181">
        <f t="shared" si="1"/>
        <v>5.5182928118608629E-6</v>
      </c>
      <c r="AA7" s="181">
        <f t="shared" si="1"/>
        <v>5.5335971532155521E-6</v>
      </c>
      <c r="AB7" s="181">
        <f t="shared" si="1"/>
        <v>5.5573101473369478E-6</v>
      </c>
      <c r="AC7" s="181">
        <f t="shared" si="1"/>
        <v>5.5747256066095716E-6</v>
      </c>
      <c r="AD7" s="181">
        <f t="shared" si="1"/>
        <v>5.5844123130674081E-6</v>
      </c>
      <c r="AE7" s="181">
        <f t="shared" si="1"/>
        <v>5.5813797922734578E-6</v>
      </c>
      <c r="AF7" s="181">
        <f t="shared" si="1"/>
        <v>5.5743744494915462E-6</v>
      </c>
    </row>
    <row r="8" spans="1:34">
      <c r="A8" s="13" t="s">
        <v>170</v>
      </c>
      <c r="B8" s="181">
        <v>0</v>
      </c>
      <c r="C8" s="181">
        <v>0</v>
      </c>
      <c r="D8" s="181">
        <v>0</v>
      </c>
      <c r="E8" s="181">
        <v>0</v>
      </c>
      <c r="F8" s="181">
        <v>0</v>
      </c>
      <c r="G8" s="181">
        <v>0</v>
      </c>
      <c r="H8" s="181">
        <v>0</v>
      </c>
      <c r="I8" s="181">
        <v>0</v>
      </c>
      <c r="J8" s="181">
        <v>0</v>
      </c>
      <c r="K8" s="181">
        <v>0</v>
      </c>
      <c r="L8" s="181">
        <v>0</v>
      </c>
      <c r="M8" s="181">
        <v>0</v>
      </c>
      <c r="N8" s="181">
        <v>0</v>
      </c>
      <c r="O8" s="181">
        <v>0</v>
      </c>
      <c r="P8" s="181">
        <v>0</v>
      </c>
      <c r="Q8" s="181">
        <v>0</v>
      </c>
      <c r="R8" s="181">
        <v>0</v>
      </c>
      <c r="S8" s="181">
        <v>0</v>
      </c>
      <c r="T8" s="181">
        <v>0</v>
      </c>
      <c r="U8" s="181">
        <v>0</v>
      </c>
      <c r="V8" s="181">
        <v>0</v>
      </c>
      <c r="W8" s="181">
        <v>0</v>
      </c>
      <c r="X8" s="181">
        <v>0</v>
      </c>
      <c r="Y8" s="181">
        <v>0</v>
      </c>
      <c r="Z8" s="181">
        <v>0</v>
      </c>
      <c r="AA8" s="181">
        <v>0</v>
      </c>
      <c r="AB8" s="181">
        <v>0</v>
      </c>
      <c r="AC8" s="181">
        <v>0</v>
      </c>
      <c r="AD8" s="181">
        <v>0</v>
      </c>
      <c r="AE8" s="181">
        <v>0</v>
      </c>
      <c r="AF8" s="181">
        <v>0</v>
      </c>
    </row>
    <row r="9" spans="1:34">
      <c r="A9" s="13" t="s">
        <v>171</v>
      </c>
      <c r="B9" s="181">
        <f t="shared" ref="B9:X9" si="2">B6</f>
        <v>3.4648003642234743E-6</v>
      </c>
      <c r="C9" s="181">
        <f t="shared" si="2"/>
        <v>4.2828405441869643E-6</v>
      </c>
      <c r="D9" s="181">
        <f t="shared" si="2"/>
        <v>4.5440047067361292E-6</v>
      </c>
      <c r="E9" s="181">
        <f t="shared" si="2"/>
        <v>3.9841893877753109E-6</v>
      </c>
      <c r="F9" s="181">
        <f t="shared" si="2"/>
        <v>3.9788802529478435E-6</v>
      </c>
      <c r="G9" s="181">
        <f t="shared" si="2"/>
        <v>3.9414642108014573E-6</v>
      </c>
      <c r="H9" s="181">
        <f t="shared" si="2"/>
        <v>3.9885234074248394E-6</v>
      </c>
      <c r="I9" s="181">
        <f t="shared" si="2"/>
        <v>4.1168559111696355E-6</v>
      </c>
      <c r="J9" s="181">
        <f t="shared" si="2"/>
        <v>4.2952222465381238E-6</v>
      </c>
      <c r="K9" s="181">
        <f t="shared" si="2"/>
        <v>4.4131973694602028E-6</v>
      </c>
      <c r="L9" s="181">
        <f t="shared" si="2"/>
        <v>4.5379264050748076E-6</v>
      </c>
      <c r="M9" s="181">
        <f t="shared" si="2"/>
        <v>4.649644905208371E-6</v>
      </c>
      <c r="N9" s="181">
        <f t="shared" si="2"/>
        <v>4.7415179591915775E-6</v>
      </c>
      <c r="O9" s="181">
        <f t="shared" si="2"/>
        <v>4.8304270523264539E-6</v>
      </c>
      <c r="P9" s="181">
        <f t="shared" si="2"/>
        <v>4.8840630962977519E-6</v>
      </c>
      <c r="Q9" s="181">
        <f t="shared" si="2"/>
        <v>4.9203479922799043E-6</v>
      </c>
      <c r="R9" s="181">
        <f t="shared" si="2"/>
        <v>4.9705180763141654E-6</v>
      </c>
      <c r="S9" s="181">
        <f t="shared" si="2"/>
        <v>5.0352542965077303E-6</v>
      </c>
      <c r="T9" s="181">
        <f t="shared" si="2"/>
        <v>5.0947196832426995E-6</v>
      </c>
      <c r="U9" s="181">
        <f t="shared" si="2"/>
        <v>5.1240054749824326E-6</v>
      </c>
      <c r="V9" s="181">
        <f t="shared" si="2"/>
        <v>5.2210121681767289E-6</v>
      </c>
      <c r="W9" s="181">
        <f t="shared" si="2"/>
        <v>5.2788214916265641E-6</v>
      </c>
      <c r="X9" s="181">
        <f t="shared" si="2"/>
        <v>5.2840668954877968E-6</v>
      </c>
      <c r="Y9" s="181">
        <f t="shared" ref="Y9:AF9" si="3">Y6</f>
        <v>5.3448863297959943E-6</v>
      </c>
      <c r="Z9" s="181">
        <f t="shared" si="3"/>
        <v>5.4183492971245069E-6</v>
      </c>
      <c r="AA9" s="181">
        <f t="shared" si="3"/>
        <v>5.4292444668396297E-6</v>
      </c>
      <c r="AB9" s="181">
        <f t="shared" si="3"/>
        <v>5.4655416067019946E-6</v>
      </c>
      <c r="AC9" s="181">
        <f t="shared" si="3"/>
        <v>5.4898548133472759E-6</v>
      </c>
      <c r="AD9" s="181">
        <f t="shared" si="3"/>
        <v>5.5021746684060825E-6</v>
      </c>
      <c r="AE9" s="181">
        <f t="shared" si="3"/>
        <v>5.4946974249440877E-6</v>
      </c>
      <c r="AF9" s="181">
        <f t="shared" si="3"/>
        <v>5.4861929513268408E-6</v>
      </c>
    </row>
  </sheetData>
  <pageMargins left="0.7" right="0.7" top="0.75" bottom="0.75" header="0.3" footer="0.3"/>
  <pageSetup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2060"/>
  </sheetPr>
  <dimension ref="A1:AJ9"/>
  <sheetViews>
    <sheetView workbookViewId="0">
      <selection activeCell="B4" sqref="B4"/>
    </sheetView>
  </sheetViews>
  <sheetFormatPr defaultColWidth="9.1796875" defaultRowHeight="14.5"/>
  <cols>
    <col min="1" max="1" width="41.453125" style="14" customWidth="1"/>
    <col min="2" max="26" width="10" style="14" customWidth="1"/>
    <col min="27" max="28" width="9.1796875" style="14" customWidth="1"/>
    <col min="29" max="16384" width="9.1796875" style="14"/>
  </cols>
  <sheetData>
    <row r="1" spans="1:36">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c r="AI1" s="13"/>
      <c r="AJ1" s="13"/>
    </row>
    <row r="2" spans="1:36">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c r="A4" s="13" t="s">
        <v>166</v>
      </c>
      <c r="B4" s="21">
        <f>Heat!D$16*#REF!*INDEX('Sales taxes'!$B$57:$AG$57,MATCH(B$1,'Sales taxes'!$B$43:$AG$43,0))</f>
        <v>1.1475286347470027E-6</v>
      </c>
      <c r="C4" s="21">
        <f>Heat!E$16*#REF!*INDEX('Sales taxes'!$B$57:$AG$57,MATCH(C$1,'Sales taxes'!$B$43:$AG$43,0))</f>
        <v>1.1475286347470027E-6</v>
      </c>
      <c r="D4" s="21">
        <f>Heat!F$16*#REF!*INDEX('Sales taxes'!$B$57:$AG$57,MATCH(D$1,'Sales taxes'!$B$43:$AG$43,0))</f>
        <v>1.1475286347470027E-6</v>
      </c>
      <c r="E4" s="21">
        <f>Heat!G$16*#REF!*INDEX('Sales taxes'!$B$57:$AG$57,MATCH(E$1,'Sales taxes'!$B$43:$AG$43,0))</f>
        <v>1.1475286347470027E-6</v>
      </c>
      <c r="F4" s="21">
        <f>Heat!H$16*#REF!*INDEX('Sales taxes'!$B$57:$AG$57,MATCH(F$1,'Sales taxes'!$B$43:$AG$43,0))</f>
        <v>1.1475286347470027E-6</v>
      </c>
      <c r="G4" s="21">
        <f>Heat!I$16*#REF!*INDEX('Sales taxes'!$B$57:$AG$57,MATCH(G$1,'Sales taxes'!$B$43:$AG$43,0))</f>
        <v>1.1475286347470027E-6</v>
      </c>
      <c r="H4" s="21">
        <f>Heat!J$16*#REF!*INDEX('Sales taxes'!$B$57:$AG$57,MATCH(H$1,'Sales taxes'!$B$43:$AG$43,0))</f>
        <v>1.1475286347470027E-6</v>
      </c>
      <c r="I4" s="21">
        <f>Heat!K$16*#REF!*INDEX('Sales taxes'!$B$57:$AG$57,MATCH(I$1,'Sales taxes'!$B$43:$AG$43,0))</f>
        <v>1.1475286347470027E-6</v>
      </c>
      <c r="J4" s="21">
        <f>Heat!L$16*#REF!*INDEX('Sales taxes'!$B$57:$AG$57,MATCH(J$1,'Sales taxes'!$B$43:$AG$43,0))</f>
        <v>1.1475286347470027E-6</v>
      </c>
      <c r="K4" s="21">
        <f>Heat!M$16*#REF!*INDEX('Sales taxes'!$B$57:$AG$57,MATCH(K$1,'Sales taxes'!$B$43:$AG$43,0))</f>
        <v>1.1475286347470027E-6</v>
      </c>
      <c r="L4" s="21">
        <f>Heat!N$16*#REF!*INDEX('Sales taxes'!$B$57:$AG$57,MATCH(L$1,'Sales taxes'!$B$43:$AG$43,0))</f>
        <v>1.1475286347470027E-6</v>
      </c>
      <c r="M4" s="21">
        <f>Heat!O$16*#REF!*INDEX('Sales taxes'!$B$57:$AG$57,MATCH(M$1,'Sales taxes'!$B$43:$AG$43,0))</f>
        <v>1.1475286347470027E-6</v>
      </c>
      <c r="N4" s="21">
        <f>Heat!P$16*#REF!*INDEX('Sales taxes'!$B$57:$AG$57,MATCH(N$1,'Sales taxes'!$B$43:$AG$43,0))</f>
        <v>1.1475286347470027E-6</v>
      </c>
      <c r="O4" s="21">
        <f>Heat!Q$16*#REF!*INDEX('Sales taxes'!$B$57:$AG$57,MATCH(O$1,'Sales taxes'!$B$43:$AG$43,0))</f>
        <v>1.1475286347470027E-6</v>
      </c>
      <c r="P4" s="21">
        <f>Heat!R$16*#REF!*INDEX('Sales taxes'!$B$57:$AG$57,MATCH(P$1,'Sales taxes'!$B$43:$AG$43,0))</f>
        <v>1.1475286347470027E-6</v>
      </c>
      <c r="Q4" s="21">
        <f>Heat!S$16*#REF!*INDEX('Sales taxes'!$B$57:$AG$57,MATCH(Q$1,'Sales taxes'!$B$43:$AG$43,0))</f>
        <v>1.1475286347470027E-6</v>
      </c>
      <c r="R4" s="21">
        <f>Heat!T$16*#REF!*INDEX('Sales taxes'!$B$57:$AG$57,MATCH(R$1,'Sales taxes'!$B$43:$AG$43,0))</f>
        <v>1.1475286347470027E-6</v>
      </c>
      <c r="S4" s="21">
        <f>Heat!U$16*#REF!*INDEX('Sales taxes'!$B$57:$AG$57,MATCH(S$1,'Sales taxes'!$B$43:$AG$43,0))</f>
        <v>1.1475286347470027E-6</v>
      </c>
      <c r="T4" s="21">
        <f>Heat!V$16*#REF!*INDEX('Sales taxes'!$B$57:$AG$57,MATCH(T$1,'Sales taxes'!$B$43:$AG$43,0))</f>
        <v>1.1475286347470027E-6</v>
      </c>
      <c r="U4" s="21">
        <f>Heat!W$16*#REF!*INDEX('Sales taxes'!$B$57:$AG$57,MATCH(U$1,'Sales taxes'!$B$43:$AG$43,0))</f>
        <v>1.1475286347470027E-6</v>
      </c>
      <c r="V4" s="21">
        <f>Heat!X$16*#REF!*INDEX('Sales taxes'!$B$57:$AG$57,MATCH(V$1,'Sales taxes'!$B$43:$AG$43,0))</f>
        <v>1.1475286347470027E-6</v>
      </c>
      <c r="W4" s="21">
        <f>Heat!Y$16*#REF!*INDEX('Sales taxes'!$B$57:$AG$57,MATCH(W$1,'Sales taxes'!$B$43:$AG$43,0))</f>
        <v>1.1475286347470027E-6</v>
      </c>
      <c r="X4" s="21">
        <f>Heat!Z$16*#REF!*INDEX('Sales taxes'!$B$57:$AG$57,MATCH(X$1,'Sales taxes'!$B$43:$AG$43,0))</f>
        <v>1.1475286347470027E-6</v>
      </c>
      <c r="Y4" s="21">
        <f>Heat!AA$16*#REF!*INDEX('Sales taxes'!$B$57:$AG$57,MATCH(Y$1,'Sales taxes'!$B$43:$AG$43,0))</f>
        <v>1.1475286347470027E-6</v>
      </c>
      <c r="Z4" s="21">
        <f>Heat!AB$16*#REF!*INDEX('Sales taxes'!$B$57:$AG$57,MATCH(Z$1,'Sales taxes'!$B$43:$AG$43,0))</f>
        <v>1.1475286347470027E-6</v>
      </c>
      <c r="AA4" s="21">
        <f>Heat!AC$16*#REF!*INDEX('Sales taxes'!$B$57:$AG$57,MATCH(AA$1,'Sales taxes'!$B$43:$AG$43,0))</f>
        <v>1.1475286347470027E-6</v>
      </c>
      <c r="AB4" s="21">
        <f>Heat!AD$16*#REF!*INDEX('Sales taxes'!$B$57:$AG$57,MATCH(AB$1,'Sales taxes'!$B$43:$AG$43,0))</f>
        <v>1.1475286347470027E-6</v>
      </c>
      <c r="AC4" s="21">
        <f>Heat!AE$16*#REF!*INDEX('Sales taxes'!$B$57:$AG$57,MATCH(AC$1,'Sales taxes'!$B$43:$AG$43,0))</f>
        <v>1.1475286347470027E-6</v>
      </c>
      <c r="AD4" s="21">
        <f>Heat!AF$16*#REF!*INDEX('Sales taxes'!$B$57:$AG$57,MATCH(AD$1,'Sales taxes'!$B$43:$AG$43,0))</f>
        <v>1.1475286347470027E-6</v>
      </c>
      <c r="AE4" s="21">
        <f>Heat!AG$16*#REF!*INDEX('Sales taxes'!$B$57:$AG$57,MATCH(AE$1,'Sales taxes'!$B$43:$AG$43,0))</f>
        <v>1.1475286347470027E-6</v>
      </c>
      <c r="AF4" s="21">
        <f>Heat!AH$16*#REF!*INDEX('Sales taxes'!$B$57:$AG$57,MATCH(AF$1,'Sales taxes'!$B$43:$AG$43,0))</f>
        <v>1.1475286347470027E-6</v>
      </c>
      <c r="AG4" s="21"/>
      <c r="AH4" s="21"/>
      <c r="AI4" s="21"/>
      <c r="AJ4" s="21"/>
    </row>
    <row r="5" spans="1:36">
      <c r="A5" s="13" t="s">
        <v>167</v>
      </c>
      <c r="B5" s="21">
        <f>Heat!D$16*#REF!*INDEX('Sales taxes'!$B$57:$AG$57,MATCH(B$1,'Sales taxes'!$B$43:$AG$43,0))</f>
        <v>1.1475286347470027E-6</v>
      </c>
      <c r="C5" s="21">
        <f>Heat!E$16*#REF!*INDEX('Sales taxes'!$B$57:$AG$57,MATCH(C$1,'Sales taxes'!$B$43:$AG$43,0))</f>
        <v>1.1475286347470027E-6</v>
      </c>
      <c r="D5" s="21">
        <f>Heat!F$16*#REF!*INDEX('Sales taxes'!$B$57:$AG$57,MATCH(D$1,'Sales taxes'!$B$43:$AG$43,0))</f>
        <v>1.1475286347470027E-6</v>
      </c>
      <c r="E5" s="21">
        <f>Heat!G$16*#REF!*INDEX('Sales taxes'!$B$57:$AG$57,MATCH(E$1,'Sales taxes'!$B$43:$AG$43,0))</f>
        <v>1.1475286347470027E-6</v>
      </c>
      <c r="F5" s="21">
        <f>Heat!H$16*#REF!*INDEX('Sales taxes'!$B$57:$AG$57,MATCH(F$1,'Sales taxes'!$B$43:$AG$43,0))</f>
        <v>1.1475286347470027E-6</v>
      </c>
      <c r="G5" s="21">
        <f>Heat!I$16*#REF!*INDEX('Sales taxes'!$B$57:$AG$57,MATCH(G$1,'Sales taxes'!$B$43:$AG$43,0))</f>
        <v>1.1475286347470027E-6</v>
      </c>
      <c r="H5" s="21">
        <f>Heat!J$16*#REF!*INDEX('Sales taxes'!$B$57:$AG$57,MATCH(H$1,'Sales taxes'!$B$43:$AG$43,0))</f>
        <v>1.1475286347470027E-6</v>
      </c>
      <c r="I5" s="21">
        <f>Heat!K$16*#REF!*INDEX('Sales taxes'!$B$57:$AG$57,MATCH(I$1,'Sales taxes'!$B$43:$AG$43,0))</f>
        <v>1.1475286347470027E-6</v>
      </c>
      <c r="J5" s="21">
        <f>Heat!L$16*#REF!*INDEX('Sales taxes'!$B$57:$AG$57,MATCH(J$1,'Sales taxes'!$B$43:$AG$43,0))</f>
        <v>1.1475286347470027E-6</v>
      </c>
      <c r="K5" s="21">
        <f>Heat!M$16*#REF!*INDEX('Sales taxes'!$B$57:$AG$57,MATCH(K$1,'Sales taxes'!$B$43:$AG$43,0))</f>
        <v>1.1475286347470027E-6</v>
      </c>
      <c r="L5" s="21">
        <f>Heat!N$16*#REF!*INDEX('Sales taxes'!$B$57:$AG$57,MATCH(L$1,'Sales taxes'!$B$43:$AG$43,0))</f>
        <v>1.1475286347470027E-6</v>
      </c>
      <c r="M5" s="21">
        <f>Heat!O$16*#REF!*INDEX('Sales taxes'!$B$57:$AG$57,MATCH(M$1,'Sales taxes'!$B$43:$AG$43,0))</f>
        <v>1.1475286347470027E-6</v>
      </c>
      <c r="N5" s="21">
        <f>Heat!P$16*#REF!*INDEX('Sales taxes'!$B$57:$AG$57,MATCH(N$1,'Sales taxes'!$B$43:$AG$43,0))</f>
        <v>1.1475286347470027E-6</v>
      </c>
      <c r="O5" s="21">
        <f>Heat!Q$16*#REF!*INDEX('Sales taxes'!$B$57:$AG$57,MATCH(O$1,'Sales taxes'!$B$43:$AG$43,0))</f>
        <v>1.1475286347470027E-6</v>
      </c>
      <c r="P5" s="21">
        <f>Heat!R$16*#REF!*INDEX('Sales taxes'!$B$57:$AG$57,MATCH(P$1,'Sales taxes'!$B$43:$AG$43,0))</f>
        <v>1.1475286347470027E-6</v>
      </c>
      <c r="Q5" s="21">
        <f>Heat!S$16*#REF!*INDEX('Sales taxes'!$B$57:$AG$57,MATCH(Q$1,'Sales taxes'!$B$43:$AG$43,0))</f>
        <v>1.1475286347470027E-6</v>
      </c>
      <c r="R5" s="21">
        <f>Heat!T$16*#REF!*INDEX('Sales taxes'!$B$57:$AG$57,MATCH(R$1,'Sales taxes'!$B$43:$AG$43,0))</f>
        <v>1.1475286347470027E-6</v>
      </c>
      <c r="S5" s="21">
        <f>Heat!U$16*#REF!*INDEX('Sales taxes'!$B$57:$AG$57,MATCH(S$1,'Sales taxes'!$B$43:$AG$43,0))</f>
        <v>1.1475286347470027E-6</v>
      </c>
      <c r="T5" s="21">
        <f>Heat!V$16*#REF!*INDEX('Sales taxes'!$B$57:$AG$57,MATCH(T$1,'Sales taxes'!$B$43:$AG$43,0))</f>
        <v>1.1475286347470027E-6</v>
      </c>
      <c r="U5" s="21">
        <f>Heat!W$16*#REF!*INDEX('Sales taxes'!$B$57:$AG$57,MATCH(U$1,'Sales taxes'!$B$43:$AG$43,0))</f>
        <v>1.1475286347470027E-6</v>
      </c>
      <c r="V5" s="21">
        <f>Heat!X$16*#REF!*INDEX('Sales taxes'!$B$57:$AG$57,MATCH(V$1,'Sales taxes'!$B$43:$AG$43,0))</f>
        <v>1.1475286347470027E-6</v>
      </c>
      <c r="W5" s="21">
        <f>Heat!Y$16*#REF!*INDEX('Sales taxes'!$B$57:$AG$57,MATCH(W$1,'Sales taxes'!$B$43:$AG$43,0))</f>
        <v>1.1475286347470027E-6</v>
      </c>
      <c r="X5" s="21">
        <f>Heat!Z$16*#REF!*INDEX('Sales taxes'!$B$57:$AG$57,MATCH(X$1,'Sales taxes'!$B$43:$AG$43,0))</f>
        <v>1.1475286347470027E-6</v>
      </c>
      <c r="Y5" s="21">
        <f>Heat!AA$16*#REF!*INDEX('Sales taxes'!$B$57:$AG$57,MATCH(Y$1,'Sales taxes'!$B$43:$AG$43,0))</f>
        <v>1.1475286347470027E-6</v>
      </c>
      <c r="Z5" s="21">
        <f>Heat!AB$16*#REF!*INDEX('Sales taxes'!$B$57:$AG$57,MATCH(Z$1,'Sales taxes'!$B$43:$AG$43,0))</f>
        <v>1.1475286347470027E-6</v>
      </c>
      <c r="AA5" s="21">
        <f>Heat!AC$16*#REF!*INDEX('Sales taxes'!$B$57:$AG$57,MATCH(AA$1,'Sales taxes'!$B$43:$AG$43,0))</f>
        <v>1.1475286347470027E-6</v>
      </c>
      <c r="AB5" s="21">
        <f>Heat!AD$16*#REF!*INDEX('Sales taxes'!$B$57:$AG$57,MATCH(AB$1,'Sales taxes'!$B$43:$AG$43,0))</f>
        <v>1.1475286347470027E-6</v>
      </c>
      <c r="AC5" s="21">
        <f>Heat!AE$16*#REF!*INDEX('Sales taxes'!$B$57:$AG$57,MATCH(AC$1,'Sales taxes'!$B$43:$AG$43,0))</f>
        <v>1.1475286347470027E-6</v>
      </c>
      <c r="AD5" s="21">
        <f>Heat!AF$16*#REF!*INDEX('Sales taxes'!$B$57:$AG$57,MATCH(AD$1,'Sales taxes'!$B$43:$AG$43,0))</f>
        <v>1.1475286347470027E-6</v>
      </c>
      <c r="AE5" s="21">
        <f>Heat!AG$16*#REF!*INDEX('Sales taxes'!$B$57:$AG$57,MATCH(AE$1,'Sales taxes'!$B$43:$AG$43,0))</f>
        <v>1.1475286347470027E-6</v>
      </c>
      <c r="AF5" s="21">
        <f>Heat!AH$16*#REF!*INDEX('Sales taxes'!$B$57:$AG$57,MATCH(AF$1,'Sales taxes'!$B$43:$AG$43,0))</f>
        <v>1.1475286347470027E-6</v>
      </c>
      <c r="AG5" s="21"/>
      <c r="AH5" s="21"/>
      <c r="AI5" s="21"/>
      <c r="AJ5" s="21"/>
    </row>
    <row r="6" spans="1:36">
      <c r="A6" s="13" t="s">
        <v>168</v>
      </c>
      <c r="B6" s="21">
        <f>Heat!D$16*#REF!*INDEX('Sales taxes'!$B$57:$AG$57,MATCH(B$1,'Sales taxes'!$B$43:$AG$43,0))</f>
        <v>1.1475286347470027E-6</v>
      </c>
      <c r="C6" s="21">
        <f>Heat!E$16*#REF!*INDEX('Sales taxes'!$B$57:$AG$57,MATCH(C$1,'Sales taxes'!$B$43:$AG$43,0))</f>
        <v>1.1475286347470027E-6</v>
      </c>
      <c r="D6" s="21">
        <f>Heat!F$16*#REF!*INDEX('Sales taxes'!$B$57:$AG$57,MATCH(D$1,'Sales taxes'!$B$43:$AG$43,0))</f>
        <v>1.1475286347470027E-6</v>
      </c>
      <c r="E6" s="21">
        <f>Heat!G$16*#REF!*INDEX('Sales taxes'!$B$57:$AG$57,MATCH(E$1,'Sales taxes'!$B$43:$AG$43,0))</f>
        <v>1.1475286347470027E-6</v>
      </c>
      <c r="F6" s="21">
        <f>Heat!H$16*#REF!*INDEX('Sales taxes'!$B$57:$AG$57,MATCH(F$1,'Sales taxes'!$B$43:$AG$43,0))</f>
        <v>1.1475286347470027E-6</v>
      </c>
      <c r="G6" s="21">
        <f>Heat!I$16*#REF!*INDEX('Sales taxes'!$B$57:$AG$57,MATCH(G$1,'Sales taxes'!$B$43:$AG$43,0))</f>
        <v>1.1475286347470027E-6</v>
      </c>
      <c r="H6" s="21">
        <f>Heat!J$16*#REF!*INDEX('Sales taxes'!$B$57:$AG$57,MATCH(H$1,'Sales taxes'!$B$43:$AG$43,0))</f>
        <v>1.1475286347470027E-6</v>
      </c>
      <c r="I6" s="21">
        <f>Heat!K$16*#REF!*INDEX('Sales taxes'!$B$57:$AG$57,MATCH(I$1,'Sales taxes'!$B$43:$AG$43,0))</f>
        <v>1.1475286347470027E-6</v>
      </c>
      <c r="J6" s="21">
        <f>Heat!L$16*#REF!*INDEX('Sales taxes'!$B$57:$AG$57,MATCH(J$1,'Sales taxes'!$B$43:$AG$43,0))</f>
        <v>1.1475286347470027E-6</v>
      </c>
      <c r="K6" s="21">
        <f>Heat!M$16*#REF!*INDEX('Sales taxes'!$B$57:$AG$57,MATCH(K$1,'Sales taxes'!$B$43:$AG$43,0))</f>
        <v>1.1475286347470027E-6</v>
      </c>
      <c r="L6" s="21">
        <f>Heat!N$16*#REF!*INDEX('Sales taxes'!$B$57:$AG$57,MATCH(L$1,'Sales taxes'!$B$43:$AG$43,0))</f>
        <v>1.1475286347470027E-6</v>
      </c>
      <c r="M6" s="21">
        <f>Heat!O$16*#REF!*INDEX('Sales taxes'!$B$57:$AG$57,MATCH(M$1,'Sales taxes'!$B$43:$AG$43,0))</f>
        <v>1.1475286347470027E-6</v>
      </c>
      <c r="N6" s="21">
        <f>Heat!P$16*#REF!*INDEX('Sales taxes'!$B$57:$AG$57,MATCH(N$1,'Sales taxes'!$B$43:$AG$43,0))</f>
        <v>1.1475286347470027E-6</v>
      </c>
      <c r="O6" s="21">
        <f>Heat!Q$16*#REF!*INDEX('Sales taxes'!$B$57:$AG$57,MATCH(O$1,'Sales taxes'!$B$43:$AG$43,0))</f>
        <v>1.1475286347470027E-6</v>
      </c>
      <c r="P6" s="21">
        <f>Heat!R$16*#REF!*INDEX('Sales taxes'!$B$57:$AG$57,MATCH(P$1,'Sales taxes'!$B$43:$AG$43,0))</f>
        <v>1.1475286347470027E-6</v>
      </c>
      <c r="Q6" s="21">
        <f>Heat!S$16*#REF!*INDEX('Sales taxes'!$B$57:$AG$57,MATCH(Q$1,'Sales taxes'!$B$43:$AG$43,0))</f>
        <v>1.1475286347470027E-6</v>
      </c>
      <c r="R6" s="21">
        <f>Heat!T$16*#REF!*INDEX('Sales taxes'!$B$57:$AG$57,MATCH(R$1,'Sales taxes'!$B$43:$AG$43,0))</f>
        <v>1.1475286347470027E-6</v>
      </c>
      <c r="S6" s="21">
        <f>Heat!U$16*#REF!*INDEX('Sales taxes'!$B$57:$AG$57,MATCH(S$1,'Sales taxes'!$B$43:$AG$43,0))</f>
        <v>1.1475286347470027E-6</v>
      </c>
      <c r="T6" s="21">
        <f>Heat!V$16*#REF!*INDEX('Sales taxes'!$B$57:$AG$57,MATCH(T$1,'Sales taxes'!$B$43:$AG$43,0))</f>
        <v>1.1475286347470027E-6</v>
      </c>
      <c r="U6" s="21">
        <f>Heat!W$16*#REF!*INDEX('Sales taxes'!$B$57:$AG$57,MATCH(U$1,'Sales taxes'!$B$43:$AG$43,0))</f>
        <v>1.1475286347470027E-6</v>
      </c>
      <c r="V6" s="21">
        <f>Heat!X$16*#REF!*INDEX('Sales taxes'!$B$57:$AG$57,MATCH(V$1,'Sales taxes'!$B$43:$AG$43,0))</f>
        <v>1.1475286347470027E-6</v>
      </c>
      <c r="W6" s="21">
        <f>Heat!Y$16*#REF!*INDEX('Sales taxes'!$B$57:$AG$57,MATCH(W$1,'Sales taxes'!$B$43:$AG$43,0))</f>
        <v>1.1475286347470027E-6</v>
      </c>
      <c r="X6" s="21">
        <f>Heat!Z$16*#REF!*INDEX('Sales taxes'!$B$57:$AG$57,MATCH(X$1,'Sales taxes'!$B$43:$AG$43,0))</f>
        <v>1.1475286347470027E-6</v>
      </c>
      <c r="Y6" s="21">
        <f>Heat!AA$16*#REF!*INDEX('Sales taxes'!$B$57:$AG$57,MATCH(Y$1,'Sales taxes'!$B$43:$AG$43,0))</f>
        <v>1.1475286347470027E-6</v>
      </c>
      <c r="Z6" s="21">
        <f>Heat!AB$16*#REF!*INDEX('Sales taxes'!$B$57:$AG$57,MATCH(Z$1,'Sales taxes'!$B$43:$AG$43,0))</f>
        <v>1.1475286347470027E-6</v>
      </c>
      <c r="AA6" s="21">
        <f>Heat!AC$16*#REF!*INDEX('Sales taxes'!$B$57:$AG$57,MATCH(AA$1,'Sales taxes'!$B$43:$AG$43,0))</f>
        <v>1.1475286347470027E-6</v>
      </c>
      <c r="AB6" s="21">
        <f>Heat!AD$16*#REF!*INDEX('Sales taxes'!$B$57:$AG$57,MATCH(AB$1,'Sales taxes'!$B$43:$AG$43,0))</f>
        <v>1.1475286347470027E-6</v>
      </c>
      <c r="AC6" s="21">
        <f>Heat!AE$16*#REF!*INDEX('Sales taxes'!$B$57:$AG$57,MATCH(AC$1,'Sales taxes'!$B$43:$AG$43,0))</f>
        <v>1.1475286347470027E-6</v>
      </c>
      <c r="AD6" s="21">
        <f>Heat!AF$16*#REF!*INDEX('Sales taxes'!$B$57:$AG$57,MATCH(AD$1,'Sales taxes'!$B$43:$AG$43,0))</f>
        <v>1.1475286347470027E-6</v>
      </c>
      <c r="AE6" s="21">
        <f>Heat!AG$16*#REF!*INDEX('Sales taxes'!$B$57:$AG$57,MATCH(AE$1,'Sales taxes'!$B$43:$AG$43,0))</f>
        <v>1.1475286347470027E-6</v>
      </c>
      <c r="AF6" s="21">
        <f>Heat!AH$16*#REF!*INDEX('Sales taxes'!$B$57:$AG$57,MATCH(AF$1,'Sales taxes'!$B$43:$AG$43,0))</f>
        <v>1.1475286347470027E-6</v>
      </c>
      <c r="AG6" s="21"/>
      <c r="AH6" s="21"/>
    </row>
    <row r="7" spans="1:36">
      <c r="A7" s="13" t="s">
        <v>169</v>
      </c>
      <c r="B7">
        <f t="shared" ref="B7:Z7" si="0">B3</f>
        <v>0</v>
      </c>
      <c r="C7">
        <f t="shared" si="0"/>
        <v>0</v>
      </c>
      <c r="D7">
        <f t="shared" si="0"/>
        <v>0</v>
      </c>
      <c r="E7">
        <f t="shared" si="0"/>
        <v>0</v>
      </c>
      <c r="F7">
        <f t="shared" si="0"/>
        <v>0</v>
      </c>
      <c r="G7">
        <f t="shared" si="0"/>
        <v>0</v>
      </c>
      <c r="H7">
        <f t="shared" si="0"/>
        <v>0</v>
      </c>
      <c r="I7">
        <f t="shared" si="0"/>
        <v>0</v>
      </c>
      <c r="J7">
        <f t="shared" si="0"/>
        <v>0</v>
      </c>
      <c r="K7">
        <f t="shared" si="0"/>
        <v>0</v>
      </c>
      <c r="L7">
        <f t="shared" si="0"/>
        <v>0</v>
      </c>
      <c r="M7">
        <f t="shared" si="0"/>
        <v>0</v>
      </c>
      <c r="N7">
        <f t="shared" si="0"/>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v>0</v>
      </c>
      <c r="AB7">
        <v>0</v>
      </c>
      <c r="AC7">
        <v>0</v>
      </c>
      <c r="AD7">
        <v>0</v>
      </c>
      <c r="AE7">
        <v>0</v>
      </c>
      <c r="AF7">
        <v>0</v>
      </c>
    </row>
    <row r="8" spans="1:36">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6">
      <c r="A9" s="13" t="s">
        <v>171</v>
      </c>
      <c r="B9">
        <f t="shared" ref="B9:AF9" si="1">B6</f>
        <v>1.1475286347470027E-6</v>
      </c>
      <c r="C9">
        <f t="shared" si="1"/>
        <v>1.1475286347470027E-6</v>
      </c>
      <c r="D9">
        <f t="shared" si="1"/>
        <v>1.1475286347470027E-6</v>
      </c>
      <c r="E9">
        <f t="shared" si="1"/>
        <v>1.1475286347470027E-6</v>
      </c>
      <c r="F9">
        <f t="shared" si="1"/>
        <v>1.1475286347470027E-6</v>
      </c>
      <c r="G9">
        <f t="shared" si="1"/>
        <v>1.1475286347470027E-6</v>
      </c>
      <c r="H9">
        <f t="shared" si="1"/>
        <v>1.1475286347470027E-6</v>
      </c>
      <c r="I9">
        <f t="shared" si="1"/>
        <v>1.1475286347470027E-6</v>
      </c>
      <c r="J9">
        <f t="shared" si="1"/>
        <v>1.1475286347470027E-6</v>
      </c>
      <c r="K9">
        <f t="shared" si="1"/>
        <v>1.1475286347470027E-6</v>
      </c>
      <c r="L9">
        <f t="shared" si="1"/>
        <v>1.1475286347470027E-6</v>
      </c>
      <c r="M9">
        <f t="shared" si="1"/>
        <v>1.1475286347470027E-6</v>
      </c>
      <c r="N9">
        <f t="shared" si="1"/>
        <v>1.1475286347470027E-6</v>
      </c>
      <c r="O9">
        <f t="shared" si="1"/>
        <v>1.1475286347470027E-6</v>
      </c>
      <c r="P9">
        <f t="shared" si="1"/>
        <v>1.1475286347470027E-6</v>
      </c>
      <c r="Q9">
        <f t="shared" si="1"/>
        <v>1.1475286347470027E-6</v>
      </c>
      <c r="R9">
        <f t="shared" si="1"/>
        <v>1.1475286347470027E-6</v>
      </c>
      <c r="S9">
        <f t="shared" si="1"/>
        <v>1.1475286347470027E-6</v>
      </c>
      <c r="T9">
        <f t="shared" si="1"/>
        <v>1.1475286347470027E-6</v>
      </c>
      <c r="U9">
        <f t="shared" si="1"/>
        <v>1.1475286347470027E-6</v>
      </c>
      <c r="V9">
        <f t="shared" si="1"/>
        <v>1.1475286347470027E-6</v>
      </c>
      <c r="W9">
        <f t="shared" si="1"/>
        <v>1.1475286347470027E-6</v>
      </c>
      <c r="X9">
        <f t="shared" si="1"/>
        <v>1.1475286347470027E-6</v>
      </c>
      <c r="Y9">
        <f t="shared" si="1"/>
        <v>1.1475286347470027E-6</v>
      </c>
      <c r="Z9">
        <f t="shared" si="1"/>
        <v>1.1475286347470027E-6</v>
      </c>
      <c r="AA9">
        <f t="shared" si="1"/>
        <v>1.1475286347470027E-6</v>
      </c>
      <c r="AB9">
        <f t="shared" si="1"/>
        <v>1.1475286347470027E-6</v>
      </c>
      <c r="AC9">
        <f t="shared" si="1"/>
        <v>1.1475286347470027E-6</v>
      </c>
      <c r="AD9">
        <f t="shared" si="1"/>
        <v>1.1475286347470027E-6</v>
      </c>
      <c r="AE9">
        <f t="shared" si="1"/>
        <v>1.1475286347470027E-6</v>
      </c>
      <c r="AF9">
        <f t="shared" si="1"/>
        <v>1.1475286347470027E-6</v>
      </c>
    </row>
  </sheetData>
  <pageMargins left="0.7" right="0.7" top="0.75" bottom="0.75" header="0.3" footer="0.3"/>
  <pageSetup orientation="portrait"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002060"/>
  </sheetPr>
  <dimension ref="A1:AF9"/>
  <sheetViews>
    <sheetView workbookViewId="0">
      <selection activeCell="B1" sqref="B1:B1048576"/>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2">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row>
    <row r="2" spans="1:32">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2">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2">
      <c r="A4" s="13" t="s">
        <v>166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2">
      <c r="A5" s="13" t="s">
        <v>167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2">
      <c r="A6" s="13" t="s">
        <v>168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2">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2">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2">
      <c r="A9" s="13" t="s">
        <v>171</v>
      </c>
      <c r="B9">
        <f t="shared" ref="B9:V9" si="0">B6</f>
        <v>0</v>
      </c>
      <c r="C9">
        <f t="shared" si="0"/>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v>0</v>
      </c>
      <c r="X9">
        <v>0</v>
      </c>
      <c r="Y9">
        <v>0</v>
      </c>
      <c r="Z9">
        <v>0</v>
      </c>
      <c r="AA9">
        <v>0</v>
      </c>
      <c r="AB9">
        <v>0</v>
      </c>
      <c r="AC9">
        <v>0</v>
      </c>
      <c r="AD9">
        <v>0</v>
      </c>
      <c r="AE9">
        <v>0</v>
      </c>
      <c r="AF9">
        <v>0</v>
      </c>
    </row>
  </sheetData>
  <pageMargins left="0.7" right="0.7" top="0.75" bottom="0.75" header="0.3" footer="0.3"/>
  <pageSetup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002060"/>
  </sheetPr>
  <dimension ref="A1:AJ9"/>
  <sheetViews>
    <sheetView workbookViewId="0">
      <selection activeCell="B3" sqref="B3:AF3"/>
    </sheetView>
  </sheetViews>
  <sheetFormatPr defaultColWidth="9.1796875" defaultRowHeight="14.5"/>
  <cols>
    <col min="1" max="1" width="41.453125" style="14" customWidth="1"/>
    <col min="2" max="26" width="10" style="14" customWidth="1"/>
    <col min="27" max="34" width="10.453125" style="14" bestFit="1" customWidth="1"/>
    <col min="35" max="36" width="9.1796875" style="14" customWidth="1"/>
    <col min="37" max="16384" width="9.1796875" style="14"/>
  </cols>
  <sheetData>
    <row r="1" spans="1:36">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c r="AG1" s="13"/>
      <c r="AH1" s="13"/>
      <c r="AI1" s="13"/>
      <c r="AJ1" s="13"/>
    </row>
    <row r="2" spans="1:36">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c r="A3" s="13" t="s">
        <v>165</v>
      </c>
      <c r="B3" s="26">
        <f>'BFPaT-fueltax-coal'!B6</f>
        <v>2.4718212970188984E-7</v>
      </c>
      <c r="C3" s="26">
        <f>'BFPaT-fueltax-coal'!C6</f>
        <v>2.4203250199976699E-7</v>
      </c>
      <c r="D3" s="26">
        <f>'BFPaT-fueltax-coal'!D6</f>
        <v>2.3817028122317516E-7</v>
      </c>
      <c r="E3" s="26">
        <f>'BFPaT-fueltax-coal'!E6</f>
        <v>2.3494190150345597E-7</v>
      </c>
      <c r="F3" s="26">
        <f>'BFPaT-fueltax-coal'!F6</f>
        <v>2.3295319366348818E-7</v>
      </c>
      <c r="G3" s="26">
        <f>'BFPaT-fueltax-coal'!G6</f>
        <v>2.3284911586932526E-7</v>
      </c>
      <c r="H3" s="26">
        <f>'BFPaT-fueltax-coal'!H6</f>
        <v>2.2711152356819636E-7</v>
      </c>
      <c r="I3" s="26">
        <f>'BFPaT-fueltax-coal'!I6</f>
        <v>2.2335812405256092E-7</v>
      </c>
      <c r="J3" s="26">
        <f>'BFPaT-fueltax-coal'!J6</f>
        <v>2.2319396130270189E-7</v>
      </c>
      <c r="K3" s="26">
        <f>'BFPaT-fueltax-coal'!K6</f>
        <v>2.2201391129613618E-7</v>
      </c>
      <c r="L3" s="26">
        <f>'BFPaT-fueltax-coal'!L6</f>
        <v>2.2284989099763851E-7</v>
      </c>
      <c r="M3" s="26">
        <f>'BFPaT-fueltax-coal'!M6</f>
        <v>2.2251635581968153E-7</v>
      </c>
      <c r="N3" s="26">
        <f>'BFPaT-fueltax-coal'!N6</f>
        <v>2.2237222138838801E-7</v>
      </c>
      <c r="O3" s="26">
        <f>'BFPaT-fueltax-coal'!O6</f>
        <v>2.2107941079059297E-7</v>
      </c>
      <c r="P3" s="26">
        <f>'BFPaT-fueltax-coal'!P6</f>
        <v>2.2067328742916538E-7</v>
      </c>
      <c r="Q3" s="26">
        <f>'BFPaT-fueltax-coal'!Q6</f>
        <v>2.19872965080947E-7</v>
      </c>
      <c r="R3" s="26">
        <f>'BFPaT-fueltax-coal'!R6</f>
        <v>2.1829385372123345E-7</v>
      </c>
      <c r="S3" s="26">
        <f>'BFPaT-fueltax-coal'!S6</f>
        <v>2.1653066706372348E-7</v>
      </c>
      <c r="T3" s="26">
        <f>'BFPaT-fueltax-coal'!T6</f>
        <v>2.1616205338562025E-7</v>
      </c>
      <c r="U3" s="26">
        <f>'BFPaT-fueltax-coal'!U6</f>
        <v>2.1608402398265488E-7</v>
      </c>
      <c r="V3" s="26">
        <f>'BFPaT-fueltax-coal'!V6</f>
        <v>2.1577757913154315E-7</v>
      </c>
      <c r="W3" s="26">
        <f>'BFPaT-fueltax-coal'!W6</f>
        <v>2.1635423262734495E-7</v>
      </c>
      <c r="X3" s="26">
        <f>'BFPaT-fueltax-coal'!X6</f>
        <v>2.1587239527550281E-7</v>
      </c>
      <c r="Y3" s="26">
        <f>'BFPaT-fueltax-coal'!Y6</f>
        <v>2.1463307070763369E-7</v>
      </c>
      <c r="Z3" s="26">
        <f>'BFPaT-fueltax-coal'!Z6</f>
        <v>2.1332463107512062E-7</v>
      </c>
      <c r="AA3" s="26">
        <f>'BFPaT-fueltax-coal'!AA6</f>
        <v>2.1271255176729029E-7</v>
      </c>
      <c r="AB3" s="26">
        <f>'BFPaT-fueltax-coal'!AB6</f>
        <v>2.1235678862884427E-7</v>
      </c>
      <c r="AC3" s="26">
        <f>'BFPaT-fueltax-coal'!AC6</f>
        <v>2.1202915775289205E-7</v>
      </c>
      <c r="AD3" s="26">
        <f>'BFPaT-fueltax-coal'!AD6</f>
        <v>2.1139230353076729E-7</v>
      </c>
      <c r="AE3" s="26">
        <f>'BFPaT-fueltax-coal'!AE6</f>
        <v>2.1039574996886028E-7</v>
      </c>
      <c r="AF3" s="26">
        <f>'BFPaT-fueltax-coal'!AF6</f>
        <v>2.1054868296784708E-7</v>
      </c>
      <c r="AG3" s="26"/>
      <c r="AH3" s="26"/>
    </row>
    <row r="4" spans="1:36">
      <c r="A4" s="13" t="s">
        <v>166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c r="A5" s="13" t="s">
        <v>167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c r="A6" s="13" t="s">
        <v>168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6">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6">
      <c r="A9" s="13" t="s">
        <v>171</v>
      </c>
      <c r="B9">
        <f t="shared" ref="B9:Z9" si="0">B6</f>
        <v>0</v>
      </c>
      <c r="C9">
        <f t="shared" si="0"/>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v>0</v>
      </c>
      <c r="AB9">
        <v>0</v>
      </c>
      <c r="AC9">
        <v>0</v>
      </c>
      <c r="AD9">
        <v>0</v>
      </c>
      <c r="AE9">
        <v>0</v>
      </c>
      <c r="AF9">
        <v>0</v>
      </c>
    </row>
  </sheetData>
  <pageMargins left="0.7" right="0.7" top="0.75" bottom="0.75" header="0.3" footer="0.3"/>
  <pageSetup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002060"/>
  </sheetPr>
  <dimension ref="A1:AF9"/>
  <sheetViews>
    <sheetView topLeftCell="X1" workbookViewId="0">
      <selection activeCell="AF9" sqref="B3:AF9"/>
    </sheetView>
  </sheetViews>
  <sheetFormatPr defaultColWidth="9.1796875" defaultRowHeight="14.5"/>
  <cols>
    <col min="1" max="1" width="41.453125" style="14" customWidth="1"/>
    <col min="2" max="32" width="10" style="14" customWidth="1"/>
    <col min="33" max="34" width="9.1796875" style="14" customWidth="1"/>
    <col min="35" max="16384" width="9.1796875" style="14"/>
  </cols>
  <sheetData>
    <row r="1" spans="1:32">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row>
    <row r="2" spans="1:32">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2">
      <c r="A3" s="13" t="s">
        <v>165</v>
      </c>
      <c r="B3" s="181">
        <f>B6</f>
        <v>5.8433793709365679E-7</v>
      </c>
      <c r="C3" s="181">
        <f t="shared" ref="C3:AF3" si="0">C6</f>
        <v>1.0166226673695307E-6</v>
      </c>
      <c r="D3" s="181">
        <f t="shared" si="0"/>
        <v>1.5078547402424896E-6</v>
      </c>
      <c r="E3" s="181">
        <f t="shared" si="0"/>
        <v>1.2666101812756976E-6</v>
      </c>
      <c r="F3" s="181">
        <f t="shared" si="0"/>
        <v>1.1683748373216428E-6</v>
      </c>
      <c r="G3" s="181">
        <f t="shared" si="0"/>
        <v>1.0701394933675879E-6</v>
      </c>
      <c r="H3" s="181">
        <f t="shared" si="0"/>
        <v>9.71904149413533E-7</v>
      </c>
      <c r="I3" s="181">
        <f t="shared" si="0"/>
        <v>9.9952188149096612E-7</v>
      </c>
      <c r="J3" s="181">
        <f t="shared" si="0"/>
        <v>1.0197138490738853E-6</v>
      </c>
      <c r="K3" s="181">
        <f t="shared" si="0"/>
        <v>1.0347020903215974E-6</v>
      </c>
      <c r="L3" s="181">
        <f t="shared" si="0"/>
        <v>1.0506108195373062E-6</v>
      </c>
      <c r="M3" s="181">
        <f t="shared" si="0"/>
        <v>1.0725942744557909E-6</v>
      </c>
      <c r="N3" s="181">
        <f t="shared" si="0"/>
        <v>1.0898342470230651E-6</v>
      </c>
      <c r="O3" s="181">
        <f t="shared" si="0"/>
        <v>1.1014906682468305E-6</v>
      </c>
      <c r="P3" s="181">
        <f t="shared" si="0"/>
        <v>1.1074323933359509E-6</v>
      </c>
      <c r="Q3" s="181">
        <f t="shared" si="0"/>
        <v>1.1179549070023659E-6</v>
      </c>
      <c r="R3" s="181">
        <f t="shared" si="0"/>
        <v>1.1358382313752293E-6</v>
      </c>
      <c r="S3" s="181">
        <f t="shared" si="0"/>
        <v>1.1489298220114647E-6</v>
      </c>
      <c r="T3" s="181">
        <f t="shared" si="0"/>
        <v>1.1641166362684021E-6</v>
      </c>
      <c r="U3" s="181">
        <f t="shared" si="0"/>
        <v>1.1679167421739156E-6</v>
      </c>
      <c r="V3" s="181">
        <f t="shared" si="0"/>
        <v>1.1901395981969789E-6</v>
      </c>
      <c r="W3" s="181">
        <f t="shared" si="0"/>
        <v>1.2037341167350837E-6</v>
      </c>
      <c r="X3" s="181">
        <f t="shared" si="0"/>
        <v>1.209471082739923E-6</v>
      </c>
      <c r="Y3" s="181">
        <f t="shared" si="0"/>
        <v>1.2304610540047771E-6</v>
      </c>
      <c r="Z3" s="181">
        <f t="shared" si="0"/>
        <v>1.2557274589542817E-6</v>
      </c>
      <c r="AA3" s="181">
        <f t="shared" si="0"/>
        <v>1.2626348303592901E-6</v>
      </c>
      <c r="AB3" s="181">
        <f t="shared" si="0"/>
        <v>1.280949942770905E-6</v>
      </c>
      <c r="AC3" s="181">
        <f t="shared" si="0"/>
        <v>1.280203283511919E-6</v>
      </c>
      <c r="AD3" s="181">
        <f t="shared" si="0"/>
        <v>1.2819743567998044E-6</v>
      </c>
      <c r="AE3" s="181">
        <f t="shared" si="0"/>
        <v>1.2864809124764566E-6</v>
      </c>
      <c r="AF3" s="181">
        <f t="shared" si="0"/>
        <v>1.2824277961012444E-6</v>
      </c>
    </row>
    <row r="4" spans="1:32">
      <c r="A4" s="13" t="s">
        <v>166</v>
      </c>
      <c r="B4" s="181">
        <v>0</v>
      </c>
      <c r="C4" s="181">
        <v>0</v>
      </c>
      <c r="D4" s="181">
        <v>0</v>
      </c>
      <c r="E4" s="181">
        <v>0</v>
      </c>
      <c r="F4" s="181">
        <v>0</v>
      </c>
      <c r="G4" s="181">
        <v>0</v>
      </c>
      <c r="H4" s="181">
        <v>0</v>
      </c>
      <c r="I4" s="181">
        <v>0</v>
      </c>
      <c r="J4" s="181">
        <v>0</v>
      </c>
      <c r="K4" s="181">
        <v>0</v>
      </c>
      <c r="L4" s="181">
        <v>0</v>
      </c>
      <c r="M4" s="181">
        <v>0</v>
      </c>
      <c r="N4" s="181">
        <v>0</v>
      </c>
      <c r="O4" s="181">
        <v>0</v>
      </c>
      <c r="P4" s="181">
        <v>0</v>
      </c>
      <c r="Q4" s="181">
        <v>0</v>
      </c>
      <c r="R4" s="181">
        <v>0</v>
      </c>
      <c r="S4" s="181">
        <v>0</v>
      </c>
      <c r="T4" s="181">
        <v>0</v>
      </c>
      <c r="U4" s="181">
        <v>0</v>
      </c>
      <c r="V4" s="181">
        <v>0</v>
      </c>
      <c r="W4" s="181">
        <v>0</v>
      </c>
      <c r="X4" s="181">
        <v>0</v>
      </c>
      <c r="Y4" s="181">
        <v>0</v>
      </c>
      <c r="Z4" s="181">
        <v>0</v>
      </c>
      <c r="AA4" s="181">
        <v>0</v>
      </c>
      <c r="AB4" s="181">
        <v>0</v>
      </c>
      <c r="AC4" s="181">
        <v>0</v>
      </c>
      <c r="AD4" s="181">
        <v>0</v>
      </c>
      <c r="AE4" s="181">
        <v>0</v>
      </c>
      <c r="AF4" s="181">
        <v>0</v>
      </c>
    </row>
    <row r="5" spans="1:32">
      <c r="A5" s="13" t="s">
        <v>167</v>
      </c>
      <c r="B5" s="181">
        <v>0</v>
      </c>
      <c r="C5" s="181">
        <v>0</v>
      </c>
      <c r="D5" s="181">
        <v>0</v>
      </c>
      <c r="E5" s="181">
        <v>0</v>
      </c>
      <c r="F5" s="181">
        <v>0</v>
      </c>
      <c r="G5" s="181">
        <v>0</v>
      </c>
      <c r="H5" s="181">
        <v>0</v>
      </c>
      <c r="I5" s="181">
        <v>0</v>
      </c>
      <c r="J5" s="181">
        <v>0</v>
      </c>
      <c r="K5" s="181">
        <v>0</v>
      </c>
      <c r="L5" s="181">
        <v>0</v>
      </c>
      <c r="M5" s="181">
        <v>0</v>
      </c>
      <c r="N5" s="181">
        <v>0</v>
      </c>
      <c r="O5" s="181">
        <v>0</v>
      </c>
      <c r="P5" s="181">
        <v>0</v>
      </c>
      <c r="Q5" s="181">
        <v>0</v>
      </c>
      <c r="R5" s="181">
        <v>0</v>
      </c>
      <c r="S5" s="181">
        <v>0</v>
      </c>
      <c r="T5" s="181">
        <v>0</v>
      </c>
      <c r="U5" s="181">
        <v>0</v>
      </c>
      <c r="V5" s="181">
        <v>0</v>
      </c>
      <c r="W5" s="181">
        <v>0</v>
      </c>
      <c r="X5" s="181">
        <v>0</v>
      </c>
      <c r="Y5" s="181">
        <v>0</v>
      </c>
      <c r="Z5" s="181">
        <v>0</v>
      </c>
      <c r="AA5" s="181">
        <v>0</v>
      </c>
      <c r="AB5" s="181">
        <v>0</v>
      </c>
      <c r="AC5" s="181">
        <v>0</v>
      </c>
      <c r="AD5" s="181">
        <v>0</v>
      </c>
      <c r="AE5" s="181">
        <v>0</v>
      </c>
      <c r="AF5" s="181">
        <v>0</v>
      </c>
    </row>
    <row r="6" spans="1:32">
      <c r="A6" s="13" t="s">
        <v>168</v>
      </c>
      <c r="B6" s="181">
        <f>'Heavy+crude oil+'!B74</f>
        <v>5.8433793709365679E-7</v>
      </c>
      <c r="C6" s="181">
        <f>'Heavy+crude oil+'!C74</f>
        <v>1.0166226673695307E-6</v>
      </c>
      <c r="D6" s="181">
        <f>'Heavy+crude oil+'!D74</f>
        <v>1.5078547402424896E-6</v>
      </c>
      <c r="E6" s="181">
        <f>'Heavy+crude oil+'!E74</f>
        <v>1.2666101812756976E-6</v>
      </c>
      <c r="F6" s="181">
        <f>'Heavy+crude oil+'!F74</f>
        <v>1.1683748373216428E-6</v>
      </c>
      <c r="G6" s="181">
        <f>'Heavy+crude oil+'!G74</f>
        <v>1.0701394933675879E-6</v>
      </c>
      <c r="H6" s="181">
        <f>'Heavy+crude oil+'!H74</f>
        <v>9.71904149413533E-7</v>
      </c>
      <c r="I6" s="181">
        <f>'Heavy+crude oil+'!I74</f>
        <v>9.9952188149096612E-7</v>
      </c>
      <c r="J6" s="181">
        <f>'Heavy+crude oil+'!J74</f>
        <v>1.0197138490738853E-6</v>
      </c>
      <c r="K6" s="181">
        <f>'Heavy+crude oil+'!K74</f>
        <v>1.0347020903215974E-6</v>
      </c>
      <c r="L6" s="181">
        <f>'Heavy+crude oil+'!L74</f>
        <v>1.0506108195373062E-6</v>
      </c>
      <c r="M6" s="181">
        <f>'Heavy+crude oil+'!M74</f>
        <v>1.0725942744557909E-6</v>
      </c>
      <c r="N6" s="181">
        <f>'Heavy+crude oil+'!N74</f>
        <v>1.0898342470230651E-6</v>
      </c>
      <c r="O6" s="181">
        <f>'Heavy+crude oil+'!O74</f>
        <v>1.1014906682468305E-6</v>
      </c>
      <c r="P6" s="181">
        <f>'Heavy+crude oil+'!P74</f>
        <v>1.1074323933359509E-6</v>
      </c>
      <c r="Q6" s="181">
        <f>'Heavy+crude oil+'!Q74</f>
        <v>1.1179549070023659E-6</v>
      </c>
      <c r="R6" s="181">
        <f>'Heavy+crude oil+'!R74</f>
        <v>1.1358382313752293E-6</v>
      </c>
      <c r="S6" s="181">
        <f>'Heavy+crude oil+'!S74</f>
        <v>1.1489298220114647E-6</v>
      </c>
      <c r="T6" s="181">
        <f>'Heavy+crude oil+'!T74</f>
        <v>1.1641166362684021E-6</v>
      </c>
      <c r="U6" s="181">
        <f>'Heavy+crude oil+'!U74</f>
        <v>1.1679167421739156E-6</v>
      </c>
      <c r="V6" s="181">
        <f>'Heavy+crude oil+'!V74</f>
        <v>1.1901395981969789E-6</v>
      </c>
      <c r="W6" s="181">
        <f>'Heavy+crude oil+'!W74</f>
        <v>1.2037341167350837E-6</v>
      </c>
      <c r="X6" s="181">
        <f>'Heavy+crude oil+'!X74</f>
        <v>1.209471082739923E-6</v>
      </c>
      <c r="Y6" s="181">
        <f>'Heavy+crude oil+'!Y74</f>
        <v>1.2304610540047771E-6</v>
      </c>
      <c r="Z6" s="181">
        <f>'Heavy+crude oil+'!Z74</f>
        <v>1.2557274589542817E-6</v>
      </c>
      <c r="AA6" s="181">
        <f>'Heavy+crude oil+'!AA74</f>
        <v>1.2626348303592901E-6</v>
      </c>
      <c r="AB6" s="181">
        <f>'Heavy+crude oil+'!AB74</f>
        <v>1.280949942770905E-6</v>
      </c>
      <c r="AC6" s="181">
        <f>'Heavy+crude oil+'!AC74</f>
        <v>1.280203283511919E-6</v>
      </c>
      <c r="AD6" s="181">
        <f>'Heavy+crude oil+'!AD74</f>
        <v>1.2819743567998044E-6</v>
      </c>
      <c r="AE6" s="181">
        <f>'Heavy+crude oil+'!AE74</f>
        <v>1.2864809124764566E-6</v>
      </c>
      <c r="AF6" s="181">
        <f>'Heavy+crude oil+'!AF74</f>
        <v>1.2824277961012444E-6</v>
      </c>
    </row>
    <row r="7" spans="1:32">
      <c r="A7" s="13" t="s">
        <v>169</v>
      </c>
      <c r="B7" s="181">
        <v>0</v>
      </c>
      <c r="C7" s="181">
        <v>0</v>
      </c>
      <c r="D7" s="181">
        <v>0</v>
      </c>
      <c r="E7" s="181">
        <v>0</v>
      </c>
      <c r="F7" s="181">
        <v>0</v>
      </c>
      <c r="G7" s="181">
        <v>0</v>
      </c>
      <c r="H7" s="181">
        <v>0</v>
      </c>
      <c r="I7" s="181">
        <v>0</v>
      </c>
      <c r="J7" s="181">
        <v>0</v>
      </c>
      <c r="K7" s="181">
        <v>0</v>
      </c>
      <c r="L7" s="181">
        <v>0</v>
      </c>
      <c r="M7" s="181">
        <v>0</v>
      </c>
      <c r="N7" s="181">
        <v>0</v>
      </c>
      <c r="O7" s="181">
        <v>0</v>
      </c>
      <c r="P7" s="181">
        <v>0</v>
      </c>
      <c r="Q7" s="181">
        <v>0</v>
      </c>
      <c r="R7" s="181">
        <v>0</v>
      </c>
      <c r="S7" s="181">
        <v>0</v>
      </c>
      <c r="T7" s="181">
        <v>0</v>
      </c>
      <c r="U7" s="181">
        <v>0</v>
      </c>
      <c r="V7" s="181">
        <v>0</v>
      </c>
      <c r="W7" s="181">
        <v>0</v>
      </c>
      <c r="X7" s="181">
        <v>0</v>
      </c>
      <c r="Y7" s="181">
        <v>0</v>
      </c>
      <c r="Z7" s="181">
        <v>0</v>
      </c>
      <c r="AA7" s="181">
        <v>0</v>
      </c>
      <c r="AB7" s="181">
        <v>0</v>
      </c>
      <c r="AC7" s="181">
        <v>0</v>
      </c>
      <c r="AD7" s="181">
        <v>0</v>
      </c>
      <c r="AE7" s="181">
        <v>0</v>
      </c>
      <c r="AF7" s="181">
        <v>0</v>
      </c>
    </row>
    <row r="8" spans="1:32">
      <c r="A8" s="13" t="s">
        <v>170</v>
      </c>
      <c r="B8" s="181">
        <v>0</v>
      </c>
      <c r="C8" s="181">
        <v>0</v>
      </c>
      <c r="D8" s="181">
        <v>0</v>
      </c>
      <c r="E8" s="181">
        <v>0</v>
      </c>
      <c r="F8" s="181">
        <v>0</v>
      </c>
      <c r="G8" s="181">
        <v>0</v>
      </c>
      <c r="H8" s="181">
        <v>0</v>
      </c>
      <c r="I8" s="181">
        <v>0</v>
      </c>
      <c r="J8" s="181">
        <v>0</v>
      </c>
      <c r="K8" s="181">
        <v>0</v>
      </c>
      <c r="L8" s="181">
        <v>0</v>
      </c>
      <c r="M8" s="181">
        <v>0</v>
      </c>
      <c r="N8" s="181">
        <v>0</v>
      </c>
      <c r="O8" s="181">
        <v>0</v>
      </c>
      <c r="P8" s="181">
        <v>0</v>
      </c>
      <c r="Q8" s="181">
        <v>0</v>
      </c>
      <c r="R8" s="181">
        <v>0</v>
      </c>
      <c r="S8" s="181">
        <v>0</v>
      </c>
      <c r="T8" s="181">
        <v>0</v>
      </c>
      <c r="U8" s="181">
        <v>0</v>
      </c>
      <c r="V8" s="181">
        <v>0</v>
      </c>
      <c r="W8" s="181">
        <v>0</v>
      </c>
      <c r="X8" s="181">
        <v>0</v>
      </c>
      <c r="Y8" s="181">
        <v>0</v>
      </c>
      <c r="Z8" s="181">
        <v>0</v>
      </c>
      <c r="AA8" s="181">
        <v>0</v>
      </c>
      <c r="AB8" s="181">
        <v>0</v>
      </c>
      <c r="AC8" s="181">
        <v>0</v>
      </c>
      <c r="AD8" s="181">
        <v>0</v>
      </c>
      <c r="AE8" s="181">
        <v>0</v>
      </c>
      <c r="AF8" s="181">
        <v>0</v>
      </c>
    </row>
    <row r="9" spans="1:32">
      <c r="A9" s="13" t="s">
        <v>171</v>
      </c>
      <c r="B9" s="181">
        <f t="shared" ref="B9:AF9" si="1">B6</f>
        <v>5.8433793709365679E-7</v>
      </c>
      <c r="C9" s="181">
        <f t="shared" si="1"/>
        <v>1.0166226673695307E-6</v>
      </c>
      <c r="D9" s="181">
        <f t="shared" si="1"/>
        <v>1.5078547402424896E-6</v>
      </c>
      <c r="E9" s="181">
        <f t="shared" si="1"/>
        <v>1.2666101812756976E-6</v>
      </c>
      <c r="F9" s="181">
        <f t="shared" si="1"/>
        <v>1.1683748373216428E-6</v>
      </c>
      <c r="G9" s="181">
        <f t="shared" si="1"/>
        <v>1.0701394933675879E-6</v>
      </c>
      <c r="H9" s="181">
        <f t="shared" si="1"/>
        <v>9.71904149413533E-7</v>
      </c>
      <c r="I9" s="181">
        <f t="shared" si="1"/>
        <v>9.9952188149096612E-7</v>
      </c>
      <c r="J9" s="181">
        <f t="shared" si="1"/>
        <v>1.0197138490738853E-6</v>
      </c>
      <c r="K9" s="181">
        <f t="shared" si="1"/>
        <v>1.0347020903215974E-6</v>
      </c>
      <c r="L9" s="181">
        <f t="shared" si="1"/>
        <v>1.0506108195373062E-6</v>
      </c>
      <c r="M9" s="181">
        <f t="shared" si="1"/>
        <v>1.0725942744557909E-6</v>
      </c>
      <c r="N9" s="181">
        <f t="shared" si="1"/>
        <v>1.0898342470230651E-6</v>
      </c>
      <c r="O9" s="181">
        <f t="shared" si="1"/>
        <v>1.1014906682468305E-6</v>
      </c>
      <c r="P9" s="181">
        <f t="shared" si="1"/>
        <v>1.1074323933359509E-6</v>
      </c>
      <c r="Q9" s="181">
        <f t="shared" si="1"/>
        <v>1.1179549070023659E-6</v>
      </c>
      <c r="R9" s="181">
        <f t="shared" si="1"/>
        <v>1.1358382313752293E-6</v>
      </c>
      <c r="S9" s="181">
        <f t="shared" si="1"/>
        <v>1.1489298220114647E-6</v>
      </c>
      <c r="T9" s="181">
        <f t="shared" si="1"/>
        <v>1.1641166362684021E-6</v>
      </c>
      <c r="U9" s="181">
        <f t="shared" si="1"/>
        <v>1.1679167421739156E-6</v>
      </c>
      <c r="V9" s="181">
        <f t="shared" si="1"/>
        <v>1.1901395981969789E-6</v>
      </c>
      <c r="W9" s="181">
        <f t="shared" si="1"/>
        <v>1.2037341167350837E-6</v>
      </c>
      <c r="X9" s="181">
        <f t="shared" si="1"/>
        <v>1.209471082739923E-6</v>
      </c>
      <c r="Y9" s="181">
        <f t="shared" si="1"/>
        <v>1.2304610540047771E-6</v>
      </c>
      <c r="Z9" s="181">
        <f t="shared" si="1"/>
        <v>1.2557274589542817E-6</v>
      </c>
      <c r="AA9" s="181">
        <f t="shared" si="1"/>
        <v>1.2626348303592901E-6</v>
      </c>
      <c r="AB9" s="181">
        <f t="shared" si="1"/>
        <v>1.280949942770905E-6</v>
      </c>
      <c r="AC9" s="181">
        <f t="shared" si="1"/>
        <v>1.280203283511919E-6</v>
      </c>
      <c r="AD9" s="181">
        <f t="shared" si="1"/>
        <v>1.2819743567998044E-6</v>
      </c>
      <c r="AE9" s="181">
        <f t="shared" si="1"/>
        <v>1.2864809124764566E-6</v>
      </c>
      <c r="AF9" s="181">
        <f t="shared" si="1"/>
        <v>1.2824277961012444E-6</v>
      </c>
    </row>
  </sheetData>
  <pageMargins left="0.7" right="0.7" top="0.75" bottom="0.75" header="0.3" footer="0.3"/>
  <pageSetup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002060"/>
  </sheetPr>
  <dimension ref="A1:AF9"/>
  <sheetViews>
    <sheetView topLeftCell="R1" workbookViewId="0">
      <selection activeCell="AB8" sqref="AB8"/>
    </sheetView>
  </sheetViews>
  <sheetFormatPr defaultColWidth="9.1796875" defaultRowHeight="14.5"/>
  <cols>
    <col min="1" max="1" width="41.453125" style="14" customWidth="1"/>
    <col min="2" max="32" width="10" style="14" customWidth="1"/>
    <col min="33" max="34" width="9.1796875" style="14" customWidth="1"/>
    <col min="35" max="16384" width="9.1796875" style="14"/>
  </cols>
  <sheetData>
    <row r="1" spans="1:32">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row>
    <row r="2" spans="1:32">
      <c r="A2" s="13" t="s">
        <v>164</v>
      </c>
      <c r="B2" s="26">
        <f>'Heavy+crude oil+'!B43</f>
        <v>7.7070973131666149E-7</v>
      </c>
      <c r="C2" s="26">
        <f>'Heavy+crude oil+'!C43</f>
        <v>1.0562513694766047E-6</v>
      </c>
      <c r="D2" s="26">
        <f>'Heavy+crude oil+'!D43</f>
        <v>1.0663590380840379E-6</v>
      </c>
      <c r="E2" s="26">
        <f>'Heavy+crude oil+'!E43</f>
        <v>1.3141446261860285E-6</v>
      </c>
      <c r="F2" s="26">
        <f>'Heavy+crude oil+'!F43</f>
        <v>1.4060218157639541E-6</v>
      </c>
      <c r="G2" s="26">
        <f>'Heavy+crude oil+'!G43</f>
        <v>1.4233889957209866E-6</v>
      </c>
      <c r="H2" s="26">
        <f>'Heavy+crude oil+'!H43</f>
        <v>1.441053648167616E-6</v>
      </c>
      <c r="I2" s="26">
        <f>'Heavy+crude oil+'!I43</f>
        <v>1.4766357535649227E-6</v>
      </c>
      <c r="J2" s="26">
        <f>'Heavy+crude oil+'!J43</f>
        <v>1.4949705880190402E-6</v>
      </c>
      <c r="K2" s="26">
        <f>'Heavy+crude oil+'!K43</f>
        <v>1.5053871341418451E-6</v>
      </c>
      <c r="L2" s="26">
        <f>'Heavy+crude oil+'!L43</f>
        <v>1.5177017796415661E-6</v>
      </c>
      <c r="M2" s="26">
        <f>'Heavy+crude oil+'!M43</f>
        <v>1.540952168093871E-6</v>
      </c>
      <c r="N2" s="26">
        <f>'Heavy+crude oil+'!N43</f>
        <v>1.5519863529734248E-6</v>
      </c>
      <c r="O2" s="26">
        <f>'Heavy+crude oil+'!O43</f>
        <v>1.5653118938166574E-6</v>
      </c>
      <c r="P2" s="26">
        <f>'Heavy+crude oil+'!P43</f>
        <v>1.5667487574983606E-6</v>
      </c>
      <c r="Q2" s="26">
        <f>'Heavy+crude oil+'!Q43</f>
        <v>1.5702293900750843E-6</v>
      </c>
      <c r="R2" s="26">
        <f>'Heavy+crude oil+'!R43</f>
        <v>1.5687273073389571E-6</v>
      </c>
      <c r="S2" s="26">
        <f>'Heavy+crude oil+'!S43</f>
        <v>1.5722052820858767E-6</v>
      </c>
      <c r="T2" s="26">
        <f>'Heavy+crude oil+'!T43</f>
        <v>1.5914981619600969E-6</v>
      </c>
      <c r="U2" s="26">
        <f>'Heavy+crude oil+'!U43</f>
        <v>1.5862273787861907E-6</v>
      </c>
      <c r="V2" s="26">
        <f>'Heavy+crude oil+'!V43</f>
        <v>1.6196258725511012E-6</v>
      </c>
      <c r="W2" s="26">
        <f>'Heavy+crude oil+'!W43</f>
        <v>1.6330144857400639E-6</v>
      </c>
      <c r="X2" s="26">
        <f>'Heavy+crude oil+'!X43</f>
        <v>1.6417043625083081E-6</v>
      </c>
      <c r="Y2" s="26">
        <f>'Heavy+crude oil+'!Y43</f>
        <v>1.6729851792648109E-6</v>
      </c>
      <c r="Z2" s="26">
        <f>'Heavy+crude oil+'!Z43</f>
        <v>1.6951458574974937E-6</v>
      </c>
      <c r="AA2" s="26">
        <f>'Heavy+crude oil+'!AA43</f>
        <v>1.7048729012346207E-6</v>
      </c>
      <c r="AB2" s="26">
        <f>'Heavy+crude oil+'!AB43</f>
        <v>1.7201272087217333E-6</v>
      </c>
      <c r="AC2" s="26">
        <f>'Heavy+crude oil+'!AC43</f>
        <v>1.7256896376045145E-6</v>
      </c>
      <c r="AD2" s="26">
        <f>'Heavy+crude oil+'!AD43</f>
        <v>1.7227505889624587E-6</v>
      </c>
      <c r="AE2" s="26">
        <f>'Heavy+crude oil+'!AE43</f>
        <v>1.7261739759741741E-6</v>
      </c>
      <c r="AF2" s="26">
        <f>'Heavy+crude oil+'!AF43</f>
        <v>1.7222606282605214E-6</v>
      </c>
    </row>
    <row r="3" spans="1:32">
      <c r="A3" s="13" t="s">
        <v>165</v>
      </c>
      <c r="B3" s="26">
        <f>B6</f>
        <v>8.5948192441278785E-6</v>
      </c>
      <c r="C3" s="34">
        <f t="shared" ref="C3:AF3" si="0">C6</f>
        <v>8.5948192441278785E-6</v>
      </c>
      <c r="D3" s="34">
        <f t="shared" si="0"/>
        <v>1.005093875995508E-5</v>
      </c>
      <c r="E3" s="34">
        <f t="shared" si="0"/>
        <v>1.0471934913888496E-5</v>
      </c>
      <c r="F3" s="34">
        <f t="shared" si="0"/>
        <v>1.2344872690655081E-5</v>
      </c>
      <c r="G3" s="34">
        <f t="shared" si="0"/>
        <v>1.323557592930165E-5</v>
      </c>
      <c r="H3" s="34">
        <f t="shared" si="0"/>
        <v>1.4231252067368219E-5</v>
      </c>
      <c r="I3" s="34">
        <f t="shared" si="0"/>
        <v>1.5424149758993936E-5</v>
      </c>
      <c r="J3" s="34">
        <f t="shared" si="0"/>
        <v>1.569967585434028E-5</v>
      </c>
      <c r="K3" s="34">
        <f t="shared" si="0"/>
        <v>1.5845009967542316E-5</v>
      </c>
      <c r="L3" s="34">
        <f t="shared" si="0"/>
        <v>1.6051598400890823E-5</v>
      </c>
      <c r="M3" s="34">
        <f t="shared" si="0"/>
        <v>1.6296162934792673E-5</v>
      </c>
      <c r="N3" s="34">
        <f t="shared" si="0"/>
        <v>1.6483853745821568E-5</v>
      </c>
      <c r="O3" s="34">
        <f t="shared" si="0"/>
        <v>1.6647246746869415E-5</v>
      </c>
      <c r="P3" s="34">
        <f t="shared" si="0"/>
        <v>1.6676518701385474E-5</v>
      </c>
      <c r="Q3" s="34">
        <f t="shared" si="0"/>
        <v>1.6720053997148755E-5</v>
      </c>
      <c r="R3" s="34">
        <f t="shared" si="0"/>
        <v>1.6670145047663294E-5</v>
      </c>
      <c r="S3" s="34">
        <f t="shared" si="0"/>
        <v>1.6629957407006803E-5</v>
      </c>
      <c r="T3" s="34">
        <f t="shared" si="0"/>
        <v>1.6918006257152528E-5</v>
      </c>
      <c r="U3" s="34">
        <f t="shared" si="0"/>
        <v>1.6762166721561361E-5</v>
      </c>
      <c r="V3" s="34">
        <f t="shared" si="0"/>
        <v>1.7385739706186356E-5</v>
      </c>
      <c r="W3" s="34">
        <f t="shared" si="0"/>
        <v>1.7603435605772062E-5</v>
      </c>
      <c r="X3" s="34">
        <f t="shared" si="0"/>
        <v>1.7777982197384205E-5</v>
      </c>
      <c r="Y3" s="34">
        <f t="shared" si="0"/>
        <v>1.8227114190830077E-5</v>
      </c>
      <c r="Z3" s="34">
        <f t="shared" si="0"/>
        <v>1.8533146673340649E-5</v>
      </c>
      <c r="AA3" s="34">
        <f t="shared" si="0"/>
        <v>1.8638443656848177E-5</v>
      </c>
      <c r="AB3" s="34">
        <f t="shared" si="0"/>
        <v>1.8847019077654933E-5</v>
      </c>
      <c r="AC3" s="34">
        <f t="shared" si="0"/>
        <v>1.8940358936268733E-5</v>
      </c>
      <c r="AD3" s="34">
        <f t="shared" si="0"/>
        <v>1.8901383879894927E-5</v>
      </c>
      <c r="AE3" s="34">
        <f t="shared" si="0"/>
        <v>1.8937003998373476E-5</v>
      </c>
      <c r="AF3" s="34">
        <f t="shared" si="0"/>
        <v>1.8878756256073069E-5</v>
      </c>
    </row>
    <row r="4" spans="1:32">
      <c r="A4" s="13" t="s">
        <v>166</v>
      </c>
      <c r="B4" s="26">
        <f>B6</f>
        <v>8.5948192441278785E-6</v>
      </c>
      <c r="C4" s="34">
        <f t="shared" ref="C4:AF4" si="1">C6</f>
        <v>8.5948192441278785E-6</v>
      </c>
      <c r="D4" s="34">
        <f t="shared" si="1"/>
        <v>1.005093875995508E-5</v>
      </c>
      <c r="E4" s="34">
        <f t="shared" si="1"/>
        <v>1.0471934913888496E-5</v>
      </c>
      <c r="F4" s="34">
        <f t="shared" si="1"/>
        <v>1.2344872690655081E-5</v>
      </c>
      <c r="G4" s="34">
        <f t="shared" si="1"/>
        <v>1.323557592930165E-5</v>
      </c>
      <c r="H4" s="34">
        <f t="shared" si="1"/>
        <v>1.4231252067368219E-5</v>
      </c>
      <c r="I4" s="34">
        <f t="shared" si="1"/>
        <v>1.5424149758993936E-5</v>
      </c>
      <c r="J4" s="34">
        <f t="shared" si="1"/>
        <v>1.569967585434028E-5</v>
      </c>
      <c r="K4" s="34">
        <f t="shared" si="1"/>
        <v>1.5845009967542316E-5</v>
      </c>
      <c r="L4" s="34">
        <f t="shared" si="1"/>
        <v>1.6051598400890823E-5</v>
      </c>
      <c r="M4" s="34">
        <f t="shared" si="1"/>
        <v>1.6296162934792673E-5</v>
      </c>
      <c r="N4" s="34">
        <f t="shared" si="1"/>
        <v>1.6483853745821568E-5</v>
      </c>
      <c r="O4" s="34">
        <f t="shared" si="1"/>
        <v>1.6647246746869415E-5</v>
      </c>
      <c r="P4" s="34">
        <f t="shared" si="1"/>
        <v>1.6676518701385474E-5</v>
      </c>
      <c r="Q4" s="34">
        <f t="shared" si="1"/>
        <v>1.6720053997148755E-5</v>
      </c>
      <c r="R4" s="34">
        <f t="shared" si="1"/>
        <v>1.6670145047663294E-5</v>
      </c>
      <c r="S4" s="34">
        <f t="shared" si="1"/>
        <v>1.6629957407006803E-5</v>
      </c>
      <c r="T4" s="34">
        <f t="shared" si="1"/>
        <v>1.6918006257152528E-5</v>
      </c>
      <c r="U4" s="34">
        <f t="shared" si="1"/>
        <v>1.6762166721561361E-5</v>
      </c>
      <c r="V4" s="34">
        <f t="shared" si="1"/>
        <v>1.7385739706186356E-5</v>
      </c>
      <c r="W4" s="34">
        <f t="shared" si="1"/>
        <v>1.7603435605772062E-5</v>
      </c>
      <c r="X4" s="34">
        <f t="shared" si="1"/>
        <v>1.7777982197384205E-5</v>
      </c>
      <c r="Y4" s="34">
        <f t="shared" si="1"/>
        <v>1.8227114190830077E-5</v>
      </c>
      <c r="Z4" s="34">
        <f t="shared" si="1"/>
        <v>1.8533146673340649E-5</v>
      </c>
      <c r="AA4" s="34">
        <f t="shared" si="1"/>
        <v>1.8638443656848177E-5</v>
      </c>
      <c r="AB4" s="34">
        <f t="shared" si="1"/>
        <v>1.8847019077654933E-5</v>
      </c>
      <c r="AC4" s="34">
        <f t="shared" si="1"/>
        <v>1.8940358936268733E-5</v>
      </c>
      <c r="AD4" s="34">
        <f t="shared" si="1"/>
        <v>1.8901383879894927E-5</v>
      </c>
      <c r="AE4" s="34">
        <f t="shared" si="1"/>
        <v>1.8937003998373476E-5</v>
      </c>
      <c r="AF4" s="34">
        <f t="shared" si="1"/>
        <v>1.8878756256073069E-5</v>
      </c>
    </row>
    <row r="5" spans="1:32">
      <c r="A5" s="13" t="s">
        <v>167</v>
      </c>
      <c r="B5" s="26">
        <f>B6</f>
        <v>8.5948192441278785E-6</v>
      </c>
      <c r="C5" s="34">
        <f t="shared" ref="C5:AF5" si="2">C6</f>
        <v>8.5948192441278785E-6</v>
      </c>
      <c r="D5" s="34">
        <f t="shared" si="2"/>
        <v>1.005093875995508E-5</v>
      </c>
      <c r="E5" s="34">
        <f t="shared" si="2"/>
        <v>1.0471934913888496E-5</v>
      </c>
      <c r="F5" s="34">
        <f t="shared" si="2"/>
        <v>1.2344872690655081E-5</v>
      </c>
      <c r="G5" s="34">
        <f t="shared" si="2"/>
        <v>1.323557592930165E-5</v>
      </c>
      <c r="H5" s="34">
        <f t="shared" si="2"/>
        <v>1.4231252067368219E-5</v>
      </c>
      <c r="I5" s="34">
        <f t="shared" si="2"/>
        <v>1.5424149758993936E-5</v>
      </c>
      <c r="J5" s="34">
        <f t="shared" si="2"/>
        <v>1.569967585434028E-5</v>
      </c>
      <c r="K5" s="34">
        <f t="shared" si="2"/>
        <v>1.5845009967542316E-5</v>
      </c>
      <c r="L5" s="34">
        <f t="shared" si="2"/>
        <v>1.6051598400890823E-5</v>
      </c>
      <c r="M5" s="34">
        <f t="shared" si="2"/>
        <v>1.6296162934792673E-5</v>
      </c>
      <c r="N5" s="34">
        <f t="shared" si="2"/>
        <v>1.6483853745821568E-5</v>
      </c>
      <c r="O5" s="34">
        <f t="shared" si="2"/>
        <v>1.6647246746869415E-5</v>
      </c>
      <c r="P5" s="34">
        <f t="shared" si="2"/>
        <v>1.6676518701385474E-5</v>
      </c>
      <c r="Q5" s="34">
        <f t="shared" si="2"/>
        <v>1.6720053997148755E-5</v>
      </c>
      <c r="R5" s="34">
        <f t="shared" si="2"/>
        <v>1.6670145047663294E-5</v>
      </c>
      <c r="S5" s="34">
        <f t="shared" si="2"/>
        <v>1.6629957407006803E-5</v>
      </c>
      <c r="T5" s="34">
        <f t="shared" si="2"/>
        <v>1.6918006257152528E-5</v>
      </c>
      <c r="U5" s="34">
        <f t="shared" si="2"/>
        <v>1.6762166721561361E-5</v>
      </c>
      <c r="V5" s="34">
        <f t="shared" si="2"/>
        <v>1.7385739706186356E-5</v>
      </c>
      <c r="W5" s="34">
        <f t="shared" si="2"/>
        <v>1.7603435605772062E-5</v>
      </c>
      <c r="X5" s="34">
        <f t="shared" si="2"/>
        <v>1.7777982197384205E-5</v>
      </c>
      <c r="Y5" s="34">
        <f t="shared" si="2"/>
        <v>1.8227114190830077E-5</v>
      </c>
      <c r="Z5" s="34">
        <f t="shared" si="2"/>
        <v>1.8533146673340649E-5</v>
      </c>
      <c r="AA5" s="34">
        <f t="shared" si="2"/>
        <v>1.8638443656848177E-5</v>
      </c>
      <c r="AB5" s="34">
        <f t="shared" si="2"/>
        <v>1.8847019077654933E-5</v>
      </c>
      <c r="AC5" s="34">
        <f t="shared" si="2"/>
        <v>1.8940358936268733E-5</v>
      </c>
      <c r="AD5" s="34">
        <f t="shared" si="2"/>
        <v>1.8901383879894927E-5</v>
      </c>
      <c r="AE5" s="34">
        <f t="shared" si="2"/>
        <v>1.8937003998373476E-5</v>
      </c>
      <c r="AF5" s="34">
        <f t="shared" si="2"/>
        <v>1.8878756256073069E-5</v>
      </c>
    </row>
    <row r="6" spans="1:32">
      <c r="A6" s="13" t="s">
        <v>168</v>
      </c>
      <c r="B6" s="26">
        <f>'Heavy+crude oil+'!B47</f>
        <v>8.5948192441278785E-6</v>
      </c>
      <c r="C6" s="34">
        <f>'Heavy+crude oil+'!C47</f>
        <v>8.5948192441278785E-6</v>
      </c>
      <c r="D6" s="34">
        <f>'Heavy+crude oil+'!D47</f>
        <v>1.005093875995508E-5</v>
      </c>
      <c r="E6" s="34">
        <f>'Heavy+crude oil+'!E47</f>
        <v>1.0471934913888496E-5</v>
      </c>
      <c r="F6" s="34">
        <f>'Heavy+crude oil+'!F47</f>
        <v>1.2344872690655081E-5</v>
      </c>
      <c r="G6" s="34">
        <f>'Heavy+crude oil+'!G47</f>
        <v>1.323557592930165E-5</v>
      </c>
      <c r="H6" s="34">
        <f>'Heavy+crude oil+'!H47</f>
        <v>1.4231252067368219E-5</v>
      </c>
      <c r="I6" s="34">
        <f>'Heavy+crude oil+'!I47</f>
        <v>1.5424149758993936E-5</v>
      </c>
      <c r="J6" s="34">
        <f>'Heavy+crude oil+'!J47</f>
        <v>1.569967585434028E-5</v>
      </c>
      <c r="K6" s="34">
        <f>'Heavy+crude oil+'!K47</f>
        <v>1.5845009967542316E-5</v>
      </c>
      <c r="L6" s="34">
        <f>'Heavy+crude oil+'!L47</f>
        <v>1.6051598400890823E-5</v>
      </c>
      <c r="M6" s="34">
        <f>'Heavy+crude oil+'!M47</f>
        <v>1.6296162934792673E-5</v>
      </c>
      <c r="N6" s="34">
        <f>'Heavy+crude oil+'!N47</f>
        <v>1.6483853745821568E-5</v>
      </c>
      <c r="O6" s="34">
        <f>'Heavy+crude oil+'!O47</f>
        <v>1.6647246746869415E-5</v>
      </c>
      <c r="P6" s="34">
        <f>'Heavy+crude oil+'!P47</f>
        <v>1.6676518701385474E-5</v>
      </c>
      <c r="Q6" s="34">
        <f>'Heavy+crude oil+'!Q47</f>
        <v>1.6720053997148755E-5</v>
      </c>
      <c r="R6" s="34">
        <f>'Heavy+crude oil+'!R47</f>
        <v>1.6670145047663294E-5</v>
      </c>
      <c r="S6" s="34">
        <f>'Heavy+crude oil+'!S47</f>
        <v>1.6629957407006803E-5</v>
      </c>
      <c r="T6" s="34">
        <f>'Heavy+crude oil+'!T47</f>
        <v>1.6918006257152528E-5</v>
      </c>
      <c r="U6" s="34">
        <f>'Heavy+crude oil+'!U47</f>
        <v>1.6762166721561361E-5</v>
      </c>
      <c r="V6" s="34">
        <f>'Heavy+crude oil+'!V47</f>
        <v>1.7385739706186356E-5</v>
      </c>
      <c r="W6" s="34">
        <f>'Heavy+crude oil+'!W47</f>
        <v>1.7603435605772062E-5</v>
      </c>
      <c r="X6" s="34">
        <f>'Heavy+crude oil+'!X47</f>
        <v>1.7777982197384205E-5</v>
      </c>
      <c r="Y6" s="34">
        <f>'Heavy+crude oil+'!Y47</f>
        <v>1.8227114190830077E-5</v>
      </c>
      <c r="Z6" s="34">
        <f>'Heavy+crude oil+'!Z47</f>
        <v>1.8533146673340649E-5</v>
      </c>
      <c r="AA6" s="34">
        <f>'Heavy+crude oil+'!AA47</f>
        <v>1.8638443656848177E-5</v>
      </c>
      <c r="AB6" s="34">
        <f>'Heavy+crude oil+'!AB47</f>
        <v>1.8847019077654933E-5</v>
      </c>
      <c r="AC6" s="34">
        <f>'Heavy+crude oil+'!AC47</f>
        <v>1.8940358936268733E-5</v>
      </c>
      <c r="AD6" s="34">
        <f>'Heavy+crude oil+'!AD47</f>
        <v>1.8901383879894927E-5</v>
      </c>
      <c r="AE6" s="34">
        <f>'Heavy+crude oil+'!AE47</f>
        <v>1.8937003998373476E-5</v>
      </c>
      <c r="AF6" s="34">
        <f>'Heavy+crude oil+'!AF47</f>
        <v>1.8878756256073069E-5</v>
      </c>
    </row>
    <row r="7" spans="1:32">
      <c r="A7" s="13" t="s">
        <v>169</v>
      </c>
      <c r="B7" s="26">
        <f>B6</f>
        <v>8.5948192441278785E-6</v>
      </c>
      <c r="C7" s="34">
        <f t="shared" ref="C7:AF7" si="3">C6</f>
        <v>8.5948192441278785E-6</v>
      </c>
      <c r="D7" s="34">
        <f t="shared" si="3"/>
        <v>1.005093875995508E-5</v>
      </c>
      <c r="E7" s="34">
        <f t="shared" si="3"/>
        <v>1.0471934913888496E-5</v>
      </c>
      <c r="F7" s="34">
        <f t="shared" si="3"/>
        <v>1.2344872690655081E-5</v>
      </c>
      <c r="G7" s="34">
        <f t="shared" si="3"/>
        <v>1.323557592930165E-5</v>
      </c>
      <c r="H7" s="34">
        <f t="shared" si="3"/>
        <v>1.4231252067368219E-5</v>
      </c>
      <c r="I7" s="34">
        <f t="shared" si="3"/>
        <v>1.5424149758993936E-5</v>
      </c>
      <c r="J7" s="34">
        <f t="shared" si="3"/>
        <v>1.569967585434028E-5</v>
      </c>
      <c r="K7" s="34">
        <f t="shared" si="3"/>
        <v>1.5845009967542316E-5</v>
      </c>
      <c r="L7" s="34">
        <f t="shared" si="3"/>
        <v>1.6051598400890823E-5</v>
      </c>
      <c r="M7" s="34">
        <f t="shared" si="3"/>
        <v>1.6296162934792673E-5</v>
      </c>
      <c r="N7" s="34">
        <f t="shared" si="3"/>
        <v>1.6483853745821568E-5</v>
      </c>
      <c r="O7" s="34">
        <f t="shared" si="3"/>
        <v>1.6647246746869415E-5</v>
      </c>
      <c r="P7" s="34">
        <f t="shared" si="3"/>
        <v>1.6676518701385474E-5</v>
      </c>
      <c r="Q7" s="34">
        <f t="shared" si="3"/>
        <v>1.6720053997148755E-5</v>
      </c>
      <c r="R7" s="34">
        <f t="shared" si="3"/>
        <v>1.6670145047663294E-5</v>
      </c>
      <c r="S7" s="34">
        <f t="shared" si="3"/>
        <v>1.6629957407006803E-5</v>
      </c>
      <c r="T7" s="34">
        <f t="shared" si="3"/>
        <v>1.6918006257152528E-5</v>
      </c>
      <c r="U7" s="34">
        <f t="shared" si="3"/>
        <v>1.6762166721561361E-5</v>
      </c>
      <c r="V7" s="34">
        <f t="shared" si="3"/>
        <v>1.7385739706186356E-5</v>
      </c>
      <c r="W7" s="34">
        <f t="shared" si="3"/>
        <v>1.7603435605772062E-5</v>
      </c>
      <c r="X7" s="34">
        <f t="shared" si="3"/>
        <v>1.7777982197384205E-5</v>
      </c>
      <c r="Y7" s="34">
        <f t="shared" si="3"/>
        <v>1.8227114190830077E-5</v>
      </c>
      <c r="Z7" s="34">
        <f t="shared" si="3"/>
        <v>1.8533146673340649E-5</v>
      </c>
      <c r="AA7" s="34">
        <f t="shared" si="3"/>
        <v>1.8638443656848177E-5</v>
      </c>
      <c r="AB7" s="34">
        <f t="shared" si="3"/>
        <v>1.8847019077654933E-5</v>
      </c>
      <c r="AC7" s="34">
        <f t="shared" si="3"/>
        <v>1.8940358936268733E-5</v>
      </c>
      <c r="AD7" s="34">
        <f t="shared" si="3"/>
        <v>1.8901383879894927E-5</v>
      </c>
      <c r="AE7" s="34">
        <f t="shared" si="3"/>
        <v>1.8937003998373476E-5</v>
      </c>
      <c r="AF7" s="34">
        <f t="shared" si="3"/>
        <v>1.8878756256073069E-5</v>
      </c>
    </row>
    <row r="8" spans="1:32">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2">
      <c r="A9" s="13" t="s">
        <v>171</v>
      </c>
      <c r="B9" s="21">
        <f t="shared" ref="B9:AF9" si="4">B6</f>
        <v>8.5948192441278785E-6</v>
      </c>
      <c r="C9" s="21">
        <f t="shared" si="4"/>
        <v>8.5948192441278785E-6</v>
      </c>
      <c r="D9" s="21">
        <f t="shared" si="4"/>
        <v>1.005093875995508E-5</v>
      </c>
      <c r="E9" s="21">
        <f t="shared" si="4"/>
        <v>1.0471934913888496E-5</v>
      </c>
      <c r="F9" s="21">
        <f t="shared" si="4"/>
        <v>1.2344872690655081E-5</v>
      </c>
      <c r="G9" s="21">
        <f t="shared" si="4"/>
        <v>1.323557592930165E-5</v>
      </c>
      <c r="H9" s="21">
        <f t="shared" si="4"/>
        <v>1.4231252067368219E-5</v>
      </c>
      <c r="I9" s="21">
        <f t="shared" si="4"/>
        <v>1.5424149758993936E-5</v>
      </c>
      <c r="J9" s="21">
        <f t="shared" si="4"/>
        <v>1.569967585434028E-5</v>
      </c>
      <c r="K9" s="21">
        <f t="shared" si="4"/>
        <v>1.5845009967542316E-5</v>
      </c>
      <c r="L9" s="21">
        <f t="shared" si="4"/>
        <v>1.6051598400890823E-5</v>
      </c>
      <c r="M9" s="21">
        <f t="shared" si="4"/>
        <v>1.6296162934792673E-5</v>
      </c>
      <c r="N9" s="21">
        <f t="shared" si="4"/>
        <v>1.6483853745821568E-5</v>
      </c>
      <c r="O9" s="21">
        <f t="shared" si="4"/>
        <v>1.6647246746869415E-5</v>
      </c>
      <c r="P9" s="21">
        <f t="shared" si="4"/>
        <v>1.6676518701385474E-5</v>
      </c>
      <c r="Q9" s="21">
        <f t="shared" si="4"/>
        <v>1.6720053997148755E-5</v>
      </c>
      <c r="R9" s="21">
        <f t="shared" si="4"/>
        <v>1.6670145047663294E-5</v>
      </c>
      <c r="S9" s="21">
        <f t="shared" si="4"/>
        <v>1.6629957407006803E-5</v>
      </c>
      <c r="T9" s="21">
        <f t="shared" si="4"/>
        <v>1.6918006257152528E-5</v>
      </c>
      <c r="U9" s="21">
        <f t="shared" si="4"/>
        <v>1.6762166721561361E-5</v>
      </c>
      <c r="V9" s="21">
        <f t="shared" si="4"/>
        <v>1.7385739706186356E-5</v>
      </c>
      <c r="W9" s="21">
        <f t="shared" si="4"/>
        <v>1.7603435605772062E-5</v>
      </c>
      <c r="X9" s="21">
        <f t="shared" si="4"/>
        <v>1.7777982197384205E-5</v>
      </c>
      <c r="Y9" s="21">
        <f t="shared" si="4"/>
        <v>1.8227114190830077E-5</v>
      </c>
      <c r="Z9" s="21">
        <f t="shared" si="4"/>
        <v>1.8533146673340649E-5</v>
      </c>
      <c r="AA9" s="21">
        <f t="shared" si="4"/>
        <v>1.8638443656848177E-5</v>
      </c>
      <c r="AB9" s="21">
        <f t="shared" si="4"/>
        <v>1.8847019077654933E-5</v>
      </c>
      <c r="AC9" s="21">
        <f t="shared" si="4"/>
        <v>1.8940358936268733E-5</v>
      </c>
      <c r="AD9" s="21">
        <f t="shared" si="4"/>
        <v>1.8901383879894927E-5</v>
      </c>
      <c r="AE9" s="21">
        <f t="shared" si="4"/>
        <v>1.8937003998373476E-5</v>
      </c>
      <c r="AF9" s="21">
        <f t="shared" si="4"/>
        <v>1.8878756256073069E-5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29186-DD97-4A08-8966-E7B1A8106739}">
  <sheetPr>
    <tabColor theme="0" tint="-0.14999847407452621"/>
  </sheetPr>
  <dimension ref="A1:U66"/>
  <sheetViews>
    <sheetView topLeftCell="A15" workbookViewId="0">
      <selection activeCell="H33" sqref="H33"/>
    </sheetView>
  </sheetViews>
  <sheetFormatPr defaultRowHeight="14.5"/>
  <sheetData>
    <row r="1" spans="1:21">
      <c r="A1" s="32">
        <f>AggregateSEDS!C1</f>
        <v>2019</v>
      </c>
      <c r="B1" s="32">
        <f>AggregateSEDS!D1</f>
        <v>2019</v>
      </c>
      <c r="C1" s="32">
        <f>AggregateSEDS!E1</f>
        <v>2019</v>
      </c>
      <c r="D1" s="32">
        <f>AggregateSEDS!F1</f>
        <v>2019</v>
      </c>
      <c r="E1" s="32">
        <f>AggregateSEDS!G1</f>
        <v>2019</v>
      </c>
      <c r="F1" s="32">
        <v>2019</v>
      </c>
    </row>
    <row r="2" spans="1:21">
      <c r="A2" s="32" t="str">
        <f>AggregateSEDS!C2</f>
        <v>Natural gas</v>
      </c>
      <c r="B2" s="32" t="str">
        <f>AggregateSEDS!D2</f>
        <v>Diesel / Distallate Fuel Oil</v>
      </c>
      <c r="C2" s="32" t="str">
        <f>AggregateSEDS!E2</f>
        <v>HGLs/Propane</v>
      </c>
      <c r="D2" s="32" t="str">
        <f>AggregateSEDS!F2</f>
        <v>Kerosene/Jet fuel</v>
      </c>
      <c r="E2" s="32" t="str">
        <f>AggregateSEDS!G2</f>
        <v>Wood</v>
      </c>
      <c r="F2" s="32" t="s">
        <v>645</v>
      </c>
    </row>
    <row r="3" spans="1:21">
      <c r="A3" s="32">
        <f>C66</f>
        <v>8.64</v>
      </c>
      <c r="B3" s="32">
        <f>F66</f>
        <v>28.61</v>
      </c>
      <c r="C3" s="32">
        <f>G66</f>
        <v>17.489999999999998</v>
      </c>
      <c r="D3" s="32">
        <f>I66</f>
        <v>14.76</v>
      </c>
      <c r="E3" s="99" t="s">
        <v>646</v>
      </c>
      <c r="F3" s="32">
        <f>N66</f>
        <v>14.06</v>
      </c>
    </row>
    <row r="4" spans="1:21">
      <c r="A4" s="32" t="s">
        <v>595</v>
      </c>
    </row>
    <row r="5" spans="1:21" ht="21">
      <c r="A5" s="95" t="s">
        <v>624</v>
      </c>
    </row>
    <row r="6" spans="1:21" ht="15" thickBot="1">
      <c r="A6" s="94"/>
    </row>
    <row r="7" spans="1:21">
      <c r="A7" s="212" t="s">
        <v>325</v>
      </c>
      <c r="B7" s="215" t="s">
        <v>596</v>
      </c>
      <c r="C7" s="216"/>
      <c r="D7" s="216"/>
      <c r="E7" s="216"/>
      <c r="F7" s="216"/>
      <c r="G7" s="216"/>
      <c r="H7" s="216"/>
      <c r="I7" s="216"/>
      <c r="J7" s="216"/>
      <c r="K7" s="216"/>
      <c r="L7" s="216"/>
      <c r="M7" s="216"/>
      <c r="N7" s="216"/>
      <c r="O7" s="216"/>
      <c r="P7" s="216"/>
      <c r="Q7" s="216"/>
      <c r="R7" s="217"/>
      <c r="S7" s="85"/>
      <c r="T7" s="224"/>
      <c r="U7" s="225"/>
    </row>
    <row r="8" spans="1:21">
      <c r="A8" s="213"/>
      <c r="B8" s="218"/>
      <c r="C8" s="219"/>
      <c r="D8" s="219"/>
      <c r="E8" s="219"/>
      <c r="F8" s="219"/>
      <c r="G8" s="219"/>
      <c r="H8" s="219"/>
      <c r="I8" s="219"/>
      <c r="J8" s="219"/>
      <c r="K8" s="219"/>
      <c r="L8" s="219"/>
      <c r="M8" s="219"/>
      <c r="N8" s="219"/>
      <c r="O8" s="219"/>
      <c r="P8" s="219"/>
      <c r="Q8" s="219"/>
      <c r="R8" s="220"/>
      <c r="S8" s="86"/>
      <c r="T8" s="226"/>
      <c r="U8" s="227"/>
    </row>
    <row r="9" spans="1:21">
      <c r="A9" s="213"/>
      <c r="B9" s="218"/>
      <c r="C9" s="219"/>
      <c r="D9" s="219"/>
      <c r="E9" s="219"/>
      <c r="F9" s="219"/>
      <c r="G9" s="219"/>
      <c r="H9" s="219"/>
      <c r="I9" s="219"/>
      <c r="J9" s="219"/>
      <c r="K9" s="219"/>
      <c r="L9" s="219"/>
      <c r="M9" s="219"/>
      <c r="N9" s="219"/>
      <c r="O9" s="219"/>
      <c r="P9" s="219"/>
      <c r="Q9" s="219"/>
      <c r="R9" s="220"/>
      <c r="S9" s="86"/>
      <c r="T9" s="226"/>
      <c r="U9" s="227"/>
    </row>
    <row r="10" spans="1:21" ht="15" thickBot="1">
      <c r="A10" s="213"/>
      <c r="B10" s="221"/>
      <c r="C10" s="222"/>
      <c r="D10" s="222"/>
      <c r="E10" s="222"/>
      <c r="F10" s="222"/>
      <c r="G10" s="222"/>
      <c r="H10" s="222"/>
      <c r="I10" s="222"/>
      <c r="J10" s="222"/>
      <c r="K10" s="222"/>
      <c r="L10" s="222"/>
      <c r="M10" s="222"/>
      <c r="N10" s="222"/>
      <c r="O10" s="222"/>
      <c r="P10" s="222"/>
      <c r="Q10" s="222"/>
      <c r="R10" s="223"/>
      <c r="S10" s="87" t="s">
        <v>130</v>
      </c>
      <c r="T10" s="226"/>
      <c r="U10" s="227"/>
    </row>
    <row r="11" spans="1:21">
      <c r="A11" s="213"/>
      <c r="B11" s="212" t="s">
        <v>96</v>
      </c>
      <c r="C11" s="224"/>
      <c r="D11" s="225"/>
      <c r="E11" s="215" t="s">
        <v>98</v>
      </c>
      <c r="F11" s="216"/>
      <c r="G11" s="216"/>
      <c r="H11" s="216"/>
      <c r="I11" s="216"/>
      <c r="J11" s="216"/>
      <c r="K11" s="216"/>
      <c r="L11" s="216"/>
      <c r="M11" s="216"/>
      <c r="N11" s="216"/>
      <c r="O11" s="216"/>
      <c r="P11" s="217"/>
      <c r="Q11" s="215" t="s">
        <v>605</v>
      </c>
      <c r="R11" s="217"/>
      <c r="S11" s="87" t="s">
        <v>597</v>
      </c>
      <c r="T11" s="218" t="s">
        <v>599</v>
      </c>
      <c r="U11" s="220"/>
    </row>
    <row r="12" spans="1:21">
      <c r="A12" s="213"/>
      <c r="B12" s="213"/>
      <c r="C12" s="226"/>
      <c r="D12" s="227"/>
      <c r="E12" s="218"/>
      <c r="F12" s="219"/>
      <c r="G12" s="219"/>
      <c r="H12" s="219"/>
      <c r="I12" s="219"/>
      <c r="J12" s="219"/>
      <c r="K12" s="219"/>
      <c r="L12" s="219"/>
      <c r="M12" s="219"/>
      <c r="N12" s="219"/>
      <c r="O12" s="219"/>
      <c r="P12" s="220"/>
      <c r="Q12" s="218"/>
      <c r="R12" s="220"/>
      <c r="S12" s="87" t="s">
        <v>598</v>
      </c>
      <c r="T12" s="218" t="s">
        <v>600</v>
      </c>
      <c r="U12" s="220"/>
    </row>
    <row r="13" spans="1:21" ht="15" thickBot="1">
      <c r="A13" s="213"/>
      <c r="B13" s="213"/>
      <c r="C13" s="218" t="s">
        <v>602</v>
      </c>
      <c r="D13" s="220"/>
      <c r="E13" s="221"/>
      <c r="F13" s="222"/>
      <c r="G13" s="222"/>
      <c r="H13" s="222"/>
      <c r="I13" s="222"/>
      <c r="J13" s="222"/>
      <c r="K13" s="222"/>
      <c r="L13" s="222"/>
      <c r="M13" s="222"/>
      <c r="N13" s="222"/>
      <c r="O13" s="222"/>
      <c r="P13" s="223"/>
      <c r="Q13" s="218"/>
      <c r="R13" s="220"/>
      <c r="S13" s="87"/>
      <c r="T13" s="218"/>
      <c r="U13" s="220"/>
    </row>
    <row r="14" spans="1:21">
      <c r="A14" s="213"/>
      <c r="B14" s="213"/>
      <c r="C14" s="218" t="s">
        <v>625</v>
      </c>
      <c r="D14" s="220"/>
      <c r="E14" s="84" t="s">
        <v>626</v>
      </c>
      <c r="F14" s="84" t="s">
        <v>606</v>
      </c>
      <c r="G14" s="215" t="s">
        <v>616</v>
      </c>
      <c r="H14" s="217"/>
      <c r="I14" s="215" t="s">
        <v>628</v>
      </c>
      <c r="J14" s="217"/>
      <c r="K14" s="215" t="s">
        <v>630</v>
      </c>
      <c r="L14" s="217"/>
      <c r="M14" s="84" t="s">
        <v>617</v>
      </c>
      <c r="N14" s="84" t="s">
        <v>619</v>
      </c>
      <c r="O14" s="215" t="s">
        <v>599</v>
      </c>
      <c r="P14" s="217"/>
      <c r="Q14" s="218"/>
      <c r="R14" s="220"/>
      <c r="S14" s="87"/>
      <c r="T14" s="218"/>
      <c r="U14" s="220"/>
    </row>
    <row r="15" spans="1:21" ht="15" thickBot="1">
      <c r="A15" s="213"/>
      <c r="B15" s="214"/>
      <c r="C15" s="221"/>
      <c r="D15" s="223"/>
      <c r="E15" s="88" t="s">
        <v>382</v>
      </c>
      <c r="F15" s="88" t="s">
        <v>627</v>
      </c>
      <c r="G15" s="221"/>
      <c r="H15" s="223"/>
      <c r="I15" s="221" t="s">
        <v>629</v>
      </c>
      <c r="J15" s="223"/>
      <c r="K15" s="221"/>
      <c r="L15" s="223"/>
      <c r="M15" s="88" t="s">
        <v>631</v>
      </c>
      <c r="N15" s="88" t="s">
        <v>415</v>
      </c>
      <c r="O15" s="221"/>
      <c r="P15" s="223"/>
      <c r="Q15" s="221"/>
      <c r="R15" s="223"/>
      <c r="S15" s="88"/>
      <c r="T15" s="221"/>
      <c r="U15" s="223"/>
    </row>
    <row r="16" spans="1:21" ht="15" thickBot="1">
      <c r="A16" s="214"/>
      <c r="B16" s="228" t="s">
        <v>610</v>
      </c>
      <c r="C16" s="229"/>
      <c r="D16" s="229"/>
      <c r="E16" s="229"/>
      <c r="F16" s="229"/>
      <c r="G16" s="229"/>
      <c r="H16" s="229"/>
      <c r="I16" s="229"/>
      <c r="J16" s="229"/>
      <c r="K16" s="229"/>
      <c r="L16" s="229"/>
      <c r="M16" s="229"/>
      <c r="N16" s="229"/>
      <c r="O16" s="229"/>
      <c r="P16" s="229"/>
      <c r="Q16" s="229"/>
      <c r="R16" s="229"/>
      <c r="S16" s="229"/>
      <c r="T16" s="229"/>
      <c r="U16" s="230"/>
    </row>
    <row r="17" spans="1:21" ht="15" thickBot="1">
      <c r="A17" s="89">
        <v>1970</v>
      </c>
      <c r="B17" s="90">
        <v>0.63</v>
      </c>
      <c r="C17" s="90" t="s">
        <v>611</v>
      </c>
      <c r="D17" s="90"/>
      <c r="E17" s="90">
        <v>2.17</v>
      </c>
      <c r="F17" s="90">
        <v>1.42</v>
      </c>
      <c r="G17" s="90">
        <v>1.35</v>
      </c>
      <c r="H17" s="90"/>
      <c r="I17" s="90">
        <v>0.73</v>
      </c>
      <c r="J17" s="90"/>
      <c r="K17" s="90">
        <v>5.08</v>
      </c>
      <c r="L17" s="90"/>
      <c r="M17" s="90">
        <v>2.8</v>
      </c>
      <c r="N17" s="90">
        <v>0.36</v>
      </c>
      <c r="O17" s="90">
        <v>2.0699999999999998</v>
      </c>
      <c r="P17" s="90"/>
      <c r="Q17" s="90">
        <v>2.0699999999999998</v>
      </c>
      <c r="R17" s="90"/>
      <c r="S17" s="90">
        <v>2.88</v>
      </c>
      <c r="T17" s="90">
        <v>2.0699999999999998</v>
      </c>
      <c r="U17" s="90"/>
    </row>
    <row r="18" spans="1:21" ht="15" thickBot="1">
      <c r="A18" s="89">
        <v>1971</v>
      </c>
      <c r="B18" s="90">
        <v>0.53</v>
      </c>
      <c r="C18" s="90" t="s">
        <v>611</v>
      </c>
      <c r="D18" s="90"/>
      <c r="E18" s="90">
        <v>2.21</v>
      </c>
      <c r="F18" s="90">
        <v>1.56</v>
      </c>
      <c r="G18" s="90">
        <v>1.44</v>
      </c>
      <c r="H18" s="90"/>
      <c r="I18" s="90">
        <v>0.77</v>
      </c>
      <c r="J18" s="90"/>
      <c r="K18" s="90">
        <v>5.27</v>
      </c>
      <c r="L18" s="90"/>
      <c r="M18" s="90">
        <v>2.84</v>
      </c>
      <c r="N18" s="90">
        <v>0.56000000000000005</v>
      </c>
      <c r="O18" s="90">
        <v>2.13</v>
      </c>
      <c r="P18" s="90"/>
      <c r="Q18" s="90">
        <v>2.13</v>
      </c>
      <c r="R18" s="90"/>
      <c r="S18" s="90">
        <v>2.95</v>
      </c>
      <c r="T18" s="90">
        <v>2.13</v>
      </c>
      <c r="U18" s="90"/>
    </row>
    <row r="19" spans="1:21" ht="15" thickBot="1">
      <c r="A19" s="89">
        <v>1972</v>
      </c>
      <c r="B19" s="90">
        <v>0.61</v>
      </c>
      <c r="C19" s="90" t="s">
        <v>611</v>
      </c>
      <c r="D19" s="90"/>
      <c r="E19" s="90">
        <v>2.19</v>
      </c>
      <c r="F19" s="90">
        <v>1.49</v>
      </c>
      <c r="G19" s="90">
        <v>1.47</v>
      </c>
      <c r="H19" s="90"/>
      <c r="I19" s="90">
        <v>0.76</v>
      </c>
      <c r="J19" s="90"/>
      <c r="K19" s="90">
        <v>5.58</v>
      </c>
      <c r="L19" s="90"/>
      <c r="M19" s="90">
        <v>2.79</v>
      </c>
      <c r="N19" s="90">
        <v>0.7</v>
      </c>
      <c r="O19" s="90">
        <v>2.16</v>
      </c>
      <c r="P19" s="90"/>
      <c r="Q19" s="90">
        <v>2.16</v>
      </c>
      <c r="R19" s="90"/>
      <c r="S19" s="90">
        <v>3.04</v>
      </c>
      <c r="T19" s="90">
        <v>2.16</v>
      </c>
      <c r="U19" s="90"/>
    </row>
    <row r="20" spans="1:21" ht="15" thickBot="1">
      <c r="A20" s="89">
        <v>1973</v>
      </c>
      <c r="B20" s="90">
        <v>0.59</v>
      </c>
      <c r="C20" s="90" t="s">
        <v>611</v>
      </c>
      <c r="D20" s="90"/>
      <c r="E20" s="90">
        <v>2.36</v>
      </c>
      <c r="F20" s="90">
        <v>1.78</v>
      </c>
      <c r="G20" s="90">
        <v>1.59</v>
      </c>
      <c r="H20" s="90"/>
      <c r="I20" s="90">
        <v>0.91</v>
      </c>
      <c r="J20" s="90"/>
      <c r="K20" s="90">
        <v>5.33</v>
      </c>
      <c r="L20" s="90"/>
      <c r="M20" s="90">
        <v>3.08</v>
      </c>
      <c r="N20" s="90">
        <v>0.82</v>
      </c>
      <c r="O20" s="90">
        <v>2.42</v>
      </c>
      <c r="P20" s="90"/>
      <c r="Q20" s="90">
        <v>2.42</v>
      </c>
      <c r="R20" s="90"/>
      <c r="S20" s="90">
        <v>3.2</v>
      </c>
      <c r="T20" s="90">
        <v>2.42</v>
      </c>
      <c r="U20" s="90"/>
    </row>
    <row r="21" spans="1:21" ht="15" thickBot="1">
      <c r="A21" s="89">
        <v>1974</v>
      </c>
      <c r="B21" s="90">
        <v>1.02</v>
      </c>
      <c r="C21" s="90" t="s">
        <v>611</v>
      </c>
      <c r="D21" s="90"/>
      <c r="E21" s="90">
        <v>3.23</v>
      </c>
      <c r="F21" s="90">
        <v>2.93</v>
      </c>
      <c r="G21" s="90">
        <v>2.42</v>
      </c>
      <c r="H21" s="90"/>
      <c r="I21" s="90">
        <v>1.57</v>
      </c>
      <c r="J21" s="90"/>
      <c r="K21" s="90">
        <v>7.22</v>
      </c>
      <c r="L21" s="90"/>
      <c r="M21" s="90">
        <v>4.47</v>
      </c>
      <c r="N21" s="90">
        <v>1.75</v>
      </c>
      <c r="O21" s="90">
        <v>3.65</v>
      </c>
      <c r="P21" s="90"/>
      <c r="Q21" s="90">
        <v>3.65</v>
      </c>
      <c r="R21" s="90"/>
      <c r="S21" s="90">
        <v>3.92</v>
      </c>
      <c r="T21" s="90">
        <v>3.65</v>
      </c>
      <c r="U21" s="90"/>
    </row>
    <row r="22" spans="1:21" ht="15" thickBot="1">
      <c r="A22" s="89">
        <v>1975</v>
      </c>
      <c r="B22" s="90">
        <v>0.92</v>
      </c>
      <c r="C22" s="90" t="s">
        <v>611</v>
      </c>
      <c r="D22" s="90"/>
      <c r="E22" s="90">
        <v>3.45</v>
      </c>
      <c r="F22" s="90">
        <v>3.22</v>
      </c>
      <c r="G22" s="90">
        <v>2.68</v>
      </c>
      <c r="H22" s="90"/>
      <c r="I22" s="90">
        <v>2.04</v>
      </c>
      <c r="J22" s="90"/>
      <c r="K22" s="90">
        <v>7.48</v>
      </c>
      <c r="L22" s="90"/>
      <c r="M22" s="90">
        <v>4.84</v>
      </c>
      <c r="N22" s="90">
        <v>2.12</v>
      </c>
      <c r="O22" s="90">
        <v>4.0199999999999996</v>
      </c>
      <c r="P22" s="90"/>
      <c r="Q22" s="90">
        <v>4.0199999999999996</v>
      </c>
      <c r="R22" s="90"/>
      <c r="S22" s="90">
        <v>4.34</v>
      </c>
      <c r="T22" s="90">
        <v>4.0199999999999996</v>
      </c>
      <c r="U22" s="90"/>
    </row>
    <row r="23" spans="1:21" ht="15" thickBot="1">
      <c r="A23" s="89">
        <v>1976</v>
      </c>
      <c r="B23" s="90">
        <v>1.1599999999999999</v>
      </c>
      <c r="C23" s="90" t="s">
        <v>611</v>
      </c>
      <c r="D23" s="90"/>
      <c r="E23" s="90">
        <v>3.59</v>
      </c>
      <c r="F23" s="90">
        <v>3.32</v>
      </c>
      <c r="G23" s="90">
        <v>2.91</v>
      </c>
      <c r="H23" s="90"/>
      <c r="I23" s="90">
        <v>2.3199999999999998</v>
      </c>
      <c r="J23" s="90"/>
      <c r="K23" s="90">
        <v>7.05</v>
      </c>
      <c r="L23" s="90"/>
      <c r="M23" s="90">
        <v>5.04</v>
      </c>
      <c r="N23" s="90">
        <v>2.0499999999999998</v>
      </c>
      <c r="O23" s="90">
        <v>4.17</v>
      </c>
      <c r="P23" s="90"/>
      <c r="Q23" s="90">
        <v>4.17</v>
      </c>
      <c r="R23" s="90"/>
      <c r="S23" s="90">
        <v>5.08</v>
      </c>
      <c r="T23" s="90">
        <v>4.17</v>
      </c>
      <c r="U23" s="90"/>
    </row>
    <row r="24" spans="1:21" ht="15" thickBot="1">
      <c r="A24" s="89">
        <v>1977</v>
      </c>
      <c r="B24" s="90">
        <v>1.26</v>
      </c>
      <c r="C24" s="90" t="s">
        <v>611</v>
      </c>
      <c r="D24" s="90"/>
      <c r="E24" s="90">
        <v>3.97</v>
      </c>
      <c r="F24" s="90">
        <v>3.3</v>
      </c>
      <c r="G24" s="90">
        <v>3.5</v>
      </c>
      <c r="H24" s="90"/>
      <c r="I24" s="90">
        <v>2.62</v>
      </c>
      <c r="J24" s="90"/>
      <c r="K24" s="90">
        <v>6.97</v>
      </c>
      <c r="L24" s="90"/>
      <c r="M24" s="90">
        <v>5.33</v>
      </c>
      <c r="N24" s="90">
        <v>2.0699999999999998</v>
      </c>
      <c r="O24" s="90">
        <v>4.38</v>
      </c>
      <c r="P24" s="90"/>
      <c r="Q24" s="90">
        <v>4.38</v>
      </c>
      <c r="R24" s="90"/>
      <c r="S24" s="90">
        <v>8.18</v>
      </c>
      <c r="T24" s="90">
        <v>4.38</v>
      </c>
      <c r="U24" s="90"/>
    </row>
    <row r="25" spans="1:21" ht="15" thickBot="1">
      <c r="A25" s="89">
        <v>1978</v>
      </c>
      <c r="B25" s="90" t="s">
        <v>611</v>
      </c>
      <c r="C25" s="90" t="s">
        <v>611</v>
      </c>
      <c r="D25" s="90"/>
      <c r="E25" s="90">
        <v>4.29</v>
      </c>
      <c r="F25" s="90">
        <v>3.3</v>
      </c>
      <c r="G25" s="90">
        <v>3.96</v>
      </c>
      <c r="H25" s="90"/>
      <c r="I25" s="90">
        <v>2.86</v>
      </c>
      <c r="J25" s="90"/>
      <c r="K25" s="90">
        <v>7.6</v>
      </c>
      <c r="L25" s="90"/>
      <c r="M25" s="90">
        <v>5.48</v>
      </c>
      <c r="N25" s="90">
        <v>2.1800000000000002</v>
      </c>
      <c r="O25" s="90">
        <v>4.47</v>
      </c>
      <c r="P25" s="90"/>
      <c r="Q25" s="90">
        <v>4.47</v>
      </c>
      <c r="R25" s="90"/>
      <c r="S25" s="90">
        <v>9.1300000000000008</v>
      </c>
      <c r="T25" s="90">
        <v>4.47</v>
      </c>
      <c r="U25" s="90"/>
    </row>
    <row r="26" spans="1:21" ht="15" thickBot="1">
      <c r="A26" s="89">
        <v>1979</v>
      </c>
      <c r="B26" s="90" t="s">
        <v>611</v>
      </c>
      <c r="C26" s="90" t="s">
        <v>611</v>
      </c>
      <c r="D26" s="90"/>
      <c r="E26" s="90">
        <v>5.73</v>
      </c>
      <c r="F26" s="90">
        <v>4.93</v>
      </c>
      <c r="G26" s="90">
        <v>4.01</v>
      </c>
      <c r="H26" s="90"/>
      <c r="I26" s="90">
        <v>3.79</v>
      </c>
      <c r="J26" s="90"/>
      <c r="K26" s="90">
        <v>10.210000000000001</v>
      </c>
      <c r="L26" s="90"/>
      <c r="M26" s="90">
        <v>7.47</v>
      </c>
      <c r="N26" s="90">
        <v>2.78</v>
      </c>
      <c r="O26" s="90">
        <v>6.04</v>
      </c>
      <c r="P26" s="90"/>
      <c r="Q26" s="90">
        <v>6.04</v>
      </c>
      <c r="R26" s="90"/>
      <c r="S26" s="90">
        <v>7.41</v>
      </c>
      <c r="T26" s="90">
        <v>6.04</v>
      </c>
      <c r="U26" s="90"/>
    </row>
    <row r="27" spans="1:21" ht="15" thickBot="1">
      <c r="A27" s="89">
        <v>1980</v>
      </c>
      <c r="B27" s="90" t="s">
        <v>611</v>
      </c>
      <c r="C27" s="90" t="s">
        <v>611</v>
      </c>
      <c r="D27" s="90"/>
      <c r="E27" s="90">
        <v>9.02</v>
      </c>
      <c r="F27" s="90">
        <v>7.07</v>
      </c>
      <c r="G27" s="90">
        <v>4.9800000000000004</v>
      </c>
      <c r="H27" s="90"/>
      <c r="I27" s="90">
        <v>6.21</v>
      </c>
      <c r="J27" s="90"/>
      <c r="K27" s="90">
        <v>14.36</v>
      </c>
      <c r="L27" s="90"/>
      <c r="M27" s="90">
        <v>10.19</v>
      </c>
      <c r="N27" s="90">
        <v>4.1399999999999997</v>
      </c>
      <c r="O27" s="90">
        <v>8.2200000000000006</v>
      </c>
      <c r="P27" s="90"/>
      <c r="Q27" s="90">
        <v>8.2200000000000006</v>
      </c>
      <c r="R27" s="90"/>
      <c r="S27" s="90">
        <v>11.39</v>
      </c>
      <c r="T27" s="90">
        <v>8.2200000000000006</v>
      </c>
      <c r="U27" s="90"/>
    </row>
    <row r="28" spans="1:21" ht="15" thickBot="1">
      <c r="A28" s="89">
        <v>1981</v>
      </c>
      <c r="B28" s="90" t="s">
        <v>611</v>
      </c>
      <c r="C28" s="90" t="s">
        <v>611</v>
      </c>
      <c r="D28" s="90"/>
      <c r="E28" s="90">
        <v>10.84</v>
      </c>
      <c r="F28" s="90">
        <v>8.14</v>
      </c>
      <c r="G28" s="90">
        <v>5.78</v>
      </c>
      <c r="H28" s="90"/>
      <c r="I28" s="90">
        <v>7.56</v>
      </c>
      <c r="J28" s="90"/>
      <c r="K28" s="90">
        <v>18</v>
      </c>
      <c r="L28" s="90"/>
      <c r="M28" s="90">
        <v>11.33</v>
      </c>
      <c r="N28" s="90">
        <v>5.62</v>
      </c>
      <c r="O28" s="90">
        <v>9.49</v>
      </c>
      <c r="P28" s="90"/>
      <c r="Q28" s="90">
        <v>9.49</v>
      </c>
      <c r="R28" s="90"/>
      <c r="S28" s="90">
        <v>13.07</v>
      </c>
      <c r="T28" s="90">
        <v>9.49</v>
      </c>
      <c r="U28" s="90"/>
    </row>
    <row r="29" spans="1:21" ht="15" thickBot="1">
      <c r="A29" s="89">
        <v>1982</v>
      </c>
      <c r="B29" s="90" t="s">
        <v>611</v>
      </c>
      <c r="C29" s="90" t="s">
        <v>611</v>
      </c>
      <c r="D29" s="90"/>
      <c r="E29" s="90">
        <v>10.92</v>
      </c>
      <c r="F29" s="90">
        <v>7.97</v>
      </c>
      <c r="G29" s="90">
        <v>6.6</v>
      </c>
      <c r="H29" s="90"/>
      <c r="I29" s="90">
        <v>7.37</v>
      </c>
      <c r="J29" s="90"/>
      <c r="K29" s="90">
        <v>17.25</v>
      </c>
      <c r="L29" s="90"/>
      <c r="M29" s="90">
        <v>10.82</v>
      </c>
      <c r="N29" s="90">
        <v>5.99</v>
      </c>
      <c r="O29" s="90">
        <v>9.33</v>
      </c>
      <c r="P29" s="90"/>
      <c r="Q29" s="90">
        <v>9.34</v>
      </c>
      <c r="R29" s="90"/>
      <c r="S29" s="90">
        <v>18.38</v>
      </c>
      <c r="T29" s="90">
        <v>9.34</v>
      </c>
      <c r="U29" s="90"/>
    </row>
    <row r="30" spans="1:21" ht="15" thickBot="1">
      <c r="A30" s="89">
        <v>1983</v>
      </c>
      <c r="B30" s="90" t="s">
        <v>611</v>
      </c>
      <c r="C30" s="90" t="s">
        <v>611</v>
      </c>
      <c r="D30" s="90"/>
      <c r="E30" s="90">
        <v>10.44</v>
      </c>
      <c r="F30" s="90">
        <v>7.13</v>
      </c>
      <c r="G30" s="90">
        <v>6.83</v>
      </c>
      <c r="H30" s="90"/>
      <c r="I30" s="90">
        <v>6.61</v>
      </c>
      <c r="J30" s="90"/>
      <c r="K30" s="90">
        <v>17.420000000000002</v>
      </c>
      <c r="L30" s="90"/>
      <c r="M30" s="90">
        <v>8.9600000000000009</v>
      </c>
      <c r="N30" s="90">
        <v>5.61</v>
      </c>
      <c r="O30" s="90">
        <v>8.02</v>
      </c>
      <c r="P30" s="90"/>
      <c r="Q30" s="90">
        <v>8.02</v>
      </c>
      <c r="R30" s="90"/>
      <c r="S30" s="90">
        <v>15.15</v>
      </c>
      <c r="T30" s="90">
        <v>8.02</v>
      </c>
      <c r="U30" s="90"/>
    </row>
    <row r="31" spans="1:21" ht="15" thickBot="1">
      <c r="A31" s="89">
        <v>1984</v>
      </c>
      <c r="B31" s="90" t="s">
        <v>611</v>
      </c>
      <c r="C31" s="90" t="s">
        <v>611</v>
      </c>
      <c r="D31" s="90"/>
      <c r="E31" s="90">
        <v>10.27</v>
      </c>
      <c r="F31" s="90">
        <v>6.94</v>
      </c>
      <c r="G31" s="90">
        <v>6.67</v>
      </c>
      <c r="H31" s="90"/>
      <c r="I31" s="90">
        <v>6.28</v>
      </c>
      <c r="J31" s="90"/>
      <c r="K31" s="90">
        <v>18.14</v>
      </c>
      <c r="L31" s="90"/>
      <c r="M31" s="90">
        <v>8.74</v>
      </c>
      <c r="N31" s="90">
        <v>5.61</v>
      </c>
      <c r="O31" s="90">
        <v>7.8</v>
      </c>
      <c r="P31" s="90"/>
      <c r="Q31" s="90">
        <v>7.8</v>
      </c>
      <c r="R31" s="90"/>
      <c r="S31" s="90">
        <v>15.64</v>
      </c>
      <c r="T31" s="90">
        <v>7.8</v>
      </c>
      <c r="U31" s="90"/>
    </row>
    <row r="32" spans="1:21" ht="15" thickBot="1">
      <c r="A32" s="89">
        <v>1985</v>
      </c>
      <c r="B32" s="90" t="s">
        <v>611</v>
      </c>
      <c r="C32" s="90" t="s">
        <v>611</v>
      </c>
      <c r="D32" s="90"/>
      <c r="E32" s="90">
        <v>9.99</v>
      </c>
      <c r="F32" s="90">
        <v>6.9</v>
      </c>
      <c r="G32" s="90">
        <v>10.15</v>
      </c>
      <c r="H32" s="90"/>
      <c r="I32" s="90">
        <v>6.01</v>
      </c>
      <c r="J32" s="90"/>
      <c r="K32" s="90">
        <v>18.18</v>
      </c>
      <c r="L32" s="90"/>
      <c r="M32" s="90">
        <v>8.68</v>
      </c>
      <c r="N32" s="90">
        <v>5.0199999999999996</v>
      </c>
      <c r="O32" s="90">
        <v>7.68</v>
      </c>
      <c r="P32" s="90"/>
      <c r="Q32" s="90">
        <v>7.68</v>
      </c>
      <c r="R32" s="90"/>
      <c r="S32" s="90">
        <v>18.29</v>
      </c>
      <c r="T32" s="90">
        <v>7.68</v>
      </c>
      <c r="U32" s="90"/>
    </row>
    <row r="33" spans="1:21" ht="15" thickBot="1">
      <c r="A33" s="89">
        <v>1986</v>
      </c>
      <c r="B33" s="90" t="s">
        <v>611</v>
      </c>
      <c r="C33" s="90" t="s">
        <v>611</v>
      </c>
      <c r="D33" s="90"/>
      <c r="E33" s="90">
        <v>8.41</v>
      </c>
      <c r="F33" s="90">
        <v>5.93</v>
      </c>
      <c r="G33" s="90">
        <v>9.64</v>
      </c>
      <c r="H33" s="90"/>
      <c r="I33" s="90">
        <v>3.99</v>
      </c>
      <c r="J33" s="90"/>
      <c r="K33" s="90">
        <v>18.02</v>
      </c>
      <c r="L33" s="90"/>
      <c r="M33" s="90">
        <v>6.68</v>
      </c>
      <c r="N33" s="90">
        <v>2.86</v>
      </c>
      <c r="O33" s="90">
        <v>5.84</v>
      </c>
      <c r="P33" s="90"/>
      <c r="Q33" s="90">
        <v>5.84</v>
      </c>
      <c r="R33" s="90"/>
      <c r="S33" s="90">
        <v>18.21</v>
      </c>
      <c r="T33" s="90">
        <v>5.84</v>
      </c>
      <c r="U33" s="90"/>
    </row>
    <row r="34" spans="1:21" ht="15" thickBot="1">
      <c r="A34" s="89">
        <v>1987</v>
      </c>
      <c r="B34" s="90" t="s">
        <v>611</v>
      </c>
      <c r="C34" s="90" t="s">
        <v>611</v>
      </c>
      <c r="D34" s="90"/>
      <c r="E34" s="90">
        <v>7.55</v>
      </c>
      <c r="F34" s="90">
        <v>6.7</v>
      </c>
      <c r="G34" s="90">
        <v>9.16</v>
      </c>
      <c r="H34" s="90"/>
      <c r="I34" s="90">
        <v>4.04</v>
      </c>
      <c r="J34" s="90"/>
      <c r="K34" s="90">
        <v>17.04</v>
      </c>
      <c r="L34" s="90"/>
      <c r="M34" s="90">
        <v>6.95</v>
      </c>
      <c r="N34" s="90">
        <v>2.6</v>
      </c>
      <c r="O34" s="90">
        <v>5.97</v>
      </c>
      <c r="P34" s="90"/>
      <c r="Q34" s="90">
        <v>5.97</v>
      </c>
      <c r="R34" s="90"/>
      <c r="S34" s="90">
        <v>13.47</v>
      </c>
      <c r="T34" s="90">
        <v>5.97</v>
      </c>
      <c r="U34" s="90"/>
    </row>
    <row r="35" spans="1:21" ht="15" thickBot="1">
      <c r="A35" s="89">
        <v>1988</v>
      </c>
      <c r="B35" s="90" t="s">
        <v>611</v>
      </c>
      <c r="C35" s="90" t="s">
        <v>611</v>
      </c>
      <c r="D35" s="90"/>
      <c r="E35" s="90">
        <v>7.41</v>
      </c>
      <c r="F35" s="90">
        <v>6.51</v>
      </c>
      <c r="G35" s="90">
        <v>9.2100000000000009</v>
      </c>
      <c r="H35" s="90"/>
      <c r="I35" s="90">
        <v>3.84</v>
      </c>
      <c r="J35" s="90"/>
      <c r="K35" s="90">
        <v>18.18</v>
      </c>
      <c r="L35" s="90"/>
      <c r="M35" s="90">
        <v>7.08</v>
      </c>
      <c r="N35" s="90">
        <v>2.2599999999999998</v>
      </c>
      <c r="O35" s="90">
        <v>6</v>
      </c>
      <c r="P35" s="90"/>
      <c r="Q35" s="90">
        <v>6</v>
      </c>
      <c r="R35" s="90"/>
      <c r="S35" s="90">
        <v>14.99</v>
      </c>
      <c r="T35" s="90">
        <v>6</v>
      </c>
      <c r="U35" s="90"/>
    </row>
    <row r="36" spans="1:21" ht="15" thickBot="1">
      <c r="A36" s="89">
        <v>1989</v>
      </c>
      <c r="B36" s="90" t="s">
        <v>611</v>
      </c>
      <c r="C36" s="90" t="s">
        <v>611</v>
      </c>
      <c r="D36" s="90"/>
      <c r="E36" s="90">
        <v>8.2799999999999994</v>
      </c>
      <c r="F36" s="90">
        <v>7.14</v>
      </c>
      <c r="G36" s="90">
        <v>8.41</v>
      </c>
      <c r="H36" s="90"/>
      <c r="I36" s="90">
        <v>4.5</v>
      </c>
      <c r="J36" s="90"/>
      <c r="K36" s="90">
        <v>18.899999999999999</v>
      </c>
      <c r="L36" s="90"/>
      <c r="M36" s="90">
        <v>7.66</v>
      </c>
      <c r="N36" s="90">
        <v>2.57</v>
      </c>
      <c r="O36" s="90">
        <v>6.53</v>
      </c>
      <c r="P36" s="90"/>
      <c r="Q36" s="90">
        <v>6.54</v>
      </c>
      <c r="R36" s="90"/>
      <c r="S36" s="90">
        <v>13.15</v>
      </c>
      <c r="T36" s="90">
        <v>6.54</v>
      </c>
      <c r="U36" s="90"/>
    </row>
    <row r="37" spans="1:21" ht="15" thickBot="1">
      <c r="A37" s="89">
        <v>1990</v>
      </c>
      <c r="B37" s="90" t="s">
        <v>611</v>
      </c>
      <c r="C37" s="90">
        <v>4.6900000000000004</v>
      </c>
      <c r="D37" s="90"/>
      <c r="E37" s="90">
        <v>9.32</v>
      </c>
      <c r="F37" s="90">
        <v>8.2100000000000009</v>
      </c>
      <c r="G37" s="90">
        <v>9.7100000000000009</v>
      </c>
      <c r="H37" s="90"/>
      <c r="I37" s="90">
        <v>5.76</v>
      </c>
      <c r="J37" s="90"/>
      <c r="K37" s="90">
        <v>20.61</v>
      </c>
      <c r="L37" s="90"/>
      <c r="M37" s="90">
        <v>8.57</v>
      </c>
      <c r="N37" s="90">
        <v>3.59</v>
      </c>
      <c r="O37" s="90">
        <v>7.47</v>
      </c>
      <c r="P37" s="90"/>
      <c r="Q37" s="90">
        <v>7.47</v>
      </c>
      <c r="R37" s="90"/>
      <c r="S37" s="90">
        <v>9.39</v>
      </c>
      <c r="T37" s="90">
        <v>7.47</v>
      </c>
      <c r="U37" s="90"/>
    </row>
    <row r="38" spans="1:21" ht="15" thickBot="1">
      <c r="A38" s="89">
        <v>1991</v>
      </c>
      <c r="B38" s="90" t="s">
        <v>611</v>
      </c>
      <c r="C38" s="90">
        <v>5.62</v>
      </c>
      <c r="D38" s="90"/>
      <c r="E38" s="90">
        <v>8.7100000000000009</v>
      </c>
      <c r="F38" s="90">
        <v>8.02</v>
      </c>
      <c r="G38" s="90">
        <v>10.92</v>
      </c>
      <c r="H38" s="90"/>
      <c r="I38" s="90">
        <v>4.8</v>
      </c>
      <c r="J38" s="90"/>
      <c r="K38" s="90">
        <v>22.58</v>
      </c>
      <c r="L38" s="90"/>
      <c r="M38" s="90">
        <v>8.18</v>
      </c>
      <c r="N38" s="90">
        <v>2.58</v>
      </c>
      <c r="O38" s="90">
        <v>7.05</v>
      </c>
      <c r="P38" s="90"/>
      <c r="Q38" s="90">
        <v>7.05</v>
      </c>
      <c r="R38" s="90"/>
      <c r="S38" s="90">
        <v>10.72</v>
      </c>
      <c r="T38" s="90">
        <v>7.05</v>
      </c>
      <c r="U38" s="90"/>
    </row>
    <row r="39" spans="1:21" ht="15" thickBot="1">
      <c r="A39" s="89">
        <v>1992</v>
      </c>
      <c r="B39" s="90" t="s">
        <v>611</v>
      </c>
      <c r="C39" s="90">
        <v>6.26</v>
      </c>
      <c r="D39" s="90"/>
      <c r="E39" s="90">
        <v>8.5399999999999991</v>
      </c>
      <c r="F39" s="90">
        <v>8.19</v>
      </c>
      <c r="G39" s="90">
        <v>10.92</v>
      </c>
      <c r="H39" s="90"/>
      <c r="I39" s="90">
        <v>4.53</v>
      </c>
      <c r="J39" s="90"/>
      <c r="K39" s="90">
        <v>22.49</v>
      </c>
      <c r="L39" s="90"/>
      <c r="M39" s="90">
        <v>9.19</v>
      </c>
      <c r="N39" s="90">
        <v>1.84</v>
      </c>
      <c r="O39" s="90">
        <v>7.74</v>
      </c>
      <c r="P39" s="90"/>
      <c r="Q39" s="90">
        <v>7.74</v>
      </c>
      <c r="R39" s="90"/>
      <c r="S39" s="90">
        <v>12.39</v>
      </c>
      <c r="T39" s="90">
        <v>7.75</v>
      </c>
      <c r="U39" s="90"/>
    </row>
    <row r="40" spans="1:21" ht="15" thickBot="1">
      <c r="A40" s="89">
        <v>1993</v>
      </c>
      <c r="B40" s="90" t="s">
        <v>611</v>
      </c>
      <c r="C40" s="90">
        <v>4.58</v>
      </c>
      <c r="D40" s="90"/>
      <c r="E40" s="90">
        <v>8.24</v>
      </c>
      <c r="F40" s="90">
        <v>8.4600000000000009</v>
      </c>
      <c r="G40" s="90">
        <v>10.95</v>
      </c>
      <c r="H40" s="90"/>
      <c r="I40" s="90">
        <v>4.5</v>
      </c>
      <c r="J40" s="90"/>
      <c r="K40" s="90">
        <v>22.37</v>
      </c>
      <c r="L40" s="90"/>
      <c r="M40" s="90">
        <v>9.14</v>
      </c>
      <c r="N40" s="90">
        <v>2</v>
      </c>
      <c r="O40" s="90">
        <v>7.7</v>
      </c>
      <c r="P40" s="90"/>
      <c r="Q40" s="90">
        <v>7.7</v>
      </c>
      <c r="R40" s="90"/>
      <c r="S40" s="90">
        <v>10.38</v>
      </c>
      <c r="T40" s="90">
        <v>7.7</v>
      </c>
      <c r="U40" s="90"/>
    </row>
    <row r="41" spans="1:21" ht="15" thickBot="1">
      <c r="A41" s="89">
        <v>1994</v>
      </c>
      <c r="B41" s="90" t="s">
        <v>611</v>
      </c>
      <c r="C41" s="90">
        <v>4.99</v>
      </c>
      <c r="D41" s="90"/>
      <c r="E41" s="90">
        <v>7.96</v>
      </c>
      <c r="F41" s="90">
        <v>8.2899999999999991</v>
      </c>
      <c r="G41" s="90">
        <v>11.44</v>
      </c>
      <c r="H41" s="90"/>
      <c r="I41" s="90">
        <v>4.03</v>
      </c>
      <c r="J41" s="90"/>
      <c r="K41" s="90">
        <v>21.71</v>
      </c>
      <c r="L41" s="90"/>
      <c r="M41" s="90">
        <v>9.1300000000000008</v>
      </c>
      <c r="N41" s="90">
        <v>2.02</v>
      </c>
      <c r="O41" s="90">
        <v>7.45</v>
      </c>
      <c r="P41" s="90"/>
      <c r="Q41" s="90">
        <v>7.45</v>
      </c>
      <c r="R41" s="90"/>
      <c r="S41" s="90">
        <v>10.34</v>
      </c>
      <c r="T41" s="90">
        <v>7.45</v>
      </c>
      <c r="U41" s="90"/>
    </row>
    <row r="42" spans="1:21" ht="15" thickBot="1">
      <c r="A42" s="89">
        <v>1995</v>
      </c>
      <c r="B42" s="90" t="s">
        <v>611</v>
      </c>
      <c r="C42" s="90">
        <v>5.47</v>
      </c>
      <c r="D42" s="90"/>
      <c r="E42" s="90">
        <v>8.36</v>
      </c>
      <c r="F42" s="90">
        <v>8.4</v>
      </c>
      <c r="G42" s="90">
        <v>11.62</v>
      </c>
      <c r="H42" s="90"/>
      <c r="I42" s="90">
        <v>4.1500000000000004</v>
      </c>
      <c r="J42" s="90"/>
      <c r="K42" s="90">
        <v>21.75</v>
      </c>
      <c r="L42" s="90"/>
      <c r="M42" s="90">
        <v>9.27</v>
      </c>
      <c r="N42" s="90">
        <v>2.13</v>
      </c>
      <c r="O42" s="90">
        <v>7.54</v>
      </c>
      <c r="P42" s="90"/>
      <c r="Q42" s="90">
        <v>7.54</v>
      </c>
      <c r="R42" s="90"/>
      <c r="S42" s="90">
        <v>15.56</v>
      </c>
      <c r="T42" s="90">
        <v>7.55</v>
      </c>
      <c r="U42" s="90"/>
    </row>
    <row r="43" spans="1:21" ht="15" thickBot="1">
      <c r="A43" s="89">
        <v>1996</v>
      </c>
      <c r="B43" s="90" t="s">
        <v>611</v>
      </c>
      <c r="C43" s="90">
        <v>4.59</v>
      </c>
      <c r="D43" s="90"/>
      <c r="E43" s="90">
        <v>9.2899999999999991</v>
      </c>
      <c r="F43" s="90">
        <v>9.19</v>
      </c>
      <c r="G43" s="90">
        <v>11.49</v>
      </c>
      <c r="H43" s="90"/>
      <c r="I43" s="90">
        <v>4.96</v>
      </c>
      <c r="J43" s="90"/>
      <c r="K43" s="90">
        <v>21.63</v>
      </c>
      <c r="L43" s="90"/>
      <c r="M43" s="90">
        <v>10.029999999999999</v>
      </c>
      <c r="N43" s="90">
        <v>2.09</v>
      </c>
      <c r="O43" s="90">
        <v>8.26</v>
      </c>
      <c r="P43" s="90"/>
      <c r="Q43" s="90">
        <v>8.26</v>
      </c>
      <c r="R43" s="90"/>
      <c r="S43" s="90">
        <v>13.71</v>
      </c>
      <c r="T43" s="90">
        <v>8.26</v>
      </c>
      <c r="U43" s="90"/>
    </row>
    <row r="44" spans="1:21" ht="15" thickBot="1">
      <c r="A44" s="89">
        <v>1997</v>
      </c>
      <c r="B44" s="90" t="s">
        <v>611</v>
      </c>
      <c r="C44" s="90">
        <v>4.42</v>
      </c>
      <c r="D44" s="90"/>
      <c r="E44" s="90">
        <v>9.39</v>
      </c>
      <c r="F44" s="90">
        <v>9.1199999999999992</v>
      </c>
      <c r="G44" s="90">
        <v>11.16</v>
      </c>
      <c r="H44" s="90"/>
      <c r="I44" s="90">
        <v>4.71</v>
      </c>
      <c r="J44" s="90"/>
      <c r="K44" s="90">
        <v>21.82</v>
      </c>
      <c r="L44" s="90"/>
      <c r="M44" s="90">
        <v>10.27</v>
      </c>
      <c r="N44" s="90">
        <v>3.35</v>
      </c>
      <c r="O44" s="90">
        <v>8.68</v>
      </c>
      <c r="P44" s="90"/>
      <c r="Q44" s="90">
        <v>8.68</v>
      </c>
      <c r="R44" s="90"/>
      <c r="S44" s="90">
        <v>13.17</v>
      </c>
      <c r="T44" s="90">
        <v>8.68</v>
      </c>
      <c r="U44" s="90"/>
    </row>
    <row r="45" spans="1:21" ht="15" thickBot="1">
      <c r="A45" s="89">
        <v>1998</v>
      </c>
      <c r="B45" s="90" t="s">
        <v>611</v>
      </c>
      <c r="C45" s="90">
        <v>4</v>
      </c>
      <c r="D45" s="90"/>
      <c r="E45" s="90">
        <v>8.11</v>
      </c>
      <c r="F45" s="90">
        <v>7.96</v>
      </c>
      <c r="G45" s="90">
        <v>9.7200000000000006</v>
      </c>
      <c r="H45" s="90"/>
      <c r="I45" s="90">
        <v>3.38</v>
      </c>
      <c r="J45" s="90"/>
      <c r="K45" s="90">
        <v>21.44</v>
      </c>
      <c r="L45" s="90"/>
      <c r="M45" s="90">
        <v>9.01</v>
      </c>
      <c r="N45" s="90">
        <v>2.11</v>
      </c>
      <c r="O45" s="90">
        <v>7.48</v>
      </c>
      <c r="P45" s="90"/>
      <c r="Q45" s="90">
        <v>7.48</v>
      </c>
      <c r="R45" s="90"/>
      <c r="S45" s="90">
        <v>9.94</v>
      </c>
      <c r="T45" s="90">
        <v>7.48</v>
      </c>
      <c r="U45" s="90"/>
    </row>
    <row r="46" spans="1:21" ht="15" thickBot="1">
      <c r="A46" s="89">
        <v>1999</v>
      </c>
      <c r="B46" s="90" t="s">
        <v>611</v>
      </c>
      <c r="C46" s="90">
        <v>4.37</v>
      </c>
      <c r="D46" s="90"/>
      <c r="E46" s="90">
        <v>8.81</v>
      </c>
      <c r="F46" s="90">
        <v>9.1</v>
      </c>
      <c r="G46" s="90">
        <v>11.72</v>
      </c>
      <c r="H46" s="90"/>
      <c r="I46" s="90">
        <v>4.26</v>
      </c>
      <c r="J46" s="90"/>
      <c r="K46" s="90">
        <v>23.04</v>
      </c>
      <c r="L46" s="90"/>
      <c r="M46" s="90">
        <v>10.52</v>
      </c>
      <c r="N46" s="90">
        <v>4.2699999999999996</v>
      </c>
      <c r="O46" s="90">
        <v>8.86</v>
      </c>
      <c r="P46" s="90"/>
      <c r="Q46" s="90">
        <v>8.86</v>
      </c>
      <c r="R46" s="90"/>
      <c r="S46" s="90">
        <v>8.58</v>
      </c>
      <c r="T46" s="90">
        <v>8.86</v>
      </c>
      <c r="U46" s="90"/>
    </row>
    <row r="47" spans="1:21" ht="15" thickBot="1">
      <c r="A47" s="89">
        <v>2000</v>
      </c>
      <c r="B47" s="90" t="s">
        <v>611</v>
      </c>
      <c r="C47" s="90">
        <v>6.19</v>
      </c>
      <c r="D47" s="90"/>
      <c r="E47" s="90">
        <v>10.87</v>
      </c>
      <c r="F47" s="90">
        <v>11.24</v>
      </c>
      <c r="G47" s="90">
        <v>14.51</v>
      </c>
      <c r="H47" s="90"/>
      <c r="I47" s="90">
        <v>6.91</v>
      </c>
      <c r="J47" s="90"/>
      <c r="K47" s="90">
        <v>23.2</v>
      </c>
      <c r="L47" s="90"/>
      <c r="M47" s="90">
        <v>12.55</v>
      </c>
      <c r="N47" s="90">
        <v>6.24</v>
      </c>
      <c r="O47" s="90">
        <v>10.89</v>
      </c>
      <c r="P47" s="90"/>
      <c r="Q47" s="90">
        <v>10.89</v>
      </c>
      <c r="R47" s="90"/>
      <c r="S47" s="90">
        <v>9.4700000000000006</v>
      </c>
      <c r="T47" s="90">
        <v>10.89</v>
      </c>
      <c r="U47" s="90"/>
    </row>
    <row r="48" spans="1:21" ht="15" thickBot="1">
      <c r="A48" s="89">
        <v>2001</v>
      </c>
      <c r="B48" s="90" t="s">
        <v>611</v>
      </c>
      <c r="C48" s="90">
        <v>6.41</v>
      </c>
      <c r="D48" s="90"/>
      <c r="E48" s="90">
        <v>11.01</v>
      </c>
      <c r="F48" s="90">
        <v>10.43</v>
      </c>
      <c r="G48" s="90">
        <v>15.84</v>
      </c>
      <c r="H48" s="90"/>
      <c r="I48" s="90">
        <v>5.83</v>
      </c>
      <c r="J48" s="90"/>
      <c r="K48" s="90">
        <v>24.51</v>
      </c>
      <c r="L48" s="90"/>
      <c r="M48" s="90">
        <v>12.27</v>
      </c>
      <c r="N48" s="90">
        <v>5.29</v>
      </c>
      <c r="O48" s="90">
        <v>10.51</v>
      </c>
      <c r="P48" s="90"/>
      <c r="Q48" s="90">
        <v>10.5</v>
      </c>
      <c r="R48" s="90"/>
      <c r="S48" s="90">
        <v>11.3</v>
      </c>
      <c r="T48" s="90">
        <v>10.5</v>
      </c>
      <c r="U48" s="90"/>
    </row>
    <row r="49" spans="1:21" ht="15" thickBot="1">
      <c r="A49" s="89">
        <v>2002</v>
      </c>
      <c r="B49" s="90" t="s">
        <v>611</v>
      </c>
      <c r="C49" s="90">
        <v>4.2699999999999996</v>
      </c>
      <c r="D49" s="90"/>
      <c r="E49" s="90">
        <v>10.72</v>
      </c>
      <c r="F49" s="90">
        <v>9.8000000000000007</v>
      </c>
      <c r="G49" s="90">
        <v>13.43</v>
      </c>
      <c r="H49" s="90"/>
      <c r="I49" s="90">
        <v>5.4</v>
      </c>
      <c r="J49" s="90"/>
      <c r="K49" s="90">
        <v>26.7</v>
      </c>
      <c r="L49" s="90"/>
      <c r="M49" s="90">
        <v>11.19</v>
      </c>
      <c r="N49" s="90">
        <v>5.78</v>
      </c>
      <c r="O49" s="90">
        <v>9.66</v>
      </c>
      <c r="P49" s="90"/>
      <c r="Q49" s="90">
        <v>9.66</v>
      </c>
      <c r="R49" s="90"/>
      <c r="S49" s="90">
        <v>12.45</v>
      </c>
      <c r="T49" s="90">
        <v>9.66</v>
      </c>
      <c r="U49" s="90"/>
    </row>
    <row r="50" spans="1:21" ht="15" thickBot="1">
      <c r="A50" s="89">
        <v>2003</v>
      </c>
      <c r="B50" s="90" t="s">
        <v>611</v>
      </c>
      <c r="C50" s="90">
        <v>5.65</v>
      </c>
      <c r="D50" s="90"/>
      <c r="E50" s="90">
        <v>12.42</v>
      </c>
      <c r="F50" s="90">
        <v>11.17</v>
      </c>
      <c r="G50" s="90">
        <v>15.37</v>
      </c>
      <c r="H50" s="90"/>
      <c r="I50" s="90">
        <v>6.55</v>
      </c>
      <c r="J50" s="90"/>
      <c r="K50" s="90">
        <v>28.94</v>
      </c>
      <c r="L50" s="90"/>
      <c r="M50" s="90">
        <v>13.78</v>
      </c>
      <c r="N50" s="90">
        <v>5.9</v>
      </c>
      <c r="O50" s="90">
        <v>11.77</v>
      </c>
      <c r="P50" s="90"/>
      <c r="Q50" s="90">
        <v>11.76</v>
      </c>
      <c r="R50" s="90"/>
      <c r="S50" s="90">
        <v>16.989999999999998</v>
      </c>
      <c r="T50" s="90">
        <v>11.76</v>
      </c>
      <c r="U50" s="90"/>
    </row>
    <row r="51" spans="1:21" ht="15" thickBot="1">
      <c r="A51" s="89">
        <v>2004</v>
      </c>
      <c r="B51" s="90" t="s">
        <v>611</v>
      </c>
      <c r="C51" s="90">
        <v>6.83</v>
      </c>
      <c r="D51" s="90"/>
      <c r="E51" s="90">
        <v>15.13</v>
      </c>
      <c r="F51" s="90">
        <v>14.17</v>
      </c>
      <c r="G51" s="90">
        <v>17.350000000000001</v>
      </c>
      <c r="H51" s="90"/>
      <c r="I51" s="90">
        <v>9.33</v>
      </c>
      <c r="J51" s="90"/>
      <c r="K51" s="90">
        <v>30.11</v>
      </c>
      <c r="L51" s="90"/>
      <c r="M51" s="90">
        <v>16.3</v>
      </c>
      <c r="N51" s="90">
        <v>6.31</v>
      </c>
      <c r="O51" s="90">
        <v>14.2</v>
      </c>
      <c r="P51" s="90"/>
      <c r="Q51" s="90">
        <v>14.19</v>
      </c>
      <c r="R51" s="90"/>
      <c r="S51" s="90">
        <v>18.809999999999999</v>
      </c>
      <c r="T51" s="90">
        <v>14.19</v>
      </c>
      <c r="U51" s="90"/>
    </row>
    <row r="52" spans="1:21" ht="15" thickBot="1">
      <c r="A52" s="89">
        <v>2005</v>
      </c>
      <c r="B52" s="90" t="s">
        <v>611</v>
      </c>
      <c r="C52" s="90">
        <v>8.6</v>
      </c>
      <c r="D52" s="90"/>
      <c r="E52" s="90">
        <v>18.559999999999999</v>
      </c>
      <c r="F52" s="90">
        <v>17.98</v>
      </c>
      <c r="G52" s="90">
        <v>19.89</v>
      </c>
      <c r="H52" s="90"/>
      <c r="I52" s="90">
        <v>12.85</v>
      </c>
      <c r="J52" s="90"/>
      <c r="K52" s="90">
        <v>35.22</v>
      </c>
      <c r="L52" s="90"/>
      <c r="M52" s="90">
        <v>18.96</v>
      </c>
      <c r="N52" s="90">
        <v>5.63</v>
      </c>
      <c r="O52" s="90">
        <v>16.899999999999999</v>
      </c>
      <c r="P52" s="90"/>
      <c r="Q52" s="90">
        <v>16.88</v>
      </c>
      <c r="R52" s="90"/>
      <c r="S52" s="90">
        <v>19.2</v>
      </c>
      <c r="T52" s="90">
        <v>16.88</v>
      </c>
      <c r="U52" s="90"/>
    </row>
    <row r="53" spans="1:21" ht="15" thickBot="1">
      <c r="A53" s="89">
        <v>2006</v>
      </c>
      <c r="B53" s="90" t="s">
        <v>611</v>
      </c>
      <c r="C53" s="90">
        <v>7.75</v>
      </c>
      <c r="D53" s="90"/>
      <c r="E53" s="90">
        <v>22.31</v>
      </c>
      <c r="F53" s="90">
        <v>19.98</v>
      </c>
      <c r="G53" s="90">
        <v>21.68</v>
      </c>
      <c r="H53" s="90"/>
      <c r="I53" s="90">
        <v>15.04</v>
      </c>
      <c r="J53" s="90"/>
      <c r="K53" s="90">
        <v>43.88</v>
      </c>
      <c r="L53" s="90"/>
      <c r="M53" s="90">
        <v>21.47</v>
      </c>
      <c r="N53" s="90">
        <v>7.29</v>
      </c>
      <c r="O53" s="90">
        <v>19.16</v>
      </c>
      <c r="P53" s="90"/>
      <c r="Q53" s="90">
        <v>19.12</v>
      </c>
      <c r="R53" s="90"/>
      <c r="S53" s="90">
        <v>18.45</v>
      </c>
      <c r="T53" s="90">
        <v>19.12</v>
      </c>
      <c r="U53" s="90"/>
    </row>
    <row r="54" spans="1:21" ht="15" thickBot="1">
      <c r="A54" s="89">
        <v>2007</v>
      </c>
      <c r="B54" s="90" t="s">
        <v>611</v>
      </c>
      <c r="C54" s="90">
        <v>7.5</v>
      </c>
      <c r="D54" s="90"/>
      <c r="E54" s="90">
        <v>23.7</v>
      </c>
      <c r="F54" s="90">
        <v>20.94</v>
      </c>
      <c r="G54" s="90">
        <v>23.67</v>
      </c>
      <c r="H54" s="90"/>
      <c r="I54" s="90">
        <v>16.190000000000001</v>
      </c>
      <c r="J54" s="90"/>
      <c r="K54" s="90">
        <v>47.16</v>
      </c>
      <c r="L54" s="90"/>
      <c r="M54" s="90">
        <v>23.34</v>
      </c>
      <c r="N54" s="90">
        <v>8.1999999999999993</v>
      </c>
      <c r="O54" s="90">
        <v>20.6</v>
      </c>
      <c r="P54" s="90"/>
      <c r="Q54" s="90">
        <v>20.56</v>
      </c>
      <c r="R54" s="90"/>
      <c r="S54" s="90">
        <v>24.54</v>
      </c>
      <c r="T54" s="90">
        <v>20.56</v>
      </c>
      <c r="U54" s="90"/>
    </row>
    <row r="55" spans="1:21" ht="15" thickBot="1">
      <c r="A55" s="89">
        <v>2008</v>
      </c>
      <c r="B55" s="90" t="s">
        <v>611</v>
      </c>
      <c r="C55" s="90">
        <v>11.02</v>
      </c>
      <c r="D55" s="90"/>
      <c r="E55" s="90">
        <v>27.23</v>
      </c>
      <c r="F55" s="90">
        <v>26.74</v>
      </c>
      <c r="G55" s="90">
        <v>28.47</v>
      </c>
      <c r="H55" s="90"/>
      <c r="I55" s="90">
        <v>22.24</v>
      </c>
      <c r="J55" s="90"/>
      <c r="K55" s="90">
        <v>55.12</v>
      </c>
      <c r="L55" s="90"/>
      <c r="M55" s="90">
        <v>26.96</v>
      </c>
      <c r="N55" s="90">
        <v>16.39</v>
      </c>
      <c r="O55" s="90">
        <v>25.33</v>
      </c>
      <c r="P55" s="90"/>
      <c r="Q55" s="90">
        <v>25.28</v>
      </c>
      <c r="R55" s="90"/>
      <c r="S55" s="90">
        <v>23.9</v>
      </c>
      <c r="T55" s="90">
        <v>25.28</v>
      </c>
      <c r="U55" s="90"/>
    </row>
    <row r="56" spans="1:21" ht="15" thickBot="1">
      <c r="A56" s="89">
        <v>2009</v>
      </c>
      <c r="B56" s="90" t="s">
        <v>611</v>
      </c>
      <c r="C56" s="90">
        <v>7.41</v>
      </c>
      <c r="D56" s="90"/>
      <c r="E56" s="90">
        <v>20.32</v>
      </c>
      <c r="F56" s="90">
        <v>17.690000000000001</v>
      </c>
      <c r="G56" s="90">
        <v>21.66</v>
      </c>
      <c r="H56" s="90"/>
      <c r="I56" s="90">
        <v>12.5</v>
      </c>
      <c r="J56" s="90"/>
      <c r="K56" s="90">
        <v>56.07</v>
      </c>
      <c r="L56" s="90"/>
      <c r="M56" s="90">
        <v>20.56</v>
      </c>
      <c r="N56" s="90">
        <v>12.57</v>
      </c>
      <c r="O56" s="90">
        <v>18.2</v>
      </c>
      <c r="P56" s="90"/>
      <c r="Q56" s="90">
        <v>18.149999999999999</v>
      </c>
      <c r="R56" s="90"/>
      <c r="S56" s="90">
        <v>24.47</v>
      </c>
      <c r="T56" s="90">
        <v>18.149999999999999</v>
      </c>
      <c r="U56" s="90"/>
    </row>
    <row r="57" spans="1:21" ht="15" thickBot="1">
      <c r="A57" s="89">
        <v>2010</v>
      </c>
      <c r="B57" s="90" t="s">
        <v>611</v>
      </c>
      <c r="C57" s="90">
        <v>5.43</v>
      </c>
      <c r="D57" s="90"/>
      <c r="E57" s="90">
        <v>25.19</v>
      </c>
      <c r="F57" s="90">
        <v>23.06</v>
      </c>
      <c r="G57" s="90">
        <v>24.74</v>
      </c>
      <c r="H57" s="90"/>
      <c r="I57" s="90">
        <v>16.170000000000002</v>
      </c>
      <c r="J57" s="90"/>
      <c r="K57" s="90">
        <v>58.8</v>
      </c>
      <c r="L57" s="90"/>
      <c r="M57" s="90">
        <v>24.76</v>
      </c>
      <c r="N57" s="90">
        <v>15.32</v>
      </c>
      <c r="O57" s="90">
        <v>22.58</v>
      </c>
      <c r="P57" s="91" t="s">
        <v>612</v>
      </c>
      <c r="Q57" s="90">
        <v>22.49</v>
      </c>
      <c r="R57" s="91" t="s">
        <v>612</v>
      </c>
      <c r="S57" s="90">
        <v>24.24</v>
      </c>
      <c r="T57" s="90">
        <v>22.5</v>
      </c>
      <c r="U57" s="91" t="s">
        <v>612</v>
      </c>
    </row>
    <row r="58" spans="1:21" ht="15" thickBot="1">
      <c r="A58" s="89">
        <v>2011</v>
      </c>
      <c r="B58" s="90" t="s">
        <v>611</v>
      </c>
      <c r="C58" s="90">
        <v>7.18</v>
      </c>
      <c r="D58" s="90"/>
      <c r="E58" s="90">
        <v>31.64</v>
      </c>
      <c r="F58" s="90">
        <v>29.73</v>
      </c>
      <c r="G58" s="90">
        <v>29.39</v>
      </c>
      <c r="H58" s="90"/>
      <c r="I58" s="90">
        <v>22.51</v>
      </c>
      <c r="J58" s="90"/>
      <c r="K58" s="90">
        <v>69.540000000000006</v>
      </c>
      <c r="L58" s="90"/>
      <c r="M58" s="90">
        <v>30.51</v>
      </c>
      <c r="N58" s="90">
        <v>20.92</v>
      </c>
      <c r="O58" s="90">
        <v>28.69</v>
      </c>
      <c r="P58" s="91" t="s">
        <v>612</v>
      </c>
      <c r="Q58" s="90">
        <v>28.58</v>
      </c>
      <c r="R58" s="91" t="s">
        <v>612</v>
      </c>
      <c r="S58" s="90">
        <v>23.84</v>
      </c>
      <c r="T58" s="90">
        <v>28.57</v>
      </c>
      <c r="U58" s="91" t="s">
        <v>612</v>
      </c>
    </row>
    <row r="59" spans="1:21" ht="15" thickBot="1">
      <c r="A59" s="89">
        <v>2012</v>
      </c>
      <c r="B59" s="90" t="s">
        <v>611</v>
      </c>
      <c r="C59" s="90">
        <v>6.87</v>
      </c>
      <c r="D59" s="90"/>
      <c r="E59" s="90">
        <v>33.04</v>
      </c>
      <c r="F59" s="90">
        <v>30.81</v>
      </c>
      <c r="G59" s="90">
        <v>21.28</v>
      </c>
      <c r="H59" s="90"/>
      <c r="I59" s="90">
        <v>22.88</v>
      </c>
      <c r="J59" s="90"/>
      <c r="K59" s="90">
        <v>72.11</v>
      </c>
      <c r="L59" s="90"/>
      <c r="M59" s="90">
        <v>32.24</v>
      </c>
      <c r="N59" s="90">
        <v>23.28</v>
      </c>
      <c r="O59" s="90">
        <v>30.15</v>
      </c>
      <c r="P59" s="91" t="s">
        <v>612</v>
      </c>
      <c r="Q59" s="90">
        <v>30.02</v>
      </c>
      <c r="R59" s="91" t="s">
        <v>612</v>
      </c>
      <c r="S59" s="90">
        <v>21.01</v>
      </c>
      <c r="T59" s="90">
        <v>30.02</v>
      </c>
      <c r="U59" s="91" t="s">
        <v>612</v>
      </c>
    </row>
    <row r="60" spans="1:21" ht="15" thickBot="1">
      <c r="A60" s="89">
        <v>2013</v>
      </c>
      <c r="B60" s="90" t="s">
        <v>611</v>
      </c>
      <c r="C60" s="90">
        <v>8.6300000000000008</v>
      </c>
      <c r="D60" s="90"/>
      <c r="E60" s="90">
        <v>32.71</v>
      </c>
      <c r="F60" s="90">
        <v>30.07</v>
      </c>
      <c r="G60" s="90">
        <v>22.44</v>
      </c>
      <c r="H60" s="90"/>
      <c r="I60" s="90">
        <v>21.87</v>
      </c>
      <c r="J60" s="90"/>
      <c r="K60" s="90">
        <v>69.42</v>
      </c>
      <c r="L60" s="90"/>
      <c r="M60" s="90">
        <v>31.08</v>
      </c>
      <c r="N60" s="90">
        <v>22.36</v>
      </c>
      <c r="O60" s="90">
        <v>29.2</v>
      </c>
      <c r="P60" s="91" t="s">
        <v>612</v>
      </c>
      <c r="Q60" s="90">
        <v>29.09</v>
      </c>
      <c r="R60" s="91" t="s">
        <v>612</v>
      </c>
      <c r="S60" s="90">
        <v>25.02</v>
      </c>
      <c r="T60" s="90">
        <v>29.09</v>
      </c>
      <c r="U60" s="91" t="s">
        <v>612</v>
      </c>
    </row>
    <row r="61" spans="1:21" ht="15" thickBot="1">
      <c r="A61" s="89">
        <v>2014</v>
      </c>
      <c r="B61" s="90" t="s">
        <v>611</v>
      </c>
      <c r="C61" s="90">
        <v>9.16</v>
      </c>
      <c r="D61" s="90"/>
      <c r="E61" s="90">
        <v>33.159999999999997</v>
      </c>
      <c r="F61" s="90">
        <v>29.18</v>
      </c>
      <c r="G61" s="90">
        <v>23.33</v>
      </c>
      <c r="H61" s="90"/>
      <c r="I61" s="90">
        <v>20.37</v>
      </c>
      <c r="J61" s="90"/>
      <c r="K61" s="90">
        <v>69.44</v>
      </c>
      <c r="L61" s="90"/>
      <c r="M61" s="90">
        <v>29.99</v>
      </c>
      <c r="N61" s="90">
        <v>21.6</v>
      </c>
      <c r="O61" s="90">
        <v>28.17</v>
      </c>
      <c r="P61" s="91" t="s">
        <v>612</v>
      </c>
      <c r="Q61" s="90">
        <v>28.06</v>
      </c>
      <c r="R61" s="91" t="s">
        <v>612</v>
      </c>
      <c r="S61" s="90">
        <v>26.09</v>
      </c>
      <c r="T61" s="90">
        <v>28.06</v>
      </c>
      <c r="U61" s="91" t="s">
        <v>612</v>
      </c>
    </row>
    <row r="62" spans="1:21" ht="15" thickBot="1">
      <c r="A62" s="89">
        <v>2015</v>
      </c>
      <c r="B62" s="90" t="s">
        <v>611</v>
      </c>
      <c r="C62" s="90">
        <v>7.85</v>
      </c>
      <c r="D62" s="90"/>
      <c r="E62" s="90">
        <v>24.86</v>
      </c>
      <c r="F62" s="90">
        <v>21.98</v>
      </c>
      <c r="G62" s="90">
        <v>14.11</v>
      </c>
      <c r="H62" s="90"/>
      <c r="I62" s="90">
        <v>12.21</v>
      </c>
      <c r="J62" s="90"/>
      <c r="K62" s="90">
        <v>67.28</v>
      </c>
      <c r="L62" s="90"/>
      <c r="M62" s="90">
        <v>25.47</v>
      </c>
      <c r="N62" s="90">
        <v>11.63</v>
      </c>
      <c r="O62" s="90">
        <v>22.2</v>
      </c>
      <c r="P62" s="91" t="s">
        <v>612</v>
      </c>
      <c r="Q62" s="90">
        <v>22.11</v>
      </c>
      <c r="R62" s="91" t="s">
        <v>612</v>
      </c>
      <c r="S62" s="90">
        <v>26.36</v>
      </c>
      <c r="T62" s="90">
        <v>22.11</v>
      </c>
      <c r="U62" s="91" t="s">
        <v>612</v>
      </c>
    </row>
    <row r="63" spans="1:21" ht="15" thickBot="1">
      <c r="A63" s="89">
        <v>2016</v>
      </c>
      <c r="B63" s="90" t="s">
        <v>611</v>
      </c>
      <c r="C63" s="90">
        <v>7.94</v>
      </c>
      <c r="D63" s="90"/>
      <c r="E63" s="90">
        <v>21.62</v>
      </c>
      <c r="F63" s="90">
        <v>19.36</v>
      </c>
      <c r="G63" s="90">
        <v>14.3</v>
      </c>
      <c r="H63" s="90"/>
      <c r="I63" s="90">
        <v>9.82</v>
      </c>
      <c r="J63" s="90"/>
      <c r="K63" s="90">
        <v>65.78</v>
      </c>
      <c r="L63" s="90"/>
      <c r="M63" s="90">
        <v>22.01</v>
      </c>
      <c r="N63" s="90">
        <v>8.4499999999999993</v>
      </c>
      <c r="O63" s="90">
        <v>18.87</v>
      </c>
      <c r="P63" s="91" t="s">
        <v>612</v>
      </c>
      <c r="Q63" s="90">
        <v>18.79</v>
      </c>
      <c r="R63" s="91" t="s">
        <v>612</v>
      </c>
      <c r="S63" s="90">
        <v>28.73</v>
      </c>
      <c r="T63" s="90">
        <v>18.8</v>
      </c>
      <c r="U63" s="91" t="s">
        <v>612</v>
      </c>
    </row>
    <row r="64" spans="1:21" ht="15" thickBot="1">
      <c r="A64" s="89">
        <v>2017</v>
      </c>
      <c r="B64" s="90" t="s">
        <v>611</v>
      </c>
      <c r="C64" s="90">
        <v>8.33</v>
      </c>
      <c r="D64" s="90"/>
      <c r="E64" s="90">
        <v>24.13</v>
      </c>
      <c r="F64" s="90">
        <v>22.38</v>
      </c>
      <c r="G64" s="90">
        <v>18.8</v>
      </c>
      <c r="H64" s="90"/>
      <c r="I64" s="90">
        <v>12</v>
      </c>
      <c r="J64" s="90"/>
      <c r="K64" s="90">
        <v>67.25</v>
      </c>
      <c r="L64" s="90"/>
      <c r="M64" s="90">
        <v>24.37</v>
      </c>
      <c r="N64" s="90">
        <v>11.94</v>
      </c>
      <c r="O64" s="90">
        <v>21.18</v>
      </c>
      <c r="P64" s="91" t="s">
        <v>612</v>
      </c>
      <c r="Q64" s="90">
        <v>21.07</v>
      </c>
      <c r="R64" s="91" t="s">
        <v>612</v>
      </c>
      <c r="S64" s="90">
        <v>25.44</v>
      </c>
      <c r="T64" s="90">
        <v>21.07</v>
      </c>
      <c r="U64" s="91" t="s">
        <v>612</v>
      </c>
    </row>
    <row r="65" spans="1:21" ht="15" thickBot="1">
      <c r="A65" s="89">
        <v>2018</v>
      </c>
      <c r="B65" s="90" t="s">
        <v>611</v>
      </c>
      <c r="C65" s="90">
        <v>8.1300000000000008</v>
      </c>
      <c r="D65" s="90"/>
      <c r="E65" s="90">
        <v>27.04</v>
      </c>
      <c r="F65" s="90">
        <v>28.25</v>
      </c>
      <c r="G65" s="90">
        <v>20.04</v>
      </c>
      <c r="H65" s="90"/>
      <c r="I65" s="90">
        <v>15.67</v>
      </c>
      <c r="J65" s="90"/>
      <c r="K65" s="90">
        <v>72.37</v>
      </c>
      <c r="L65" s="90"/>
      <c r="M65" s="90">
        <v>28.09</v>
      </c>
      <c r="N65" s="90">
        <v>14.93</v>
      </c>
      <c r="O65" s="90">
        <v>25.14</v>
      </c>
      <c r="P65" s="91" t="s">
        <v>612</v>
      </c>
      <c r="Q65" s="90">
        <v>25</v>
      </c>
      <c r="R65" s="91" t="s">
        <v>612</v>
      </c>
      <c r="S65" s="90">
        <v>25.33</v>
      </c>
      <c r="T65" s="90">
        <v>25</v>
      </c>
      <c r="U65" s="91" t="s">
        <v>612</v>
      </c>
    </row>
    <row r="66" spans="1:21">
      <c r="A66" s="92">
        <v>2019</v>
      </c>
      <c r="B66" s="93" t="s">
        <v>611</v>
      </c>
      <c r="C66" s="93">
        <v>8.64</v>
      </c>
      <c r="D66" s="93"/>
      <c r="E66" s="93">
        <v>25.57</v>
      </c>
      <c r="F66" s="93">
        <v>28.61</v>
      </c>
      <c r="G66" s="93">
        <v>17.489999999999998</v>
      </c>
      <c r="H66" s="93"/>
      <c r="I66" s="93">
        <v>14.76</v>
      </c>
      <c r="J66" s="93"/>
      <c r="K66" s="93">
        <v>74.92</v>
      </c>
      <c r="L66" s="93"/>
      <c r="M66" s="93">
        <v>29.1</v>
      </c>
      <c r="N66" s="93">
        <v>14.06</v>
      </c>
      <c r="O66" s="93">
        <v>25.43</v>
      </c>
      <c r="P66" s="93"/>
      <c r="Q66" s="93">
        <v>25.28</v>
      </c>
      <c r="R66" s="83"/>
      <c r="S66" s="83"/>
      <c r="T66" s="83"/>
      <c r="U66" s="83"/>
    </row>
  </sheetData>
  <mergeCells count="25">
    <mergeCell ref="A7:A16"/>
    <mergeCell ref="B7:R10"/>
    <mergeCell ref="T7:U7"/>
    <mergeCell ref="T8:U8"/>
    <mergeCell ref="T9:U9"/>
    <mergeCell ref="T10:U10"/>
    <mergeCell ref="T11:U11"/>
    <mergeCell ref="T12:U12"/>
    <mergeCell ref="T13:U13"/>
    <mergeCell ref="T14:U14"/>
    <mergeCell ref="I14:J14"/>
    <mergeCell ref="I15:J15"/>
    <mergeCell ref="K14:L15"/>
    <mergeCell ref="O14:P15"/>
    <mergeCell ref="B16:U16"/>
    <mergeCell ref="T15:U15"/>
    <mergeCell ref="E11:P13"/>
    <mergeCell ref="Q11:R15"/>
    <mergeCell ref="G14:H15"/>
    <mergeCell ref="B11:B15"/>
    <mergeCell ref="C11:D11"/>
    <mergeCell ref="C12:D12"/>
    <mergeCell ref="C13:D13"/>
    <mergeCell ref="C14:D14"/>
    <mergeCell ref="C15:D15"/>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002060"/>
  </sheetPr>
  <dimension ref="A1:AF9"/>
  <sheetViews>
    <sheetView workbookViewId="0">
      <selection activeCell="B2" sqref="B2:AF9"/>
    </sheetView>
  </sheetViews>
  <sheetFormatPr defaultColWidth="9.1796875" defaultRowHeight="14.5"/>
  <cols>
    <col min="1" max="1" width="41.453125" style="14" customWidth="1"/>
    <col min="2" max="22" width="10" style="14" customWidth="1"/>
    <col min="23" max="24" width="9.1796875" style="14" customWidth="1"/>
    <col min="25" max="32" width="11.81640625" style="14" bestFit="1" customWidth="1"/>
    <col min="33" max="16384" width="9.1796875" style="14"/>
  </cols>
  <sheetData>
    <row r="1" spans="1:32">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row>
    <row r="2" spans="1:32">
      <c r="A2" s="13" t="s">
        <v>164</v>
      </c>
      <c r="B2" s="181">
        <f>Lpgpropbut!B10</f>
        <v>1.3338366333611046E-6</v>
      </c>
      <c r="C2" s="181">
        <f>Lpgpropbut!C10</f>
        <v>1.136137159555883E-6</v>
      </c>
      <c r="D2" s="181">
        <f>Lpgpropbut!D10</f>
        <v>1.487280445140202E-6</v>
      </c>
      <c r="E2" s="181">
        <f>Lpgpropbut!E10</f>
        <v>1.5384249177418052E-6</v>
      </c>
      <c r="F2" s="181">
        <f>Lpgpropbut!F10</f>
        <v>1.4119461065025211E-6</v>
      </c>
      <c r="G2" s="181">
        <f>Lpgpropbut!G10</f>
        <v>1.4121502159888984E-6</v>
      </c>
      <c r="H2" s="181">
        <f>Lpgpropbut!H10</f>
        <v>1.4037979049245661E-6</v>
      </c>
      <c r="I2" s="181">
        <f>Lpgpropbut!I10</f>
        <v>1.4146929926908572E-6</v>
      </c>
      <c r="J2" s="181">
        <f>Lpgpropbut!J10</f>
        <v>1.4436658103871869E-6</v>
      </c>
      <c r="K2" s="181">
        <f>Lpgpropbut!K10</f>
        <v>1.483140333583044E-6</v>
      </c>
      <c r="L2" s="181">
        <f>Lpgpropbut!L10</f>
        <v>1.5085411095329675E-6</v>
      </c>
      <c r="M2" s="181">
        <f>Lpgpropbut!M10</f>
        <v>1.5353512887288711E-6</v>
      </c>
      <c r="N2" s="181">
        <f>Lpgpropbut!N10</f>
        <v>1.5874317311558916E-6</v>
      </c>
      <c r="O2" s="181">
        <f>Lpgpropbut!O10</f>
        <v>1.6066526418560427E-6</v>
      </c>
      <c r="P2" s="181">
        <f>Lpgpropbut!P10</f>
        <v>1.6291671336398721E-6</v>
      </c>
      <c r="Q2" s="181">
        <f>Lpgpropbut!Q10</f>
        <v>1.6400857757247133E-6</v>
      </c>
      <c r="R2" s="181">
        <f>Lpgpropbut!R10</f>
        <v>1.6474017805959891E-6</v>
      </c>
      <c r="S2" s="181">
        <f>Lpgpropbut!S10</f>
        <v>1.6576919163445435E-6</v>
      </c>
      <c r="T2" s="181">
        <f>Lpgpropbut!T10</f>
        <v>1.6709562667935735E-6</v>
      </c>
      <c r="U2" s="181">
        <f>Lpgpropbut!U10</f>
        <v>1.6830180896485237E-6</v>
      </c>
      <c r="V2" s="181">
        <f>Lpgpropbut!V10</f>
        <v>1.6887546978289074E-6</v>
      </c>
      <c r="W2" s="181">
        <f>Lpgpropbut!W10</f>
        <v>1.7086166045218E-6</v>
      </c>
      <c r="X2" s="181">
        <f>Lpgpropbut!X10</f>
        <v>1.7200729724198315E-6</v>
      </c>
      <c r="Y2" s="181">
        <f>Lpgpropbut!Y10</f>
        <v>1.7207611608728736E-6</v>
      </c>
      <c r="Z2" s="181">
        <f>Lpgpropbut!Z10</f>
        <v>1.7330472946048459E-6</v>
      </c>
      <c r="AA2" s="181">
        <f>Lpgpropbut!AA10</f>
        <v>1.7477330350171218E-6</v>
      </c>
      <c r="AB2" s="181">
        <f>Lpgpropbut!AB10</f>
        <v>1.7495519984070187E-6</v>
      </c>
      <c r="AC2" s="181">
        <f>Lpgpropbut!AC10</f>
        <v>1.7567213126823349E-6</v>
      </c>
      <c r="AD2" s="181">
        <f>Lpgpropbut!AD10</f>
        <v>1.7613989824062858E-6</v>
      </c>
      <c r="AE2" s="181">
        <f>Lpgpropbut!AE10</f>
        <v>1.7636706748869137E-6</v>
      </c>
      <c r="AF2" s="181">
        <f>Lpgpropbut!AF10</f>
        <v>1.7619510419862818E-6</v>
      </c>
    </row>
    <row r="3" spans="1:32">
      <c r="A3" s="13" t="s">
        <v>165</v>
      </c>
      <c r="B3" s="181">
        <f>Lpgpropbut!B11</f>
        <v>1.3345992615105394E-6</v>
      </c>
      <c r="C3" s="181">
        <f>Lpgpropbut!C11</f>
        <v>1.1367867519855887E-6</v>
      </c>
      <c r="D3" s="181">
        <f>Lpgpropbut!D11</f>
        <v>1.4881308056005464E-6</v>
      </c>
      <c r="E3" s="181">
        <f>Lpgpropbut!E11</f>
        <v>1.5788758220443142E-6</v>
      </c>
      <c r="F3" s="181">
        <f>Lpgpropbut!F11</f>
        <v>1.3843604267131916E-6</v>
      </c>
      <c r="G3" s="181">
        <f>Lpgpropbut!G11</f>
        <v>1.3825156960942647E-6</v>
      </c>
      <c r="H3" s="181">
        <f>Lpgpropbut!H11</f>
        <v>1.3695149867829508E-6</v>
      </c>
      <c r="I3" s="181">
        <f>Lpgpropbut!I11</f>
        <v>1.3858663403903408E-6</v>
      </c>
      <c r="J3" s="181">
        <f>Lpgpropbut!J11</f>
        <v>1.4304572025091029E-6</v>
      </c>
      <c r="K3" s="181">
        <f>Lpgpropbut!K11</f>
        <v>1.4924329953515846E-6</v>
      </c>
      <c r="L3" s="181">
        <f>Lpgpropbut!L11</f>
        <v>1.5334250455816953E-6</v>
      </c>
      <c r="M3" s="181">
        <f>Lpgpropbut!M11</f>
        <v>1.5767638340179984E-6</v>
      </c>
      <c r="N3" s="181">
        <f>Lpgpropbut!N11</f>
        <v>1.6155819361371371E-6</v>
      </c>
      <c r="O3" s="181">
        <f>Lpgpropbut!O11</f>
        <v>1.6475044698916512E-6</v>
      </c>
      <c r="P3" s="181">
        <f>Lpgpropbut!P11</f>
        <v>1.6783971354081396E-6</v>
      </c>
      <c r="Q3" s="181">
        <f>Lpgpropbut!Q11</f>
        <v>1.6970337034756971E-6</v>
      </c>
      <c r="R3" s="181">
        <f>Lpgpropbut!R11</f>
        <v>1.7096413807711628E-6</v>
      </c>
      <c r="S3" s="181">
        <f>Lpgpropbut!S11</f>
        <v>1.7270736542356262E-6</v>
      </c>
      <c r="T3" s="181">
        <f>Lpgpropbut!T11</f>
        <v>1.7495671284881158E-6</v>
      </c>
      <c r="U3" s="181">
        <f>Lpgpropbut!U11</f>
        <v>1.7702291804497186E-6</v>
      </c>
      <c r="V3" s="181">
        <f>Lpgpropbut!V11</f>
        <v>1.7804049244225953E-6</v>
      </c>
      <c r="W3" s="181">
        <f>Lpgpropbut!W11</f>
        <v>1.8141112104732881E-6</v>
      </c>
      <c r="X3" s="181">
        <f>Lpgpropbut!X11</f>
        <v>1.8341978408740846E-6</v>
      </c>
      <c r="Y3" s="181">
        <f>Lpgpropbut!Y11</f>
        <v>1.8360204273078257E-6</v>
      </c>
      <c r="Z3" s="181">
        <f>Lpgpropbut!Z11</f>
        <v>1.8571529613910943E-6</v>
      </c>
      <c r="AA3" s="181">
        <f>Lpgpropbut!AA11</f>
        <v>1.8826786618285678E-6</v>
      </c>
      <c r="AB3" s="181">
        <f>Lpgpropbut!AB11</f>
        <v>1.8864643357330803E-6</v>
      </c>
      <c r="AC3" s="181">
        <f>Lpgpropbut!AC11</f>
        <v>1.8990762673301351E-6</v>
      </c>
      <c r="AD3" s="181">
        <f>Lpgpropbut!AD11</f>
        <v>1.9075242194353985E-6</v>
      </c>
      <c r="AE3" s="181">
        <f>Lpgpropbut!AE11</f>
        <v>1.9118049195091911E-6</v>
      </c>
      <c r="AF3" s="181">
        <f>Lpgpropbut!AF11</f>
        <v>1.9092068502553943E-6</v>
      </c>
    </row>
    <row r="4" spans="1:32">
      <c r="A4" s="13" t="s">
        <v>166</v>
      </c>
      <c r="B4" s="181">
        <f>Lpgpropbut!B12</f>
        <v>2.0507070938296238E-6</v>
      </c>
      <c r="C4" s="181">
        <f>Lpgpropbut!C12</f>
        <v>1.7467540434795691E-6</v>
      </c>
      <c r="D4" s="181">
        <f>Lpgpropbut!D12</f>
        <v>2.2866192778627833E-6</v>
      </c>
      <c r="E4" s="181">
        <f>Lpgpropbut!E12</f>
        <v>2.4713265679194558E-6</v>
      </c>
      <c r="F4" s="181">
        <f>Lpgpropbut!F12</f>
        <v>2.4478111941193523E-6</v>
      </c>
      <c r="G4" s="181">
        <f>Lpgpropbut!G12</f>
        <v>2.4525320210703561E-6</v>
      </c>
      <c r="H4" s="181">
        <f>Lpgpropbut!H12</f>
        <v>2.4465677957545291E-6</v>
      </c>
      <c r="I4" s="181">
        <f>Lpgpropbut!I12</f>
        <v>2.4556772878576297E-6</v>
      </c>
      <c r="J4" s="181">
        <f>Lpgpropbut!J12</f>
        <v>2.4891215429597375E-6</v>
      </c>
      <c r="K4" s="181">
        <f>Lpgpropbut!K12</f>
        <v>2.544619276805947E-6</v>
      </c>
      <c r="L4" s="181">
        <f>Lpgpropbut!L12</f>
        <v>2.5970937103568901E-6</v>
      </c>
      <c r="M4" s="181">
        <f>Lpgpropbut!M12</f>
        <v>2.6513817835153842E-6</v>
      </c>
      <c r="N4" s="181">
        <f>Lpgpropbut!N12</f>
        <v>2.7224370564844098E-6</v>
      </c>
      <c r="O4" s="181">
        <f>Lpgpropbut!O12</f>
        <v>2.7690476263268224E-6</v>
      </c>
      <c r="P4" s="181">
        <f>Lpgpropbut!P12</f>
        <v>2.8152425948155867E-6</v>
      </c>
      <c r="Q4" s="181">
        <f>Lpgpropbut!Q12</f>
        <v>2.8491936600703334E-6</v>
      </c>
      <c r="R4" s="181">
        <f>Lpgpropbut!R12</f>
        <v>2.874946044075889E-6</v>
      </c>
      <c r="S4" s="181">
        <f>Lpgpropbut!S12</f>
        <v>2.8996288266463195E-6</v>
      </c>
      <c r="T4" s="181">
        <f>Lpgpropbut!T12</f>
        <v>2.9264107951576819E-6</v>
      </c>
      <c r="U4" s="181">
        <f>Lpgpropbut!U12</f>
        <v>2.9526925520526132E-6</v>
      </c>
      <c r="V4" s="181">
        <f>Lpgpropbut!V12</f>
        <v>2.972196973685021E-6</v>
      </c>
      <c r="W4" s="181">
        <f>Lpgpropbut!W12</f>
        <v>3.0037037069835114E-6</v>
      </c>
      <c r="X4" s="181">
        <f>Lpgpropbut!X12</f>
        <v>3.0311322256161021E-6</v>
      </c>
      <c r="Y4" s="181">
        <f>Lpgpropbut!Y12</f>
        <v>3.0460617330902966E-6</v>
      </c>
      <c r="Z4" s="181">
        <f>Lpgpropbut!Z12</f>
        <v>3.0677663408389412E-6</v>
      </c>
      <c r="AA4" s="181">
        <f>Lpgpropbut!AA12</f>
        <v>3.0941428186569874E-6</v>
      </c>
      <c r="AB4" s="181">
        <f>Lpgpropbut!AB12</f>
        <v>3.1091567235379494E-6</v>
      </c>
      <c r="AC4" s="181">
        <f>Lpgpropbut!AC12</f>
        <v>3.1253140908884652E-6</v>
      </c>
      <c r="AD4" s="181">
        <f>Lpgpropbut!AD12</f>
        <v>3.138648029734267E-6</v>
      </c>
      <c r="AE4" s="181">
        <f>Lpgpropbut!AE12</f>
        <v>3.1481502411702646E-6</v>
      </c>
      <c r="AF4" s="181">
        <f>Lpgpropbut!AF12</f>
        <v>3.1515638129543428E-6</v>
      </c>
    </row>
    <row r="5" spans="1:32">
      <c r="A5" s="13" t="s">
        <v>167</v>
      </c>
      <c r="B5" s="181">
        <f>Lpgpropbut!B13</f>
        <v>1.2263060642908275E-6</v>
      </c>
      <c r="C5" s="181">
        <f>Lpgpropbut!C13</f>
        <v>1.0445446269673301E-6</v>
      </c>
      <c r="D5" s="181">
        <f>Lpgpropbut!D13</f>
        <v>1.367379620231816E-6</v>
      </c>
      <c r="E5" s="181">
        <f>Lpgpropbut!E13</f>
        <v>1.4414044433866574E-6</v>
      </c>
      <c r="F5" s="181">
        <f>Lpgpropbut!F13</f>
        <v>1.3284855891407695E-6</v>
      </c>
      <c r="G5" s="181">
        <f>Lpgpropbut!G13</f>
        <v>1.3230648048198973E-6</v>
      </c>
      <c r="H5" s="181">
        <f>Lpgpropbut!H13</f>
        <v>1.3139175996420343E-6</v>
      </c>
      <c r="I5" s="181">
        <f>Lpgpropbut!I13</f>
        <v>1.3235301253709378E-6</v>
      </c>
      <c r="J5" s="181">
        <f>Lpgpropbut!J13</f>
        <v>1.3516598623198782E-6</v>
      </c>
      <c r="K5" s="181">
        <f>Lpgpropbut!K13</f>
        <v>1.3912247699520666E-6</v>
      </c>
      <c r="L5" s="181">
        <f>Lpgpropbut!L13</f>
        <v>1.4183335666896496E-6</v>
      </c>
      <c r="M5" s="181">
        <f>Lpgpropbut!M13</f>
        <v>1.4461668664337525E-6</v>
      </c>
      <c r="N5" s="181">
        <f>Lpgpropbut!N13</f>
        <v>1.4889185103995411E-6</v>
      </c>
      <c r="O5" s="181">
        <f>Lpgpropbut!O13</f>
        <v>1.509286744215034E-6</v>
      </c>
      <c r="P5" s="181">
        <f>Lpgpropbut!P13</f>
        <v>1.5311977757856027E-6</v>
      </c>
      <c r="Q5" s="181">
        <f>Lpgpropbut!Q13</f>
        <v>1.5431997716592491E-6</v>
      </c>
      <c r="R5" s="181">
        <f>Lpgpropbut!R13</f>
        <v>1.5512627326571152E-6</v>
      </c>
      <c r="S5" s="181">
        <f>Lpgpropbut!S13</f>
        <v>1.5618903047796106E-6</v>
      </c>
      <c r="T5" s="181">
        <f>Lpgpropbut!T13</f>
        <v>1.5755291084399105E-6</v>
      </c>
      <c r="U5" s="181">
        <f>Lpgpropbut!U13</f>
        <v>1.5882088933570213E-6</v>
      </c>
      <c r="V5" s="181">
        <f>Lpgpropbut!V13</f>
        <v>1.5947434637099161E-6</v>
      </c>
      <c r="W5" s="181">
        <f>Lpgpropbut!W13</f>
        <v>1.6145819087948165E-6</v>
      </c>
      <c r="X5" s="181">
        <f>Lpgpropbut!X13</f>
        <v>1.6270804406247252E-6</v>
      </c>
      <c r="Y5" s="181">
        <f>Lpgpropbut!Y13</f>
        <v>1.6287838994864016E-6</v>
      </c>
      <c r="Z5" s="181">
        <f>Lpgpropbut!Z13</f>
        <v>1.6410230305712788E-6</v>
      </c>
      <c r="AA5" s="181">
        <f>Lpgpropbut!AA13</f>
        <v>1.6561616289458966E-6</v>
      </c>
      <c r="AB5" s="181">
        <f>Lpgpropbut!AB13</f>
        <v>1.6590495996528241E-6</v>
      </c>
      <c r="AC5" s="181">
        <f>Lpgpropbut!AC13</f>
        <v>1.6664066122556664E-6</v>
      </c>
      <c r="AD5" s="181">
        <f>Lpgpropbut!AD13</f>
        <v>1.6715147331820401E-6</v>
      </c>
      <c r="AE5" s="181">
        <f>Lpgpropbut!AE13</f>
        <v>1.6741641134140896E-6</v>
      </c>
      <c r="AF5" s="181">
        <f>Lpgpropbut!AF13</f>
        <v>1.6727674968923239E-6</v>
      </c>
    </row>
    <row r="6" spans="1:32">
      <c r="A6" s="13" t="s">
        <v>168</v>
      </c>
      <c r="B6" s="181">
        <f>Lpgpropbut!B14</f>
        <v>1.3345992615105394E-6</v>
      </c>
      <c r="C6" s="181">
        <f>Lpgpropbut!C14</f>
        <v>1.1367867519855887E-6</v>
      </c>
      <c r="D6" s="181">
        <f>Lpgpropbut!D14</f>
        <v>1.4881308056005464E-6</v>
      </c>
      <c r="E6" s="181">
        <f>Lpgpropbut!E14</f>
        <v>1.5788758220443142E-6</v>
      </c>
      <c r="F6" s="181">
        <f>Lpgpropbut!F14</f>
        <v>1.3843604267131916E-6</v>
      </c>
      <c r="G6" s="181">
        <f>Lpgpropbut!G14</f>
        <v>1.3825156960942647E-6</v>
      </c>
      <c r="H6" s="181">
        <f>Lpgpropbut!H14</f>
        <v>1.3695149867829508E-6</v>
      </c>
      <c r="I6" s="181">
        <f>Lpgpropbut!I14</f>
        <v>1.3858663403903408E-6</v>
      </c>
      <c r="J6" s="181">
        <f>Lpgpropbut!J14</f>
        <v>1.4304572025091029E-6</v>
      </c>
      <c r="K6" s="181">
        <f>Lpgpropbut!K14</f>
        <v>1.4924329953515846E-6</v>
      </c>
      <c r="L6" s="181">
        <f>Lpgpropbut!L14</f>
        <v>1.5334250455816953E-6</v>
      </c>
      <c r="M6" s="181">
        <f>Lpgpropbut!M14</f>
        <v>1.5767638340179984E-6</v>
      </c>
      <c r="N6" s="181">
        <f>Lpgpropbut!N14</f>
        <v>1.6155819361371371E-6</v>
      </c>
      <c r="O6" s="181">
        <f>Lpgpropbut!O14</f>
        <v>1.6475044698916512E-6</v>
      </c>
      <c r="P6" s="181">
        <f>Lpgpropbut!P14</f>
        <v>1.6783971354081396E-6</v>
      </c>
      <c r="Q6" s="181">
        <f>Lpgpropbut!Q14</f>
        <v>1.6970337034756971E-6</v>
      </c>
      <c r="R6" s="181">
        <f>Lpgpropbut!R14</f>
        <v>1.7096413807711628E-6</v>
      </c>
      <c r="S6" s="181">
        <f>Lpgpropbut!S14</f>
        <v>1.7270736542356262E-6</v>
      </c>
      <c r="T6" s="181">
        <f>Lpgpropbut!T14</f>
        <v>1.7495671284881158E-6</v>
      </c>
      <c r="U6" s="181">
        <f>Lpgpropbut!U14</f>
        <v>1.7702291804497186E-6</v>
      </c>
      <c r="V6" s="181">
        <f>Lpgpropbut!V14</f>
        <v>1.7804049244225953E-6</v>
      </c>
      <c r="W6" s="181">
        <f>Lpgpropbut!W14</f>
        <v>1.8141112104732881E-6</v>
      </c>
      <c r="X6" s="181">
        <f>Lpgpropbut!X14</f>
        <v>1.8341978408740846E-6</v>
      </c>
      <c r="Y6" s="181">
        <f>Lpgpropbut!Y14</f>
        <v>1.8360204273078257E-6</v>
      </c>
      <c r="Z6" s="181">
        <f>Lpgpropbut!Z14</f>
        <v>1.8571529613910943E-6</v>
      </c>
      <c r="AA6" s="181">
        <f>Lpgpropbut!AA14</f>
        <v>1.8826786618285678E-6</v>
      </c>
      <c r="AB6" s="181">
        <f>Lpgpropbut!AB14</f>
        <v>1.8864643357330803E-6</v>
      </c>
      <c r="AC6" s="181">
        <f>Lpgpropbut!AC14</f>
        <v>1.8990762673301351E-6</v>
      </c>
      <c r="AD6" s="181">
        <f>Lpgpropbut!AD14</f>
        <v>1.9075242194353985E-6</v>
      </c>
      <c r="AE6" s="181">
        <f>Lpgpropbut!AE14</f>
        <v>1.9118049195091911E-6</v>
      </c>
      <c r="AF6" s="181">
        <f>Lpgpropbut!AF14</f>
        <v>1.9092068502553943E-6</v>
      </c>
    </row>
    <row r="7" spans="1:32">
      <c r="A7" s="13" t="s">
        <v>169</v>
      </c>
      <c r="B7" s="181">
        <v>0</v>
      </c>
      <c r="C7" s="181">
        <v>0</v>
      </c>
      <c r="D7" s="181">
        <v>0</v>
      </c>
      <c r="E7" s="181">
        <v>0</v>
      </c>
      <c r="F7" s="181">
        <v>0</v>
      </c>
      <c r="G7" s="181">
        <v>0</v>
      </c>
      <c r="H7" s="181">
        <v>0</v>
      </c>
      <c r="I7" s="181">
        <v>0</v>
      </c>
      <c r="J7" s="181">
        <v>0</v>
      </c>
      <c r="K7" s="181">
        <v>0</v>
      </c>
      <c r="L7" s="181">
        <v>0</v>
      </c>
      <c r="M7" s="181">
        <v>0</v>
      </c>
      <c r="N7" s="181">
        <v>0</v>
      </c>
      <c r="O7" s="181">
        <v>0</v>
      </c>
      <c r="P7" s="181">
        <v>0</v>
      </c>
      <c r="Q7" s="181">
        <v>0</v>
      </c>
      <c r="R7" s="181">
        <v>0</v>
      </c>
      <c r="S7" s="181">
        <v>0</v>
      </c>
      <c r="T7" s="181">
        <v>0</v>
      </c>
      <c r="U7" s="181">
        <v>0</v>
      </c>
      <c r="V7" s="181">
        <v>0</v>
      </c>
      <c r="W7" s="181">
        <v>0</v>
      </c>
      <c r="X7" s="181">
        <v>0</v>
      </c>
      <c r="Y7" s="181">
        <v>0</v>
      </c>
      <c r="Z7" s="181">
        <v>0</v>
      </c>
      <c r="AA7" s="181">
        <v>0</v>
      </c>
      <c r="AB7" s="181">
        <v>0</v>
      </c>
      <c r="AC7" s="181">
        <v>0</v>
      </c>
      <c r="AD7" s="181">
        <v>0</v>
      </c>
      <c r="AE7" s="181">
        <v>0</v>
      </c>
      <c r="AF7" s="181">
        <v>0</v>
      </c>
    </row>
    <row r="8" spans="1:32">
      <c r="A8" s="13" t="s">
        <v>170</v>
      </c>
      <c r="B8" s="181">
        <v>0</v>
      </c>
      <c r="C8" s="181">
        <v>0</v>
      </c>
      <c r="D8" s="181">
        <v>0</v>
      </c>
      <c r="E8" s="181">
        <v>0</v>
      </c>
      <c r="F8" s="181">
        <v>0</v>
      </c>
      <c r="G8" s="181">
        <v>0</v>
      </c>
      <c r="H8" s="181">
        <v>0</v>
      </c>
      <c r="I8" s="181">
        <v>0</v>
      </c>
      <c r="J8" s="181">
        <v>0</v>
      </c>
      <c r="K8" s="181">
        <v>0</v>
      </c>
      <c r="L8" s="181">
        <v>0</v>
      </c>
      <c r="M8" s="181">
        <v>0</v>
      </c>
      <c r="N8" s="181">
        <v>0</v>
      </c>
      <c r="O8" s="181">
        <v>0</v>
      </c>
      <c r="P8" s="181">
        <v>0</v>
      </c>
      <c r="Q8" s="181">
        <v>0</v>
      </c>
      <c r="R8" s="181">
        <v>0</v>
      </c>
      <c r="S8" s="181">
        <v>0</v>
      </c>
      <c r="T8" s="181">
        <v>0</v>
      </c>
      <c r="U8" s="181">
        <v>0</v>
      </c>
      <c r="V8" s="181">
        <v>0</v>
      </c>
      <c r="W8" s="181">
        <v>0</v>
      </c>
      <c r="X8" s="181">
        <v>0</v>
      </c>
      <c r="Y8" s="181">
        <v>0</v>
      </c>
      <c r="Z8" s="181">
        <v>0</v>
      </c>
      <c r="AA8" s="181">
        <v>0</v>
      </c>
      <c r="AB8" s="181">
        <v>0</v>
      </c>
      <c r="AC8" s="181">
        <v>0</v>
      </c>
      <c r="AD8" s="181">
        <v>0</v>
      </c>
      <c r="AE8" s="181">
        <v>0</v>
      </c>
      <c r="AF8" s="181">
        <v>0</v>
      </c>
    </row>
    <row r="9" spans="1:32">
      <c r="A9" s="13" t="s">
        <v>171</v>
      </c>
      <c r="B9" s="181">
        <f t="shared" ref="B9:AF9" si="0">B6</f>
        <v>1.3345992615105394E-6</v>
      </c>
      <c r="C9" s="181">
        <f t="shared" si="0"/>
        <v>1.1367867519855887E-6</v>
      </c>
      <c r="D9" s="181">
        <f t="shared" si="0"/>
        <v>1.4881308056005464E-6</v>
      </c>
      <c r="E9" s="181">
        <f t="shared" si="0"/>
        <v>1.5788758220443142E-6</v>
      </c>
      <c r="F9" s="181">
        <f t="shared" si="0"/>
        <v>1.3843604267131916E-6</v>
      </c>
      <c r="G9" s="181">
        <f t="shared" si="0"/>
        <v>1.3825156960942647E-6</v>
      </c>
      <c r="H9" s="181">
        <f t="shared" si="0"/>
        <v>1.3695149867829508E-6</v>
      </c>
      <c r="I9" s="181">
        <f t="shared" si="0"/>
        <v>1.3858663403903408E-6</v>
      </c>
      <c r="J9" s="181">
        <f t="shared" si="0"/>
        <v>1.4304572025091029E-6</v>
      </c>
      <c r="K9" s="181">
        <f t="shared" si="0"/>
        <v>1.4924329953515846E-6</v>
      </c>
      <c r="L9" s="181">
        <f t="shared" si="0"/>
        <v>1.5334250455816953E-6</v>
      </c>
      <c r="M9" s="181">
        <f t="shared" si="0"/>
        <v>1.5767638340179984E-6</v>
      </c>
      <c r="N9" s="181">
        <f t="shared" si="0"/>
        <v>1.6155819361371371E-6</v>
      </c>
      <c r="O9" s="181">
        <f t="shared" si="0"/>
        <v>1.6475044698916512E-6</v>
      </c>
      <c r="P9" s="181">
        <f t="shared" si="0"/>
        <v>1.6783971354081396E-6</v>
      </c>
      <c r="Q9" s="181">
        <f t="shared" si="0"/>
        <v>1.6970337034756971E-6</v>
      </c>
      <c r="R9" s="181">
        <f t="shared" si="0"/>
        <v>1.7096413807711628E-6</v>
      </c>
      <c r="S9" s="181">
        <f t="shared" si="0"/>
        <v>1.7270736542356262E-6</v>
      </c>
      <c r="T9" s="181">
        <f t="shared" si="0"/>
        <v>1.7495671284881158E-6</v>
      </c>
      <c r="U9" s="181">
        <f t="shared" si="0"/>
        <v>1.7702291804497186E-6</v>
      </c>
      <c r="V9" s="181">
        <f t="shared" si="0"/>
        <v>1.7804049244225953E-6</v>
      </c>
      <c r="W9" s="181">
        <f t="shared" si="0"/>
        <v>1.8141112104732881E-6</v>
      </c>
      <c r="X9" s="181">
        <f t="shared" si="0"/>
        <v>1.8341978408740846E-6</v>
      </c>
      <c r="Y9" s="181">
        <f t="shared" si="0"/>
        <v>1.8360204273078257E-6</v>
      </c>
      <c r="Z9" s="181">
        <f t="shared" si="0"/>
        <v>1.8571529613910943E-6</v>
      </c>
      <c r="AA9" s="181">
        <f t="shared" si="0"/>
        <v>1.8826786618285678E-6</v>
      </c>
      <c r="AB9" s="181">
        <f t="shared" si="0"/>
        <v>1.8864643357330803E-6</v>
      </c>
      <c r="AC9" s="181">
        <f t="shared" si="0"/>
        <v>1.8990762673301351E-6</v>
      </c>
      <c r="AD9" s="181">
        <f t="shared" si="0"/>
        <v>1.9075242194353985E-6</v>
      </c>
      <c r="AE9" s="181">
        <f t="shared" si="0"/>
        <v>1.9118049195091911E-6</v>
      </c>
      <c r="AF9" s="181">
        <f t="shared" si="0"/>
        <v>1.9092068502553943E-6</v>
      </c>
    </row>
  </sheetData>
  <pageMargins left="0.7" right="0.7" top="0.75" bottom="0.75" header="0.3" footer="0.3"/>
  <pageSetup orientation="portrait"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002060"/>
  </sheetPr>
  <dimension ref="A1:AF9"/>
  <sheetViews>
    <sheetView workbookViewId="0">
      <selection activeCell="A2" sqref="A2:A6"/>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2">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row>
    <row r="2" spans="1:32">
      <c r="A2" s="13" t="s">
        <v>164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2">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2">
      <c r="A4" s="13" t="s">
        <v>166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2">
      <c r="A5" s="13" t="s">
        <v>167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2">
      <c r="A6" s="13" t="s">
        <v>168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2">
      <c r="A7" s="13"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2">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2">
      <c r="A9" s="13" t="s">
        <v>171</v>
      </c>
      <c r="B9">
        <f t="shared" ref="B9:V9" si="0">B6</f>
        <v>0</v>
      </c>
      <c r="C9">
        <f t="shared" si="0"/>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v>0</v>
      </c>
      <c r="X9">
        <v>0</v>
      </c>
      <c r="Y9">
        <v>0</v>
      </c>
      <c r="Z9">
        <v>0</v>
      </c>
      <c r="AA9">
        <v>0</v>
      </c>
      <c r="AB9">
        <v>0</v>
      </c>
      <c r="AC9">
        <v>0</v>
      </c>
      <c r="AD9">
        <v>0</v>
      </c>
      <c r="AE9">
        <v>0</v>
      </c>
      <c r="AF9">
        <v>0</v>
      </c>
    </row>
  </sheetData>
  <pageMargins left="0.7" right="0.7" top="0.75" bottom="0.75" header="0.3" footer="0.3"/>
  <pageSetup orientation="portrait"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002060"/>
  </sheetPr>
  <dimension ref="A1:AF9"/>
  <sheetViews>
    <sheetView workbookViewId="0">
      <selection activeCell="D14" sqref="D14"/>
    </sheetView>
  </sheetViews>
  <sheetFormatPr defaultColWidth="9.1796875" defaultRowHeight="14.5"/>
  <cols>
    <col min="1" max="1" width="41.453125" style="14" customWidth="1"/>
    <col min="2" max="24" width="10" style="14" customWidth="1"/>
    <col min="25" max="26" width="9.1796875" style="14" customWidth="1"/>
    <col min="27" max="16384" width="9.1796875" style="14"/>
  </cols>
  <sheetData>
    <row r="1" spans="1:32">
      <c r="A1" s="13" t="s">
        <v>172</v>
      </c>
      <c r="B1" s="13">
        <v>2020</v>
      </c>
      <c r="C1" s="13">
        <v>2021</v>
      </c>
      <c r="D1" s="13">
        <v>2022</v>
      </c>
      <c r="E1" s="13">
        <v>2023</v>
      </c>
      <c r="F1" s="13">
        <v>2024</v>
      </c>
      <c r="G1" s="13">
        <v>2025</v>
      </c>
      <c r="H1" s="13">
        <v>2026</v>
      </c>
      <c r="I1" s="13">
        <v>2027</v>
      </c>
      <c r="J1" s="13">
        <v>2028</v>
      </c>
      <c r="K1" s="13">
        <v>2029</v>
      </c>
      <c r="L1" s="13">
        <v>2030</v>
      </c>
      <c r="M1" s="13">
        <v>2031</v>
      </c>
      <c r="N1" s="13">
        <v>2032</v>
      </c>
      <c r="O1" s="13">
        <v>2033</v>
      </c>
      <c r="P1" s="13">
        <v>2034</v>
      </c>
      <c r="Q1" s="13">
        <v>2035</v>
      </c>
      <c r="R1" s="13">
        <v>2036</v>
      </c>
      <c r="S1" s="13">
        <v>2037</v>
      </c>
      <c r="T1" s="13">
        <v>2038</v>
      </c>
      <c r="U1" s="13">
        <v>2039</v>
      </c>
      <c r="V1" s="13">
        <v>2040</v>
      </c>
      <c r="W1" s="13">
        <v>2041</v>
      </c>
      <c r="X1" s="13">
        <v>2042</v>
      </c>
      <c r="Y1" s="13">
        <v>2043</v>
      </c>
      <c r="Z1" s="13">
        <v>2044</v>
      </c>
      <c r="AA1" s="13">
        <v>2045</v>
      </c>
      <c r="AB1" s="13">
        <v>2046</v>
      </c>
      <c r="AC1" s="13">
        <v>2047</v>
      </c>
      <c r="AD1" s="13">
        <v>2048</v>
      </c>
      <c r="AE1" s="13">
        <v>2049</v>
      </c>
      <c r="AF1" s="13">
        <v>2050</v>
      </c>
    </row>
    <row r="2" spans="1:32">
      <c r="A2" s="13" t="s">
        <v>164</v>
      </c>
      <c r="B2" s="21">
        <f>Hydrogen!E$41*#REF!*INDEX('Sales taxes'!$B$64:$AG$64,MATCH(B$1,'Sales taxes'!$B$43:$AG$43,0))</f>
        <v>5.2768520933097091E-6</v>
      </c>
      <c r="C2" s="21">
        <f>Hydrogen!F$41*#REF!*INDEX('Sales taxes'!$B$64:$AG$64,MATCH(C$1,'Sales taxes'!$B$43:$AG$43,0))</f>
        <v>4.8451926756206613E-6</v>
      </c>
      <c r="D2" s="21">
        <f>Hydrogen!G$41*#REF!*INDEX('Sales taxes'!$B$64:$AG$64,MATCH(D$1,'Sales taxes'!$B$43:$AG$43,0))</f>
        <v>4.4135332579317278E-6</v>
      </c>
      <c r="E2" s="21">
        <f>Hydrogen!H$41*#REF!*INDEX('Sales taxes'!$B$64:$AG$64,MATCH(E$1,'Sales taxes'!$B$43:$AG$43,0))</f>
        <v>3.9818738402426808E-6</v>
      </c>
      <c r="F2" s="21">
        <f>Hydrogen!I$41*#REF!*INDEX('Sales taxes'!$B$64:$AG$64,MATCH(F$1,'Sales taxes'!$B$43:$AG$43,0))</f>
        <v>3.5502144225536329E-6</v>
      </c>
      <c r="G2" s="21">
        <f>Hydrogen!J$41*#REF!*INDEX('Sales taxes'!$B$64:$AG$64,MATCH(G$1,'Sales taxes'!$B$43:$AG$43,0))</f>
        <v>3.1185550048645855E-6</v>
      </c>
      <c r="H2" s="21">
        <f>Hydrogen!K$41*#REF!*INDEX('Sales taxes'!$B$64:$AG$64,MATCH(H$1,'Sales taxes'!$B$43:$AG$43,0))</f>
        <v>2.686895587175652E-6</v>
      </c>
      <c r="I2" s="21">
        <f>Hydrogen!L$41*#REF!*INDEX('Sales taxes'!$B$64:$AG$64,MATCH(I$1,'Sales taxes'!$B$43:$AG$43,0))</f>
        <v>2.255236169486605E-6</v>
      </c>
      <c r="J2" s="21">
        <f>Hydrogen!M$41*#REF!*INDEX('Sales taxes'!$B$64:$AG$64,MATCH(J$1,'Sales taxes'!$B$43:$AG$43,0))</f>
        <v>1.8235767517975574E-6</v>
      </c>
      <c r="K2" s="21">
        <f>Hydrogen!N$41*#REF!*INDEX('Sales taxes'!$B$64:$AG$64,MATCH(K$1,'Sales taxes'!$B$43:$AG$43,0))</f>
        <v>1.3919173341086239E-6</v>
      </c>
      <c r="L2" s="21">
        <f>Hydrogen!O$41*#REF!*INDEX('Sales taxes'!$B$64:$AG$64,MATCH(L$1,'Sales taxes'!$B$43:$AG$43,0))</f>
        <v>9.6025791641957667E-7</v>
      </c>
      <c r="M2" s="21">
        <f>Hydrogen!P$41*#REF!*INDEX('Sales taxes'!$B$64:$AG$64,MATCH(M$1,'Sales taxes'!$B$43:$AG$43,0))</f>
        <v>9.3686076921739722E-7</v>
      </c>
      <c r="N2" s="21">
        <f>Hydrogen!Q$41*#REF!*INDEX('Sales taxes'!$B$64:$AG$64,MATCH(N$1,'Sales taxes'!$B$43:$AG$43,0))</f>
        <v>9.1346362201529645E-7</v>
      </c>
      <c r="O2" s="21">
        <f>Hydrogen!R$41*#REF!*INDEX('Sales taxes'!$B$64:$AG$64,MATCH(O$1,'Sales taxes'!$B$43:$AG$43,0))</f>
        <v>8.9006647481319567E-7</v>
      </c>
      <c r="P2" s="21">
        <f>Hydrogen!S$41*#REF!*INDEX('Sales taxes'!$B$64:$AG$64,MATCH(P$1,'Sales taxes'!$B$43:$AG$43,0))</f>
        <v>8.6666932761109511E-7</v>
      </c>
      <c r="Q2" s="21">
        <f>Hydrogen!T$41*#REF!*INDEX('Sales taxes'!$B$64:$AG$64,MATCH(Q$1,'Sales taxes'!$B$43:$AG$43,0))</f>
        <v>8.4327218040900143E-7</v>
      </c>
      <c r="R2" s="21">
        <f>Hydrogen!U$41*#REF!*INDEX('Sales taxes'!$B$64:$AG$64,MATCH(R$1,'Sales taxes'!$B$43:$AG$43,0))</f>
        <v>8.1987503320690065E-7</v>
      </c>
      <c r="S2" s="21">
        <f>Hydrogen!V$41*#REF!*INDEX('Sales taxes'!$B$64:$AG$64,MATCH(S$1,'Sales taxes'!$B$43:$AG$43,0))</f>
        <v>7.9647788600479987E-7</v>
      </c>
      <c r="T2" s="21">
        <f>Hydrogen!W$41*#REF!*INDEX('Sales taxes'!$B$64:$AG$64,MATCH(T$1,'Sales taxes'!$B$43:$AG$43,0))</f>
        <v>7.730807388026992E-7</v>
      </c>
      <c r="U2" s="21">
        <f>Hydrogen!X$41*#REF!*INDEX('Sales taxes'!$B$64:$AG$64,MATCH(U$1,'Sales taxes'!$B$43:$AG$43,0))</f>
        <v>7.4968359160059843E-7</v>
      </c>
      <c r="V2" s="21">
        <f>Hydrogen!Y$41*#REF!*INDEX('Sales taxes'!$B$64:$AG$64,MATCH(V$1,'Sales taxes'!$B$43:$AG$43,0))</f>
        <v>7.2628644439850485E-7</v>
      </c>
      <c r="W2" s="21">
        <f>Hydrogen!Z$41*#REF!*INDEX('Sales taxes'!$B$64:$AG$64,MATCH(W$1,'Sales taxes'!$B$43:$AG$43,0))</f>
        <v>7.0288929719640408E-7</v>
      </c>
      <c r="X2" s="21">
        <f>Hydrogen!AA$41*#REF!*INDEX('Sales taxes'!$B$64:$AG$64,MATCH(X$1,'Sales taxes'!$B$43:$AG$43,0))</f>
        <v>6.7949214999430341E-7</v>
      </c>
      <c r="Y2" s="21">
        <f>Hydrogen!AB$41*#REF!*INDEX('Sales taxes'!$B$64:$AG$64,MATCH(Y$1,'Sales taxes'!$B$43:$AG$43,0))</f>
        <v>6.5609500279220263E-7</v>
      </c>
      <c r="Z2" s="21">
        <f>Hydrogen!AC$41*#REF!*INDEX('Sales taxes'!$B$64:$AG$64,MATCH(Z$1,'Sales taxes'!$B$43:$AG$43,0))</f>
        <v>6.3269785559010186E-7</v>
      </c>
      <c r="AA2" s="21">
        <f>Hydrogen!AD$41*#REF!*INDEX('Sales taxes'!$B$64:$AG$64,MATCH(AA$1,'Sales taxes'!$B$43:$AG$43,0))</f>
        <v>6.0930070838800108E-7</v>
      </c>
      <c r="AB2" s="21">
        <f>Hydrogen!AE$41*#REF!*INDEX('Sales taxes'!$B$64:$AG$64,MATCH(AB$1,'Sales taxes'!$B$43:$AG$43,0))</f>
        <v>5.8590356118590761E-7</v>
      </c>
      <c r="AC2" s="21">
        <f>Hydrogen!AF$41*#REF!*INDEX('Sales taxes'!$B$64:$AG$64,MATCH(AC$1,'Sales taxes'!$B$43:$AG$43,0))</f>
        <v>5.6250641398380684E-7</v>
      </c>
      <c r="AD2" s="21">
        <f>Hydrogen!AG$41*#REF!*INDEX('Sales taxes'!$B$64:$AG$64,MATCH(AD$1,'Sales taxes'!$B$43:$AG$43,0))</f>
        <v>5.3910926678170606E-7</v>
      </c>
      <c r="AE2" s="21">
        <f>Hydrogen!AH$41*#REF!*INDEX('Sales taxes'!$B$64:$AG$64,MATCH(AE$1,'Sales taxes'!$B$43:$AG$43,0))</f>
        <v>5.1571211957960539E-7</v>
      </c>
      <c r="AF2" s="21">
        <f>Hydrogen!AI$41*#REF!*INDEX('Sales taxes'!$B$64:$AG$64,MATCH(AF$1,'Sales taxes'!$B$43:$AG$43,0))</f>
        <v>4.9231497237750461E-7</v>
      </c>
    </row>
    <row r="3" spans="1:32">
      <c r="A3" s="13" t="s">
        <v>165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2">
      <c r="A4" s="13" t="s">
        <v>166</v>
      </c>
      <c r="B4" s="21">
        <f>Hydrogen!E$41*#REF!*INDEX('Sales taxes'!$B$64:$AG$64,MATCH(B$1,'Sales taxes'!$B$43:$AG$43,0))</f>
        <v>5.2768520933097091E-6</v>
      </c>
      <c r="C4" s="21">
        <f>Hydrogen!F$41*#REF!*INDEX('Sales taxes'!$B$64:$AG$64,MATCH(C$1,'Sales taxes'!$B$43:$AG$43,0))</f>
        <v>4.8451926756206613E-6</v>
      </c>
      <c r="D4" s="21">
        <f>Hydrogen!G$41*#REF!*INDEX('Sales taxes'!$B$64:$AG$64,MATCH(D$1,'Sales taxes'!$B$43:$AG$43,0))</f>
        <v>4.4135332579317278E-6</v>
      </c>
      <c r="E4" s="21">
        <f>Hydrogen!H$41*#REF!*INDEX('Sales taxes'!$B$64:$AG$64,MATCH(E$1,'Sales taxes'!$B$43:$AG$43,0))</f>
        <v>3.9818738402426808E-6</v>
      </c>
      <c r="F4" s="21">
        <f>Hydrogen!I$41*#REF!*INDEX('Sales taxes'!$B$64:$AG$64,MATCH(F$1,'Sales taxes'!$B$43:$AG$43,0))</f>
        <v>3.5502144225536329E-6</v>
      </c>
      <c r="G4" s="21">
        <f>Hydrogen!J$41*#REF!*INDEX('Sales taxes'!$B$64:$AG$64,MATCH(G$1,'Sales taxes'!$B$43:$AG$43,0))</f>
        <v>3.1185550048645855E-6</v>
      </c>
      <c r="H4" s="21">
        <f>Hydrogen!K$41*#REF!*INDEX('Sales taxes'!$B$64:$AG$64,MATCH(H$1,'Sales taxes'!$B$43:$AG$43,0))</f>
        <v>2.686895587175652E-6</v>
      </c>
      <c r="I4" s="21">
        <f>Hydrogen!L$41*#REF!*INDEX('Sales taxes'!$B$64:$AG$64,MATCH(I$1,'Sales taxes'!$B$43:$AG$43,0))</f>
        <v>2.255236169486605E-6</v>
      </c>
      <c r="J4" s="21">
        <f>Hydrogen!M$41*#REF!*INDEX('Sales taxes'!$B$64:$AG$64,MATCH(J$1,'Sales taxes'!$B$43:$AG$43,0))</f>
        <v>1.8235767517975574E-6</v>
      </c>
      <c r="K4" s="21">
        <f>Hydrogen!N$41*#REF!*INDEX('Sales taxes'!$B$64:$AG$64,MATCH(K$1,'Sales taxes'!$B$43:$AG$43,0))</f>
        <v>1.3919173341086239E-6</v>
      </c>
      <c r="L4" s="21">
        <f>Hydrogen!O$41*#REF!*INDEX('Sales taxes'!$B$64:$AG$64,MATCH(L$1,'Sales taxes'!$B$43:$AG$43,0))</f>
        <v>9.6025791641957667E-7</v>
      </c>
      <c r="M4" s="21">
        <f>Hydrogen!P$41*#REF!*INDEX('Sales taxes'!$B$64:$AG$64,MATCH(M$1,'Sales taxes'!$B$43:$AG$43,0))</f>
        <v>9.3686076921739722E-7</v>
      </c>
      <c r="N4" s="21">
        <f>Hydrogen!Q$41*#REF!*INDEX('Sales taxes'!$B$64:$AG$64,MATCH(N$1,'Sales taxes'!$B$43:$AG$43,0))</f>
        <v>9.1346362201529645E-7</v>
      </c>
      <c r="O4" s="21">
        <f>Hydrogen!R$41*#REF!*INDEX('Sales taxes'!$B$64:$AG$64,MATCH(O$1,'Sales taxes'!$B$43:$AG$43,0))</f>
        <v>8.9006647481319567E-7</v>
      </c>
      <c r="P4" s="21">
        <f>Hydrogen!S$41*#REF!*INDEX('Sales taxes'!$B$64:$AG$64,MATCH(P$1,'Sales taxes'!$B$43:$AG$43,0))</f>
        <v>8.6666932761109511E-7</v>
      </c>
      <c r="Q4" s="21">
        <f>Hydrogen!T$41*#REF!*INDEX('Sales taxes'!$B$64:$AG$64,MATCH(Q$1,'Sales taxes'!$B$43:$AG$43,0))</f>
        <v>8.4327218040900143E-7</v>
      </c>
      <c r="R4" s="21">
        <f>Hydrogen!U$41*#REF!*INDEX('Sales taxes'!$B$64:$AG$64,MATCH(R$1,'Sales taxes'!$B$43:$AG$43,0))</f>
        <v>8.1987503320690065E-7</v>
      </c>
      <c r="S4" s="21">
        <f>Hydrogen!V$41*#REF!*INDEX('Sales taxes'!$B$64:$AG$64,MATCH(S$1,'Sales taxes'!$B$43:$AG$43,0))</f>
        <v>7.9647788600479987E-7</v>
      </c>
      <c r="T4" s="21">
        <f>Hydrogen!W$41*#REF!*INDEX('Sales taxes'!$B$64:$AG$64,MATCH(T$1,'Sales taxes'!$B$43:$AG$43,0))</f>
        <v>7.730807388026992E-7</v>
      </c>
      <c r="U4" s="21">
        <f>Hydrogen!X$41*#REF!*INDEX('Sales taxes'!$B$64:$AG$64,MATCH(U$1,'Sales taxes'!$B$43:$AG$43,0))</f>
        <v>7.4968359160059843E-7</v>
      </c>
      <c r="V4" s="21">
        <f>Hydrogen!Y$41*#REF!*INDEX('Sales taxes'!$B$64:$AG$64,MATCH(V$1,'Sales taxes'!$B$43:$AG$43,0))</f>
        <v>7.2628644439850485E-7</v>
      </c>
      <c r="W4" s="21">
        <f>Hydrogen!Z$41*#REF!*INDEX('Sales taxes'!$B$64:$AG$64,MATCH(W$1,'Sales taxes'!$B$43:$AG$43,0))</f>
        <v>7.0288929719640408E-7</v>
      </c>
      <c r="X4" s="21">
        <f>Hydrogen!AA$41*#REF!*INDEX('Sales taxes'!$B$64:$AG$64,MATCH(X$1,'Sales taxes'!$B$43:$AG$43,0))</f>
        <v>6.7949214999430341E-7</v>
      </c>
      <c r="Y4" s="21">
        <f>Hydrogen!AB$41*#REF!*INDEX('Sales taxes'!$B$64:$AG$64,MATCH(Y$1,'Sales taxes'!$B$43:$AG$43,0))</f>
        <v>6.5609500279220263E-7</v>
      </c>
      <c r="Z4" s="21">
        <f>Hydrogen!AC$41*#REF!*INDEX('Sales taxes'!$B$64:$AG$64,MATCH(Z$1,'Sales taxes'!$B$43:$AG$43,0))</f>
        <v>6.3269785559010186E-7</v>
      </c>
      <c r="AA4" s="21">
        <f>Hydrogen!AD$41*#REF!*INDEX('Sales taxes'!$B$64:$AG$64,MATCH(AA$1,'Sales taxes'!$B$43:$AG$43,0))</f>
        <v>6.0930070838800108E-7</v>
      </c>
      <c r="AB4" s="21">
        <f>Hydrogen!AE$41*#REF!*INDEX('Sales taxes'!$B$64:$AG$64,MATCH(AB$1,'Sales taxes'!$B$43:$AG$43,0))</f>
        <v>5.8590356118590761E-7</v>
      </c>
      <c r="AC4" s="21">
        <f>Hydrogen!AF$41*#REF!*INDEX('Sales taxes'!$B$64:$AG$64,MATCH(AC$1,'Sales taxes'!$B$43:$AG$43,0))</f>
        <v>5.6250641398380684E-7</v>
      </c>
      <c r="AD4" s="21">
        <f>Hydrogen!AG$41*#REF!*INDEX('Sales taxes'!$B$64:$AG$64,MATCH(AD$1,'Sales taxes'!$B$43:$AG$43,0))</f>
        <v>5.3910926678170606E-7</v>
      </c>
      <c r="AE4" s="21">
        <f>Hydrogen!AH$41*#REF!*INDEX('Sales taxes'!$B$64:$AG$64,MATCH(AE$1,'Sales taxes'!$B$43:$AG$43,0))</f>
        <v>5.1571211957960539E-7</v>
      </c>
      <c r="AF4" s="21">
        <f>Hydrogen!AI$41*#REF!*INDEX('Sales taxes'!$B$64:$AG$64,MATCH(AF$1,'Sales taxes'!$B$43:$AG$43,0))</f>
        <v>4.9231497237750461E-7</v>
      </c>
    </row>
    <row r="5" spans="1:32">
      <c r="A5" s="13" t="s">
        <v>167</v>
      </c>
      <c r="B5" s="21">
        <f>Hydrogen!E$41*#REF!*INDEX('Sales taxes'!$B$64:$AG$64,MATCH(B$1,'Sales taxes'!$B$43:$AG$43,0))</f>
        <v>5.2768520933097091E-6</v>
      </c>
      <c r="C5" s="21">
        <f>Hydrogen!F$41*#REF!*INDEX('Sales taxes'!$B$64:$AG$64,MATCH(C$1,'Sales taxes'!$B$43:$AG$43,0))</f>
        <v>4.8451926756206613E-6</v>
      </c>
      <c r="D5" s="21">
        <f>Hydrogen!G$41*#REF!*INDEX('Sales taxes'!$B$64:$AG$64,MATCH(D$1,'Sales taxes'!$B$43:$AG$43,0))</f>
        <v>4.4135332579317278E-6</v>
      </c>
      <c r="E5" s="21">
        <f>Hydrogen!H$41*#REF!*INDEX('Sales taxes'!$B$64:$AG$64,MATCH(E$1,'Sales taxes'!$B$43:$AG$43,0))</f>
        <v>3.9818738402426808E-6</v>
      </c>
      <c r="F5" s="21">
        <f>Hydrogen!I$41*#REF!*INDEX('Sales taxes'!$B$64:$AG$64,MATCH(F$1,'Sales taxes'!$B$43:$AG$43,0))</f>
        <v>3.5502144225536329E-6</v>
      </c>
      <c r="G5" s="21">
        <f>Hydrogen!J$41*#REF!*INDEX('Sales taxes'!$B$64:$AG$64,MATCH(G$1,'Sales taxes'!$B$43:$AG$43,0))</f>
        <v>3.1185550048645855E-6</v>
      </c>
      <c r="H5" s="21">
        <f>Hydrogen!K$41*#REF!*INDEX('Sales taxes'!$B$64:$AG$64,MATCH(H$1,'Sales taxes'!$B$43:$AG$43,0))</f>
        <v>2.686895587175652E-6</v>
      </c>
      <c r="I5" s="21">
        <f>Hydrogen!L$41*#REF!*INDEX('Sales taxes'!$B$64:$AG$64,MATCH(I$1,'Sales taxes'!$B$43:$AG$43,0))</f>
        <v>2.255236169486605E-6</v>
      </c>
      <c r="J5" s="21">
        <f>Hydrogen!M$41*#REF!*INDEX('Sales taxes'!$B$64:$AG$64,MATCH(J$1,'Sales taxes'!$B$43:$AG$43,0))</f>
        <v>1.8235767517975574E-6</v>
      </c>
      <c r="K5" s="21">
        <f>Hydrogen!N$41*#REF!*INDEX('Sales taxes'!$B$64:$AG$64,MATCH(K$1,'Sales taxes'!$B$43:$AG$43,0))</f>
        <v>1.3919173341086239E-6</v>
      </c>
      <c r="L5" s="21">
        <f>Hydrogen!O$41*#REF!*INDEX('Sales taxes'!$B$64:$AG$64,MATCH(L$1,'Sales taxes'!$B$43:$AG$43,0))</f>
        <v>9.6025791641957667E-7</v>
      </c>
      <c r="M5" s="21">
        <f>Hydrogen!P$41*#REF!*INDEX('Sales taxes'!$B$64:$AG$64,MATCH(M$1,'Sales taxes'!$B$43:$AG$43,0))</f>
        <v>9.3686076921739722E-7</v>
      </c>
      <c r="N5" s="21">
        <f>Hydrogen!Q$41*#REF!*INDEX('Sales taxes'!$B$64:$AG$64,MATCH(N$1,'Sales taxes'!$B$43:$AG$43,0))</f>
        <v>9.1346362201529645E-7</v>
      </c>
      <c r="O5" s="21">
        <f>Hydrogen!R$41*#REF!*INDEX('Sales taxes'!$B$64:$AG$64,MATCH(O$1,'Sales taxes'!$B$43:$AG$43,0))</f>
        <v>8.9006647481319567E-7</v>
      </c>
      <c r="P5" s="21">
        <f>Hydrogen!S$41*#REF!*INDEX('Sales taxes'!$B$64:$AG$64,MATCH(P$1,'Sales taxes'!$B$43:$AG$43,0))</f>
        <v>8.6666932761109511E-7</v>
      </c>
      <c r="Q5" s="21">
        <f>Hydrogen!T$41*#REF!*INDEX('Sales taxes'!$B$64:$AG$64,MATCH(Q$1,'Sales taxes'!$B$43:$AG$43,0))</f>
        <v>8.4327218040900143E-7</v>
      </c>
      <c r="R5" s="21">
        <f>Hydrogen!U$41*#REF!*INDEX('Sales taxes'!$B$64:$AG$64,MATCH(R$1,'Sales taxes'!$B$43:$AG$43,0))</f>
        <v>8.1987503320690065E-7</v>
      </c>
      <c r="S5" s="21">
        <f>Hydrogen!V$41*#REF!*INDEX('Sales taxes'!$B$64:$AG$64,MATCH(S$1,'Sales taxes'!$B$43:$AG$43,0))</f>
        <v>7.9647788600479987E-7</v>
      </c>
      <c r="T5" s="21">
        <f>Hydrogen!W$41*#REF!*INDEX('Sales taxes'!$B$64:$AG$64,MATCH(T$1,'Sales taxes'!$B$43:$AG$43,0))</f>
        <v>7.730807388026992E-7</v>
      </c>
      <c r="U5" s="21">
        <f>Hydrogen!X$41*#REF!*INDEX('Sales taxes'!$B$64:$AG$64,MATCH(U$1,'Sales taxes'!$B$43:$AG$43,0))</f>
        <v>7.4968359160059843E-7</v>
      </c>
      <c r="V5" s="21">
        <f>Hydrogen!Y$41*#REF!*INDEX('Sales taxes'!$B$64:$AG$64,MATCH(V$1,'Sales taxes'!$B$43:$AG$43,0))</f>
        <v>7.2628644439850485E-7</v>
      </c>
      <c r="W5" s="21">
        <f>Hydrogen!Z$41*#REF!*INDEX('Sales taxes'!$B$64:$AG$64,MATCH(W$1,'Sales taxes'!$B$43:$AG$43,0))</f>
        <v>7.0288929719640408E-7</v>
      </c>
      <c r="X5" s="21">
        <f>Hydrogen!AA$41*#REF!*INDEX('Sales taxes'!$B$64:$AG$64,MATCH(X$1,'Sales taxes'!$B$43:$AG$43,0))</f>
        <v>6.7949214999430341E-7</v>
      </c>
      <c r="Y5" s="21">
        <f>Hydrogen!AB$41*#REF!*INDEX('Sales taxes'!$B$64:$AG$64,MATCH(Y$1,'Sales taxes'!$B$43:$AG$43,0))</f>
        <v>6.5609500279220263E-7</v>
      </c>
      <c r="Z5" s="21">
        <f>Hydrogen!AC$41*#REF!*INDEX('Sales taxes'!$B$64:$AG$64,MATCH(Z$1,'Sales taxes'!$B$43:$AG$43,0))</f>
        <v>6.3269785559010186E-7</v>
      </c>
      <c r="AA5" s="21">
        <f>Hydrogen!AD$41*#REF!*INDEX('Sales taxes'!$B$64:$AG$64,MATCH(AA$1,'Sales taxes'!$B$43:$AG$43,0))</f>
        <v>6.0930070838800108E-7</v>
      </c>
      <c r="AB5" s="21">
        <f>Hydrogen!AE$41*#REF!*INDEX('Sales taxes'!$B$64:$AG$64,MATCH(AB$1,'Sales taxes'!$B$43:$AG$43,0))</f>
        <v>5.8590356118590761E-7</v>
      </c>
      <c r="AC5" s="21">
        <f>Hydrogen!AF$41*#REF!*INDEX('Sales taxes'!$B$64:$AG$64,MATCH(AC$1,'Sales taxes'!$B$43:$AG$43,0))</f>
        <v>5.6250641398380684E-7</v>
      </c>
      <c r="AD5" s="21">
        <f>Hydrogen!AG$41*#REF!*INDEX('Sales taxes'!$B$64:$AG$64,MATCH(AD$1,'Sales taxes'!$B$43:$AG$43,0))</f>
        <v>5.3910926678170606E-7</v>
      </c>
      <c r="AE5" s="21">
        <f>Hydrogen!AH$41*#REF!*INDEX('Sales taxes'!$B$64:$AG$64,MATCH(AE$1,'Sales taxes'!$B$43:$AG$43,0))</f>
        <v>5.1571211957960539E-7</v>
      </c>
      <c r="AF5" s="21">
        <f>Hydrogen!AI$41*#REF!*INDEX('Sales taxes'!$B$64:$AG$64,MATCH(AF$1,'Sales taxes'!$B$43:$AG$43,0))</f>
        <v>4.9231497237750461E-7</v>
      </c>
    </row>
    <row r="6" spans="1:32">
      <c r="A6" s="13" t="s">
        <v>168</v>
      </c>
      <c r="B6" s="21">
        <f>Hydrogen!E$41*#REF!*INDEX('Sales taxes'!$B$64:$AG$64,MATCH(B$1,'Sales taxes'!$B$43:$AG$43,0))</f>
        <v>5.2768520933097091E-6</v>
      </c>
      <c r="C6" s="21">
        <f>Hydrogen!F$41*#REF!*INDEX('Sales taxes'!$B$64:$AG$64,MATCH(C$1,'Sales taxes'!$B$43:$AG$43,0))</f>
        <v>4.8451926756206613E-6</v>
      </c>
      <c r="D6" s="21">
        <f>Hydrogen!G$41*#REF!*INDEX('Sales taxes'!$B$64:$AG$64,MATCH(D$1,'Sales taxes'!$B$43:$AG$43,0))</f>
        <v>4.4135332579317278E-6</v>
      </c>
      <c r="E6" s="21">
        <f>Hydrogen!H$41*#REF!*INDEX('Sales taxes'!$B$64:$AG$64,MATCH(E$1,'Sales taxes'!$B$43:$AG$43,0))</f>
        <v>3.9818738402426808E-6</v>
      </c>
      <c r="F6" s="21">
        <f>Hydrogen!I$41*#REF!*INDEX('Sales taxes'!$B$64:$AG$64,MATCH(F$1,'Sales taxes'!$B$43:$AG$43,0))</f>
        <v>3.5502144225536329E-6</v>
      </c>
      <c r="G6" s="21">
        <f>Hydrogen!J$41*#REF!*INDEX('Sales taxes'!$B$64:$AG$64,MATCH(G$1,'Sales taxes'!$B$43:$AG$43,0))</f>
        <v>3.1185550048645855E-6</v>
      </c>
      <c r="H6" s="21">
        <f>Hydrogen!K$41*#REF!*INDEX('Sales taxes'!$B$64:$AG$64,MATCH(H$1,'Sales taxes'!$B$43:$AG$43,0))</f>
        <v>2.686895587175652E-6</v>
      </c>
      <c r="I6" s="21">
        <f>Hydrogen!L$41*#REF!*INDEX('Sales taxes'!$B$64:$AG$64,MATCH(I$1,'Sales taxes'!$B$43:$AG$43,0))</f>
        <v>2.255236169486605E-6</v>
      </c>
      <c r="J6" s="21">
        <f>Hydrogen!M$41*#REF!*INDEX('Sales taxes'!$B$64:$AG$64,MATCH(J$1,'Sales taxes'!$B$43:$AG$43,0))</f>
        <v>1.8235767517975574E-6</v>
      </c>
      <c r="K6" s="21">
        <f>Hydrogen!N$41*#REF!*INDEX('Sales taxes'!$B$64:$AG$64,MATCH(K$1,'Sales taxes'!$B$43:$AG$43,0))</f>
        <v>1.3919173341086239E-6</v>
      </c>
      <c r="L6" s="21">
        <f>Hydrogen!O$41*#REF!*INDEX('Sales taxes'!$B$64:$AG$64,MATCH(L$1,'Sales taxes'!$B$43:$AG$43,0))</f>
        <v>9.6025791641957667E-7</v>
      </c>
      <c r="M6" s="21">
        <f>Hydrogen!P$41*#REF!*INDEX('Sales taxes'!$B$64:$AG$64,MATCH(M$1,'Sales taxes'!$B$43:$AG$43,0))</f>
        <v>9.3686076921739722E-7</v>
      </c>
      <c r="N6" s="21">
        <f>Hydrogen!Q$41*#REF!*INDEX('Sales taxes'!$B$64:$AG$64,MATCH(N$1,'Sales taxes'!$B$43:$AG$43,0))</f>
        <v>9.1346362201529645E-7</v>
      </c>
      <c r="O6" s="21">
        <f>Hydrogen!R$41*#REF!*INDEX('Sales taxes'!$B$64:$AG$64,MATCH(O$1,'Sales taxes'!$B$43:$AG$43,0))</f>
        <v>8.9006647481319567E-7</v>
      </c>
      <c r="P6" s="21">
        <f>Hydrogen!S$41*#REF!*INDEX('Sales taxes'!$B$64:$AG$64,MATCH(P$1,'Sales taxes'!$B$43:$AG$43,0))</f>
        <v>8.6666932761109511E-7</v>
      </c>
      <c r="Q6" s="21">
        <f>Hydrogen!T$41*#REF!*INDEX('Sales taxes'!$B$64:$AG$64,MATCH(Q$1,'Sales taxes'!$B$43:$AG$43,0))</f>
        <v>8.4327218040900143E-7</v>
      </c>
      <c r="R6" s="21">
        <f>Hydrogen!U$41*#REF!*INDEX('Sales taxes'!$B$64:$AG$64,MATCH(R$1,'Sales taxes'!$B$43:$AG$43,0))</f>
        <v>8.1987503320690065E-7</v>
      </c>
      <c r="S6" s="21">
        <f>Hydrogen!V$41*#REF!*INDEX('Sales taxes'!$B$64:$AG$64,MATCH(S$1,'Sales taxes'!$B$43:$AG$43,0))</f>
        <v>7.9647788600479987E-7</v>
      </c>
      <c r="T6" s="21">
        <f>Hydrogen!W$41*#REF!*INDEX('Sales taxes'!$B$64:$AG$64,MATCH(T$1,'Sales taxes'!$B$43:$AG$43,0))</f>
        <v>7.730807388026992E-7</v>
      </c>
      <c r="U6" s="21">
        <f>Hydrogen!X$41*#REF!*INDEX('Sales taxes'!$B$64:$AG$64,MATCH(U$1,'Sales taxes'!$B$43:$AG$43,0))</f>
        <v>7.4968359160059843E-7</v>
      </c>
      <c r="V6" s="21">
        <f>Hydrogen!Y$41*#REF!*INDEX('Sales taxes'!$B$64:$AG$64,MATCH(V$1,'Sales taxes'!$B$43:$AG$43,0))</f>
        <v>7.2628644439850485E-7</v>
      </c>
      <c r="W6" s="21">
        <f>Hydrogen!Z$41*#REF!*INDEX('Sales taxes'!$B$64:$AG$64,MATCH(W$1,'Sales taxes'!$B$43:$AG$43,0))</f>
        <v>7.0288929719640408E-7</v>
      </c>
      <c r="X6" s="21">
        <f>Hydrogen!AA$41*#REF!*INDEX('Sales taxes'!$B$64:$AG$64,MATCH(X$1,'Sales taxes'!$B$43:$AG$43,0))</f>
        <v>6.7949214999430341E-7</v>
      </c>
      <c r="Y6" s="21">
        <f>Hydrogen!AB$41*#REF!*INDEX('Sales taxes'!$B$64:$AG$64,MATCH(Y$1,'Sales taxes'!$B$43:$AG$43,0))</f>
        <v>6.5609500279220263E-7</v>
      </c>
      <c r="Z6" s="21">
        <f>Hydrogen!AC$41*#REF!*INDEX('Sales taxes'!$B$64:$AG$64,MATCH(Z$1,'Sales taxes'!$B$43:$AG$43,0))</f>
        <v>6.3269785559010186E-7</v>
      </c>
      <c r="AA6" s="21">
        <f>Hydrogen!AD$41*#REF!*INDEX('Sales taxes'!$B$64:$AG$64,MATCH(AA$1,'Sales taxes'!$B$43:$AG$43,0))</f>
        <v>6.0930070838800108E-7</v>
      </c>
      <c r="AB6" s="21">
        <f>Hydrogen!AE$41*#REF!*INDEX('Sales taxes'!$B$64:$AG$64,MATCH(AB$1,'Sales taxes'!$B$43:$AG$43,0))</f>
        <v>5.8590356118590761E-7</v>
      </c>
      <c r="AC6" s="21">
        <f>Hydrogen!AF$41*#REF!*INDEX('Sales taxes'!$B$64:$AG$64,MATCH(AC$1,'Sales taxes'!$B$43:$AG$43,0))</f>
        <v>5.6250641398380684E-7</v>
      </c>
      <c r="AD6" s="21">
        <f>Hydrogen!AG$41*#REF!*INDEX('Sales taxes'!$B$64:$AG$64,MATCH(AD$1,'Sales taxes'!$B$43:$AG$43,0))</f>
        <v>5.3910926678170606E-7</v>
      </c>
      <c r="AE6" s="21">
        <f>Hydrogen!AH$41*#REF!*INDEX('Sales taxes'!$B$64:$AG$64,MATCH(AE$1,'Sales taxes'!$B$43:$AG$43,0))</f>
        <v>5.1571211957960539E-7</v>
      </c>
      <c r="AF6" s="21">
        <f>Hydrogen!AI$41*#REF!*INDEX('Sales taxes'!$B$64:$AG$64,MATCH(AF$1,'Sales taxes'!$B$43:$AG$43,0))</f>
        <v>4.9231497237750461E-7</v>
      </c>
    </row>
    <row r="7" spans="1:32">
      <c r="A7" s="13" t="s">
        <v>169</v>
      </c>
      <c r="B7" s="21">
        <f>Hydrogen!E$41*#REF!*INDEX('Sales taxes'!$B$64:$AG$64,MATCH(B$1,'Sales taxes'!$B$43:$AG$43,0))</f>
        <v>5.2768520933097091E-6</v>
      </c>
      <c r="C7" s="21">
        <f>Hydrogen!F$41*#REF!*INDEX('Sales taxes'!$B$64:$AG$64,MATCH(C$1,'Sales taxes'!$B$43:$AG$43,0))</f>
        <v>4.8451926756206613E-6</v>
      </c>
      <c r="D7" s="21">
        <f>Hydrogen!G$41*#REF!*INDEX('Sales taxes'!$B$64:$AG$64,MATCH(D$1,'Sales taxes'!$B$43:$AG$43,0))</f>
        <v>4.4135332579317278E-6</v>
      </c>
      <c r="E7" s="21">
        <f>Hydrogen!H$41*#REF!*INDEX('Sales taxes'!$B$64:$AG$64,MATCH(E$1,'Sales taxes'!$B$43:$AG$43,0))</f>
        <v>3.9818738402426808E-6</v>
      </c>
      <c r="F7" s="21">
        <f>Hydrogen!I$41*#REF!*INDEX('Sales taxes'!$B$64:$AG$64,MATCH(F$1,'Sales taxes'!$B$43:$AG$43,0))</f>
        <v>3.5502144225536329E-6</v>
      </c>
      <c r="G7" s="21">
        <f>Hydrogen!J$41*#REF!*INDEX('Sales taxes'!$B$64:$AG$64,MATCH(G$1,'Sales taxes'!$B$43:$AG$43,0))</f>
        <v>3.1185550048645855E-6</v>
      </c>
      <c r="H7" s="21">
        <f>Hydrogen!K$41*#REF!*INDEX('Sales taxes'!$B$64:$AG$64,MATCH(H$1,'Sales taxes'!$B$43:$AG$43,0))</f>
        <v>2.686895587175652E-6</v>
      </c>
      <c r="I7" s="21">
        <f>Hydrogen!L$41*#REF!*INDEX('Sales taxes'!$B$64:$AG$64,MATCH(I$1,'Sales taxes'!$B$43:$AG$43,0))</f>
        <v>2.255236169486605E-6</v>
      </c>
      <c r="J7" s="21">
        <f>Hydrogen!M$41*#REF!*INDEX('Sales taxes'!$B$64:$AG$64,MATCH(J$1,'Sales taxes'!$B$43:$AG$43,0))</f>
        <v>1.8235767517975574E-6</v>
      </c>
      <c r="K7" s="21">
        <f>Hydrogen!N$41*#REF!*INDEX('Sales taxes'!$B$64:$AG$64,MATCH(K$1,'Sales taxes'!$B$43:$AG$43,0))</f>
        <v>1.3919173341086239E-6</v>
      </c>
      <c r="L7" s="21">
        <f>Hydrogen!O$41*#REF!*INDEX('Sales taxes'!$B$64:$AG$64,MATCH(L$1,'Sales taxes'!$B$43:$AG$43,0))</f>
        <v>9.6025791641957667E-7</v>
      </c>
      <c r="M7" s="21">
        <f>Hydrogen!P$41*#REF!*INDEX('Sales taxes'!$B$64:$AG$64,MATCH(M$1,'Sales taxes'!$B$43:$AG$43,0))</f>
        <v>9.3686076921739722E-7</v>
      </c>
      <c r="N7" s="21">
        <f>Hydrogen!Q$41*#REF!*INDEX('Sales taxes'!$B$64:$AG$64,MATCH(N$1,'Sales taxes'!$B$43:$AG$43,0))</f>
        <v>9.1346362201529645E-7</v>
      </c>
      <c r="O7" s="21">
        <f>Hydrogen!R$41*#REF!*INDEX('Sales taxes'!$B$64:$AG$64,MATCH(O$1,'Sales taxes'!$B$43:$AG$43,0))</f>
        <v>8.9006647481319567E-7</v>
      </c>
      <c r="P7" s="21">
        <f>Hydrogen!S$41*#REF!*INDEX('Sales taxes'!$B$64:$AG$64,MATCH(P$1,'Sales taxes'!$B$43:$AG$43,0))</f>
        <v>8.6666932761109511E-7</v>
      </c>
      <c r="Q7" s="21">
        <f>Hydrogen!T$41*#REF!*INDEX('Sales taxes'!$B$64:$AG$64,MATCH(Q$1,'Sales taxes'!$B$43:$AG$43,0))</f>
        <v>8.4327218040900143E-7</v>
      </c>
      <c r="R7" s="21">
        <f>Hydrogen!U$41*#REF!*INDEX('Sales taxes'!$B$64:$AG$64,MATCH(R$1,'Sales taxes'!$B$43:$AG$43,0))</f>
        <v>8.1987503320690065E-7</v>
      </c>
      <c r="S7" s="21">
        <f>Hydrogen!V$41*#REF!*INDEX('Sales taxes'!$B$64:$AG$64,MATCH(S$1,'Sales taxes'!$B$43:$AG$43,0))</f>
        <v>7.9647788600479987E-7</v>
      </c>
      <c r="T7" s="21">
        <f>Hydrogen!W$41*#REF!*INDEX('Sales taxes'!$B$64:$AG$64,MATCH(T$1,'Sales taxes'!$B$43:$AG$43,0))</f>
        <v>7.730807388026992E-7</v>
      </c>
      <c r="U7" s="21">
        <f>Hydrogen!X$41*#REF!*INDEX('Sales taxes'!$B$64:$AG$64,MATCH(U$1,'Sales taxes'!$B$43:$AG$43,0))</f>
        <v>7.4968359160059843E-7</v>
      </c>
      <c r="V7" s="21">
        <f>Hydrogen!Y$41*#REF!*INDEX('Sales taxes'!$B$64:$AG$64,MATCH(V$1,'Sales taxes'!$B$43:$AG$43,0))</f>
        <v>7.2628644439850485E-7</v>
      </c>
      <c r="W7" s="21">
        <f>Hydrogen!Z$41*#REF!*INDEX('Sales taxes'!$B$64:$AG$64,MATCH(W$1,'Sales taxes'!$B$43:$AG$43,0))</f>
        <v>7.0288929719640408E-7</v>
      </c>
      <c r="X7" s="21">
        <f>Hydrogen!AA$41*#REF!*INDEX('Sales taxes'!$B$64:$AG$64,MATCH(X$1,'Sales taxes'!$B$43:$AG$43,0))</f>
        <v>6.7949214999430341E-7</v>
      </c>
      <c r="Y7" s="21">
        <f>Hydrogen!AB$41*#REF!*INDEX('Sales taxes'!$B$64:$AG$64,MATCH(Y$1,'Sales taxes'!$B$43:$AG$43,0))</f>
        <v>6.5609500279220263E-7</v>
      </c>
      <c r="Z7" s="21">
        <f>Hydrogen!AC$41*#REF!*INDEX('Sales taxes'!$B$64:$AG$64,MATCH(Z$1,'Sales taxes'!$B$43:$AG$43,0))</f>
        <v>6.3269785559010186E-7</v>
      </c>
      <c r="AA7" s="21">
        <f>Hydrogen!AD$41*#REF!*INDEX('Sales taxes'!$B$64:$AG$64,MATCH(AA$1,'Sales taxes'!$B$43:$AG$43,0))</f>
        <v>6.0930070838800108E-7</v>
      </c>
      <c r="AB7" s="21">
        <f>Hydrogen!AE$41*#REF!*INDEX('Sales taxes'!$B$64:$AG$64,MATCH(AB$1,'Sales taxes'!$B$43:$AG$43,0))</f>
        <v>5.8590356118590761E-7</v>
      </c>
      <c r="AC7" s="21">
        <f>Hydrogen!AF$41*#REF!*INDEX('Sales taxes'!$B$64:$AG$64,MATCH(AC$1,'Sales taxes'!$B$43:$AG$43,0))</f>
        <v>5.6250641398380684E-7</v>
      </c>
      <c r="AD7" s="21">
        <f>Hydrogen!AG$41*#REF!*INDEX('Sales taxes'!$B$64:$AG$64,MATCH(AD$1,'Sales taxes'!$B$43:$AG$43,0))</f>
        <v>5.3910926678170606E-7</v>
      </c>
      <c r="AE7" s="21">
        <f>Hydrogen!AH$41*#REF!*INDEX('Sales taxes'!$B$64:$AG$64,MATCH(AE$1,'Sales taxes'!$B$43:$AG$43,0))</f>
        <v>5.1571211957960539E-7</v>
      </c>
      <c r="AF7" s="21">
        <f>Hydrogen!AI$41*#REF!*INDEX('Sales taxes'!$B$64:$AG$64,MATCH(AF$1,'Sales taxes'!$B$43:$AG$43,0))</f>
        <v>4.9231497237750461E-7</v>
      </c>
    </row>
    <row r="8" spans="1:32">
      <c r="A8" s="13" t="s">
        <v>170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2">
      <c r="A9" s="13" t="s">
        <v>171</v>
      </c>
      <c r="B9">
        <f t="shared" ref="B9:AF9" si="0">B6</f>
        <v>5.2768520933097091E-6</v>
      </c>
      <c r="C9">
        <f t="shared" si="0"/>
        <v>4.8451926756206613E-6</v>
      </c>
      <c r="D9">
        <f t="shared" si="0"/>
        <v>4.4135332579317278E-6</v>
      </c>
      <c r="E9">
        <f t="shared" si="0"/>
        <v>3.9818738402426808E-6</v>
      </c>
      <c r="F9">
        <f t="shared" si="0"/>
        <v>3.5502144225536329E-6</v>
      </c>
      <c r="G9">
        <f t="shared" si="0"/>
        <v>3.1185550048645855E-6</v>
      </c>
      <c r="H9">
        <f t="shared" si="0"/>
        <v>2.686895587175652E-6</v>
      </c>
      <c r="I9">
        <f t="shared" si="0"/>
        <v>2.255236169486605E-6</v>
      </c>
      <c r="J9">
        <f t="shared" si="0"/>
        <v>1.8235767517975574E-6</v>
      </c>
      <c r="K9">
        <f t="shared" si="0"/>
        <v>1.3919173341086239E-6</v>
      </c>
      <c r="L9">
        <f t="shared" si="0"/>
        <v>9.6025791641957667E-7</v>
      </c>
      <c r="M9">
        <f t="shared" si="0"/>
        <v>9.3686076921739722E-7</v>
      </c>
      <c r="N9">
        <f t="shared" si="0"/>
        <v>9.1346362201529645E-7</v>
      </c>
      <c r="O9">
        <f t="shared" si="0"/>
        <v>8.9006647481319567E-7</v>
      </c>
      <c r="P9">
        <f t="shared" si="0"/>
        <v>8.6666932761109511E-7</v>
      </c>
      <c r="Q9">
        <f t="shared" si="0"/>
        <v>8.4327218040900143E-7</v>
      </c>
      <c r="R9">
        <f t="shared" si="0"/>
        <v>8.1987503320690065E-7</v>
      </c>
      <c r="S9">
        <f t="shared" si="0"/>
        <v>7.9647788600479987E-7</v>
      </c>
      <c r="T9">
        <f t="shared" si="0"/>
        <v>7.730807388026992E-7</v>
      </c>
      <c r="U9">
        <f t="shared" si="0"/>
        <v>7.4968359160059843E-7</v>
      </c>
      <c r="V9">
        <f t="shared" si="0"/>
        <v>7.2628644439850485E-7</v>
      </c>
      <c r="W9">
        <f t="shared" si="0"/>
        <v>7.0288929719640408E-7</v>
      </c>
      <c r="X9">
        <f t="shared" si="0"/>
        <v>6.7949214999430341E-7</v>
      </c>
      <c r="Y9">
        <f t="shared" si="0"/>
        <v>6.5609500279220263E-7</v>
      </c>
      <c r="Z9">
        <f t="shared" si="0"/>
        <v>6.3269785559010186E-7</v>
      </c>
      <c r="AA9">
        <f t="shared" si="0"/>
        <v>6.0930070838800108E-7</v>
      </c>
      <c r="AB9">
        <f t="shared" si="0"/>
        <v>5.8590356118590761E-7</v>
      </c>
      <c r="AC9">
        <f t="shared" si="0"/>
        <v>5.6250641398380684E-7</v>
      </c>
      <c r="AD9">
        <f t="shared" si="0"/>
        <v>5.3910926678170606E-7</v>
      </c>
      <c r="AE9">
        <f t="shared" si="0"/>
        <v>5.1571211957960539E-7</v>
      </c>
      <c r="AF9">
        <f t="shared" si="0"/>
        <v>4.9231497237750461E-7</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A3EED-C365-454C-9B9B-6861EF3CB5D5}">
  <sheetPr>
    <tabColor theme="0" tint="-0.14999847407452621"/>
  </sheetPr>
  <dimension ref="A1:V66"/>
  <sheetViews>
    <sheetView topLeftCell="A51" workbookViewId="0">
      <selection activeCell="B7" sqref="B7:R10"/>
    </sheetView>
  </sheetViews>
  <sheetFormatPr defaultRowHeight="14.5"/>
  <sheetData>
    <row r="1" spans="1:22">
      <c r="A1" s="32">
        <f>AggregateSEDS!C1</f>
        <v>2019</v>
      </c>
      <c r="B1" s="32">
        <f>AggregateSEDS!D1</f>
        <v>2019</v>
      </c>
      <c r="C1" s="32">
        <f>AggregateSEDS!E1</f>
        <v>2019</v>
      </c>
      <c r="D1" s="32">
        <f>AggregateSEDS!F1</f>
        <v>2019</v>
      </c>
      <c r="E1" s="32">
        <f>AggregateSEDS!G1</f>
        <v>2019</v>
      </c>
      <c r="F1" s="32">
        <v>2019</v>
      </c>
    </row>
    <row r="2" spans="1:22">
      <c r="A2" s="32" t="str">
        <f>AggregateSEDS!C2</f>
        <v>Natural gas</v>
      </c>
      <c r="B2" s="32" t="str">
        <f>AggregateSEDS!D2</f>
        <v>Diesel / Distallate Fuel Oil</v>
      </c>
      <c r="C2" s="32" t="str">
        <f>AggregateSEDS!E2</f>
        <v>HGLs/Propane</v>
      </c>
      <c r="D2" s="32" t="str">
        <f>AggregateSEDS!F2</f>
        <v>Kerosene/Jet fuel</v>
      </c>
      <c r="E2" s="32" t="str">
        <f>AggregateSEDS!G2</f>
        <v>Wood</v>
      </c>
      <c r="F2" s="32" t="s">
        <v>645</v>
      </c>
    </row>
    <row r="3" spans="1:22">
      <c r="A3" s="32">
        <f>E66</f>
        <v>7.44</v>
      </c>
      <c r="B3" s="32">
        <f>F66</f>
        <v>17.84</v>
      </c>
      <c r="C3" s="32">
        <f>G66</f>
        <v>17.5</v>
      </c>
      <c r="D3" s="32">
        <f>I66</f>
        <v>29.1</v>
      </c>
      <c r="E3" s="99">
        <f>O66</f>
        <v>2.6</v>
      </c>
      <c r="F3" s="32">
        <f>J66</f>
        <v>11.27</v>
      </c>
    </row>
    <row r="5" spans="1:22" ht="21">
      <c r="A5" s="95" t="s">
        <v>632</v>
      </c>
    </row>
    <row r="6" spans="1:22" ht="15" thickBot="1">
      <c r="A6" s="96"/>
    </row>
    <row r="7" spans="1:22">
      <c r="A7" s="212" t="s">
        <v>325</v>
      </c>
      <c r="B7" s="215" t="s">
        <v>596</v>
      </c>
      <c r="C7" s="216"/>
      <c r="D7" s="216"/>
      <c r="E7" s="216"/>
      <c r="F7" s="216"/>
      <c r="G7" s="216"/>
      <c r="H7" s="216"/>
      <c r="I7" s="216"/>
      <c r="J7" s="216"/>
      <c r="K7" s="216"/>
      <c r="L7" s="216"/>
      <c r="M7" s="216"/>
      <c r="N7" s="216"/>
      <c r="O7" s="216"/>
      <c r="P7" s="216"/>
      <c r="Q7" s="216"/>
      <c r="R7" s="217"/>
      <c r="S7" s="224"/>
      <c r="T7" s="225"/>
      <c r="U7" s="224"/>
      <c r="V7" s="225"/>
    </row>
    <row r="8" spans="1:22">
      <c r="A8" s="213"/>
      <c r="B8" s="218"/>
      <c r="C8" s="219"/>
      <c r="D8" s="219"/>
      <c r="E8" s="219"/>
      <c r="F8" s="219"/>
      <c r="G8" s="219"/>
      <c r="H8" s="219"/>
      <c r="I8" s="219"/>
      <c r="J8" s="219"/>
      <c r="K8" s="219"/>
      <c r="L8" s="219"/>
      <c r="M8" s="219"/>
      <c r="N8" s="219"/>
      <c r="O8" s="219"/>
      <c r="P8" s="219"/>
      <c r="Q8" s="219"/>
      <c r="R8" s="220"/>
      <c r="S8" s="226"/>
      <c r="T8" s="227"/>
      <c r="U8" s="226"/>
      <c r="V8" s="227"/>
    </row>
    <row r="9" spans="1:22">
      <c r="A9" s="213"/>
      <c r="B9" s="218"/>
      <c r="C9" s="219"/>
      <c r="D9" s="219"/>
      <c r="E9" s="219"/>
      <c r="F9" s="219"/>
      <c r="G9" s="219"/>
      <c r="H9" s="219"/>
      <c r="I9" s="219"/>
      <c r="J9" s="219"/>
      <c r="K9" s="219"/>
      <c r="L9" s="219"/>
      <c r="M9" s="219"/>
      <c r="N9" s="219"/>
      <c r="O9" s="219"/>
      <c r="P9" s="219"/>
      <c r="Q9" s="219"/>
      <c r="R9" s="220"/>
      <c r="S9" s="226"/>
      <c r="T9" s="227"/>
      <c r="U9" s="226"/>
      <c r="V9" s="227"/>
    </row>
    <row r="10" spans="1:22" ht="15" thickBot="1">
      <c r="A10" s="213"/>
      <c r="B10" s="221"/>
      <c r="C10" s="222"/>
      <c r="D10" s="222"/>
      <c r="E10" s="222"/>
      <c r="F10" s="222"/>
      <c r="G10" s="222"/>
      <c r="H10" s="222"/>
      <c r="I10" s="222"/>
      <c r="J10" s="222"/>
      <c r="K10" s="222"/>
      <c r="L10" s="222"/>
      <c r="M10" s="222"/>
      <c r="N10" s="222"/>
      <c r="O10" s="222"/>
      <c r="P10" s="222"/>
      <c r="Q10" s="222"/>
      <c r="R10" s="223"/>
      <c r="S10" s="218" t="s">
        <v>130</v>
      </c>
      <c r="T10" s="220"/>
      <c r="U10" s="226"/>
      <c r="V10" s="227"/>
    </row>
    <row r="11" spans="1:22">
      <c r="A11" s="213"/>
      <c r="B11" s="215" t="s">
        <v>96</v>
      </c>
      <c r="C11" s="216"/>
      <c r="D11" s="217"/>
      <c r="E11" s="85"/>
      <c r="F11" s="215" t="s">
        <v>98</v>
      </c>
      <c r="G11" s="216"/>
      <c r="H11" s="216"/>
      <c r="I11" s="216"/>
      <c r="J11" s="216"/>
      <c r="K11" s="216"/>
      <c r="L11" s="216"/>
      <c r="M11" s="216"/>
      <c r="N11" s="217"/>
      <c r="O11" s="215" t="s">
        <v>604</v>
      </c>
      <c r="P11" s="217"/>
      <c r="Q11" s="215" t="s">
        <v>615</v>
      </c>
      <c r="R11" s="217"/>
      <c r="S11" s="218" t="s">
        <v>597</v>
      </c>
      <c r="T11" s="220"/>
      <c r="U11" s="218" t="s">
        <v>599</v>
      </c>
      <c r="V11" s="220"/>
    </row>
    <row r="12" spans="1:22">
      <c r="A12" s="213"/>
      <c r="B12" s="218"/>
      <c r="C12" s="219"/>
      <c r="D12" s="220"/>
      <c r="E12" s="86"/>
      <c r="F12" s="218"/>
      <c r="G12" s="219"/>
      <c r="H12" s="219"/>
      <c r="I12" s="219"/>
      <c r="J12" s="219"/>
      <c r="K12" s="219"/>
      <c r="L12" s="219"/>
      <c r="M12" s="219"/>
      <c r="N12" s="220"/>
      <c r="O12" s="218"/>
      <c r="P12" s="220"/>
      <c r="Q12" s="218"/>
      <c r="R12" s="220"/>
      <c r="S12" s="218" t="s">
        <v>598</v>
      </c>
      <c r="T12" s="220"/>
      <c r="U12" s="218" t="s">
        <v>613</v>
      </c>
      <c r="V12" s="220"/>
    </row>
    <row r="13" spans="1:22" ht="15" thickBot="1">
      <c r="A13" s="213"/>
      <c r="B13" s="221"/>
      <c r="C13" s="222"/>
      <c r="D13" s="223"/>
      <c r="E13" s="87" t="s">
        <v>602</v>
      </c>
      <c r="F13" s="221"/>
      <c r="G13" s="222"/>
      <c r="H13" s="222"/>
      <c r="I13" s="222"/>
      <c r="J13" s="222"/>
      <c r="K13" s="222"/>
      <c r="L13" s="222"/>
      <c r="M13" s="222"/>
      <c r="N13" s="223"/>
      <c r="O13" s="221"/>
      <c r="P13" s="223"/>
      <c r="Q13" s="218"/>
      <c r="R13" s="220"/>
      <c r="S13" s="218"/>
      <c r="T13" s="220"/>
      <c r="U13" s="218"/>
      <c r="V13" s="220"/>
    </row>
    <row r="14" spans="1:22">
      <c r="A14" s="213"/>
      <c r="B14" s="84" t="s">
        <v>633</v>
      </c>
      <c r="C14" s="84" t="s">
        <v>634</v>
      </c>
      <c r="D14" s="212" t="s">
        <v>599</v>
      </c>
      <c r="E14" s="87" t="s">
        <v>614</v>
      </c>
      <c r="F14" s="84" t="s">
        <v>606</v>
      </c>
      <c r="G14" s="215" t="s">
        <v>616</v>
      </c>
      <c r="H14" s="217"/>
      <c r="I14" s="84" t="s">
        <v>617</v>
      </c>
      <c r="J14" s="84" t="s">
        <v>619</v>
      </c>
      <c r="K14" s="215" t="s">
        <v>635</v>
      </c>
      <c r="L14" s="217"/>
      <c r="M14" s="215" t="s">
        <v>599</v>
      </c>
      <c r="N14" s="217"/>
      <c r="O14" s="215" t="s">
        <v>621</v>
      </c>
      <c r="P14" s="217"/>
      <c r="Q14" s="218"/>
      <c r="R14" s="220"/>
      <c r="S14" s="218"/>
      <c r="T14" s="220"/>
      <c r="U14" s="218"/>
      <c r="V14" s="220"/>
    </row>
    <row r="15" spans="1:22" ht="15" thickBot="1">
      <c r="A15" s="213"/>
      <c r="B15" s="88" t="s">
        <v>96</v>
      </c>
      <c r="C15" s="88" t="s">
        <v>96</v>
      </c>
      <c r="D15" s="214"/>
      <c r="E15" s="88"/>
      <c r="F15" s="88" t="s">
        <v>415</v>
      </c>
      <c r="G15" s="221"/>
      <c r="H15" s="223"/>
      <c r="I15" s="88" t="s">
        <v>618</v>
      </c>
      <c r="J15" s="88" t="s">
        <v>415</v>
      </c>
      <c r="K15" s="221"/>
      <c r="L15" s="223"/>
      <c r="M15" s="221"/>
      <c r="N15" s="223"/>
      <c r="O15" s="221" t="s">
        <v>622</v>
      </c>
      <c r="P15" s="223"/>
      <c r="Q15" s="221"/>
      <c r="R15" s="223"/>
      <c r="S15" s="221"/>
      <c r="T15" s="223"/>
      <c r="U15" s="221"/>
      <c r="V15" s="223"/>
    </row>
    <row r="16" spans="1:22" ht="15" thickBot="1">
      <c r="A16" s="214"/>
      <c r="B16" s="228" t="s">
        <v>610</v>
      </c>
      <c r="C16" s="229"/>
      <c r="D16" s="229"/>
      <c r="E16" s="229"/>
      <c r="F16" s="229"/>
      <c r="G16" s="229"/>
      <c r="H16" s="229"/>
      <c r="I16" s="229"/>
      <c r="J16" s="229"/>
      <c r="K16" s="229"/>
      <c r="L16" s="229"/>
      <c r="M16" s="229"/>
      <c r="N16" s="229"/>
      <c r="O16" s="229"/>
      <c r="P16" s="229"/>
      <c r="Q16" s="229"/>
      <c r="R16" s="229"/>
      <c r="S16" s="229"/>
      <c r="T16" s="229"/>
      <c r="U16" s="229"/>
      <c r="V16" s="230"/>
    </row>
    <row r="17" spans="1:22" ht="15" thickBot="1">
      <c r="A17" s="89">
        <v>1970</v>
      </c>
      <c r="B17" s="90">
        <v>0.43</v>
      </c>
      <c r="C17" s="90">
        <v>0.63</v>
      </c>
      <c r="D17" s="90">
        <v>0.43</v>
      </c>
      <c r="E17" s="90">
        <v>0.38</v>
      </c>
      <c r="F17" s="90">
        <v>0.68</v>
      </c>
      <c r="G17" s="90">
        <v>1.42</v>
      </c>
      <c r="H17" s="90"/>
      <c r="I17" s="90">
        <v>2.8</v>
      </c>
      <c r="J17" s="90">
        <v>0.35</v>
      </c>
      <c r="K17" s="90">
        <v>1.1299999999999999</v>
      </c>
      <c r="L17" s="90"/>
      <c r="M17" s="90">
        <v>0.97</v>
      </c>
      <c r="N17" s="90"/>
      <c r="O17" s="90">
        <v>1.54</v>
      </c>
      <c r="P17" s="90"/>
      <c r="Q17" s="90">
        <v>0.6</v>
      </c>
      <c r="R17" s="90"/>
      <c r="S17" s="90">
        <v>2.9</v>
      </c>
      <c r="T17" s="90"/>
      <c r="U17" s="90">
        <v>0.9</v>
      </c>
      <c r="V17" s="90"/>
    </row>
    <row r="18" spans="1:22" ht="15" thickBot="1">
      <c r="A18" s="89">
        <v>1971</v>
      </c>
      <c r="B18" s="90">
        <v>0.47</v>
      </c>
      <c r="C18" s="90">
        <v>0.53</v>
      </c>
      <c r="D18" s="90">
        <v>0.47</v>
      </c>
      <c r="E18" s="90">
        <v>0.42</v>
      </c>
      <c r="F18" s="90">
        <v>0.7</v>
      </c>
      <c r="G18" s="90">
        <v>1.52</v>
      </c>
      <c r="H18" s="90"/>
      <c r="I18" s="90">
        <v>2.84</v>
      </c>
      <c r="J18" s="90">
        <v>0.56999999999999995</v>
      </c>
      <c r="K18" s="90">
        <v>1.25</v>
      </c>
      <c r="L18" s="90"/>
      <c r="M18" s="90">
        <v>1.08</v>
      </c>
      <c r="N18" s="90"/>
      <c r="O18" s="90">
        <v>1.54</v>
      </c>
      <c r="P18" s="90"/>
      <c r="Q18" s="90">
        <v>0.66</v>
      </c>
      <c r="R18" s="90"/>
      <c r="S18" s="90">
        <v>3.03</v>
      </c>
      <c r="T18" s="90"/>
      <c r="U18" s="90">
        <v>0.98</v>
      </c>
      <c r="V18" s="90"/>
    </row>
    <row r="19" spans="1:22" ht="15" thickBot="1">
      <c r="A19" s="89">
        <v>1972</v>
      </c>
      <c r="B19" s="90">
        <v>0.52</v>
      </c>
      <c r="C19" s="90">
        <v>0.61</v>
      </c>
      <c r="D19" s="90">
        <v>0.52</v>
      </c>
      <c r="E19" s="90">
        <v>0.45</v>
      </c>
      <c r="F19" s="90">
        <v>0.71</v>
      </c>
      <c r="G19" s="90">
        <v>1.57</v>
      </c>
      <c r="H19" s="90"/>
      <c r="I19" s="90">
        <v>2.79</v>
      </c>
      <c r="J19" s="90">
        <v>0.56999999999999995</v>
      </c>
      <c r="K19" s="90">
        <v>1.32</v>
      </c>
      <c r="L19" s="90"/>
      <c r="M19" s="90">
        <v>1.1100000000000001</v>
      </c>
      <c r="N19" s="90"/>
      <c r="O19" s="90">
        <v>1.54</v>
      </c>
      <c r="P19" s="90"/>
      <c r="Q19" s="90">
        <v>0.7</v>
      </c>
      <c r="R19" s="90"/>
      <c r="S19" s="90">
        <v>3.3</v>
      </c>
      <c r="T19" s="90"/>
      <c r="U19" s="90">
        <v>1.06</v>
      </c>
      <c r="V19" s="90"/>
    </row>
    <row r="20" spans="1:22" ht="15" thickBot="1">
      <c r="A20" s="89">
        <v>1973</v>
      </c>
      <c r="B20" s="90">
        <v>0.61</v>
      </c>
      <c r="C20" s="90">
        <v>0.59</v>
      </c>
      <c r="D20" s="90">
        <v>0.61</v>
      </c>
      <c r="E20" s="90">
        <v>0.51</v>
      </c>
      <c r="F20" s="90">
        <v>0.94</v>
      </c>
      <c r="G20" s="90">
        <v>1.7</v>
      </c>
      <c r="H20" s="90"/>
      <c r="I20" s="90">
        <v>3.08</v>
      </c>
      <c r="J20" s="90">
        <v>0.76</v>
      </c>
      <c r="K20" s="90">
        <v>1.47</v>
      </c>
      <c r="L20" s="90"/>
      <c r="M20" s="90">
        <v>1.3</v>
      </c>
      <c r="N20" s="90"/>
      <c r="O20" s="90">
        <v>1.54</v>
      </c>
      <c r="P20" s="90"/>
      <c r="Q20" s="90">
        <v>0.81</v>
      </c>
      <c r="R20" s="90"/>
      <c r="S20" s="90">
        <v>3.75</v>
      </c>
      <c r="T20" s="90"/>
      <c r="U20" s="90">
        <v>1.2</v>
      </c>
      <c r="V20" s="90"/>
    </row>
    <row r="21" spans="1:22" ht="15" thickBot="1">
      <c r="A21" s="89">
        <v>1974</v>
      </c>
      <c r="B21" s="90">
        <v>1.29</v>
      </c>
      <c r="C21" s="90">
        <v>1.02</v>
      </c>
      <c r="D21" s="90">
        <v>1.29</v>
      </c>
      <c r="E21" s="90">
        <v>0.65</v>
      </c>
      <c r="F21" s="90">
        <v>1.96</v>
      </c>
      <c r="G21" s="90">
        <v>2.6</v>
      </c>
      <c r="H21" s="90"/>
      <c r="I21" s="90">
        <v>4.47</v>
      </c>
      <c r="J21" s="90">
        <v>1.65</v>
      </c>
      <c r="K21" s="90">
        <v>2.34</v>
      </c>
      <c r="L21" s="90"/>
      <c r="M21" s="90">
        <v>2.2400000000000002</v>
      </c>
      <c r="N21" s="90"/>
      <c r="O21" s="90">
        <v>1.54</v>
      </c>
      <c r="P21" s="90"/>
      <c r="Q21" s="90">
        <v>1.22</v>
      </c>
      <c r="R21" s="90"/>
      <c r="S21" s="90">
        <v>5.74</v>
      </c>
      <c r="T21" s="90"/>
      <c r="U21" s="90">
        <v>1.79</v>
      </c>
      <c r="V21" s="90"/>
    </row>
    <row r="22" spans="1:22" ht="15" thickBot="1">
      <c r="A22" s="89">
        <v>1975</v>
      </c>
      <c r="B22" s="90">
        <v>1.38</v>
      </c>
      <c r="C22" s="90">
        <v>0.92</v>
      </c>
      <c r="D22" s="90">
        <v>1.32</v>
      </c>
      <c r="E22" s="90">
        <v>1.05</v>
      </c>
      <c r="F22" s="90">
        <v>2.21</v>
      </c>
      <c r="G22" s="90">
        <v>2.92</v>
      </c>
      <c r="H22" s="90"/>
      <c r="I22" s="90">
        <v>4.84</v>
      </c>
      <c r="J22" s="90">
        <v>1.66</v>
      </c>
      <c r="K22" s="90">
        <v>2.31</v>
      </c>
      <c r="L22" s="90"/>
      <c r="M22" s="90">
        <v>2.35</v>
      </c>
      <c r="N22" s="90"/>
      <c r="O22" s="90">
        <v>1.54</v>
      </c>
      <c r="P22" s="90"/>
      <c r="Q22" s="90">
        <v>1.5</v>
      </c>
      <c r="R22" s="90"/>
      <c r="S22" s="90">
        <v>6.7</v>
      </c>
      <c r="T22" s="90"/>
      <c r="U22" s="90">
        <v>2.2400000000000002</v>
      </c>
      <c r="V22" s="90"/>
    </row>
    <row r="23" spans="1:22" ht="15" thickBot="1">
      <c r="A23" s="89">
        <v>1976</v>
      </c>
      <c r="B23" s="90">
        <v>1.51</v>
      </c>
      <c r="C23" s="90">
        <v>1.1599999999999999</v>
      </c>
      <c r="D23" s="90">
        <v>1.43</v>
      </c>
      <c r="E23" s="90">
        <v>1.39</v>
      </c>
      <c r="F23" s="90">
        <v>2.4500000000000002</v>
      </c>
      <c r="G23" s="90">
        <v>3.17</v>
      </c>
      <c r="H23" s="90"/>
      <c r="I23" s="90">
        <v>5.04</v>
      </c>
      <c r="J23" s="90">
        <v>1.59</v>
      </c>
      <c r="K23" s="90">
        <v>2.36</v>
      </c>
      <c r="L23" s="90"/>
      <c r="M23" s="90">
        <v>2.48</v>
      </c>
      <c r="N23" s="90"/>
      <c r="O23" s="90">
        <v>1.54</v>
      </c>
      <c r="P23" s="90"/>
      <c r="Q23" s="90">
        <v>1.77</v>
      </c>
      <c r="R23" s="90"/>
      <c r="S23" s="90">
        <v>7.62</v>
      </c>
      <c r="T23" s="90"/>
      <c r="U23" s="90">
        <v>2.65</v>
      </c>
      <c r="V23" s="90"/>
    </row>
    <row r="24" spans="1:22" ht="15" thickBot="1">
      <c r="A24" s="89">
        <v>1977</v>
      </c>
      <c r="B24" s="90">
        <v>1.58</v>
      </c>
      <c r="C24" s="90">
        <v>1.26</v>
      </c>
      <c r="D24" s="90">
        <v>1.47</v>
      </c>
      <c r="E24" s="90">
        <v>1.86</v>
      </c>
      <c r="F24" s="90">
        <v>2.6</v>
      </c>
      <c r="G24" s="90">
        <v>3.88</v>
      </c>
      <c r="H24" s="90"/>
      <c r="I24" s="90">
        <v>5.33</v>
      </c>
      <c r="J24" s="90">
        <v>1.87</v>
      </c>
      <c r="K24" s="90">
        <v>2.57</v>
      </c>
      <c r="L24" s="90"/>
      <c r="M24" s="90">
        <v>2.72</v>
      </c>
      <c r="N24" s="90"/>
      <c r="O24" s="90">
        <v>1.54</v>
      </c>
      <c r="P24" s="90"/>
      <c r="Q24" s="90">
        <v>2.11</v>
      </c>
      <c r="R24" s="90"/>
      <c r="S24" s="90">
        <v>9.4600000000000009</v>
      </c>
      <c r="T24" s="90"/>
      <c r="U24" s="90">
        <v>3.22</v>
      </c>
      <c r="V24" s="90"/>
    </row>
    <row r="25" spans="1:22" ht="15" thickBot="1">
      <c r="A25" s="89">
        <v>1978</v>
      </c>
      <c r="B25" s="90">
        <v>1.7</v>
      </c>
      <c r="C25" s="90">
        <v>1.4</v>
      </c>
      <c r="D25" s="90">
        <v>1.59</v>
      </c>
      <c r="E25" s="90">
        <v>2.04</v>
      </c>
      <c r="F25" s="90">
        <v>2.66</v>
      </c>
      <c r="G25" s="90">
        <v>4.41</v>
      </c>
      <c r="H25" s="90"/>
      <c r="I25" s="90">
        <v>5.48</v>
      </c>
      <c r="J25" s="90">
        <v>1.79</v>
      </c>
      <c r="K25" s="90">
        <v>2.69</v>
      </c>
      <c r="L25" s="90"/>
      <c r="M25" s="90">
        <v>2.84</v>
      </c>
      <c r="N25" s="90"/>
      <c r="O25" s="90">
        <v>1.54</v>
      </c>
      <c r="P25" s="90"/>
      <c r="Q25" s="90">
        <v>2.31</v>
      </c>
      <c r="R25" s="90"/>
      <c r="S25" s="90">
        <v>10.75</v>
      </c>
      <c r="T25" s="90"/>
      <c r="U25" s="90">
        <v>3.75</v>
      </c>
      <c r="V25" s="90"/>
    </row>
    <row r="26" spans="1:22" ht="15" thickBot="1">
      <c r="A26" s="89">
        <v>1979</v>
      </c>
      <c r="B26" s="90">
        <v>1.74</v>
      </c>
      <c r="C26" s="90">
        <v>1.6</v>
      </c>
      <c r="D26" s="90">
        <v>1.69</v>
      </c>
      <c r="E26" s="90">
        <v>2.61</v>
      </c>
      <c r="F26" s="90">
        <v>3.81</v>
      </c>
      <c r="G26" s="90">
        <v>4.3499999999999996</v>
      </c>
      <c r="H26" s="90"/>
      <c r="I26" s="90">
        <v>7.47</v>
      </c>
      <c r="J26" s="90">
        <v>2.2599999999999998</v>
      </c>
      <c r="K26" s="90">
        <v>3.83</v>
      </c>
      <c r="L26" s="90"/>
      <c r="M26" s="90">
        <v>3.83</v>
      </c>
      <c r="N26" s="90"/>
      <c r="O26" s="90">
        <v>1.54</v>
      </c>
      <c r="P26" s="90"/>
      <c r="Q26" s="90">
        <v>3.06</v>
      </c>
      <c r="R26" s="90"/>
      <c r="S26" s="90">
        <v>10.96</v>
      </c>
      <c r="T26" s="90"/>
      <c r="U26" s="90">
        <v>4.32</v>
      </c>
      <c r="V26" s="90"/>
    </row>
    <row r="27" spans="1:22" ht="15" thickBot="1">
      <c r="A27" s="89">
        <v>1980</v>
      </c>
      <c r="B27" s="90">
        <v>1.97</v>
      </c>
      <c r="C27" s="90">
        <v>1.82</v>
      </c>
      <c r="D27" s="90">
        <v>1.91</v>
      </c>
      <c r="E27" s="90">
        <v>3.64</v>
      </c>
      <c r="F27" s="90">
        <v>5.49</v>
      </c>
      <c r="G27" s="90">
        <v>5.43</v>
      </c>
      <c r="H27" s="90"/>
      <c r="I27" s="90">
        <v>10.19</v>
      </c>
      <c r="J27" s="90">
        <v>3.16</v>
      </c>
      <c r="K27" s="90">
        <v>5.79</v>
      </c>
      <c r="L27" s="90"/>
      <c r="M27" s="90">
        <v>5.36</v>
      </c>
      <c r="N27" s="90"/>
      <c r="O27" s="90">
        <v>1.51</v>
      </c>
      <c r="P27" s="90"/>
      <c r="Q27" s="90">
        <v>4.2699999999999996</v>
      </c>
      <c r="R27" s="90"/>
      <c r="S27" s="90">
        <v>16.04</v>
      </c>
      <c r="T27" s="90"/>
      <c r="U27" s="90">
        <v>6.22</v>
      </c>
      <c r="V27" s="90"/>
    </row>
    <row r="28" spans="1:22" ht="15" thickBot="1">
      <c r="A28" s="89">
        <v>1981</v>
      </c>
      <c r="B28" s="90">
        <v>2.2599999999999998</v>
      </c>
      <c r="C28" s="90">
        <v>2.06</v>
      </c>
      <c r="D28" s="90">
        <v>2.16</v>
      </c>
      <c r="E28" s="90">
        <v>3.88</v>
      </c>
      <c r="F28" s="90">
        <v>6.42</v>
      </c>
      <c r="G28" s="90">
        <v>6.39</v>
      </c>
      <c r="H28" s="90"/>
      <c r="I28" s="90">
        <v>11.33</v>
      </c>
      <c r="J28" s="90">
        <v>4.0199999999999996</v>
      </c>
      <c r="K28" s="90">
        <v>7.65</v>
      </c>
      <c r="L28" s="90"/>
      <c r="M28" s="90">
        <v>6.55</v>
      </c>
      <c r="N28" s="90"/>
      <c r="O28" s="90">
        <v>1.51</v>
      </c>
      <c r="P28" s="90"/>
      <c r="Q28" s="90">
        <v>4.7300000000000004</v>
      </c>
      <c r="R28" s="90"/>
      <c r="S28" s="90">
        <v>18.11</v>
      </c>
      <c r="T28" s="90"/>
      <c r="U28" s="90">
        <v>7.05</v>
      </c>
      <c r="V28" s="90"/>
    </row>
    <row r="29" spans="1:22" ht="15" thickBot="1">
      <c r="A29" s="89">
        <v>1982</v>
      </c>
      <c r="B29" s="90">
        <v>2.0699999999999998</v>
      </c>
      <c r="C29" s="90">
        <v>2.31</v>
      </c>
      <c r="D29" s="90">
        <v>2.19</v>
      </c>
      <c r="E29" s="90">
        <v>4.66</v>
      </c>
      <c r="F29" s="90">
        <v>6.27</v>
      </c>
      <c r="G29" s="90">
        <v>7.37</v>
      </c>
      <c r="H29" s="90"/>
      <c r="I29" s="90">
        <v>10.82</v>
      </c>
      <c r="J29" s="90">
        <v>4.25</v>
      </c>
      <c r="K29" s="90">
        <v>6.9</v>
      </c>
      <c r="L29" s="90"/>
      <c r="M29" s="90">
        <v>6.4</v>
      </c>
      <c r="N29" s="90"/>
      <c r="O29" s="90">
        <v>1.51</v>
      </c>
      <c r="P29" s="90"/>
      <c r="Q29" s="90">
        <v>5.09</v>
      </c>
      <c r="R29" s="90"/>
      <c r="S29" s="90">
        <v>21.24</v>
      </c>
      <c r="T29" s="90"/>
      <c r="U29" s="90">
        <v>7.95</v>
      </c>
      <c r="V29" s="90"/>
    </row>
    <row r="30" spans="1:22" ht="15" thickBot="1">
      <c r="A30" s="89">
        <v>1983</v>
      </c>
      <c r="B30" s="90" t="s">
        <v>611</v>
      </c>
      <c r="C30" s="90">
        <v>2.37</v>
      </c>
      <c r="D30" s="90">
        <v>2.37</v>
      </c>
      <c r="E30" s="90">
        <v>5.28</v>
      </c>
      <c r="F30" s="90">
        <v>6.47</v>
      </c>
      <c r="G30" s="90">
        <v>7.68</v>
      </c>
      <c r="H30" s="90"/>
      <c r="I30" s="90">
        <v>8.9600000000000009</v>
      </c>
      <c r="J30" s="90">
        <v>4.2699999999999996</v>
      </c>
      <c r="K30" s="90">
        <v>7.08</v>
      </c>
      <c r="L30" s="90"/>
      <c r="M30" s="90">
        <v>6.59</v>
      </c>
      <c r="N30" s="90"/>
      <c r="O30" s="90">
        <v>1.51</v>
      </c>
      <c r="P30" s="90"/>
      <c r="Q30" s="90">
        <v>5.59</v>
      </c>
      <c r="R30" s="90"/>
      <c r="S30" s="90">
        <v>19.829999999999998</v>
      </c>
      <c r="T30" s="90"/>
      <c r="U30" s="90">
        <v>8.4</v>
      </c>
      <c r="V30" s="90"/>
    </row>
    <row r="31" spans="1:22" ht="15" thickBot="1">
      <c r="A31" s="89">
        <v>1984</v>
      </c>
      <c r="B31" s="90" t="s">
        <v>611</v>
      </c>
      <c r="C31" s="90">
        <v>2.39</v>
      </c>
      <c r="D31" s="90">
        <v>2.39</v>
      </c>
      <c r="E31" s="90">
        <v>5.01</v>
      </c>
      <c r="F31" s="90">
        <v>6.29</v>
      </c>
      <c r="G31" s="90">
        <v>7.51</v>
      </c>
      <c r="H31" s="90"/>
      <c r="I31" s="90">
        <v>8.74</v>
      </c>
      <c r="J31" s="90">
        <v>4.49</v>
      </c>
      <c r="K31" s="90">
        <v>7</v>
      </c>
      <c r="L31" s="90"/>
      <c r="M31" s="90">
        <v>6.2</v>
      </c>
      <c r="N31" s="90"/>
      <c r="O31" s="90">
        <v>1.51</v>
      </c>
      <c r="P31" s="90"/>
      <c r="Q31" s="90">
        <v>5.42</v>
      </c>
      <c r="R31" s="90"/>
      <c r="S31" s="90">
        <v>19.59</v>
      </c>
      <c r="T31" s="90"/>
      <c r="U31" s="90">
        <v>7.68</v>
      </c>
      <c r="V31" s="90"/>
    </row>
    <row r="32" spans="1:22" ht="15" thickBot="1">
      <c r="A32" s="89">
        <v>1985</v>
      </c>
      <c r="B32" s="90" t="s">
        <v>611</v>
      </c>
      <c r="C32" s="90">
        <v>2.25</v>
      </c>
      <c r="D32" s="90">
        <v>2.25</v>
      </c>
      <c r="E32" s="90">
        <v>4.54</v>
      </c>
      <c r="F32" s="90">
        <v>6.19</v>
      </c>
      <c r="G32" s="90">
        <v>10.65</v>
      </c>
      <c r="H32" s="90"/>
      <c r="I32" s="90">
        <v>8.68</v>
      </c>
      <c r="J32" s="90">
        <v>3.93</v>
      </c>
      <c r="K32" s="90">
        <v>6.98</v>
      </c>
      <c r="L32" s="90"/>
      <c r="M32" s="90">
        <v>6.34</v>
      </c>
      <c r="N32" s="90"/>
      <c r="O32" s="90">
        <v>1.51</v>
      </c>
      <c r="P32" s="90"/>
      <c r="Q32" s="90">
        <v>5.2</v>
      </c>
      <c r="R32" s="90"/>
      <c r="S32" s="90">
        <v>22</v>
      </c>
      <c r="T32" s="90"/>
      <c r="U32" s="90">
        <v>7.96</v>
      </c>
      <c r="V32" s="90"/>
    </row>
    <row r="33" spans="1:22" ht="15" thickBot="1">
      <c r="A33" s="89">
        <v>1986</v>
      </c>
      <c r="B33" s="90" t="s">
        <v>611</v>
      </c>
      <c r="C33" s="90">
        <v>2.2599999999999998</v>
      </c>
      <c r="D33" s="90">
        <v>2.2599999999999998</v>
      </c>
      <c r="E33" s="90">
        <v>3.46</v>
      </c>
      <c r="F33" s="90">
        <v>3.84</v>
      </c>
      <c r="G33" s="90">
        <v>9.89</v>
      </c>
      <c r="H33" s="90"/>
      <c r="I33" s="90">
        <v>6.68</v>
      </c>
      <c r="J33" s="90">
        <v>2.16</v>
      </c>
      <c r="K33" s="90">
        <v>7.01</v>
      </c>
      <c r="L33" s="90"/>
      <c r="M33" s="90">
        <v>5.39</v>
      </c>
      <c r="N33" s="90"/>
      <c r="O33" s="90">
        <v>1.77</v>
      </c>
      <c r="P33" s="90"/>
      <c r="Q33" s="90">
        <v>4.26</v>
      </c>
      <c r="R33" s="90"/>
      <c r="S33" s="90">
        <v>21.63</v>
      </c>
      <c r="T33" s="90"/>
      <c r="U33" s="90">
        <v>7.25</v>
      </c>
      <c r="V33" s="90"/>
    </row>
    <row r="34" spans="1:22" ht="15" thickBot="1">
      <c r="A34" s="89">
        <v>1987</v>
      </c>
      <c r="B34" s="90" t="s">
        <v>611</v>
      </c>
      <c r="C34" s="90">
        <v>2.09</v>
      </c>
      <c r="D34" s="90">
        <v>2.09</v>
      </c>
      <c r="E34" s="90">
        <v>3.39</v>
      </c>
      <c r="F34" s="90">
        <v>4.42</v>
      </c>
      <c r="G34" s="90">
        <v>9.24</v>
      </c>
      <c r="H34" s="90"/>
      <c r="I34" s="90">
        <v>6.95</v>
      </c>
      <c r="J34" s="90">
        <v>2.6</v>
      </c>
      <c r="K34" s="90">
        <v>7.19</v>
      </c>
      <c r="L34" s="90"/>
      <c r="M34" s="90">
        <v>5.77</v>
      </c>
      <c r="N34" s="90"/>
      <c r="O34" s="90">
        <v>1.77</v>
      </c>
      <c r="P34" s="90"/>
      <c r="Q34" s="90">
        <v>4.28</v>
      </c>
      <c r="R34" s="90"/>
      <c r="S34" s="90">
        <v>20.38</v>
      </c>
      <c r="T34" s="90"/>
      <c r="U34" s="90">
        <v>6.67</v>
      </c>
      <c r="V34" s="90"/>
    </row>
    <row r="35" spans="1:22" ht="15" thickBot="1">
      <c r="A35" s="89">
        <v>1988</v>
      </c>
      <c r="B35" s="90" t="s">
        <v>611</v>
      </c>
      <c r="C35" s="90">
        <v>1.94</v>
      </c>
      <c r="D35" s="90">
        <v>1.94</v>
      </c>
      <c r="E35" s="90">
        <v>3.65</v>
      </c>
      <c r="F35" s="90">
        <v>4.07</v>
      </c>
      <c r="G35" s="90">
        <v>9.32</v>
      </c>
      <c r="H35" s="90"/>
      <c r="I35" s="90">
        <v>7.08</v>
      </c>
      <c r="J35" s="90">
        <v>2.09</v>
      </c>
      <c r="K35" s="90">
        <v>6.62</v>
      </c>
      <c r="L35" s="90"/>
      <c r="M35" s="90">
        <v>5.59</v>
      </c>
      <c r="N35" s="90"/>
      <c r="O35" s="90">
        <v>1.77</v>
      </c>
      <c r="P35" s="90"/>
      <c r="Q35" s="90">
        <v>4.29</v>
      </c>
      <c r="R35" s="90"/>
      <c r="S35" s="90">
        <v>20.149999999999999</v>
      </c>
      <c r="T35" s="90"/>
      <c r="U35" s="90">
        <v>7</v>
      </c>
      <c r="V35" s="90"/>
    </row>
    <row r="36" spans="1:22" ht="15" thickBot="1">
      <c r="A36" s="89">
        <v>1989</v>
      </c>
      <c r="B36" s="90" t="s">
        <v>611</v>
      </c>
      <c r="C36" s="90">
        <v>1.93</v>
      </c>
      <c r="D36" s="90">
        <v>1.93</v>
      </c>
      <c r="E36" s="90">
        <v>3.61</v>
      </c>
      <c r="F36" s="90">
        <v>4.9800000000000004</v>
      </c>
      <c r="G36" s="90">
        <v>8.31</v>
      </c>
      <c r="H36" s="90"/>
      <c r="I36" s="90">
        <v>7.66</v>
      </c>
      <c r="J36" s="90">
        <v>2.2999999999999998</v>
      </c>
      <c r="K36" s="90">
        <v>5.51</v>
      </c>
      <c r="L36" s="90"/>
      <c r="M36" s="90">
        <v>5.73</v>
      </c>
      <c r="N36" s="90"/>
      <c r="O36" s="90">
        <v>1.19</v>
      </c>
      <c r="P36" s="90"/>
      <c r="Q36" s="90">
        <v>4.09</v>
      </c>
      <c r="R36" s="90"/>
      <c r="S36" s="90">
        <v>20.89</v>
      </c>
      <c r="T36" s="90"/>
      <c r="U36" s="90">
        <v>6.91</v>
      </c>
      <c r="V36" s="90"/>
    </row>
    <row r="37" spans="1:22" ht="15" thickBot="1">
      <c r="A37" s="89">
        <v>1990</v>
      </c>
      <c r="B37" s="90" t="s">
        <v>611</v>
      </c>
      <c r="C37" s="90">
        <v>2</v>
      </c>
      <c r="D37" s="90">
        <v>2</v>
      </c>
      <c r="E37" s="90">
        <v>3.79</v>
      </c>
      <c r="F37" s="90">
        <v>5.69</v>
      </c>
      <c r="G37" s="90">
        <v>9.9700000000000006</v>
      </c>
      <c r="H37" s="90"/>
      <c r="I37" s="90">
        <v>8.57</v>
      </c>
      <c r="J37" s="90">
        <v>3</v>
      </c>
      <c r="K37" s="90">
        <v>5.64</v>
      </c>
      <c r="L37" s="90"/>
      <c r="M37" s="90">
        <v>6.21</v>
      </c>
      <c r="N37" s="90"/>
      <c r="O37" s="90">
        <v>0.99</v>
      </c>
      <c r="P37" s="90"/>
      <c r="Q37" s="90">
        <v>4.3099999999999996</v>
      </c>
      <c r="R37" s="90"/>
      <c r="S37" s="90">
        <v>21.35</v>
      </c>
      <c r="T37" s="90"/>
      <c r="U37" s="90">
        <v>7.09</v>
      </c>
      <c r="V37" s="90"/>
    </row>
    <row r="38" spans="1:22" ht="15" thickBot="1">
      <c r="A38" s="89">
        <v>1991</v>
      </c>
      <c r="B38" s="90" t="s">
        <v>611</v>
      </c>
      <c r="C38" s="90">
        <v>1.97</v>
      </c>
      <c r="D38" s="90">
        <v>1.97</v>
      </c>
      <c r="E38" s="90">
        <v>3.86</v>
      </c>
      <c r="F38" s="90">
        <v>5.43</v>
      </c>
      <c r="G38" s="90">
        <v>10.36</v>
      </c>
      <c r="H38" s="90"/>
      <c r="I38" s="90">
        <v>8.18</v>
      </c>
      <c r="J38" s="90">
        <v>2.2400000000000002</v>
      </c>
      <c r="K38" s="90">
        <v>5.77</v>
      </c>
      <c r="L38" s="90"/>
      <c r="M38" s="90">
        <v>6.06</v>
      </c>
      <c r="N38" s="90"/>
      <c r="O38" s="90">
        <v>1.1499999999999999</v>
      </c>
      <c r="P38" s="90"/>
      <c r="Q38" s="90">
        <v>4.24</v>
      </c>
      <c r="R38" s="90"/>
      <c r="S38" s="90">
        <v>22.22</v>
      </c>
      <c r="T38" s="90"/>
      <c r="U38" s="90">
        <v>7.21</v>
      </c>
      <c r="V38" s="90"/>
    </row>
    <row r="39" spans="1:22" ht="15" thickBot="1">
      <c r="A39" s="89">
        <v>1992</v>
      </c>
      <c r="B39" s="90" t="s">
        <v>611</v>
      </c>
      <c r="C39" s="90">
        <v>1.83</v>
      </c>
      <c r="D39" s="90">
        <v>1.83</v>
      </c>
      <c r="E39" s="90">
        <v>3.58</v>
      </c>
      <c r="F39" s="90">
        <v>5.44</v>
      </c>
      <c r="G39" s="90">
        <v>10.29</v>
      </c>
      <c r="H39" s="90"/>
      <c r="I39" s="90">
        <v>9.19</v>
      </c>
      <c r="J39" s="90">
        <v>2.25</v>
      </c>
      <c r="K39" s="90">
        <v>5.82</v>
      </c>
      <c r="L39" s="90"/>
      <c r="M39" s="90">
        <v>6.32</v>
      </c>
      <c r="N39" s="90"/>
      <c r="O39" s="90">
        <v>1.1499999999999999</v>
      </c>
      <c r="P39" s="90"/>
      <c r="Q39" s="90">
        <v>4.13</v>
      </c>
      <c r="R39" s="90"/>
      <c r="S39" s="90">
        <v>22.25</v>
      </c>
      <c r="T39" s="90"/>
      <c r="U39" s="90">
        <v>7.18</v>
      </c>
      <c r="V39" s="90"/>
    </row>
    <row r="40" spans="1:22" ht="15" thickBot="1">
      <c r="A40" s="89">
        <v>1993</v>
      </c>
      <c r="B40" s="90" t="s">
        <v>611</v>
      </c>
      <c r="C40" s="90">
        <v>1.85</v>
      </c>
      <c r="D40" s="90">
        <v>1.85</v>
      </c>
      <c r="E40" s="90">
        <v>2.72</v>
      </c>
      <c r="F40" s="90">
        <v>5.68</v>
      </c>
      <c r="G40" s="90">
        <v>10.28</v>
      </c>
      <c r="H40" s="90"/>
      <c r="I40" s="90">
        <v>9.14</v>
      </c>
      <c r="J40" s="90">
        <v>2.14</v>
      </c>
      <c r="K40" s="90">
        <v>5.73</v>
      </c>
      <c r="L40" s="90"/>
      <c r="M40" s="90">
        <v>6.15</v>
      </c>
      <c r="N40" s="90"/>
      <c r="O40" s="90">
        <v>1.1599999999999999</v>
      </c>
      <c r="P40" s="90"/>
      <c r="Q40" s="90">
        <v>3.52</v>
      </c>
      <c r="R40" s="90"/>
      <c r="S40" s="90">
        <v>21.49</v>
      </c>
      <c r="T40" s="90"/>
      <c r="U40" s="90">
        <v>6.53</v>
      </c>
      <c r="V40" s="90"/>
    </row>
    <row r="41" spans="1:22" ht="15" thickBot="1">
      <c r="A41" s="89">
        <v>1994</v>
      </c>
      <c r="B41" s="90" t="s">
        <v>611</v>
      </c>
      <c r="C41" s="90">
        <v>1.87</v>
      </c>
      <c r="D41" s="90">
        <v>1.87</v>
      </c>
      <c r="E41" s="90">
        <v>3.19</v>
      </c>
      <c r="F41" s="90">
        <v>5.29</v>
      </c>
      <c r="G41" s="90">
        <v>11.22</v>
      </c>
      <c r="H41" s="90"/>
      <c r="I41" s="90">
        <v>9.1300000000000008</v>
      </c>
      <c r="J41" s="90">
        <v>2.41</v>
      </c>
      <c r="K41" s="90">
        <v>5.69</v>
      </c>
      <c r="L41" s="90"/>
      <c r="M41" s="90">
        <v>6.18</v>
      </c>
      <c r="N41" s="90"/>
      <c r="O41" s="90">
        <v>1.18</v>
      </c>
      <c r="P41" s="90"/>
      <c r="Q41" s="90">
        <v>3.89</v>
      </c>
      <c r="R41" s="90"/>
      <c r="S41" s="90">
        <v>20.79</v>
      </c>
      <c r="T41" s="90"/>
      <c r="U41" s="90">
        <v>6.87</v>
      </c>
      <c r="V41" s="90"/>
    </row>
    <row r="42" spans="1:22" ht="15" thickBot="1">
      <c r="A42" s="89">
        <v>1995</v>
      </c>
      <c r="B42" s="90" t="s">
        <v>611</v>
      </c>
      <c r="C42" s="90">
        <v>1.76</v>
      </c>
      <c r="D42" s="90">
        <v>1.76</v>
      </c>
      <c r="E42" s="90">
        <v>3.66</v>
      </c>
      <c r="F42" s="90">
        <v>5.44</v>
      </c>
      <c r="G42" s="90">
        <v>10.66</v>
      </c>
      <c r="H42" s="90"/>
      <c r="I42" s="90">
        <v>9.27</v>
      </c>
      <c r="J42" s="90">
        <v>2.7</v>
      </c>
      <c r="K42" s="90">
        <v>5.69</v>
      </c>
      <c r="L42" s="90"/>
      <c r="M42" s="90">
        <v>6.14</v>
      </c>
      <c r="N42" s="90"/>
      <c r="O42" s="90">
        <v>1.26</v>
      </c>
      <c r="P42" s="90"/>
      <c r="Q42" s="90">
        <v>4.1100000000000003</v>
      </c>
      <c r="R42" s="90"/>
      <c r="S42" s="90">
        <v>21.59</v>
      </c>
      <c r="T42" s="90"/>
      <c r="U42" s="90">
        <v>7.05</v>
      </c>
      <c r="V42" s="90"/>
    </row>
    <row r="43" spans="1:22" ht="15" thickBot="1">
      <c r="A43" s="89">
        <v>1996</v>
      </c>
      <c r="B43" s="90" t="s">
        <v>611</v>
      </c>
      <c r="C43" s="90">
        <v>1.7</v>
      </c>
      <c r="D43" s="90">
        <v>1.7</v>
      </c>
      <c r="E43" s="90">
        <v>3.65</v>
      </c>
      <c r="F43" s="90">
        <v>6.4</v>
      </c>
      <c r="G43" s="90">
        <v>10.3</v>
      </c>
      <c r="H43" s="90"/>
      <c r="I43" s="90">
        <v>10.029999999999999</v>
      </c>
      <c r="J43" s="90">
        <v>2.95</v>
      </c>
      <c r="K43" s="90">
        <v>5.81</v>
      </c>
      <c r="L43" s="90"/>
      <c r="M43" s="90">
        <v>6.51</v>
      </c>
      <c r="N43" s="90"/>
      <c r="O43" s="90">
        <v>1.07</v>
      </c>
      <c r="P43" s="90"/>
      <c r="Q43" s="90">
        <v>4.18</v>
      </c>
      <c r="R43" s="90"/>
      <c r="S43" s="90">
        <v>20.41</v>
      </c>
      <c r="T43" s="90"/>
      <c r="U43" s="90">
        <v>6.97</v>
      </c>
      <c r="V43" s="90"/>
    </row>
    <row r="44" spans="1:22" ht="15" thickBot="1">
      <c r="A44" s="89">
        <v>1997</v>
      </c>
      <c r="B44" s="90" t="s">
        <v>611</v>
      </c>
      <c r="C44" s="90">
        <v>1.74</v>
      </c>
      <c r="D44" s="90">
        <v>1.74</v>
      </c>
      <c r="E44" s="90">
        <v>4.1100000000000003</v>
      </c>
      <c r="F44" s="90">
        <v>5.79</v>
      </c>
      <c r="G44" s="90">
        <v>9.86</v>
      </c>
      <c r="H44" s="90"/>
      <c r="I44" s="90">
        <v>10.27</v>
      </c>
      <c r="J44" s="90">
        <v>2.78</v>
      </c>
      <c r="K44" s="90">
        <v>5.98</v>
      </c>
      <c r="L44" s="90"/>
      <c r="M44" s="90">
        <v>6.39</v>
      </c>
      <c r="N44" s="90"/>
      <c r="O44" s="90">
        <v>1.04</v>
      </c>
      <c r="P44" s="90"/>
      <c r="Q44" s="90">
        <v>4.4000000000000004</v>
      </c>
      <c r="R44" s="90"/>
      <c r="S44" s="90">
        <v>20.38</v>
      </c>
      <c r="T44" s="90"/>
      <c r="U44" s="90">
        <v>7.11</v>
      </c>
      <c r="V44" s="90"/>
    </row>
    <row r="45" spans="1:22" ht="15" thickBot="1">
      <c r="A45" s="89">
        <v>1998</v>
      </c>
      <c r="B45" s="90" t="s">
        <v>611</v>
      </c>
      <c r="C45" s="90">
        <v>1.78</v>
      </c>
      <c r="D45" s="90">
        <v>1.78</v>
      </c>
      <c r="E45" s="90">
        <v>3.55</v>
      </c>
      <c r="F45" s="90">
        <v>4.3099999999999996</v>
      </c>
      <c r="G45" s="90">
        <v>8.61</v>
      </c>
      <c r="H45" s="90"/>
      <c r="I45" s="90">
        <v>9.01</v>
      </c>
      <c r="J45" s="90">
        <v>2</v>
      </c>
      <c r="K45" s="90">
        <v>5.57</v>
      </c>
      <c r="L45" s="90"/>
      <c r="M45" s="90">
        <v>5.53</v>
      </c>
      <c r="N45" s="90"/>
      <c r="O45" s="90">
        <v>1.24</v>
      </c>
      <c r="P45" s="90"/>
      <c r="Q45" s="90">
        <v>3.91</v>
      </c>
      <c r="R45" s="90"/>
      <c r="S45" s="90">
        <v>19.02</v>
      </c>
      <c r="T45" s="90"/>
      <c r="U45" s="90">
        <v>6.37</v>
      </c>
      <c r="V45" s="90"/>
    </row>
    <row r="46" spans="1:22" ht="15" thickBot="1">
      <c r="A46" s="89">
        <v>1999</v>
      </c>
      <c r="B46" s="90" t="s">
        <v>611</v>
      </c>
      <c r="C46" s="90">
        <v>1.73</v>
      </c>
      <c r="D46" s="90">
        <v>1.73</v>
      </c>
      <c r="E46" s="90">
        <v>3.28</v>
      </c>
      <c r="F46" s="90">
        <v>5.32</v>
      </c>
      <c r="G46" s="90">
        <v>9.2200000000000006</v>
      </c>
      <c r="H46" s="90"/>
      <c r="I46" s="90">
        <v>10.52</v>
      </c>
      <c r="J46" s="90">
        <v>2.68</v>
      </c>
      <c r="K46" s="90">
        <v>5.34</v>
      </c>
      <c r="L46" s="90"/>
      <c r="M46" s="90">
        <v>5.68</v>
      </c>
      <c r="N46" s="90"/>
      <c r="O46" s="90">
        <v>1.37</v>
      </c>
      <c r="P46" s="90"/>
      <c r="Q46" s="90">
        <v>3.87</v>
      </c>
      <c r="R46" s="90"/>
      <c r="S46" s="90">
        <v>19.260000000000002</v>
      </c>
      <c r="T46" s="90"/>
      <c r="U46" s="90">
        <v>6.42</v>
      </c>
      <c r="V46" s="90"/>
    </row>
    <row r="47" spans="1:22" ht="15" thickBot="1">
      <c r="A47" s="89">
        <v>2000</v>
      </c>
      <c r="B47" s="90" t="s">
        <v>611</v>
      </c>
      <c r="C47" s="90">
        <v>1.66</v>
      </c>
      <c r="D47" s="90">
        <v>1.66</v>
      </c>
      <c r="E47" s="90">
        <v>5.53</v>
      </c>
      <c r="F47" s="90">
        <v>7.99</v>
      </c>
      <c r="G47" s="90">
        <v>12.77</v>
      </c>
      <c r="H47" s="90"/>
      <c r="I47" s="90">
        <v>12.55</v>
      </c>
      <c r="J47" s="90">
        <v>4.3099999999999996</v>
      </c>
      <c r="K47" s="90">
        <v>5.67</v>
      </c>
      <c r="L47" s="90"/>
      <c r="M47" s="90">
        <v>7.09</v>
      </c>
      <c r="N47" s="90"/>
      <c r="O47" s="90">
        <v>1.42</v>
      </c>
      <c r="P47" s="90"/>
      <c r="Q47" s="90">
        <v>5.69</v>
      </c>
      <c r="R47" s="90"/>
      <c r="S47" s="90">
        <v>20.94</v>
      </c>
      <c r="T47" s="90"/>
      <c r="U47" s="90">
        <v>8.25</v>
      </c>
      <c r="V47" s="90"/>
    </row>
    <row r="48" spans="1:22" ht="15" thickBot="1">
      <c r="A48" s="89">
        <v>2001</v>
      </c>
      <c r="B48" s="90" t="s">
        <v>611</v>
      </c>
      <c r="C48" s="90">
        <v>1.61</v>
      </c>
      <c r="D48" s="90">
        <v>1.61</v>
      </c>
      <c r="E48" s="90">
        <v>6.5</v>
      </c>
      <c r="F48" s="90">
        <v>7.08</v>
      </c>
      <c r="G48" s="90">
        <v>14.42</v>
      </c>
      <c r="H48" s="90"/>
      <c r="I48" s="90">
        <v>12.27</v>
      </c>
      <c r="J48" s="90">
        <v>3.51</v>
      </c>
      <c r="K48" s="90">
        <v>6.12</v>
      </c>
      <c r="L48" s="90"/>
      <c r="M48" s="90">
        <v>7.33</v>
      </c>
      <c r="N48" s="90"/>
      <c r="O48" s="90">
        <v>1.95</v>
      </c>
      <c r="P48" s="90"/>
      <c r="Q48" s="90">
        <v>6.38</v>
      </c>
      <c r="R48" s="90"/>
      <c r="S48" s="90">
        <v>27.05</v>
      </c>
      <c r="T48" s="90"/>
      <c r="U48" s="90">
        <v>9.8699999999999992</v>
      </c>
      <c r="V48" s="90"/>
    </row>
    <row r="49" spans="1:22" ht="15" thickBot="1">
      <c r="A49" s="89">
        <v>2002</v>
      </c>
      <c r="B49" s="90" t="s">
        <v>611</v>
      </c>
      <c r="C49" s="90">
        <v>1.64</v>
      </c>
      <c r="D49" s="90">
        <v>1.64</v>
      </c>
      <c r="E49" s="90">
        <v>4.84</v>
      </c>
      <c r="F49" s="90">
        <v>6.8</v>
      </c>
      <c r="G49" s="90">
        <v>13.49</v>
      </c>
      <c r="H49" s="90"/>
      <c r="I49" s="90">
        <v>11.19</v>
      </c>
      <c r="J49" s="90">
        <v>3.95</v>
      </c>
      <c r="K49" s="90">
        <v>6.01</v>
      </c>
      <c r="L49" s="90"/>
      <c r="M49" s="90">
        <v>7.33</v>
      </c>
      <c r="N49" s="90"/>
      <c r="O49" s="90">
        <v>2.08</v>
      </c>
      <c r="P49" s="90"/>
      <c r="Q49" s="90">
        <v>5.37</v>
      </c>
      <c r="R49" s="90"/>
      <c r="S49" s="90">
        <v>28.75</v>
      </c>
      <c r="T49" s="90"/>
      <c r="U49" s="90">
        <v>8.4</v>
      </c>
      <c r="V49" s="90"/>
    </row>
    <row r="50" spans="1:22" ht="15" thickBot="1">
      <c r="A50" s="89">
        <v>2003</v>
      </c>
      <c r="B50" s="90" t="s">
        <v>611</v>
      </c>
      <c r="C50" s="90">
        <v>1.68</v>
      </c>
      <c r="D50" s="90">
        <v>1.68</v>
      </c>
      <c r="E50" s="90">
        <v>7.05</v>
      </c>
      <c r="F50" s="90">
        <v>8.19</v>
      </c>
      <c r="G50" s="90">
        <v>15.09</v>
      </c>
      <c r="H50" s="90"/>
      <c r="I50" s="90">
        <v>13.78</v>
      </c>
      <c r="J50" s="90">
        <v>4.59</v>
      </c>
      <c r="K50" s="90">
        <v>7.67</v>
      </c>
      <c r="L50" s="90"/>
      <c r="M50" s="90">
        <v>9.06</v>
      </c>
      <c r="N50" s="90"/>
      <c r="O50" s="90">
        <v>1.62</v>
      </c>
      <c r="P50" s="90"/>
      <c r="Q50" s="90">
        <v>7.13</v>
      </c>
      <c r="R50" s="90"/>
      <c r="S50" s="90">
        <v>28.11</v>
      </c>
      <c r="T50" s="90"/>
      <c r="U50" s="90">
        <v>10.039999999999999</v>
      </c>
      <c r="V50" s="90"/>
    </row>
    <row r="51" spans="1:22" ht="15" thickBot="1">
      <c r="A51" s="89">
        <v>2004</v>
      </c>
      <c r="B51" s="90" t="s">
        <v>611</v>
      </c>
      <c r="C51" s="90">
        <v>1.76</v>
      </c>
      <c r="D51" s="90">
        <v>1.76</v>
      </c>
      <c r="E51" s="90">
        <v>7.74</v>
      </c>
      <c r="F51" s="90">
        <v>11.27</v>
      </c>
      <c r="G51" s="90">
        <v>17.27</v>
      </c>
      <c r="H51" s="90"/>
      <c r="I51" s="90">
        <v>16.3</v>
      </c>
      <c r="J51" s="90">
        <v>5.2</v>
      </c>
      <c r="K51" s="90">
        <v>7.86</v>
      </c>
      <c r="L51" s="90"/>
      <c r="M51" s="90">
        <v>10.48</v>
      </c>
      <c r="N51" s="90"/>
      <c r="O51" s="90">
        <v>1.78</v>
      </c>
      <c r="P51" s="90"/>
      <c r="Q51" s="90">
        <v>8</v>
      </c>
      <c r="R51" s="90"/>
      <c r="S51" s="90">
        <v>27.18</v>
      </c>
      <c r="T51" s="90"/>
      <c r="U51" s="90">
        <v>10.44</v>
      </c>
      <c r="V51" s="90"/>
    </row>
    <row r="52" spans="1:22" ht="15" thickBot="1">
      <c r="A52" s="89">
        <v>2005</v>
      </c>
      <c r="B52" s="90" t="s">
        <v>611</v>
      </c>
      <c r="C52" s="90">
        <v>2.12</v>
      </c>
      <c r="D52" s="90">
        <v>2.12</v>
      </c>
      <c r="E52" s="90">
        <v>9.6199999999999992</v>
      </c>
      <c r="F52" s="90">
        <v>15.45</v>
      </c>
      <c r="G52" s="90">
        <v>20.6</v>
      </c>
      <c r="H52" s="90"/>
      <c r="I52" s="90">
        <v>18.96</v>
      </c>
      <c r="J52" s="90">
        <v>7.17</v>
      </c>
      <c r="K52" s="90">
        <v>9.02</v>
      </c>
      <c r="L52" s="90"/>
      <c r="M52" s="90">
        <v>12.46</v>
      </c>
      <c r="N52" s="90"/>
      <c r="O52" s="90">
        <v>2.68</v>
      </c>
      <c r="P52" s="90"/>
      <c r="Q52" s="90">
        <v>9.73</v>
      </c>
      <c r="R52" s="90"/>
      <c r="S52" s="90">
        <v>27.98</v>
      </c>
      <c r="T52" s="90"/>
      <c r="U52" s="90">
        <v>12.25</v>
      </c>
      <c r="V52" s="90"/>
    </row>
    <row r="53" spans="1:22" ht="15" thickBot="1">
      <c r="A53" s="89">
        <v>2006</v>
      </c>
      <c r="B53" s="90" t="s">
        <v>611</v>
      </c>
      <c r="C53" s="90">
        <v>2.39</v>
      </c>
      <c r="D53" s="90">
        <v>2.39</v>
      </c>
      <c r="E53" s="90">
        <v>9.09</v>
      </c>
      <c r="F53" s="90">
        <v>17.399999999999999</v>
      </c>
      <c r="G53" s="90">
        <v>23.04</v>
      </c>
      <c r="H53" s="90"/>
      <c r="I53" s="90">
        <v>21.47</v>
      </c>
      <c r="J53" s="90">
        <v>8.65</v>
      </c>
      <c r="K53" s="90">
        <v>10.64</v>
      </c>
      <c r="L53" s="90"/>
      <c r="M53" s="90">
        <v>14.76</v>
      </c>
      <c r="N53" s="90"/>
      <c r="O53" s="90">
        <v>2.66</v>
      </c>
      <c r="P53" s="90"/>
      <c r="Q53" s="90">
        <v>9.94</v>
      </c>
      <c r="R53" s="90"/>
      <c r="S53" s="90">
        <v>29.57</v>
      </c>
      <c r="T53" s="90"/>
      <c r="U53" s="90">
        <v>12.83</v>
      </c>
      <c r="V53" s="90"/>
    </row>
    <row r="54" spans="1:22" ht="15" thickBot="1">
      <c r="A54" s="89">
        <v>2007</v>
      </c>
      <c r="B54" s="90" t="s">
        <v>611</v>
      </c>
      <c r="C54" s="90">
        <v>2.81</v>
      </c>
      <c r="D54" s="90">
        <v>2.81</v>
      </c>
      <c r="E54" s="90">
        <v>8.81</v>
      </c>
      <c r="F54" s="90">
        <v>18.29</v>
      </c>
      <c r="G54" s="90">
        <v>26.49</v>
      </c>
      <c r="H54" s="90"/>
      <c r="I54" s="90">
        <v>23.34</v>
      </c>
      <c r="J54" s="90">
        <v>10.039999999999999</v>
      </c>
      <c r="K54" s="90">
        <v>11.87</v>
      </c>
      <c r="L54" s="90"/>
      <c r="M54" s="90">
        <v>15.18</v>
      </c>
      <c r="N54" s="90"/>
      <c r="O54" s="90">
        <v>2.52</v>
      </c>
      <c r="P54" s="90"/>
      <c r="Q54" s="90">
        <v>9.84</v>
      </c>
      <c r="R54" s="90"/>
      <c r="S54" s="90">
        <v>29.26</v>
      </c>
      <c r="T54" s="90"/>
      <c r="U54" s="90">
        <v>12.67</v>
      </c>
      <c r="V54" s="90"/>
    </row>
    <row r="55" spans="1:22" ht="15" thickBot="1">
      <c r="A55" s="89">
        <v>2008</v>
      </c>
      <c r="B55" s="90" t="s">
        <v>611</v>
      </c>
      <c r="C55" s="90">
        <v>2.96</v>
      </c>
      <c r="D55" s="90">
        <v>2.96</v>
      </c>
      <c r="E55" s="90">
        <v>10.51</v>
      </c>
      <c r="F55" s="90">
        <v>24.53</v>
      </c>
      <c r="G55" s="90">
        <v>31.75</v>
      </c>
      <c r="H55" s="90"/>
      <c r="I55" s="90">
        <v>26.96</v>
      </c>
      <c r="J55" s="90">
        <v>13.91</v>
      </c>
      <c r="K55" s="90">
        <v>14.12</v>
      </c>
      <c r="L55" s="90"/>
      <c r="M55" s="90">
        <v>19.809999999999999</v>
      </c>
      <c r="N55" s="90"/>
      <c r="O55" s="90">
        <v>2.83</v>
      </c>
      <c r="P55" s="90"/>
      <c r="Q55" s="90">
        <v>12.14</v>
      </c>
      <c r="R55" s="90"/>
      <c r="S55" s="90">
        <v>29.56</v>
      </c>
      <c r="T55" s="90"/>
      <c r="U55" s="90">
        <v>14.8</v>
      </c>
      <c r="V55" s="90"/>
    </row>
    <row r="56" spans="1:22" ht="15" thickBot="1">
      <c r="A56" s="89">
        <v>2009</v>
      </c>
      <c r="B56" s="90" t="s">
        <v>611</v>
      </c>
      <c r="C56" s="90">
        <v>2.95</v>
      </c>
      <c r="D56" s="90">
        <v>2.95</v>
      </c>
      <c r="E56" s="90">
        <v>6.39</v>
      </c>
      <c r="F56" s="90">
        <v>14.78</v>
      </c>
      <c r="G56" s="90">
        <v>25.25</v>
      </c>
      <c r="H56" s="90"/>
      <c r="I56" s="90">
        <v>20.56</v>
      </c>
      <c r="J56" s="90" t="s">
        <v>611</v>
      </c>
      <c r="K56" s="90">
        <v>19.68</v>
      </c>
      <c r="L56" s="90"/>
      <c r="M56" s="90">
        <v>18.52</v>
      </c>
      <c r="N56" s="90"/>
      <c r="O56" s="90">
        <v>2.66</v>
      </c>
      <c r="P56" s="90"/>
      <c r="Q56" s="90">
        <v>8.5299999999999994</v>
      </c>
      <c r="R56" s="90"/>
      <c r="S56" s="90">
        <v>30.54</v>
      </c>
      <c r="T56" s="90"/>
      <c r="U56" s="90">
        <v>11.95</v>
      </c>
      <c r="V56" s="90"/>
    </row>
    <row r="57" spans="1:22" ht="15" thickBot="1">
      <c r="A57" s="89">
        <v>2010</v>
      </c>
      <c r="B57" s="90" t="s">
        <v>611</v>
      </c>
      <c r="C57" s="90">
        <v>3.41</v>
      </c>
      <c r="D57" s="90">
        <v>3.41</v>
      </c>
      <c r="E57" s="90">
        <v>6.87</v>
      </c>
      <c r="F57" s="90">
        <v>19.100000000000001</v>
      </c>
      <c r="G57" s="90">
        <v>27.24</v>
      </c>
      <c r="H57" s="90"/>
      <c r="I57" s="90">
        <v>24.76</v>
      </c>
      <c r="J57" s="90" t="s">
        <v>611</v>
      </c>
      <c r="K57" s="90">
        <v>25.89</v>
      </c>
      <c r="L57" s="90"/>
      <c r="M57" s="90">
        <v>23.07</v>
      </c>
      <c r="N57" s="90"/>
      <c r="O57" s="90">
        <v>2.68</v>
      </c>
      <c r="P57" s="90"/>
      <c r="Q57" s="90">
        <v>9.93</v>
      </c>
      <c r="R57" s="90"/>
      <c r="S57" s="90">
        <v>28.72</v>
      </c>
      <c r="T57" s="90"/>
      <c r="U57" s="90">
        <v>12.94</v>
      </c>
      <c r="V57" s="90"/>
    </row>
    <row r="58" spans="1:22" ht="15" thickBot="1">
      <c r="A58" s="89">
        <v>2011</v>
      </c>
      <c r="B58" s="90" t="s">
        <v>611</v>
      </c>
      <c r="C58" s="90">
        <v>3.64</v>
      </c>
      <c r="D58" s="90">
        <v>3.64</v>
      </c>
      <c r="E58" s="90">
        <v>6.91</v>
      </c>
      <c r="F58" s="90">
        <v>25.33</v>
      </c>
      <c r="G58" s="90">
        <v>33.590000000000003</v>
      </c>
      <c r="H58" s="90"/>
      <c r="I58" s="90">
        <v>30.51</v>
      </c>
      <c r="J58" s="90">
        <v>15.24</v>
      </c>
      <c r="K58" s="90">
        <v>23.87</v>
      </c>
      <c r="L58" s="90"/>
      <c r="M58" s="90">
        <v>26.45</v>
      </c>
      <c r="N58" s="90"/>
      <c r="O58" s="90">
        <v>2.73</v>
      </c>
      <c r="P58" s="90"/>
      <c r="Q58" s="90">
        <v>11.22</v>
      </c>
      <c r="R58" s="90"/>
      <c r="S58" s="90">
        <v>29.62</v>
      </c>
      <c r="T58" s="90"/>
      <c r="U58" s="90">
        <v>14.09</v>
      </c>
      <c r="V58" s="90"/>
    </row>
    <row r="59" spans="1:22" ht="15" thickBot="1">
      <c r="A59" s="89">
        <v>2012</v>
      </c>
      <c r="B59" s="90" t="s">
        <v>611</v>
      </c>
      <c r="C59" s="90">
        <v>3.54</v>
      </c>
      <c r="D59" s="90">
        <v>3.54</v>
      </c>
      <c r="E59" s="90">
        <v>5.66</v>
      </c>
      <c r="F59" s="90">
        <v>26.29</v>
      </c>
      <c r="G59" s="90">
        <v>25.38</v>
      </c>
      <c r="H59" s="90"/>
      <c r="I59" s="90">
        <v>32.24</v>
      </c>
      <c r="J59" s="90">
        <v>16.16</v>
      </c>
      <c r="K59" s="90">
        <v>26.16</v>
      </c>
      <c r="L59" s="90"/>
      <c r="M59" s="90">
        <v>27.07</v>
      </c>
      <c r="N59" s="90"/>
      <c r="O59" s="90">
        <v>2.6</v>
      </c>
      <c r="P59" s="90"/>
      <c r="Q59" s="90">
        <v>10.220000000000001</v>
      </c>
      <c r="R59" s="90"/>
      <c r="S59" s="90">
        <v>30.75</v>
      </c>
      <c r="T59" s="90"/>
      <c r="U59" s="90">
        <v>13.21</v>
      </c>
      <c r="V59" s="90"/>
    </row>
    <row r="60" spans="1:22" ht="15" thickBot="1">
      <c r="A60" s="89">
        <v>2013</v>
      </c>
      <c r="B60" s="90" t="s">
        <v>611</v>
      </c>
      <c r="C60" s="90">
        <v>3.67</v>
      </c>
      <c r="D60" s="90">
        <v>3.67</v>
      </c>
      <c r="E60" s="90">
        <v>6.4</v>
      </c>
      <c r="F60" s="90">
        <v>25.76</v>
      </c>
      <c r="G60" s="90">
        <v>27.78</v>
      </c>
      <c r="H60" s="90"/>
      <c r="I60" s="90">
        <v>31.08</v>
      </c>
      <c r="J60" s="90">
        <v>16.260000000000002</v>
      </c>
      <c r="K60" s="90">
        <v>24.81</v>
      </c>
      <c r="L60" s="90"/>
      <c r="M60" s="90">
        <v>26.41</v>
      </c>
      <c r="N60" s="91" t="s">
        <v>612</v>
      </c>
      <c r="O60" s="90">
        <v>2.57</v>
      </c>
      <c r="P60" s="90"/>
      <c r="Q60" s="90">
        <v>10.77</v>
      </c>
      <c r="R60" s="90"/>
      <c r="S60" s="90">
        <v>33.520000000000003</v>
      </c>
      <c r="T60" s="90"/>
      <c r="U60" s="90">
        <v>14.43</v>
      </c>
      <c r="V60" s="90"/>
    </row>
    <row r="61" spans="1:22" ht="15" thickBot="1">
      <c r="A61" s="89">
        <v>2014</v>
      </c>
      <c r="B61" s="90" t="s">
        <v>611</v>
      </c>
      <c r="C61" s="90">
        <v>3.63</v>
      </c>
      <c r="D61" s="90">
        <v>3.63</v>
      </c>
      <c r="E61" s="90">
        <v>7.44</v>
      </c>
      <c r="F61" s="90">
        <v>24.38</v>
      </c>
      <c r="G61" s="90">
        <v>28.71</v>
      </c>
      <c r="H61" s="90"/>
      <c r="I61" s="90">
        <v>29.99</v>
      </c>
      <c r="J61" s="90">
        <v>15.94</v>
      </c>
      <c r="K61" s="90">
        <v>25.35</v>
      </c>
      <c r="L61" s="91" t="s">
        <v>612</v>
      </c>
      <c r="M61" s="90">
        <v>25.87</v>
      </c>
      <c r="N61" s="91" t="s">
        <v>612</v>
      </c>
      <c r="O61" s="90">
        <v>3.11</v>
      </c>
      <c r="P61" s="90"/>
      <c r="Q61" s="90">
        <v>11.33</v>
      </c>
      <c r="R61" s="90"/>
      <c r="S61" s="90">
        <v>36.159999999999997</v>
      </c>
      <c r="T61" s="90"/>
      <c r="U61" s="90">
        <v>15.23</v>
      </c>
      <c r="V61" s="90"/>
    </row>
    <row r="62" spans="1:22" ht="15" thickBot="1">
      <c r="A62" s="89">
        <v>2015</v>
      </c>
      <c r="B62" s="90" t="s">
        <v>611</v>
      </c>
      <c r="C62" s="90">
        <v>3.57</v>
      </c>
      <c r="D62" s="90">
        <v>3.57</v>
      </c>
      <c r="E62" s="90">
        <v>6.18</v>
      </c>
      <c r="F62" s="90">
        <v>15.3</v>
      </c>
      <c r="G62" s="90">
        <v>16.079999999999998</v>
      </c>
      <c r="H62" s="91" t="s">
        <v>612</v>
      </c>
      <c r="I62" s="90">
        <v>25.47</v>
      </c>
      <c r="J62" s="90">
        <v>8.31</v>
      </c>
      <c r="K62" s="90">
        <v>22.14</v>
      </c>
      <c r="L62" s="90"/>
      <c r="M62" s="90">
        <v>19.47</v>
      </c>
      <c r="N62" s="91" t="s">
        <v>612</v>
      </c>
      <c r="O62" s="90">
        <v>3</v>
      </c>
      <c r="P62" s="90"/>
      <c r="Q62" s="90">
        <v>9.1300000000000008</v>
      </c>
      <c r="R62" s="90"/>
      <c r="S62" s="90">
        <v>35.65</v>
      </c>
      <c r="T62" s="90"/>
      <c r="U62" s="90">
        <v>13.28</v>
      </c>
      <c r="V62" s="90"/>
    </row>
    <row r="63" spans="1:22" ht="15" thickBot="1">
      <c r="A63" s="89">
        <v>2016</v>
      </c>
      <c r="B63" s="90" t="s">
        <v>611</v>
      </c>
      <c r="C63" s="90">
        <v>3.38</v>
      </c>
      <c r="D63" s="90">
        <v>3.38</v>
      </c>
      <c r="E63" s="90">
        <v>6.56</v>
      </c>
      <c r="F63" s="90">
        <v>13.21</v>
      </c>
      <c r="G63" s="90">
        <v>15.09</v>
      </c>
      <c r="H63" s="90"/>
      <c r="I63" s="90">
        <v>22.01</v>
      </c>
      <c r="J63" s="90">
        <v>6.11</v>
      </c>
      <c r="K63" s="90">
        <v>18.46</v>
      </c>
      <c r="L63" s="91" t="s">
        <v>612</v>
      </c>
      <c r="M63" s="90">
        <v>16.760000000000002</v>
      </c>
      <c r="N63" s="90"/>
      <c r="O63" s="90">
        <v>2.88</v>
      </c>
      <c r="P63" s="90"/>
      <c r="Q63" s="90">
        <v>8.73</v>
      </c>
      <c r="R63" s="90"/>
      <c r="S63" s="90">
        <v>34.94</v>
      </c>
      <c r="T63" s="90"/>
      <c r="U63" s="90">
        <v>12.73</v>
      </c>
      <c r="V63" s="90"/>
    </row>
    <row r="64" spans="1:22" ht="15" thickBot="1">
      <c r="A64" s="89">
        <v>2017</v>
      </c>
      <c r="B64" s="90" t="s">
        <v>611</v>
      </c>
      <c r="C64" s="90">
        <v>3.78</v>
      </c>
      <c r="D64" s="90">
        <v>3.78</v>
      </c>
      <c r="E64" s="90">
        <v>6.81</v>
      </c>
      <c r="F64" s="90">
        <v>15.69</v>
      </c>
      <c r="G64" s="90">
        <v>20.420000000000002</v>
      </c>
      <c r="H64" s="90"/>
      <c r="I64" s="90">
        <v>24.37</v>
      </c>
      <c r="J64" s="90" t="s">
        <v>611</v>
      </c>
      <c r="K64" s="90">
        <v>18.98</v>
      </c>
      <c r="L64" s="91" t="s">
        <v>612</v>
      </c>
      <c r="M64" s="90">
        <v>18.690000000000001</v>
      </c>
      <c r="N64" s="91" t="s">
        <v>612</v>
      </c>
      <c r="O64" s="90">
        <v>2.8</v>
      </c>
      <c r="P64" s="91" t="s">
        <v>612</v>
      </c>
      <c r="Q64" s="90">
        <v>9.3699999999999992</v>
      </c>
      <c r="R64" s="91" t="s">
        <v>612</v>
      </c>
      <c r="S64" s="90">
        <v>37.31</v>
      </c>
      <c r="T64" s="90"/>
      <c r="U64" s="90">
        <v>13.5</v>
      </c>
      <c r="V64" s="91" t="s">
        <v>612</v>
      </c>
    </row>
    <row r="65" spans="1:22" ht="15" thickBot="1">
      <c r="A65" s="89">
        <v>2018</v>
      </c>
      <c r="B65" s="90" t="s">
        <v>611</v>
      </c>
      <c r="C65" s="90">
        <v>3.53</v>
      </c>
      <c r="D65" s="90">
        <v>3.53</v>
      </c>
      <c r="E65" s="90">
        <v>6.89</v>
      </c>
      <c r="F65" s="90">
        <v>19.010000000000002</v>
      </c>
      <c r="G65" s="90">
        <v>23.67</v>
      </c>
      <c r="H65" s="91" t="s">
        <v>612</v>
      </c>
      <c r="I65" s="90">
        <v>28.09</v>
      </c>
      <c r="J65" s="90">
        <v>11.44</v>
      </c>
      <c r="K65" s="90">
        <v>21.74</v>
      </c>
      <c r="L65" s="91" t="s">
        <v>612</v>
      </c>
      <c r="M65" s="90">
        <v>21.96</v>
      </c>
      <c r="N65" s="90"/>
      <c r="O65" s="90">
        <v>2.59</v>
      </c>
      <c r="P65" s="91" t="s">
        <v>612</v>
      </c>
      <c r="Q65" s="90">
        <v>10.06</v>
      </c>
      <c r="R65" s="91" t="s">
        <v>612</v>
      </c>
      <c r="S65" s="90">
        <v>38.69</v>
      </c>
      <c r="T65" s="91" t="s">
        <v>612</v>
      </c>
      <c r="U65" s="90">
        <v>14.42</v>
      </c>
      <c r="V65" s="90"/>
    </row>
    <row r="66" spans="1:22">
      <c r="A66" s="97">
        <v>2019</v>
      </c>
      <c r="B66" s="98" t="s">
        <v>611</v>
      </c>
      <c r="C66" s="98">
        <v>3.41</v>
      </c>
      <c r="D66" s="98">
        <v>3.41</v>
      </c>
      <c r="E66" s="98">
        <v>7.44</v>
      </c>
      <c r="F66" s="98">
        <v>17.84</v>
      </c>
      <c r="G66" s="98">
        <v>17.5</v>
      </c>
      <c r="H66" s="98"/>
      <c r="I66" s="98">
        <v>29.1</v>
      </c>
      <c r="J66" s="98">
        <v>11.27</v>
      </c>
      <c r="K66" s="98">
        <v>22.64</v>
      </c>
      <c r="L66" s="98"/>
      <c r="M66" s="98">
        <v>21.48</v>
      </c>
      <c r="N66" s="98"/>
      <c r="O66" s="98">
        <v>2.6</v>
      </c>
      <c r="P66" s="98"/>
      <c r="Q66" s="98">
        <v>10.25</v>
      </c>
      <c r="R66" s="83"/>
      <c r="S66" s="83"/>
      <c r="T66" s="83"/>
      <c r="U66" s="83"/>
      <c r="V66" s="83"/>
    </row>
  </sheetData>
  <mergeCells count="31">
    <mergeCell ref="A7:A16"/>
    <mergeCell ref="B7:R10"/>
    <mergeCell ref="S7:T7"/>
    <mergeCell ref="S8:T8"/>
    <mergeCell ref="S9:T9"/>
    <mergeCell ref="S10:T10"/>
    <mergeCell ref="S11:T11"/>
    <mergeCell ref="S12:T12"/>
    <mergeCell ref="S13:T13"/>
    <mergeCell ref="S14:T14"/>
    <mergeCell ref="B16:V16"/>
    <mergeCell ref="B11:D13"/>
    <mergeCell ref="F11:N13"/>
    <mergeCell ref="O11:P13"/>
    <mergeCell ref="Q11:R15"/>
    <mergeCell ref="D14:D15"/>
    <mergeCell ref="U7:V7"/>
    <mergeCell ref="U8:V8"/>
    <mergeCell ref="U9:V9"/>
    <mergeCell ref="U10:V10"/>
    <mergeCell ref="U11:V11"/>
    <mergeCell ref="G14:H15"/>
    <mergeCell ref="K14:L15"/>
    <mergeCell ref="M14:N15"/>
    <mergeCell ref="O14:P14"/>
    <mergeCell ref="O15:P15"/>
    <mergeCell ref="S15:T15"/>
    <mergeCell ref="U12:V12"/>
    <mergeCell ref="U13:V13"/>
    <mergeCell ref="U14:V14"/>
    <mergeCell ref="U15:V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82</vt:i4>
      </vt:variant>
      <vt:variant>
        <vt:lpstr>Named Ranges</vt:lpstr>
      </vt:variant>
      <vt:variant>
        <vt:i4>1</vt:i4>
      </vt:variant>
    </vt:vector>
  </HeadingPairs>
  <TitlesOfParts>
    <vt:vector size="83" baseType="lpstr">
      <vt:lpstr>About</vt:lpstr>
      <vt:lpstr>EIA SEO</vt:lpstr>
      <vt:lpstr>AEO 2022 Pacific region Table 3</vt:lpstr>
      <vt:lpstr>AEO Table 3</vt:lpstr>
      <vt:lpstr>AggregateSEDS</vt:lpstr>
      <vt:lpstr>SEDSresidential</vt:lpstr>
      <vt:lpstr>SEDcommercial</vt:lpstr>
      <vt:lpstr>SEDStransport</vt:lpstr>
      <vt:lpstr>SEDSindustry</vt:lpstr>
      <vt:lpstr>SEDSpower</vt:lpstr>
      <vt:lpstr>EIA Short Run</vt:lpstr>
      <vt:lpstr>EIA electricity</vt:lpstr>
      <vt:lpstr>CARB data</vt:lpstr>
      <vt:lpstr>Sales taxes</vt:lpstr>
      <vt:lpstr>Heat</vt:lpstr>
      <vt:lpstr>Hydrogen</vt:lpstr>
      <vt:lpstr>CEC electricity</vt:lpstr>
      <vt:lpstr>Electric. RATES Form 2.3 IPER21</vt:lpstr>
      <vt:lpstr>Tax-diesel</vt:lpstr>
      <vt:lpstr>Tax-gasoline</vt:lpstr>
      <vt:lpstr>Tax-jet fuel</vt:lpstr>
      <vt:lpstr>AFDC regional alternative fuels</vt:lpstr>
      <vt:lpstr>EIA gasoline 2022</vt:lpstr>
      <vt:lpstr>DOE EIA natural gas</vt:lpstr>
      <vt:lpstr>EIA natural gas</vt:lpstr>
      <vt:lpstr>CEC Ind NG</vt:lpstr>
      <vt:lpstr>CEC Comm NG</vt:lpstr>
      <vt:lpstr>CEC Residential NG</vt:lpstr>
      <vt:lpstr>IPER 2021 nat gas prices</vt:lpstr>
      <vt:lpstr>STATE Form 1.1</vt:lpstr>
      <vt:lpstr>Utility NG Form 1.1</vt:lpstr>
      <vt:lpstr>Crude oil</vt:lpstr>
      <vt:lpstr>Heavy+crude oil+</vt:lpstr>
      <vt:lpstr>Natural gas</vt:lpstr>
      <vt:lpstr>Lpgpropbut</vt:lpstr>
      <vt:lpstr>Jetkerosene</vt:lpstr>
      <vt:lpstr>Electricity</vt:lpstr>
      <vt:lpstr>Gasoline+diesel</vt:lpstr>
      <vt:lpstr>Pretax &gt;</vt:lpstr>
      <vt:lpstr>BFPaT-pretax-electricity</vt:lpstr>
      <vt:lpstr>BFPaT-pretax-coal</vt:lpstr>
      <vt:lpstr>BFPaT-pretax-natgas</vt:lpstr>
      <vt:lpstr>BFPaT-pretax-nuclear</vt:lpstr>
      <vt:lpstr>BFPaT-pretax-hydro</vt:lpstr>
      <vt:lpstr>BFPaT-pretax-wind</vt:lpstr>
      <vt:lpstr>BFPaT-pretax-solar</vt:lpstr>
      <vt:lpstr>BFPaT-pretax-biomass</vt:lpstr>
      <vt:lpstr>BFPaT-pretax-petgas</vt:lpstr>
      <vt:lpstr>BFPaT-pretax-petdies</vt:lpstr>
      <vt:lpstr>BFPaT-pretax-biogas</vt:lpstr>
      <vt:lpstr>BFPaT-pretax-biodies</vt:lpstr>
      <vt:lpstr>BFPaT-pretax-jetkerosene</vt:lpstr>
      <vt:lpstr>BFPaT-pretax-heat</vt:lpstr>
      <vt:lpstr>BFPaT-pretax-geothermal</vt:lpstr>
      <vt:lpstr>BFPaT-pretax-lignite</vt:lpstr>
      <vt:lpstr>BFPaT-pretax-crude</vt:lpstr>
      <vt:lpstr>BFPaT-pretax-heavyfueloil</vt:lpstr>
      <vt:lpstr>BFPaT-pretax-lpgpropbut</vt:lpstr>
      <vt:lpstr>BFPaT-pretax-msw</vt:lpstr>
      <vt:lpstr>BFPaT-pretax-hydrogen</vt:lpstr>
      <vt:lpstr>Fuel Tax &gt;</vt:lpstr>
      <vt:lpstr>BFPaT-fueltax-electricity</vt:lpstr>
      <vt:lpstr>BFPaT-fueltax-coal</vt:lpstr>
      <vt:lpstr>BFPaT-fueltax-natgas</vt:lpstr>
      <vt:lpstr>BFPaT-fueltax-nuclear</vt:lpstr>
      <vt:lpstr>BFPaT-fueltax-hydro</vt:lpstr>
      <vt:lpstr>BFPaT-fueltax-wind</vt:lpstr>
      <vt:lpstr>BFPaT-fueltax-solar</vt:lpstr>
      <vt:lpstr>BFPaT-fueltax-biomass</vt:lpstr>
      <vt:lpstr>BFPaT-fueltax-petgas</vt:lpstr>
      <vt:lpstr>BFPaT-fueltax-petdies</vt:lpstr>
      <vt:lpstr>BFPaT-fueltax-biodies</vt:lpstr>
      <vt:lpstr>BFPaT-fueltax-biogas</vt:lpstr>
      <vt:lpstr>BFPaT-fueltax-jetkerosene</vt:lpstr>
      <vt:lpstr>BFPaT-fueltax-heat</vt:lpstr>
      <vt:lpstr>BFPaT-fueltax-geothermal</vt:lpstr>
      <vt:lpstr>BFPaT-fueltax-lignite</vt:lpstr>
      <vt:lpstr>BFPaT-fueltax-crude</vt:lpstr>
      <vt:lpstr>BFPaT-fueltax-heavyfueloil</vt:lpstr>
      <vt:lpstr>BFPaT-fueltax-lpgpropbut</vt:lpstr>
      <vt:lpstr>BFPaT-fueltax-msw</vt:lpstr>
      <vt:lpstr>BFPaT-fueltax-hydrogen</vt:lpstr>
      <vt:lpstr>dollars_2019_2012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Johnson, Antoinette</dc:creator>
  <cp:lastModifiedBy>Olivia Ashmoore</cp:lastModifiedBy>
  <dcterms:created xsi:type="dcterms:W3CDTF">2012-03-07T20:42:24Z</dcterms:created>
  <dcterms:modified xsi:type="dcterms:W3CDTF">2022-05-10T19:52:34Z</dcterms:modified>
</cp:coreProperties>
</file>