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trans\BVS\"/>
    </mc:Choice>
  </mc:AlternateContent>
  <xr:revisionPtr revIDLastSave="0" documentId="8_{3A634CAD-162D-4ABC-AC7E-A69895DB7ECE}" xr6:coauthVersionLast="47" xr6:coauthVersionMax="47" xr10:uidLastSave="{00000000-0000-0000-0000-000000000000}"/>
  <bookViews>
    <workbookView xWindow="-120" yWindow="-120" windowWidth="29040" windowHeight="17520" firstSheet="1" activeTab="1" xr2:uid="{6CD4F142-AF84-4A8F-B58B-65309C4695C7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0" i="114" l="1"/>
  <c r="H20" i="114"/>
  <c r="F20" i="114"/>
  <c r="G20" i="114"/>
  <c r="E20" i="114"/>
  <c r="H58" i="114"/>
  <c r="I58" i="114" s="1"/>
  <c r="C31" i="114"/>
  <c r="C36" i="114" s="1"/>
  <c r="H25" i="114"/>
  <c r="G25" i="114"/>
  <c r="F25" i="114"/>
  <c r="E25" i="114"/>
  <c r="I23" i="114"/>
  <c r="J23" i="114" s="1"/>
  <c r="K23" i="114" s="1"/>
  <c r="H23" i="114"/>
  <c r="G23" i="114"/>
  <c r="F23" i="114"/>
  <c r="E23" i="114"/>
  <c r="K22" i="114"/>
  <c r="J22" i="114"/>
  <c r="I22" i="114"/>
  <c r="H22" i="114"/>
  <c r="G22" i="114"/>
  <c r="F22" i="114"/>
  <c r="E22" i="114"/>
  <c r="J21" i="114"/>
  <c r="K21" i="114" s="1"/>
  <c r="I21" i="114"/>
  <c r="H21" i="114"/>
  <c r="G21" i="114"/>
  <c r="F21" i="114"/>
  <c r="E21" i="114"/>
  <c r="B2" i="1" l="1"/>
  <c r="H45" i="114" l="1"/>
  <c r="G45" i="114"/>
  <c r="F45" i="114"/>
  <c r="D45" i="114"/>
  <c r="D49" i="114" s="1"/>
  <c r="I45" i="114"/>
  <c r="E45" i="114"/>
  <c r="F4" i="114"/>
  <c r="G4" i="114"/>
  <c r="H4" i="114"/>
  <c r="I4" i="114"/>
  <c r="J4" i="114"/>
  <c r="K4" i="114"/>
  <c r="L4" i="114"/>
  <c r="M4" i="114"/>
  <c r="N4" i="114"/>
  <c r="F5" i="114"/>
  <c r="G5" i="114"/>
  <c r="H5" i="114"/>
  <c r="I5" i="114"/>
  <c r="J5" i="114"/>
  <c r="K5" i="114"/>
  <c r="L5" i="114"/>
  <c r="M5" i="114"/>
  <c r="N5" i="114"/>
  <c r="E5" i="114"/>
  <c r="E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D50" i="114" l="1"/>
  <c r="G8" i="108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2" i="2" l="1"/>
  <c r="F19" i="114"/>
  <c r="G19" i="114" s="1"/>
  <c r="H19" i="114" s="1"/>
  <c r="I19" i="114" s="1"/>
  <c r="J19" i="114" s="1"/>
  <c r="K19" i="114" s="1"/>
  <c r="AG49" i="114" l="1"/>
  <c r="AE2" i="2" s="1"/>
  <c r="AE8" i="2" s="1"/>
  <c r="H50" i="114"/>
  <c r="F6" i="2" s="1"/>
  <c r="B6" i="2"/>
  <c r="H49" i="114" l="1"/>
  <c r="F2" i="2" s="1"/>
  <c r="F8" i="2" s="1"/>
  <c r="U50" i="114"/>
  <c r="S6" i="2" s="1"/>
  <c r="AC49" i="114"/>
  <c r="AA2" i="2" s="1"/>
  <c r="AA8" i="2" s="1"/>
  <c r="I50" i="114"/>
  <c r="G6" i="2" s="1"/>
  <c r="L50" i="114"/>
  <c r="J6" i="2" s="1"/>
  <c r="AC50" i="114"/>
  <c r="AA6" i="2" s="1"/>
  <c r="T49" i="114"/>
  <c r="R2" i="2" s="1"/>
  <c r="R8" i="2" s="1"/>
  <c r="P50" i="114"/>
  <c r="N6" i="2" s="1"/>
  <c r="Q50" i="114"/>
  <c r="O6" i="2" s="1"/>
  <c r="W49" i="114"/>
  <c r="U2" i="2" s="1"/>
  <c r="U8" i="2" s="1"/>
  <c r="R49" i="114"/>
  <c r="P2" i="2" s="1"/>
  <c r="P8" i="2" s="1"/>
  <c r="N50" i="114"/>
  <c r="L6" i="2" s="1"/>
  <c r="AE50" i="114"/>
  <c r="AC6" i="2" s="1"/>
  <c r="N49" i="114"/>
  <c r="L2" i="2" s="1"/>
  <c r="L8" i="2" s="1"/>
  <c r="P49" i="114"/>
  <c r="N2" i="2" s="1"/>
  <c r="N8" i="2" s="1"/>
  <c r="Q49" i="114"/>
  <c r="O2" i="2" s="1"/>
  <c r="O8" i="2" s="1"/>
  <c r="M50" i="114"/>
  <c r="K6" i="2" s="1"/>
  <c r="AD50" i="114"/>
  <c r="AB6" i="2" s="1"/>
  <c r="U49" i="114"/>
  <c r="S2" i="2" s="1"/>
  <c r="S8" i="2" s="1"/>
  <c r="AD49" i="114"/>
  <c r="AB2" i="2" s="1"/>
  <c r="AB8" i="2" s="1"/>
  <c r="K50" i="114"/>
  <c r="I6" i="2" s="1"/>
  <c r="Y49" i="114"/>
  <c r="W2" i="2" s="1"/>
  <c r="W8" i="2" s="1"/>
  <c r="L49" i="114"/>
  <c r="J2" i="2" s="1"/>
  <c r="J8" i="2" s="1"/>
  <c r="O49" i="114"/>
  <c r="M2" i="2" s="1"/>
  <c r="M8" i="2" s="1"/>
  <c r="T50" i="114"/>
  <c r="R6" i="2" s="1"/>
  <c r="K49" i="114"/>
  <c r="I2" i="2" s="1"/>
  <c r="I8" i="2" s="1"/>
  <c r="AB49" i="114"/>
  <c r="Z2" i="2" s="1"/>
  <c r="Z8" i="2" s="1"/>
  <c r="X50" i="114"/>
  <c r="V6" i="2" s="1"/>
  <c r="Y50" i="114"/>
  <c r="W6" i="2" s="1"/>
  <c r="AE49" i="114"/>
  <c r="AC2" i="2" s="1"/>
  <c r="AC8" i="2" s="1"/>
  <c r="AB50" i="114"/>
  <c r="Z6" i="2" s="1"/>
  <c r="S49" i="114"/>
  <c r="Q2" i="2" s="1"/>
  <c r="Q8" i="2" s="1"/>
  <c r="O50" i="114"/>
  <c r="M6" i="2" s="1"/>
  <c r="AF50" i="114"/>
  <c r="AD6" i="2" s="1"/>
  <c r="AG50" i="114"/>
  <c r="AE6" i="2" s="1"/>
  <c r="J50" i="114"/>
  <c r="H6" i="2" s="1"/>
  <c r="J49" i="114"/>
  <c r="H2" i="2" s="1"/>
  <c r="H8" i="2" s="1"/>
  <c r="AA49" i="114"/>
  <c r="Y2" i="2" s="1"/>
  <c r="Y8" i="2" s="1"/>
  <c r="W50" i="114"/>
  <c r="U6" i="2" s="1"/>
  <c r="X49" i="114"/>
  <c r="V2" i="2" s="1"/>
  <c r="V8" i="2" s="1"/>
  <c r="R50" i="114"/>
  <c r="P6" i="2" s="1"/>
  <c r="I49" i="114"/>
  <c r="G2" i="2" s="1"/>
  <c r="G8" i="2" s="1"/>
  <c r="Z49" i="114"/>
  <c r="X2" i="2" s="1"/>
  <c r="X8" i="2" s="1"/>
  <c r="V50" i="114"/>
  <c r="T6" i="2" s="1"/>
  <c r="M49" i="114"/>
  <c r="K2" i="2" s="1"/>
  <c r="K8" i="2" s="1"/>
  <c r="V49" i="114"/>
  <c r="T2" i="2" s="1"/>
  <c r="T8" i="2" s="1"/>
  <c r="AF49" i="114"/>
  <c r="AD2" i="2" s="1"/>
  <c r="AD8" i="2" s="1"/>
  <c r="Z50" i="114"/>
  <c r="X6" i="2" s="1"/>
  <c r="AA50" i="114"/>
  <c r="Y6" i="2" s="1"/>
  <c r="S50" i="114"/>
  <c r="Q6" i="2" s="1"/>
  <c r="F50" i="114"/>
  <c r="F49" i="114"/>
  <c r="D2" i="2" s="1"/>
  <c r="D8" i="2" s="1"/>
  <c r="E50" i="114"/>
  <c r="E49" i="114"/>
  <c r="C2" i="2" s="1"/>
  <c r="G50" i="114"/>
  <c r="G49" i="114"/>
  <c r="E2" i="2" s="1"/>
  <c r="E8" i="2" s="1"/>
  <c r="E6" i="2" l="1"/>
  <c r="C6" i="2"/>
  <c r="D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tc={CDA1C053-5A6E-4272-B590-0F33BFCE19FC}</author>
  </authors>
  <commentList>
    <comment ref="E31" authorId="0" shapeId="0" xr:uid="{CDA1C053-5A6E-4272-B590-0F33BFCE19FC}">
      <text>
        <t>[Threaded comment]
Your version of Excel allows you to read this threaded comment; however, any edits to it will get removed if the file is opened in a newer version of Excel. Learn more: https://go.microsoft.com/fwlink/?linkid=870924
Comment:
    Adjust weighting for PA - only first 500 people get it</t>
      </text>
    </comment>
  </commentList>
</comments>
</file>

<file path=xl/sharedStrings.xml><?xml version="1.0" encoding="utf-8"?>
<sst xmlns="http://schemas.openxmlformats.org/spreadsheetml/2006/main" count="310" uniqueCount="184">
  <si>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</si>
  <si>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</si>
  <si>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</si>
  <si>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</si>
  <si>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</si>
  <si>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</si>
  <si>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</si>
  <si>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</si>
  <si>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</si>
  <si>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</si>
  <si>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</si>
  <si>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</si>
  <si>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</si>
  <si>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</si>
  <si>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</si>
  <si>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</si>
  <si>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</si>
  <si>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</si>
  <si>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</si>
  <si>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</si>
  <si>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</si>
  <si>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</si>
  <si>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</si>
  <si>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CT</t>
  </si>
  <si>
    <t>https://afdc.energy.gov/laws/11609</t>
  </si>
  <si>
    <t>DE</t>
  </si>
  <si>
    <t>NY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</si>
  <si>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</si>
  <si>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</si>
  <si>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</si>
  <si>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</si>
  <si>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</si>
  <si>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</si>
  <si>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</si>
  <si>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</si>
  <si>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</si>
  <si>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</si>
  <si>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Rest of country</t>
  </si>
  <si>
    <t>USA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</si>
  <si>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</si>
  <si>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</si>
  <si>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</si>
  <si>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</si>
  <si>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</si>
  <si>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</si>
  <si>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</si>
  <si>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</si>
  <si>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</si>
  <si>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</si>
  <si>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</si>
  <si>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</si>
  <si>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</si>
  <si>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</si>
  <si>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</si>
  <si>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</si>
  <si>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</si>
  <si>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</si>
  <si>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</si>
  <si>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</si>
  <si>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</si>
  <si>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</si>
  <si>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</si>
  <si>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</si>
  <si>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</si>
  <si>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</si>
  <si>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</si>
  <si>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</si>
  <si>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</si>
  <si>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</si>
  <si>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</si>
  <si>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</si>
  <si>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</si>
  <si>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</si>
  <si>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</si>
  <si>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</si>
  <si>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</si>
  <si>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</si>
  <si>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</si>
  <si>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</si>
  <si>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</si>
  <si>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</si>
  <si>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</si>
  <si>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</si>
  <si>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</si>
  <si>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</si>
  <si>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</si>
  <si>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</si>
  <si>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</si>
  <si>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</si>
  <si>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</si>
  <si>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</si>
  <si>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</si>
  <si>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</si>
  <si>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</si>
  <si>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</si>
  <si>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</si>
  <si>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</si>
  <si>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</si>
  <si>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</si>
  <si>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</si>
  <si>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</si>
  <si>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</si>
  <si>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</si>
  <si>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</si>
  <si>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</si>
  <si>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</si>
  <si>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</si>
  <si>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</si>
  <si>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</si>
  <si>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</si>
  <si>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</si>
  <si>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</si>
  <si>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</si>
  <si>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</si>
  <si>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</si>
  <si>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</si>
  <si>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</si>
  <si>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</si>
  <si>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</si>
  <si>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</si>
  <si>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</si>
  <si>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</si>
  <si>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</si>
  <si>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</si>
  <si>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</si>
  <si>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</si>
  <si>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</si>
  <si>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</si>
  <si>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</si>
  <si>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</si>
  <si>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</si>
  <si>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</si>
  <si>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</si>
  <si>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</si>
  <si>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</si>
  <si>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</si>
  <si>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</si>
  <si>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</si>
  <si>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</si>
  <si>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</si>
  <si>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</si>
  <si>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</si>
  <si>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</si>
  <si>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</si>
  <si>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</si>
  <si>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</si>
  <si>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</si>
  <si>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</si>
  <si>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</si>
  <si>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</si>
  <si>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</si>
  <si>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</si>
  <si>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</si>
  <si>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</si>
  <si>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</si>
  <si>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</si>
  <si>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</si>
  <si>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</si>
  <si>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</si>
  <si>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</si>
  <si>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</si>
  <si>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</si>
  <si>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</si>
  <si>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</si>
  <si>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</si>
  <si>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</si>
  <si>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</si>
  <si>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Note: value was previously 1500 but after digging I don’t believe LA has ever had a state tax credit</t>
  </si>
  <si>
    <t>https://tax.colorado.gov/sites/tax/files/documents/ITT_Innovative_Motor_Vehicle_Credit_Feb_2024.pdf</t>
  </si>
  <si>
    <t>https://portal.ct.gov/deep/air/mobile-sources/cheapr/cheapr---program-statistics</t>
  </si>
  <si>
    <t>https://www.gloucestercitynews.net/clearysnotebook/2024/01/delaware-has-given-4207-electric-vehicle-rebates-for-97m-since-2015.html</t>
  </si>
  <si>
    <t>https://www.nyserda.ny.gov/All-Programs/Drive-Clean-Rebate-For-Electric-Cars-Program/Rebate-Data/Rebate-Stats</t>
  </si>
  <si>
    <t>https://cleanvehiclerebate.org/en/rebate-statistics</t>
  </si>
  <si>
    <t>suspended all ev rebate programs starting in 2024</t>
  </si>
  <si>
    <t>no longer funds program</t>
  </si>
  <si>
    <t>Note; renewed on annual basis, only for first 500</t>
  </si>
  <si>
    <t>up to 4k if low income</t>
  </si>
  <si>
    <t>up to 3.2k if low income</t>
  </si>
  <si>
    <t>2020 to 2012 adjustment</t>
  </si>
  <si>
    <t>From BLS CPI tables</t>
  </si>
  <si>
    <t>US average share of EVs leased vs purchased</t>
  </si>
  <si>
    <t>https://www.experian.com/blogs/ask-experian/electric-vehicle-trends/</t>
  </si>
  <si>
    <t>Inflation adjuster</t>
  </si>
  <si>
    <t>State Rebates + Tax Credits Updated 1/24/2025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</si>
</sst>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&quot;$&quot;#,##0"/>
    <numFmt numFmtId="166" formatCode="m\-d"/>
    <numFmt numFmtId="167" formatCode="_(&quot;$&quot;* #,##0_);_(&quot;$&quot;* \(#,##0\);_(&quot;$&quot;* &quot;-&quot;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4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5" fontId="15" fillId="0" borderId="0" xfId="31" applyNumberFormat="1" applyFont="1"/>
    <xf numFmtId="0" fontId="15" fillId="0" borderId="0" xfId="31" applyFont="1" applyAlignment="1">
      <alignment horizontal="right" wrapText="1"/>
    </xf>
    <xf numFmtId="166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5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  <xf numFmtId="0" fontId="8" fillId="0" borderId="0" xfId="31" applyFont="1"/>
    <xf numFmtId="1" fontId="8" fillId="0" borderId="0" xfId="31" applyNumberFormat="1" applyFont="1"/>
    <xf numFmtId="0" fontId="11" fillId="0" borderId="0" xfId="31" applyFont="1"/>
    <xf numFmtId="167" fontId="8" fillId="0" borderId="0" xfId="33" applyNumberFormat="1" applyFont="1"/>
    <xf numFmtId="167" fontId="8" fillId="0" borderId="0" xfId="33" applyNumberFormat="1" applyFont="1" applyAlignment="1">
      <alignment horizontal="right"/>
    </xf>
    <xf numFmtId="10" fontId="12" fillId="0" borderId="0" xfId="31" applyNumberFormat="1"/>
    <xf numFmtId="10" fontId="12" fillId="4" borderId="0" xfId="31" applyNumberFormat="1" applyFill="1"/>
    <xf numFmtId="10" fontId="6" fillId="4" borderId="0" xfId="31" applyNumberFormat="1" applyFont="1" applyFill="1"/>
    <xf numFmtId="0" fontId="12" fillId="5" borderId="0" xfId="31" applyFill="1"/>
    <xf numFmtId="0" fontId="12" fillId="6" borderId="0" xfId="31" applyFill="1"/>
  </cellXfs>
  <cellStyles count="34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" xfId="33" builtinId="4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livia Ashmoore" id="{CF6C541D-2F44-42A6-9783-BD82DC5DBCEF}" userId="S::olivia@energyinnovation.org::75aa6550-3462-4480-900f-0bd2e542e876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1" dT="2025-01-24T19:38:54.68" personId="{CF6C541D-2F44-42A6-9783-BD82DC5DBCEF}" id="{CDA1C053-5A6E-4272-B590-0F33BFCE19FC}">
    <text>Adjust weighting for PA - only first 500 people get it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zoomScale="80" zoomScaleNormal="80" workbookViewId="0">
      <selection activeCell="B2" sqref="B2"/>
    </sheetView>
  </sheetViews>
  <sheetFormatPr defaultColWidth="8.85546875" defaultRowHeight="15" x14ac:dyDescent="0.25"/>
  <cols>
    <col min="2" max="2" width="69.42578125" customWidth="1"/>
  </cols>
  <sheetData>
    <row r="1" spans="1:7" x14ac:dyDescent="0.25">
      <c r="A1" s="1" t="s">
        <v>9</v>
      </c>
      <c r="B1" t="s">
        <v>89</v>
      </c>
      <c r="C1" s="37">
        <v>45681</v>
      </c>
      <c r="F1" s="35" t="s">
        <v>18</v>
      </c>
      <c r="G1" s="35" t="s">
        <v>18</v>
      </c>
    </row>
    <row r="2" spans="1:7" x14ac:dyDescent="0.25">
      <c r="B2" s="1" t="str">
        <f>LOOKUP(B1,F2:G51,G2:G51)</f>
        <v>CA</v>
      </c>
      <c r="F2" s="36" t="s">
        <v>81</v>
      </c>
      <c r="G2" s="36" t="s">
        <v>82</v>
      </c>
    </row>
    <row r="3" spans="1:7" x14ac:dyDescent="0.25">
      <c r="A3" s="1" t="s">
        <v>0</v>
      </c>
      <c r="B3" s="18" t="s">
        <v>44</v>
      </c>
      <c r="F3" s="36" t="s">
        <v>83</v>
      </c>
      <c r="G3" s="36" t="s">
        <v>84</v>
      </c>
    </row>
    <row r="4" spans="1:7" x14ac:dyDescent="0.25">
      <c r="B4" t="s">
        <v>46</v>
      </c>
      <c r="F4" s="36" t="s">
        <v>85</v>
      </c>
      <c r="G4" s="36" t="s">
        <v>86</v>
      </c>
    </row>
    <row r="5" spans="1:7" x14ac:dyDescent="0.25">
      <c r="B5" s="3">
        <v>2023</v>
      </c>
      <c r="F5" s="36" t="s">
        <v>87</v>
      </c>
      <c r="G5" s="36" t="s">
        <v>88</v>
      </c>
    </row>
    <row r="6" spans="1:7" x14ac:dyDescent="0.25">
      <c r="B6" t="s">
        <v>45</v>
      </c>
      <c r="F6" s="36" t="s">
        <v>89</v>
      </c>
      <c r="G6" s="36" t="s">
        <v>29</v>
      </c>
    </row>
    <row r="7" spans="1:7" x14ac:dyDescent="0.25">
      <c r="B7" s="4"/>
      <c r="F7" s="36" t="s">
        <v>90</v>
      </c>
      <c r="G7" s="36" t="s">
        <v>21</v>
      </c>
    </row>
    <row r="8" spans="1:7" x14ac:dyDescent="0.25">
      <c r="F8" s="36" t="s">
        <v>91</v>
      </c>
      <c r="G8" s="36" t="s">
        <v>23</v>
      </c>
    </row>
    <row r="9" spans="1:7" x14ac:dyDescent="0.25">
      <c r="F9" s="36" t="s">
        <v>92</v>
      </c>
      <c r="G9" s="36" t="s">
        <v>25</v>
      </c>
    </row>
    <row r="10" spans="1:7" x14ac:dyDescent="0.25">
      <c r="F10" s="36" t="s">
        <v>93</v>
      </c>
      <c r="G10" s="36" t="s">
        <v>94</v>
      </c>
    </row>
    <row r="11" spans="1:7" x14ac:dyDescent="0.25">
      <c r="F11" s="36" t="s">
        <v>95</v>
      </c>
      <c r="G11" s="36" t="s">
        <v>96</v>
      </c>
    </row>
    <row r="12" spans="1:7" x14ac:dyDescent="0.25">
      <c r="B12" s="3"/>
      <c r="F12" s="36" t="s">
        <v>97</v>
      </c>
      <c r="G12" s="36" t="s">
        <v>98</v>
      </c>
    </row>
    <row r="13" spans="1:7" x14ac:dyDescent="0.25">
      <c r="F13" s="36" t="s">
        <v>99</v>
      </c>
      <c r="G13" s="36" t="s">
        <v>100</v>
      </c>
    </row>
    <row r="14" spans="1:7" x14ac:dyDescent="0.25">
      <c r="B14" s="4"/>
      <c r="F14" s="36" t="s">
        <v>101</v>
      </c>
      <c r="G14" s="36" t="s">
        <v>102</v>
      </c>
    </row>
    <row r="15" spans="1:7" x14ac:dyDescent="0.25">
      <c r="F15" s="36" t="s">
        <v>103</v>
      </c>
      <c r="G15" s="36" t="s">
        <v>104</v>
      </c>
    </row>
    <row r="16" spans="1:7" x14ac:dyDescent="0.25">
      <c r="F16" s="36" t="s">
        <v>105</v>
      </c>
      <c r="G16" s="36" t="s">
        <v>106</v>
      </c>
    </row>
    <row r="17" spans="1:7" x14ac:dyDescent="0.25">
      <c r="F17" s="36" t="s">
        <v>107</v>
      </c>
      <c r="G17" s="36" t="s">
        <v>108</v>
      </c>
    </row>
    <row r="18" spans="1:7" x14ac:dyDescent="0.25">
      <c r="F18" s="36" t="s">
        <v>109</v>
      </c>
      <c r="G18" s="36" t="s">
        <v>110</v>
      </c>
    </row>
    <row r="19" spans="1:7" x14ac:dyDescent="0.25">
      <c r="F19" s="36" t="s">
        <v>111</v>
      </c>
      <c r="G19" s="36" t="s">
        <v>30</v>
      </c>
    </row>
    <row r="20" spans="1:7" x14ac:dyDescent="0.25">
      <c r="F20" s="36" t="s">
        <v>112</v>
      </c>
      <c r="G20" s="36" t="s">
        <v>31</v>
      </c>
    </row>
    <row r="21" spans="1:7" x14ac:dyDescent="0.25">
      <c r="F21" s="36" t="s">
        <v>113</v>
      </c>
      <c r="G21" s="36" t="s">
        <v>32</v>
      </c>
    </row>
    <row r="22" spans="1:7" x14ac:dyDescent="0.25">
      <c r="F22" s="36" t="s">
        <v>114</v>
      </c>
      <c r="G22" s="36" t="s">
        <v>33</v>
      </c>
    </row>
    <row r="23" spans="1:7" x14ac:dyDescent="0.25">
      <c r="F23" s="36" t="s">
        <v>115</v>
      </c>
      <c r="G23" s="36" t="s">
        <v>116</v>
      </c>
    </row>
    <row r="24" spans="1:7" x14ac:dyDescent="0.25">
      <c r="F24" s="36" t="s">
        <v>117</v>
      </c>
      <c r="G24" s="36" t="s">
        <v>118</v>
      </c>
    </row>
    <row r="25" spans="1:7" x14ac:dyDescent="0.25">
      <c r="F25" s="36" t="s">
        <v>119</v>
      </c>
      <c r="G25" s="36" t="s">
        <v>120</v>
      </c>
    </row>
    <row r="26" spans="1:7" x14ac:dyDescent="0.25">
      <c r="B26" s="3"/>
      <c r="F26" s="36" t="s">
        <v>121</v>
      </c>
      <c r="G26" s="36" t="s">
        <v>122</v>
      </c>
    </row>
    <row r="27" spans="1:7" x14ac:dyDescent="0.25">
      <c r="F27" s="36" t="s">
        <v>123</v>
      </c>
      <c r="G27" s="36" t="s">
        <v>124</v>
      </c>
    </row>
    <row r="28" spans="1:7" x14ac:dyDescent="0.25">
      <c r="B28" s="4"/>
      <c r="F28" s="36" t="s">
        <v>125</v>
      </c>
      <c r="G28" s="36" t="s">
        <v>126</v>
      </c>
    </row>
    <row r="29" spans="1:7" x14ac:dyDescent="0.25">
      <c r="F29" s="36" t="s">
        <v>127</v>
      </c>
      <c r="G29" s="36" t="s">
        <v>128</v>
      </c>
    </row>
    <row r="30" spans="1:7" x14ac:dyDescent="0.25">
      <c r="F30" s="36" t="s">
        <v>129</v>
      </c>
      <c r="G30" s="36" t="s">
        <v>130</v>
      </c>
    </row>
    <row r="31" spans="1:7" x14ac:dyDescent="0.25">
      <c r="A31" s="1"/>
      <c r="F31" s="36" t="s">
        <v>131</v>
      </c>
      <c r="G31" s="36" t="s">
        <v>34</v>
      </c>
    </row>
    <row r="32" spans="1:7" x14ac:dyDescent="0.25">
      <c r="F32" s="36" t="s">
        <v>132</v>
      </c>
      <c r="G32" s="36" t="s">
        <v>133</v>
      </c>
    </row>
    <row r="33" spans="6:7" x14ac:dyDescent="0.25">
      <c r="F33" s="36" t="s">
        <v>134</v>
      </c>
      <c r="G33" s="36" t="s">
        <v>26</v>
      </c>
    </row>
    <row r="34" spans="6:7" x14ac:dyDescent="0.25">
      <c r="F34" s="36" t="s">
        <v>135</v>
      </c>
      <c r="G34" s="36" t="s">
        <v>136</v>
      </c>
    </row>
    <row r="35" spans="6:7" x14ac:dyDescent="0.25">
      <c r="F35" s="36" t="s">
        <v>137</v>
      </c>
      <c r="G35" s="36" t="s">
        <v>138</v>
      </c>
    </row>
    <row r="36" spans="6:7" x14ac:dyDescent="0.25">
      <c r="F36" s="36" t="s">
        <v>80</v>
      </c>
      <c r="G36" s="36" t="s">
        <v>139</v>
      </c>
    </row>
    <row r="37" spans="6:7" x14ac:dyDescent="0.25">
      <c r="F37" s="36" t="s">
        <v>140</v>
      </c>
      <c r="G37" s="36" t="s">
        <v>141</v>
      </c>
    </row>
    <row r="38" spans="6:7" x14ac:dyDescent="0.25">
      <c r="F38" s="36" t="s">
        <v>142</v>
      </c>
      <c r="G38" s="36" t="s">
        <v>35</v>
      </c>
    </row>
    <row r="39" spans="6:7" x14ac:dyDescent="0.25">
      <c r="F39" s="36" t="s">
        <v>143</v>
      </c>
      <c r="G39" s="36" t="s">
        <v>144</v>
      </c>
    </row>
    <row r="40" spans="6:7" x14ac:dyDescent="0.25">
      <c r="F40" s="36" t="s">
        <v>145</v>
      </c>
      <c r="G40" s="36" t="s">
        <v>146</v>
      </c>
    </row>
    <row r="41" spans="6:7" x14ac:dyDescent="0.25">
      <c r="F41" s="36" t="s">
        <v>147</v>
      </c>
      <c r="G41" s="36" t="s">
        <v>148</v>
      </c>
    </row>
    <row r="42" spans="6:7" x14ac:dyDescent="0.25">
      <c r="F42" s="36" t="s">
        <v>149</v>
      </c>
      <c r="G42" s="36" t="s">
        <v>150</v>
      </c>
    </row>
    <row r="43" spans="6:7" x14ac:dyDescent="0.25">
      <c r="F43" s="36" t="s">
        <v>151</v>
      </c>
      <c r="G43" s="36" t="s">
        <v>152</v>
      </c>
    </row>
    <row r="44" spans="6:7" x14ac:dyDescent="0.25">
      <c r="F44" s="36" t="s">
        <v>153</v>
      </c>
      <c r="G44" s="36" t="s">
        <v>27</v>
      </c>
    </row>
    <row r="45" spans="6:7" x14ac:dyDescent="0.25">
      <c r="F45" s="36" t="s">
        <v>154</v>
      </c>
      <c r="G45" s="36" t="s">
        <v>155</v>
      </c>
    </row>
    <row r="46" spans="6:7" x14ac:dyDescent="0.25">
      <c r="F46" s="36" t="s">
        <v>156</v>
      </c>
      <c r="G46" s="36" t="s">
        <v>36</v>
      </c>
    </row>
    <row r="47" spans="6:7" x14ac:dyDescent="0.25">
      <c r="F47" s="36" t="s">
        <v>157</v>
      </c>
      <c r="G47" s="36" t="s">
        <v>158</v>
      </c>
    </row>
    <row r="48" spans="6:7" x14ac:dyDescent="0.25">
      <c r="F48" s="36" t="s">
        <v>159</v>
      </c>
      <c r="G48" s="36" t="s">
        <v>160</v>
      </c>
    </row>
    <row r="49" spans="6:7" x14ac:dyDescent="0.25">
      <c r="F49" s="36" t="s">
        <v>161</v>
      </c>
      <c r="G49" s="36" t="s">
        <v>162</v>
      </c>
    </row>
    <row r="50" spans="6:7" x14ac:dyDescent="0.25">
      <c r="F50" s="36" t="s">
        <v>163</v>
      </c>
      <c r="G50" s="36" t="s">
        <v>164</v>
      </c>
    </row>
    <row r="51" spans="6:7" x14ac:dyDescent="0.25">
      <c r="F51" s="36" t="s">
        <v>165</v>
      </c>
      <c r="G51" s="36" t="s">
        <v>166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B1:AG62"/>
  <sheetViews>
    <sheetView tabSelected="1" topLeftCell="A39" workbookViewId="0">
      <selection activeCell="B69" sqref="B69"/>
    </sheetView>
  </sheetViews>
  <sheetFormatPr defaultColWidth="8.5703125" defaultRowHeight="15" x14ac:dyDescent="0.25"/>
  <cols>
    <col min="2" max="2" width="45.42578125" customWidth="1"/>
    <col min="3" max="3" width="15.5703125" customWidth="1"/>
    <col min="4" max="4" width="19.140625" customWidth="1"/>
    <col min="5" max="5" width="16" bestFit="1" customWidth="1"/>
    <col min="6" max="7" width="14.85546875" bestFit="1" customWidth="1"/>
    <col min="8" max="8" width="13.28515625" bestFit="1" customWidth="1"/>
    <col min="9" max="11" width="10.5703125" bestFit="1" customWidth="1"/>
  </cols>
  <sheetData>
    <row r="1" spans="2:32" x14ac:dyDescent="0.25">
      <c r="B1" s="1" t="s">
        <v>43</v>
      </c>
    </row>
    <row r="2" spans="2:32" x14ac:dyDescent="0.25">
      <c r="B2" t="s">
        <v>79</v>
      </c>
    </row>
    <row r="3" spans="2:32" x14ac:dyDescent="0.25">
      <c r="C3">
        <v>2021</v>
      </c>
      <c r="D3">
        <v>2022</v>
      </c>
      <c r="E3">
        <v>2023</v>
      </c>
      <c r="F3">
        <v>2024</v>
      </c>
      <c r="G3">
        <v>2025</v>
      </c>
      <c r="H3">
        <v>2026</v>
      </c>
      <c r="I3">
        <v>2027</v>
      </c>
      <c r="J3">
        <v>2028</v>
      </c>
      <c r="K3">
        <v>2029</v>
      </c>
      <c r="L3">
        <v>2030</v>
      </c>
      <c r="M3">
        <v>2031</v>
      </c>
      <c r="N3">
        <v>2032</v>
      </c>
      <c r="O3">
        <v>2033</v>
      </c>
      <c r="P3">
        <v>2034</v>
      </c>
      <c r="Q3">
        <v>2035</v>
      </c>
      <c r="R3">
        <v>2036</v>
      </c>
      <c r="S3">
        <v>2037</v>
      </c>
      <c r="T3">
        <v>2038</v>
      </c>
      <c r="U3">
        <v>2039</v>
      </c>
      <c r="V3">
        <v>2040</v>
      </c>
      <c r="W3">
        <v>2041</v>
      </c>
      <c r="X3">
        <v>2042</v>
      </c>
      <c r="Y3">
        <v>2043</v>
      </c>
      <c r="Z3">
        <v>2044</v>
      </c>
      <c r="AA3">
        <v>2045</v>
      </c>
      <c r="AB3">
        <v>2046</v>
      </c>
      <c r="AC3">
        <v>2047</v>
      </c>
      <c r="AD3">
        <v>2048</v>
      </c>
      <c r="AE3">
        <v>2049</v>
      </c>
      <c r="AF3">
        <v>2050</v>
      </c>
    </row>
    <row r="4" spans="2:32" x14ac:dyDescent="0.25">
      <c r="B4" s="5" t="s">
        <v>40</v>
      </c>
      <c r="C4">
        <v>2435.88</v>
      </c>
      <c r="D4">
        <v>1697.08</v>
      </c>
      <c r="E4">
        <f>E9*0.25</f>
        <v>1020.0425</v>
      </c>
      <c r="F4">
        <f t="shared" ref="F4:N4" si="0">F9*0.25</f>
        <v>1000.8575</v>
      </c>
      <c r="G4">
        <f t="shared" si="0"/>
        <v>1102.7774999999999</v>
      </c>
      <c r="H4">
        <f t="shared" si="0"/>
        <v>1057.2825</v>
      </c>
      <c r="I4">
        <f t="shared" si="0"/>
        <v>1022.79</v>
      </c>
      <c r="J4">
        <f t="shared" si="0"/>
        <v>1024.8150000000001</v>
      </c>
      <c r="K4">
        <f t="shared" si="0"/>
        <v>1031.5474999999999</v>
      </c>
      <c r="L4">
        <f t="shared" si="0"/>
        <v>1089.8074999999999</v>
      </c>
      <c r="M4">
        <f t="shared" si="0"/>
        <v>1145.5925</v>
      </c>
      <c r="N4">
        <f t="shared" si="0"/>
        <v>1156.375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2:32" x14ac:dyDescent="0.25">
      <c r="B5" s="5" t="s">
        <v>41</v>
      </c>
      <c r="C5">
        <v>6652.72</v>
      </c>
      <c r="D5">
        <v>3617.05</v>
      </c>
      <c r="E5">
        <f>E10*0.25</f>
        <v>1020.0425</v>
      </c>
      <c r="F5">
        <f t="shared" ref="F5:N5" si="1">F10*0.25</f>
        <v>1000.8575</v>
      </c>
      <c r="G5">
        <f t="shared" si="1"/>
        <v>1102.7774999999999</v>
      </c>
      <c r="H5">
        <f t="shared" si="1"/>
        <v>1057.2825</v>
      </c>
      <c r="I5">
        <f t="shared" si="1"/>
        <v>1022.79</v>
      </c>
      <c r="J5">
        <f t="shared" si="1"/>
        <v>1024.8150000000001</v>
      </c>
      <c r="K5">
        <f t="shared" si="1"/>
        <v>1031.5474999999999</v>
      </c>
      <c r="L5">
        <f t="shared" si="1"/>
        <v>1089.8074999999999</v>
      </c>
      <c r="M5">
        <f t="shared" si="1"/>
        <v>1145.5925</v>
      </c>
      <c r="N5">
        <f t="shared" si="1"/>
        <v>1156.375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2:32" x14ac:dyDescent="0.25">
      <c r="B6" s="5"/>
    </row>
    <row r="7" spans="2:32" x14ac:dyDescent="0.25">
      <c r="B7" s="5" t="s">
        <v>78</v>
      </c>
    </row>
    <row r="8" spans="2:32" x14ac:dyDescent="0.25">
      <c r="C8">
        <v>2021</v>
      </c>
      <c r="D8">
        <v>2022</v>
      </c>
      <c r="E8">
        <v>2023</v>
      </c>
      <c r="F8">
        <v>2024</v>
      </c>
      <c r="G8">
        <v>2025</v>
      </c>
      <c r="H8">
        <v>2026</v>
      </c>
      <c r="I8">
        <v>2027</v>
      </c>
      <c r="J8">
        <v>2028</v>
      </c>
      <c r="K8">
        <v>2029</v>
      </c>
      <c r="L8">
        <v>2030</v>
      </c>
      <c r="M8">
        <v>2031</v>
      </c>
      <c r="N8">
        <v>2032</v>
      </c>
      <c r="O8">
        <v>2033</v>
      </c>
      <c r="P8">
        <v>2034</v>
      </c>
      <c r="Q8">
        <v>2035</v>
      </c>
      <c r="R8">
        <v>2036</v>
      </c>
      <c r="S8">
        <v>2037</v>
      </c>
      <c r="T8">
        <v>2038</v>
      </c>
      <c r="U8">
        <v>2039</v>
      </c>
      <c r="V8">
        <v>2040</v>
      </c>
      <c r="W8">
        <v>2041</v>
      </c>
      <c r="X8">
        <v>2042</v>
      </c>
      <c r="Y8">
        <v>2043</v>
      </c>
      <c r="Z8">
        <v>2044</v>
      </c>
      <c r="AA8">
        <v>2045</v>
      </c>
      <c r="AB8">
        <v>2046</v>
      </c>
      <c r="AC8">
        <v>2047</v>
      </c>
      <c r="AD8">
        <v>2048</v>
      </c>
      <c r="AE8">
        <v>2049</v>
      </c>
      <c r="AF8">
        <v>2050</v>
      </c>
    </row>
    <row r="9" spans="2:32" x14ac:dyDescent="0.25">
      <c r="B9" s="5" t="s">
        <v>40</v>
      </c>
      <c r="C9">
        <v>2435.88</v>
      </c>
      <c r="D9">
        <v>1697.08</v>
      </c>
      <c r="E9">
        <v>4080.17</v>
      </c>
      <c r="F9">
        <v>4003.43</v>
      </c>
      <c r="G9">
        <v>4411.1099999999997</v>
      </c>
      <c r="H9">
        <v>4229.13</v>
      </c>
      <c r="I9">
        <v>4091.16</v>
      </c>
      <c r="J9">
        <v>4099.26</v>
      </c>
      <c r="K9">
        <v>4126.1899999999996</v>
      </c>
      <c r="L9">
        <v>4359.2299999999996</v>
      </c>
      <c r="M9">
        <v>4582.37</v>
      </c>
      <c r="N9">
        <v>4625.5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2:32" x14ac:dyDescent="0.25">
      <c r="B10" s="5" t="s">
        <v>41</v>
      </c>
      <c r="C10">
        <v>6652.72</v>
      </c>
      <c r="D10">
        <v>3617.05</v>
      </c>
      <c r="E10">
        <v>4080.17</v>
      </c>
      <c r="F10">
        <v>4003.43</v>
      </c>
      <c r="G10">
        <v>4411.1099999999997</v>
      </c>
      <c r="H10">
        <v>4229.13</v>
      </c>
      <c r="I10">
        <v>4091.16</v>
      </c>
      <c r="J10">
        <v>4099.26</v>
      </c>
      <c r="K10">
        <v>4126.1899999999996</v>
      </c>
      <c r="L10">
        <v>4359.2299999999996</v>
      </c>
      <c r="M10">
        <v>4582.37</v>
      </c>
      <c r="N10">
        <v>4625.5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2:32" x14ac:dyDescent="0.25">
      <c r="B11" s="5"/>
    </row>
    <row r="12" spans="2:32" x14ac:dyDescent="0.25">
      <c r="B12" s="6" t="s">
        <v>10</v>
      </c>
    </row>
    <row r="13" spans="2:32" x14ac:dyDescent="0.25">
      <c r="B13" s="5" t="s">
        <v>11</v>
      </c>
    </row>
    <row r="14" spans="2:32" x14ac:dyDescent="0.25">
      <c r="B14" s="5" t="s">
        <v>12</v>
      </c>
    </row>
    <row r="15" spans="2:32" x14ac:dyDescent="0.25">
      <c r="B15" s="7" t="s">
        <v>183</v>
      </c>
      <c r="C15" s="7"/>
    </row>
    <row r="16" spans="2:32" x14ac:dyDescent="0.25">
      <c r="B16" s="8" t="s">
        <v>13</v>
      </c>
      <c r="C16" s="8"/>
      <c r="D16" s="9" t="s">
        <v>14</v>
      </c>
    </row>
    <row r="17" spans="2:19" x14ac:dyDescent="0.25">
      <c r="B17" s="8" t="s">
        <v>15</v>
      </c>
      <c r="C17" s="8"/>
      <c r="D17" s="9" t="s">
        <v>16</v>
      </c>
    </row>
    <row r="18" spans="2:19" x14ac:dyDescent="0.25">
      <c r="B18" s="8" t="s">
        <v>17</v>
      </c>
      <c r="C18" s="8"/>
    </row>
    <row r="19" spans="2:19" x14ac:dyDescent="0.25">
      <c r="B19" s="8" t="s">
        <v>18</v>
      </c>
      <c r="C19" s="8" t="s">
        <v>19</v>
      </c>
      <c r="D19" s="8" t="s">
        <v>20</v>
      </c>
      <c r="E19" s="8">
        <v>2020</v>
      </c>
      <c r="F19" s="8">
        <f t="shared" ref="F19:K19" si="2">E19+1</f>
        <v>2021</v>
      </c>
      <c r="G19" s="8">
        <f t="shared" si="2"/>
        <v>2022</v>
      </c>
      <c r="H19" s="8">
        <f t="shared" si="2"/>
        <v>2023</v>
      </c>
      <c r="I19" s="8">
        <f t="shared" si="2"/>
        <v>2024</v>
      </c>
      <c r="J19" s="8">
        <f t="shared" si="2"/>
        <v>2025</v>
      </c>
      <c r="K19" s="8">
        <f t="shared" si="2"/>
        <v>2026</v>
      </c>
    </row>
    <row r="20" spans="2:19" x14ac:dyDescent="0.25">
      <c r="B20" s="38" t="s">
        <v>21</v>
      </c>
      <c r="C20" s="38">
        <v>5.6849999999999996</v>
      </c>
      <c r="D20" s="38" t="s">
        <v>22</v>
      </c>
      <c r="E20" s="39">
        <f>2000*C58+4000*(1-C58)</f>
        <v>3506.6</v>
      </c>
      <c r="F20" s="39">
        <f t="shared" ref="F20:G20" si="3">2000*D58+4000*(1-D58)</f>
        <v>3381.6000000000004</v>
      </c>
      <c r="G20" s="39">
        <f t="shared" si="3"/>
        <v>3718</v>
      </c>
      <c r="H20" s="39">
        <f>0.5*(1500*F58+2500*(1-F58))+0.5*(5000)</f>
        <v>3641.35</v>
      </c>
      <c r="I20" s="39">
        <v>5000</v>
      </c>
      <c r="J20" s="39">
        <v>3500</v>
      </c>
      <c r="K20" s="39">
        <f>J20</f>
        <v>3500</v>
      </c>
      <c r="L20" s="38" t="s">
        <v>168</v>
      </c>
    </row>
    <row r="21" spans="2:19" x14ac:dyDescent="0.25">
      <c r="B21" s="38" t="s">
        <v>23</v>
      </c>
      <c r="C21" s="38">
        <v>3.5710000000000002</v>
      </c>
      <c r="D21" s="38" t="s">
        <v>22</v>
      </c>
      <c r="E21" s="41">
        <f>613500/428</f>
        <v>1433.4112149532709</v>
      </c>
      <c r="F21" s="41">
        <f>1099250/606</f>
        <v>1813.943894389439</v>
      </c>
      <c r="G21" s="41">
        <f>1470500/643</f>
        <v>2286.9362363919131</v>
      </c>
      <c r="H21" s="41">
        <f>8115750/3407</f>
        <v>2382.0810096859409</v>
      </c>
      <c r="I21" s="41">
        <f>11752750/4868</f>
        <v>2414.2871815940839</v>
      </c>
      <c r="J21" s="41">
        <f>I21*1500/2250</f>
        <v>1609.5247877293893</v>
      </c>
      <c r="K21" s="41">
        <f>J21</f>
        <v>1609.5247877293893</v>
      </c>
      <c r="L21" s="38" t="s">
        <v>169</v>
      </c>
      <c r="S21" s="9" t="s">
        <v>24</v>
      </c>
    </row>
    <row r="22" spans="2:19" x14ac:dyDescent="0.25">
      <c r="B22" s="8" t="s">
        <v>25</v>
      </c>
      <c r="C22" s="8">
        <v>0.96799999999999997</v>
      </c>
      <c r="D22" s="8" t="s">
        <v>22</v>
      </c>
      <c r="E22" s="41">
        <f t="shared" ref="E22:K22" si="4">9700000/4207</f>
        <v>2305.6810078440694</v>
      </c>
      <c r="F22" s="41">
        <f t="shared" si="4"/>
        <v>2305.6810078440694</v>
      </c>
      <c r="G22" s="41">
        <f t="shared" si="4"/>
        <v>2305.6810078440694</v>
      </c>
      <c r="H22" s="41">
        <f t="shared" si="4"/>
        <v>2305.6810078440694</v>
      </c>
      <c r="I22" s="41">
        <f t="shared" si="4"/>
        <v>2305.6810078440694</v>
      </c>
      <c r="J22" s="41">
        <f t="shared" si="4"/>
        <v>2305.6810078440694</v>
      </c>
      <c r="K22" s="41">
        <f t="shared" si="4"/>
        <v>2305.6810078440694</v>
      </c>
      <c r="L22" t="s">
        <v>170</v>
      </c>
    </row>
    <row r="23" spans="2:19" ht="15.75" customHeight="1" x14ac:dyDescent="0.25">
      <c r="B23" s="8" t="s">
        <v>26</v>
      </c>
      <c r="C23" s="8">
        <v>8.3800000000000008</v>
      </c>
      <c r="D23" s="10" t="s">
        <v>22</v>
      </c>
      <c r="E23" s="41">
        <f>17412200/10063</f>
        <v>1730.3189903607274</v>
      </c>
      <c r="F23" s="41">
        <f>18700000/11766</f>
        <v>1589.3251742308346</v>
      </c>
      <c r="G23" s="41">
        <f>16300000/23370</f>
        <v>697.47539580658963</v>
      </c>
      <c r="H23" s="41">
        <f>26500000/32918</f>
        <v>805.03068230147642</v>
      </c>
      <c r="I23" s="41">
        <f>20200000/27530</f>
        <v>733.74500544860155</v>
      </c>
      <c r="J23" s="41">
        <f>I23</f>
        <v>733.74500544860155</v>
      </c>
      <c r="K23" s="41">
        <f>J23</f>
        <v>733.74500544860155</v>
      </c>
      <c r="L23" s="10" t="s">
        <v>171</v>
      </c>
      <c r="M23" s="10"/>
      <c r="N23" s="11"/>
    </row>
    <row r="24" spans="2:19" ht="15.75" customHeight="1" x14ac:dyDescent="0.25">
      <c r="B24" s="8" t="s">
        <v>27</v>
      </c>
      <c r="C24" s="8">
        <v>28.64</v>
      </c>
      <c r="D24" s="8" t="s">
        <v>22</v>
      </c>
      <c r="E24" s="41">
        <v>2500</v>
      </c>
      <c r="F24" s="41">
        <v>0</v>
      </c>
      <c r="G24" s="41">
        <v>0</v>
      </c>
      <c r="H24" s="41">
        <v>0</v>
      </c>
      <c r="I24" s="41">
        <v>0</v>
      </c>
      <c r="J24" s="41">
        <v>0</v>
      </c>
      <c r="K24" s="41">
        <v>0</v>
      </c>
      <c r="L24" s="8" t="s">
        <v>28</v>
      </c>
      <c r="S24" s="12"/>
    </row>
    <row r="25" spans="2:19" ht="15.75" customHeight="1" x14ac:dyDescent="0.25">
      <c r="B25" s="8" t="s">
        <v>29</v>
      </c>
      <c r="C25" s="8">
        <v>39.35</v>
      </c>
      <c r="D25" s="8" t="s">
        <v>22</v>
      </c>
      <c r="E25" s="41">
        <f>80058983/34752</f>
        <v>2303.7230375230201</v>
      </c>
      <c r="F25" s="41">
        <f>107497583/42562</f>
        <v>2525.670386729947</v>
      </c>
      <c r="G25" s="41">
        <f>89194166/34296</f>
        <v>2600.7162934452999</v>
      </c>
      <c r="H25" s="41">
        <f>310640350/85221*9/12</f>
        <v>2733.8362903509696</v>
      </c>
      <c r="I25" s="41">
        <v>0</v>
      </c>
      <c r="J25" s="41">
        <v>0</v>
      </c>
      <c r="K25" s="41">
        <v>0</v>
      </c>
      <c r="L25" s="8" t="s">
        <v>172</v>
      </c>
    </row>
    <row r="26" spans="2:19" ht="15.75" customHeight="1" x14ac:dyDescent="0.25">
      <c r="B26" s="8" t="s">
        <v>30</v>
      </c>
      <c r="C26" s="8">
        <v>4.665</v>
      </c>
      <c r="D26" s="8" t="s">
        <v>22</v>
      </c>
      <c r="E26" s="42">
        <v>0</v>
      </c>
      <c r="F26" s="42">
        <v>0</v>
      </c>
      <c r="G26" s="42">
        <v>0</v>
      </c>
      <c r="H26" s="42">
        <v>0</v>
      </c>
      <c r="I26" s="42">
        <v>0</v>
      </c>
      <c r="J26" s="42">
        <v>0</v>
      </c>
      <c r="K26" s="42">
        <v>0</v>
      </c>
      <c r="L26" s="8" t="s">
        <v>167</v>
      </c>
    </row>
    <row r="27" spans="2:19" ht="15.75" customHeight="1" x14ac:dyDescent="0.25">
      <c r="B27" s="7" t="s">
        <v>31</v>
      </c>
      <c r="C27" s="7">
        <v>1.341</v>
      </c>
      <c r="D27" s="7" t="s">
        <v>22</v>
      </c>
      <c r="E27" s="41">
        <v>2000</v>
      </c>
      <c r="F27" s="41">
        <v>2000</v>
      </c>
      <c r="G27" s="41">
        <v>2000</v>
      </c>
      <c r="H27" s="41">
        <v>2000</v>
      </c>
      <c r="I27" s="41">
        <v>2000</v>
      </c>
      <c r="J27" s="41">
        <v>0</v>
      </c>
      <c r="K27" s="41">
        <v>0</v>
      </c>
      <c r="L27" s="7" t="s">
        <v>173</v>
      </c>
    </row>
    <row r="28" spans="2:19" ht="15.75" customHeight="1" x14ac:dyDescent="0.25">
      <c r="B28" s="7" t="s">
        <v>118</v>
      </c>
      <c r="C28" s="7">
        <v>5.7169999999999996</v>
      </c>
      <c r="D28" s="7" t="s">
        <v>22</v>
      </c>
      <c r="E28" s="41">
        <v>0</v>
      </c>
      <c r="F28" s="41">
        <v>0</v>
      </c>
      <c r="G28" s="41">
        <v>0</v>
      </c>
      <c r="H28" s="41">
        <v>2500</v>
      </c>
      <c r="I28" s="41">
        <v>2500</v>
      </c>
      <c r="J28" s="41">
        <v>0</v>
      </c>
      <c r="K28" s="41">
        <v>0</v>
      </c>
      <c r="L28" s="7" t="s">
        <v>174</v>
      </c>
    </row>
    <row r="29" spans="2:19" ht="15.75" customHeight="1" x14ac:dyDescent="0.25">
      <c r="B29" s="7" t="s">
        <v>32</v>
      </c>
      <c r="C29" s="7">
        <v>6.0380000000000003</v>
      </c>
      <c r="D29" s="7" t="s">
        <v>22</v>
      </c>
      <c r="E29" s="41">
        <v>2500</v>
      </c>
      <c r="F29" s="41">
        <v>2500</v>
      </c>
      <c r="G29" s="41">
        <v>2500</v>
      </c>
      <c r="H29" s="41">
        <v>3000</v>
      </c>
      <c r="I29" s="41">
        <v>3000</v>
      </c>
      <c r="J29" s="41">
        <v>3000</v>
      </c>
      <c r="K29" s="41">
        <v>3000</v>
      </c>
    </row>
    <row r="30" spans="2:19" ht="15.75" customHeight="1" x14ac:dyDescent="0.25">
      <c r="B30" s="7" t="s">
        <v>33</v>
      </c>
      <c r="C30" s="7">
        <v>6.8730000000000002</v>
      </c>
      <c r="D30" s="7" t="s">
        <v>22</v>
      </c>
      <c r="E30" s="41">
        <v>2500</v>
      </c>
      <c r="F30" s="41">
        <v>2500</v>
      </c>
      <c r="G30" s="41">
        <v>2500</v>
      </c>
      <c r="H30" s="41">
        <v>3500</v>
      </c>
      <c r="I30" s="41">
        <v>3500</v>
      </c>
      <c r="J30" s="41">
        <v>3500</v>
      </c>
      <c r="K30" s="41">
        <v>3500</v>
      </c>
    </row>
    <row r="31" spans="2:19" ht="15.75" customHeight="1" x14ac:dyDescent="0.25">
      <c r="B31" s="7" t="s">
        <v>144</v>
      </c>
      <c r="C31" s="7">
        <f>500/10^6</f>
        <v>5.0000000000000001E-4</v>
      </c>
      <c r="D31" s="7" t="s">
        <v>22</v>
      </c>
      <c r="E31" s="41">
        <v>0</v>
      </c>
      <c r="F31" s="41">
        <v>0</v>
      </c>
      <c r="G31" s="41">
        <v>0</v>
      </c>
      <c r="H31" s="41">
        <v>3000</v>
      </c>
      <c r="I31" s="41">
        <v>3000</v>
      </c>
      <c r="J31" s="41">
        <v>3000</v>
      </c>
      <c r="K31" s="41">
        <v>3000</v>
      </c>
      <c r="L31" t="s">
        <v>175</v>
      </c>
    </row>
    <row r="32" spans="2:19" ht="15.75" customHeight="1" x14ac:dyDescent="0.25">
      <c r="B32" s="7" t="s">
        <v>146</v>
      </c>
      <c r="C32" s="7">
        <v>1.0940000000000001</v>
      </c>
      <c r="D32" s="7" t="s">
        <v>22</v>
      </c>
      <c r="E32" s="41">
        <v>0</v>
      </c>
      <c r="F32" s="41">
        <v>0</v>
      </c>
      <c r="G32" s="41">
        <v>1500</v>
      </c>
      <c r="H32" s="41">
        <v>1500</v>
      </c>
      <c r="I32" s="41">
        <v>1500</v>
      </c>
      <c r="J32" s="41">
        <v>1500</v>
      </c>
      <c r="K32" s="41">
        <v>1500</v>
      </c>
    </row>
    <row r="33" spans="2:33" ht="15.75" customHeight="1" x14ac:dyDescent="0.25">
      <c r="B33" s="7" t="s">
        <v>34</v>
      </c>
      <c r="C33" s="7">
        <v>8.8849999999999998</v>
      </c>
      <c r="D33" s="7" t="s">
        <v>22</v>
      </c>
      <c r="E33" s="41">
        <v>2000</v>
      </c>
      <c r="F33" s="41">
        <v>2000</v>
      </c>
      <c r="G33" s="41">
        <v>2000</v>
      </c>
      <c r="H33" s="41">
        <v>2000</v>
      </c>
      <c r="I33" s="41">
        <v>2000</v>
      </c>
      <c r="J33" s="41">
        <v>2000</v>
      </c>
      <c r="K33" s="41">
        <v>2000</v>
      </c>
      <c r="L33" s="8" t="s">
        <v>176</v>
      </c>
    </row>
    <row r="34" spans="2:33" ht="15.75" customHeight="1" x14ac:dyDescent="0.25">
      <c r="B34" s="7" t="s">
        <v>35</v>
      </c>
      <c r="C34" s="7">
        <v>4.1760000000000002</v>
      </c>
      <c r="D34" s="7" t="s">
        <v>22</v>
      </c>
      <c r="E34" s="41">
        <v>2500</v>
      </c>
      <c r="F34" s="41">
        <v>2500</v>
      </c>
      <c r="G34" s="41">
        <v>2500</v>
      </c>
      <c r="H34" s="41">
        <v>2500</v>
      </c>
      <c r="I34" s="41">
        <v>2500</v>
      </c>
      <c r="J34" s="41">
        <v>2500</v>
      </c>
      <c r="K34" s="41">
        <v>2500</v>
      </c>
    </row>
    <row r="35" spans="2:33" ht="15.75" customHeight="1" x14ac:dyDescent="0.25">
      <c r="B35" s="7" t="s">
        <v>36</v>
      </c>
      <c r="C35" s="7">
        <v>0.624</v>
      </c>
      <c r="D35" s="7" t="s">
        <v>22</v>
      </c>
      <c r="E35" s="41">
        <v>2200</v>
      </c>
      <c r="F35" s="41">
        <v>2200</v>
      </c>
      <c r="G35" s="41">
        <v>2200</v>
      </c>
      <c r="H35" s="41">
        <v>2200</v>
      </c>
      <c r="I35" s="41">
        <v>2200</v>
      </c>
      <c r="J35" s="41">
        <v>2200</v>
      </c>
      <c r="K35" s="41">
        <v>2200</v>
      </c>
      <c r="L35" s="8" t="s">
        <v>177</v>
      </c>
    </row>
    <row r="36" spans="2:33" ht="15.75" customHeight="1" x14ac:dyDescent="0.25">
      <c r="B36" s="8" t="s">
        <v>37</v>
      </c>
      <c r="C36" s="8">
        <f>C37-SUM(C20:C35)</f>
        <v>203.49250000000001</v>
      </c>
      <c r="D36" s="8"/>
      <c r="E36" s="41">
        <v>0</v>
      </c>
      <c r="F36" s="41">
        <v>0</v>
      </c>
      <c r="G36" s="41">
        <v>0</v>
      </c>
      <c r="H36" s="41">
        <v>0</v>
      </c>
      <c r="I36" s="41">
        <v>0</v>
      </c>
      <c r="J36" s="41">
        <v>0</v>
      </c>
      <c r="K36" s="41">
        <v>0</v>
      </c>
      <c r="L36" s="8"/>
    </row>
    <row r="37" spans="2:33" ht="15.75" customHeight="1" x14ac:dyDescent="0.25">
      <c r="B37" s="8" t="s">
        <v>38</v>
      </c>
      <c r="C37" s="8">
        <v>329.5</v>
      </c>
    </row>
    <row r="38" spans="2:33" ht="15.75" customHeight="1" x14ac:dyDescent="0.25">
      <c r="B38" s="8"/>
      <c r="C38" s="8"/>
      <c r="D38" s="8"/>
      <c r="E38" s="8"/>
      <c r="F38" s="8"/>
      <c r="G38" s="8"/>
      <c r="H38" s="8"/>
      <c r="I38" s="8"/>
      <c r="J38" s="8"/>
      <c r="K38" s="7"/>
    </row>
    <row r="39" spans="2:33" x14ac:dyDescent="0.25">
      <c r="B39" s="13"/>
    </row>
    <row r="40" spans="2:33" x14ac:dyDescent="0.25">
      <c r="B40" s="5"/>
    </row>
    <row r="41" spans="2:33" x14ac:dyDescent="0.25">
      <c r="B41" s="21" t="s">
        <v>178</v>
      </c>
      <c r="C41" s="21">
        <v>0.88711067149387013</v>
      </c>
      <c r="D41" s="40" t="s">
        <v>179</v>
      </c>
    </row>
    <row r="42" spans="2:33" x14ac:dyDescent="0.25">
      <c r="B42" s="5"/>
    </row>
    <row r="43" spans="2:33" x14ac:dyDescent="0.25">
      <c r="B43" s="5" t="s">
        <v>42</v>
      </c>
    </row>
    <row r="44" spans="2:33" x14ac:dyDescent="0.25">
      <c r="D44">
        <v>2021</v>
      </c>
      <c r="E44">
        <v>2022</v>
      </c>
      <c r="F44">
        <v>2023</v>
      </c>
      <c r="G44">
        <v>2024</v>
      </c>
      <c r="H44">
        <v>2025</v>
      </c>
      <c r="I44">
        <v>2026</v>
      </c>
      <c r="J44">
        <v>2027</v>
      </c>
      <c r="K44">
        <v>2028</v>
      </c>
      <c r="L44">
        <v>2029</v>
      </c>
      <c r="M44">
        <v>2030</v>
      </c>
      <c r="N44">
        <v>2031</v>
      </c>
      <c r="O44">
        <v>2032</v>
      </c>
      <c r="P44">
        <v>2033</v>
      </c>
      <c r="Q44">
        <v>2034</v>
      </c>
      <c r="R44">
        <v>2035</v>
      </c>
      <c r="S44">
        <v>2036</v>
      </c>
      <c r="T44">
        <v>2037</v>
      </c>
      <c r="U44">
        <v>2038</v>
      </c>
      <c r="V44">
        <v>2039</v>
      </c>
      <c r="W44">
        <v>2040</v>
      </c>
      <c r="X44">
        <v>2041</v>
      </c>
      <c r="Y44">
        <v>2042</v>
      </c>
      <c r="Z44">
        <v>2043</v>
      </c>
      <c r="AA44">
        <v>2044</v>
      </c>
      <c r="AB44">
        <v>2045</v>
      </c>
      <c r="AC44">
        <v>2046</v>
      </c>
      <c r="AD44">
        <v>2047</v>
      </c>
      <c r="AE44">
        <v>2048</v>
      </c>
      <c r="AF44">
        <v>2049</v>
      </c>
      <c r="AG44">
        <v>2050</v>
      </c>
    </row>
    <row r="45" spans="2:33" x14ac:dyDescent="0.25">
      <c r="D45" s="5">
        <f>SUMIFS(F$19:F$35,$B19:$B35,About!$B$2)</f>
        <v>2525.670386729947</v>
      </c>
      <c r="E45" s="5">
        <f>SUMIFS(G$19:G$35,$B19:$B35,About!$B$2)</f>
        <v>2600.7162934452999</v>
      </c>
      <c r="F45" s="5">
        <f>SUMIFS(H$19:H$35,$B19:$B35,About!$B$2)</f>
        <v>2733.8362903509696</v>
      </c>
      <c r="G45" s="5">
        <f>SUMIFS(I$19:I$35,$B19:$B35,About!$B$2)</f>
        <v>0</v>
      </c>
      <c r="H45" s="5">
        <f>SUMIFS(J$19:J$35,$B19:$B35,About!$B$2)</f>
        <v>0</v>
      </c>
      <c r="I45" s="5">
        <f>SUMIFS(K$19:K$35,$B19:$B35,About!$B$2)</f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0</v>
      </c>
      <c r="AG45" s="5">
        <v>0</v>
      </c>
    </row>
    <row r="46" spans="2:33" x14ac:dyDescent="0.25">
      <c r="B46" s="5"/>
    </row>
    <row r="47" spans="2:33" x14ac:dyDescent="0.25">
      <c r="B47" s="5" t="s">
        <v>39</v>
      </c>
    </row>
    <row r="48" spans="2:33" x14ac:dyDescent="0.25">
      <c r="D48">
        <v>2021</v>
      </c>
      <c r="E48">
        <v>2022</v>
      </c>
      <c r="F48">
        <v>2023</v>
      </c>
      <c r="G48">
        <v>2024</v>
      </c>
      <c r="H48">
        <v>2025</v>
      </c>
      <c r="I48">
        <v>2026</v>
      </c>
      <c r="J48">
        <v>2027</v>
      </c>
      <c r="K48">
        <v>2028</v>
      </c>
      <c r="L48">
        <v>2029</v>
      </c>
      <c r="M48">
        <v>2030</v>
      </c>
      <c r="N48">
        <v>2031</v>
      </c>
      <c r="O48">
        <v>2032</v>
      </c>
      <c r="P48">
        <v>2033</v>
      </c>
      <c r="Q48">
        <v>2034</v>
      </c>
      <c r="R48">
        <v>2035</v>
      </c>
      <c r="S48">
        <v>2036</v>
      </c>
      <c r="T48">
        <v>2037</v>
      </c>
      <c r="U48">
        <v>2038</v>
      </c>
      <c r="V48">
        <v>2039</v>
      </c>
      <c r="W48">
        <v>2040</v>
      </c>
      <c r="X48">
        <v>2041</v>
      </c>
      <c r="Y48">
        <v>2042</v>
      </c>
      <c r="Z48">
        <v>2043</v>
      </c>
      <c r="AA48">
        <v>2044</v>
      </c>
      <c r="AB48">
        <v>2045</v>
      </c>
      <c r="AC48">
        <v>2046</v>
      </c>
      <c r="AD48">
        <v>2047</v>
      </c>
      <c r="AE48">
        <v>2048</v>
      </c>
      <c r="AF48">
        <v>2049</v>
      </c>
      <c r="AG48">
        <v>2050</v>
      </c>
    </row>
    <row r="49" spans="2:33" x14ac:dyDescent="0.25">
      <c r="B49" s="5" t="s">
        <v>40</v>
      </c>
      <c r="C49" s="5"/>
      <c r="D49" s="5">
        <f>C4+D45</f>
        <v>4961.5503867299467</v>
      </c>
      <c r="E49" s="5">
        <f t="shared" ref="E49:AG49" si="5">D4+E45</f>
        <v>4297.7962934452999</v>
      </c>
      <c r="F49" s="5">
        <f t="shared" si="5"/>
        <v>3753.8787903509697</v>
      </c>
      <c r="G49" s="5">
        <f t="shared" si="5"/>
        <v>1000.8575</v>
      </c>
      <c r="H49" s="5">
        <f t="shared" si="5"/>
        <v>1102.7774999999999</v>
      </c>
      <c r="I49" s="5">
        <f t="shared" si="5"/>
        <v>1057.2825</v>
      </c>
      <c r="J49" s="5">
        <f t="shared" si="5"/>
        <v>1022.79</v>
      </c>
      <c r="K49" s="5">
        <f t="shared" si="5"/>
        <v>1024.8150000000001</v>
      </c>
      <c r="L49" s="5">
        <f t="shared" si="5"/>
        <v>1031.5474999999999</v>
      </c>
      <c r="M49" s="5">
        <f t="shared" si="5"/>
        <v>1089.8074999999999</v>
      </c>
      <c r="N49" s="5">
        <f t="shared" si="5"/>
        <v>1145.5925</v>
      </c>
      <c r="O49" s="5">
        <f t="shared" si="5"/>
        <v>1156.375</v>
      </c>
      <c r="P49" s="5">
        <f t="shared" si="5"/>
        <v>0</v>
      </c>
      <c r="Q49" s="5">
        <f t="shared" si="5"/>
        <v>0</v>
      </c>
      <c r="R49" s="5">
        <f t="shared" si="5"/>
        <v>0</v>
      </c>
      <c r="S49" s="5">
        <f t="shared" si="5"/>
        <v>0</v>
      </c>
      <c r="T49" s="5">
        <f t="shared" si="5"/>
        <v>0</v>
      </c>
      <c r="U49" s="5">
        <f t="shared" si="5"/>
        <v>0</v>
      </c>
      <c r="V49" s="5">
        <f t="shared" si="5"/>
        <v>0</v>
      </c>
      <c r="W49" s="5">
        <f t="shared" si="5"/>
        <v>0</v>
      </c>
      <c r="X49" s="5">
        <f t="shared" si="5"/>
        <v>0</v>
      </c>
      <c r="Y49" s="5">
        <f t="shared" si="5"/>
        <v>0</v>
      </c>
      <c r="Z49" s="5">
        <f t="shared" si="5"/>
        <v>0</v>
      </c>
      <c r="AA49" s="5">
        <f t="shared" si="5"/>
        <v>0</v>
      </c>
      <c r="AB49" s="5">
        <f t="shared" si="5"/>
        <v>0</v>
      </c>
      <c r="AC49" s="5">
        <f t="shared" si="5"/>
        <v>0</v>
      </c>
      <c r="AD49" s="5">
        <f t="shared" si="5"/>
        <v>0</v>
      </c>
      <c r="AE49" s="5">
        <f t="shared" si="5"/>
        <v>0</v>
      </c>
      <c r="AF49" s="5">
        <f t="shared" si="5"/>
        <v>0</v>
      </c>
      <c r="AG49" s="5">
        <f t="shared" si="5"/>
        <v>0</v>
      </c>
    </row>
    <row r="50" spans="2:33" x14ac:dyDescent="0.25">
      <c r="B50" s="5" t="s">
        <v>41</v>
      </c>
      <c r="D50" s="5">
        <f>C5+D45</f>
        <v>9178.3903867299468</v>
      </c>
      <c r="E50" s="5">
        <f t="shared" ref="E50:AG50" si="6">D5+E45</f>
        <v>6217.7662934453001</v>
      </c>
      <c r="F50" s="5">
        <f t="shared" si="6"/>
        <v>3753.8787903509697</v>
      </c>
      <c r="G50" s="5">
        <f t="shared" si="6"/>
        <v>1000.8575</v>
      </c>
      <c r="H50" s="5">
        <f t="shared" si="6"/>
        <v>1102.7774999999999</v>
      </c>
      <c r="I50" s="5">
        <f t="shared" si="6"/>
        <v>1057.2825</v>
      </c>
      <c r="J50" s="5">
        <f t="shared" si="6"/>
        <v>1022.79</v>
      </c>
      <c r="K50" s="5">
        <f t="shared" si="6"/>
        <v>1024.8150000000001</v>
      </c>
      <c r="L50" s="5">
        <f t="shared" si="6"/>
        <v>1031.5474999999999</v>
      </c>
      <c r="M50" s="5">
        <f t="shared" si="6"/>
        <v>1089.8074999999999</v>
      </c>
      <c r="N50" s="5">
        <f t="shared" si="6"/>
        <v>1145.5925</v>
      </c>
      <c r="O50" s="5">
        <f t="shared" si="6"/>
        <v>1156.375</v>
      </c>
      <c r="P50" s="5">
        <f t="shared" si="6"/>
        <v>0</v>
      </c>
      <c r="Q50" s="5">
        <f t="shared" si="6"/>
        <v>0</v>
      </c>
      <c r="R50" s="5">
        <f t="shared" si="6"/>
        <v>0</v>
      </c>
      <c r="S50" s="5">
        <f t="shared" si="6"/>
        <v>0</v>
      </c>
      <c r="T50" s="5">
        <f t="shared" si="6"/>
        <v>0</v>
      </c>
      <c r="U50" s="5">
        <f t="shared" si="6"/>
        <v>0</v>
      </c>
      <c r="V50" s="5">
        <f t="shared" si="6"/>
        <v>0</v>
      </c>
      <c r="W50" s="5">
        <f t="shared" si="6"/>
        <v>0</v>
      </c>
      <c r="X50" s="5">
        <f t="shared" si="6"/>
        <v>0</v>
      </c>
      <c r="Y50" s="5">
        <f t="shared" si="6"/>
        <v>0</v>
      </c>
      <c r="Z50" s="5">
        <f t="shared" si="6"/>
        <v>0</v>
      </c>
      <c r="AA50" s="5">
        <f t="shared" si="6"/>
        <v>0</v>
      </c>
      <c r="AB50" s="5">
        <f t="shared" si="6"/>
        <v>0</v>
      </c>
      <c r="AC50" s="5">
        <f t="shared" si="6"/>
        <v>0</v>
      </c>
      <c r="AD50" s="5">
        <f t="shared" si="6"/>
        <v>0</v>
      </c>
      <c r="AE50" s="5">
        <f t="shared" si="6"/>
        <v>0</v>
      </c>
      <c r="AF50" s="5">
        <f t="shared" si="6"/>
        <v>0</v>
      </c>
      <c r="AG50" s="5">
        <f t="shared" si="6"/>
        <v>0</v>
      </c>
    </row>
    <row r="55" spans="2:33" s="21" customFormat="1" ht="12.75" x14ac:dyDescent="0.2">
      <c r="C55" s="21" t="s">
        <v>180</v>
      </c>
    </row>
    <row r="56" spans="2:33" s="21" customFormat="1" ht="12.75" x14ac:dyDescent="0.2">
      <c r="C56" s="21" t="s">
        <v>181</v>
      </c>
    </row>
    <row r="57" spans="2:33" s="21" customFormat="1" ht="12.75" x14ac:dyDescent="0.2">
      <c r="C57" s="21">
        <v>2020</v>
      </c>
      <c r="D57" s="21">
        <v>2021</v>
      </c>
      <c r="E57" s="21">
        <v>2022</v>
      </c>
      <c r="F57" s="21">
        <v>2023</v>
      </c>
      <c r="G57" s="21">
        <v>2024</v>
      </c>
      <c r="H57" s="21">
        <v>2025</v>
      </c>
      <c r="I57" s="21">
        <v>2026</v>
      </c>
    </row>
    <row r="58" spans="2:33" s="21" customFormat="1" x14ac:dyDescent="0.25">
      <c r="C58" s="43">
        <v>0.2467</v>
      </c>
      <c r="D58" s="43">
        <v>0.30919999999999997</v>
      </c>
      <c r="E58" s="43">
        <v>0.14099999999999999</v>
      </c>
      <c r="F58" s="43">
        <v>0.21729999999999999</v>
      </c>
      <c r="G58" s="43">
        <v>0.46560000000000001</v>
      </c>
      <c r="H58" s="44">
        <f>G58</f>
        <v>0.46560000000000001</v>
      </c>
      <c r="I58" s="45">
        <f>H58</f>
        <v>0.46560000000000001</v>
      </c>
    </row>
    <row r="59" spans="2:33" s="21" customFormat="1" ht="12.75" x14ac:dyDescent="0.2"/>
    <row r="60" spans="2:33" s="21" customFormat="1" ht="12.75" x14ac:dyDescent="0.2">
      <c r="C60" s="21">
        <v>2012</v>
      </c>
      <c r="D60" s="21">
        <v>2013</v>
      </c>
      <c r="E60" s="21">
        <v>2014</v>
      </c>
      <c r="F60" s="21">
        <v>2015</v>
      </c>
      <c r="G60" s="21">
        <v>2016</v>
      </c>
      <c r="H60" s="21">
        <v>2017</v>
      </c>
      <c r="I60" s="21">
        <v>2018</v>
      </c>
      <c r="J60" s="21">
        <v>2019</v>
      </c>
      <c r="K60" s="21">
        <v>2020</v>
      </c>
      <c r="L60" s="21">
        <v>2021</v>
      </c>
      <c r="M60" s="21">
        <v>2022</v>
      </c>
      <c r="N60" s="21">
        <v>2023</v>
      </c>
      <c r="O60" s="21">
        <v>2024</v>
      </c>
      <c r="P60" s="21">
        <v>2025</v>
      </c>
      <c r="Q60" s="21">
        <v>2026</v>
      </c>
      <c r="R60" s="21">
        <v>2027</v>
      </c>
      <c r="S60" s="21">
        <v>2028</v>
      </c>
      <c r="T60" s="21">
        <v>2029</v>
      </c>
      <c r="U60" s="21">
        <v>2030</v>
      </c>
      <c r="V60" s="21">
        <v>2031</v>
      </c>
      <c r="W60" s="21">
        <v>2032</v>
      </c>
      <c r="X60" s="21">
        <v>2033</v>
      </c>
      <c r="Y60" s="21">
        <v>2034</v>
      </c>
      <c r="Z60" s="21">
        <v>2035</v>
      </c>
    </row>
    <row r="61" spans="2:33" s="21" customFormat="1" ht="12.75" x14ac:dyDescent="0.2">
      <c r="B61" s="21" t="s">
        <v>182</v>
      </c>
      <c r="C61" s="46">
        <v>1</v>
      </c>
      <c r="D61" s="46">
        <v>0.98556385942470071</v>
      </c>
      <c r="E61" s="46">
        <v>0.96983137334414704</v>
      </c>
      <c r="F61" s="46">
        <v>0.9686815713640794</v>
      </c>
      <c r="G61" s="46">
        <v>0.95661376543184151</v>
      </c>
      <c r="H61" s="46">
        <v>0.93665959530026111</v>
      </c>
      <c r="I61" s="46">
        <v>0.9143273584567535</v>
      </c>
      <c r="J61" s="46">
        <v>0.89805481563188172</v>
      </c>
      <c r="K61" s="46">
        <v>0.88711067149387013</v>
      </c>
      <c r="L61" s="46">
        <v>0.84730412960844359</v>
      </c>
      <c r="M61" s="46">
        <v>0.78452102304761584</v>
      </c>
      <c r="N61" s="46">
        <v>0.75350342301658668</v>
      </c>
      <c r="O61" s="46">
        <v>0.73191600598044548</v>
      </c>
      <c r="P61" s="47">
        <v>0.71059806405868498</v>
      </c>
      <c r="Q61" s="47">
        <v>0.68990103306668438</v>
      </c>
      <c r="R61" s="47">
        <v>0.66980682822008197</v>
      </c>
      <c r="S61" s="47">
        <v>0.65029789147580774</v>
      </c>
      <c r="T61" s="47">
        <v>0.63135717619010456</v>
      </c>
      <c r="U61" s="47">
        <v>0.61296813222340252</v>
      </c>
      <c r="V61" s="47">
        <v>0.59511469147903162</v>
      </c>
      <c r="W61" s="47">
        <v>0.57778125386313739</v>
      </c>
      <c r="X61" s="47">
        <v>0.56095267365353152</v>
      </c>
      <c r="Y61" s="47">
        <v>0.54461424626556454</v>
      </c>
      <c r="Z61" s="47">
        <v>0.52875169540346068</v>
      </c>
    </row>
    <row r="62" spans="2:33" x14ac:dyDescent="0.25">
      <c r="C62" s="15"/>
      <c r="D62" s="16"/>
      <c r="E62" s="16"/>
      <c r="F62" s="16"/>
      <c r="G62" s="16"/>
      <c r="H62" s="16"/>
      <c r="I62" s="16"/>
      <c r="J62" s="16"/>
      <c r="K62" s="16"/>
      <c r="L62" s="16"/>
      <c r="M62" s="14"/>
    </row>
  </sheetData>
  <hyperlinks>
    <hyperlink ref="D16" r:id="rId1" xr:uid="{0B42DB82-B744-4AA0-B817-45B85EC34540}"/>
    <hyperlink ref="D17" r:id="rId2" xr:uid="{C245D4AA-4F3C-42F0-8772-AD708218D115}"/>
    <hyperlink ref="S21" r:id="rId3" xr:uid="{52E38CEB-73A7-4855-878F-13F2616EA324}"/>
  </hyperlinks>
  <pageMargins left="0.7" right="0.7" top="0.75" bottom="0.75" header="0.3" footer="0.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workbookViewId="0"/>
  </sheetViews>
  <sheetFormatPr defaultColWidth="12.42578125" defaultRowHeight="15.75" customHeight="1" x14ac:dyDescent="0.2"/>
  <cols>
    <col min="1" max="1" width="51.85546875" style="21" customWidth="1"/>
    <col min="2" max="2" width="12.5703125" style="21" bestFit="1" customWidth="1"/>
    <col min="3" max="3" width="12.42578125" style="21" customWidth="1"/>
    <col min="4" max="4" width="9.42578125" style="21" customWidth="1"/>
    <col min="5" max="38" width="7.42578125" style="21" customWidth="1"/>
    <col min="39" max="16384" width="12.42578125" style="21"/>
  </cols>
  <sheetData>
    <row r="1" spans="1:38" ht="14.25" customHeight="1" x14ac:dyDescent="0.25">
      <c r="A1" s="19" t="s">
        <v>47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</row>
    <row r="2" spans="1:38" ht="102.75" x14ac:dyDescent="0.25">
      <c r="A2" s="22" t="s">
        <v>69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38" ht="15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</row>
    <row r="4" spans="1:38" ht="15" x14ac:dyDescent="0.25">
      <c r="A4" s="23" t="s">
        <v>70</v>
      </c>
      <c r="B4" s="33">
        <v>40000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38" ht="14.25" customHeight="1" x14ac:dyDescent="0.25">
      <c r="A5" s="23" t="s">
        <v>71</v>
      </c>
      <c r="B5" s="33">
        <v>7500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ht="14.25" customHeight="1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spans="1:38" ht="12.75" x14ac:dyDescent="0.2">
      <c r="A7" s="24" t="s">
        <v>72</v>
      </c>
      <c r="B7" s="25">
        <f>B4*$B$16*$B$14</f>
        <v>27004</v>
      </c>
    </row>
    <row r="8" spans="1:38" ht="12.75" x14ac:dyDescent="0.2">
      <c r="A8" s="24" t="s">
        <v>73</v>
      </c>
      <c r="B8" s="25">
        <f>B4*B14</f>
        <v>31400</v>
      </c>
    </row>
    <row r="9" spans="1:38" ht="12.75" x14ac:dyDescent="0.2">
      <c r="A9" s="24"/>
      <c r="B9" s="25"/>
    </row>
    <row r="10" spans="1:38" ht="15.75" customHeight="1" x14ac:dyDescent="0.2">
      <c r="B10" s="21">
        <v>2023</v>
      </c>
      <c r="C10" s="21">
        <v>2024</v>
      </c>
      <c r="D10" s="21">
        <v>2025</v>
      </c>
      <c r="E10" s="21">
        <v>2026</v>
      </c>
      <c r="F10" s="21">
        <v>2027</v>
      </c>
      <c r="G10" s="21">
        <v>2028</v>
      </c>
      <c r="H10" s="21">
        <v>2029</v>
      </c>
      <c r="I10" s="21">
        <v>2030</v>
      </c>
      <c r="J10" s="21">
        <v>2031</v>
      </c>
      <c r="K10" s="21">
        <v>2032</v>
      </c>
    </row>
    <row r="11" spans="1:38" ht="15.75" customHeight="1" x14ac:dyDescent="0.2">
      <c r="A11" s="21" t="s">
        <v>74</v>
      </c>
      <c r="B11" s="34">
        <f>C36</f>
        <v>10121.162702145082</v>
      </c>
      <c r="C11" s="34">
        <f t="shared" ref="C11:K11" si="0">D36</f>
        <v>10059.772494365814</v>
      </c>
      <c r="D11" s="34">
        <f t="shared" si="0"/>
        <v>10050.763799597085</v>
      </c>
      <c r="E11" s="34">
        <f t="shared" si="0"/>
        <v>10127.428607069427</v>
      </c>
      <c r="F11" s="34">
        <f t="shared" si="0"/>
        <v>10269.11524721545</v>
      </c>
      <c r="G11" s="34">
        <f t="shared" si="0"/>
        <v>10350.781370900584</v>
      </c>
      <c r="H11" s="34">
        <f t="shared" si="0"/>
        <v>10353.674088089921</v>
      </c>
      <c r="I11" s="34">
        <f t="shared" si="0"/>
        <v>10294.239800360298</v>
      </c>
      <c r="J11" s="34">
        <f t="shared" si="0"/>
        <v>10251.903689786537</v>
      </c>
      <c r="K11" s="34">
        <f t="shared" si="0"/>
        <v>10279.777009851599</v>
      </c>
    </row>
    <row r="13" spans="1:38" ht="14.25" customHeight="1" x14ac:dyDescent="0.25">
      <c r="A13" s="19" t="s">
        <v>48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</row>
    <row r="14" spans="1:38" ht="12.75" x14ac:dyDescent="0.2">
      <c r="A14" s="24" t="s">
        <v>49</v>
      </c>
      <c r="B14" s="24">
        <v>0.78500000000000003</v>
      </c>
    </row>
    <row r="15" spans="1:38" ht="12.75" x14ac:dyDescent="0.2">
      <c r="A15" s="24"/>
    </row>
    <row r="16" spans="1:38" ht="12.75" x14ac:dyDescent="0.2">
      <c r="A16" s="24" t="s">
        <v>50</v>
      </c>
      <c r="B16" s="24">
        <v>0.86</v>
      </c>
    </row>
    <row r="17" spans="1:33" ht="12.75" x14ac:dyDescent="0.2">
      <c r="A17" s="24"/>
    </row>
    <row r="18" spans="1:33" ht="12.75" x14ac:dyDescent="0.2"/>
    <row r="19" spans="1:33" ht="12.75" x14ac:dyDescent="0.2">
      <c r="A19" s="24" t="s">
        <v>51</v>
      </c>
    </row>
    <row r="20" spans="1:33" ht="12.75" x14ac:dyDescent="0.2">
      <c r="A20" s="24" t="s">
        <v>52</v>
      </c>
    </row>
    <row r="21" spans="1:33" ht="12.75" x14ac:dyDescent="0.2"/>
    <row r="22" spans="1:33" ht="38.25" x14ac:dyDescent="0.2">
      <c r="A22" s="24" t="s">
        <v>53</v>
      </c>
      <c r="B22" s="24" t="s">
        <v>54</v>
      </c>
      <c r="C22" s="24" t="s">
        <v>55</v>
      </c>
      <c r="D22" s="22" t="s">
        <v>75</v>
      </c>
    </row>
    <row r="23" spans="1:33" ht="25.5" x14ac:dyDescent="0.2">
      <c r="A23" s="24" t="s">
        <v>56</v>
      </c>
      <c r="B23" s="26" t="s">
        <v>57</v>
      </c>
      <c r="C23" s="26" t="s">
        <v>58</v>
      </c>
      <c r="D23" s="25">
        <f>B5*B14</f>
        <v>5887.5</v>
      </c>
    </row>
    <row r="24" spans="1:33" ht="25.5" x14ac:dyDescent="0.2">
      <c r="A24" s="24" t="s">
        <v>59</v>
      </c>
      <c r="B24" s="22">
        <v>3</v>
      </c>
      <c r="C24" s="26" t="s">
        <v>60</v>
      </c>
      <c r="D24" s="25">
        <f>D23</f>
        <v>5887.5</v>
      </c>
    </row>
    <row r="25" spans="1:33" ht="25.5" x14ac:dyDescent="0.2">
      <c r="A25" s="24" t="s">
        <v>61</v>
      </c>
      <c r="B25" s="27">
        <v>44657</v>
      </c>
      <c r="C25" s="26" t="s">
        <v>62</v>
      </c>
      <c r="D25" s="25">
        <f>B4*B14</f>
        <v>31400</v>
      </c>
    </row>
    <row r="26" spans="1:33" ht="12.75" x14ac:dyDescent="0.2"/>
    <row r="27" spans="1:33" ht="12.75" x14ac:dyDescent="0.2">
      <c r="A27" s="24" t="s">
        <v>63</v>
      </c>
    </row>
    <row r="28" spans="1:33" ht="12.75" x14ac:dyDescent="0.2">
      <c r="A28" s="28" t="s">
        <v>76</v>
      </c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2.75" x14ac:dyDescent="0.2">
      <c r="A29" s="29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2.75" x14ac:dyDescent="0.2">
      <c r="A30" s="29" t="s">
        <v>64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2.75" x14ac:dyDescent="0.2">
      <c r="A31" s="28" t="s">
        <v>77</v>
      </c>
      <c r="B31" s="30">
        <v>2022</v>
      </c>
      <c r="C31" s="30">
        <v>2023</v>
      </c>
      <c r="D31" s="30">
        <v>2024</v>
      </c>
      <c r="E31" s="30">
        <v>2025</v>
      </c>
      <c r="F31" s="30">
        <v>2026</v>
      </c>
      <c r="G31" s="30">
        <v>2027</v>
      </c>
      <c r="H31" s="30">
        <v>2028</v>
      </c>
      <c r="I31" s="30">
        <v>2029</v>
      </c>
      <c r="J31" s="30">
        <v>2030</v>
      </c>
      <c r="K31" s="30">
        <v>2031</v>
      </c>
      <c r="L31" s="30">
        <v>2032</v>
      </c>
      <c r="M31" s="30">
        <v>2033</v>
      </c>
      <c r="N31" s="30">
        <v>2034</v>
      </c>
      <c r="O31" s="30">
        <v>2035</v>
      </c>
      <c r="P31" s="30">
        <v>2036</v>
      </c>
      <c r="Q31" s="30">
        <v>2037</v>
      </c>
      <c r="R31" s="30">
        <v>2038</v>
      </c>
      <c r="S31" s="30">
        <v>2039</v>
      </c>
      <c r="T31" s="30">
        <v>2040</v>
      </c>
      <c r="U31" s="30">
        <v>2041</v>
      </c>
      <c r="V31" s="30">
        <v>2042</v>
      </c>
      <c r="W31" s="30">
        <v>2043</v>
      </c>
      <c r="X31" s="30">
        <v>2044</v>
      </c>
      <c r="Y31" s="30">
        <v>2045</v>
      </c>
      <c r="Z31" s="30">
        <v>2046</v>
      </c>
      <c r="AA31" s="30">
        <v>2047</v>
      </c>
      <c r="AB31" s="30">
        <v>2048</v>
      </c>
      <c r="AC31" s="30">
        <v>2049</v>
      </c>
      <c r="AD31" s="30">
        <v>2050</v>
      </c>
      <c r="AE31" s="28"/>
      <c r="AF31" s="28"/>
    </row>
    <row r="32" spans="1:33" ht="12.75" x14ac:dyDescent="0.2">
      <c r="A32" s="28" t="s">
        <v>65</v>
      </c>
      <c r="B32" s="31">
        <v>652.15881300000001</v>
      </c>
      <c r="C32" s="31">
        <v>675.13665800000001</v>
      </c>
      <c r="D32" s="31">
        <v>689.60467500000004</v>
      </c>
      <c r="E32" s="31">
        <v>691.51690699999995</v>
      </c>
      <c r="F32" s="31">
        <v>688.42425500000002</v>
      </c>
      <c r="G32" s="31">
        <v>684.18414299999995</v>
      </c>
      <c r="H32" s="31">
        <v>682.62188700000002</v>
      </c>
      <c r="I32" s="31">
        <v>679.86218299999996</v>
      </c>
      <c r="J32" s="31">
        <v>678.07775900000001</v>
      </c>
      <c r="K32" s="31">
        <v>677.36639400000001</v>
      </c>
      <c r="L32" s="31">
        <v>675.92620799999997</v>
      </c>
      <c r="M32" s="31">
        <v>676.86370799999997</v>
      </c>
      <c r="N32" s="31">
        <v>681.45581100000004</v>
      </c>
      <c r="O32" s="31">
        <v>687.30078100000003</v>
      </c>
      <c r="P32" s="31">
        <v>692.37145999999996</v>
      </c>
      <c r="Q32" s="31">
        <v>698.31860400000005</v>
      </c>
      <c r="R32" s="31">
        <v>703.59320100000002</v>
      </c>
      <c r="S32" s="31">
        <v>709.57092299999999</v>
      </c>
      <c r="T32" s="31">
        <v>711.90655500000003</v>
      </c>
      <c r="U32" s="31">
        <v>714.37567100000001</v>
      </c>
      <c r="V32" s="31">
        <v>716.10638400000005</v>
      </c>
      <c r="W32" s="31">
        <v>717.97564699999998</v>
      </c>
      <c r="X32" s="31">
        <v>723.98962400000005</v>
      </c>
      <c r="Y32" s="31">
        <v>729.19946300000004</v>
      </c>
      <c r="Z32" s="31">
        <v>732.66320800000005</v>
      </c>
      <c r="AA32" s="31">
        <v>734.38165300000003</v>
      </c>
      <c r="AB32" s="31">
        <v>739.21014400000001</v>
      </c>
      <c r="AC32" s="31">
        <v>745.07336399999997</v>
      </c>
      <c r="AD32" s="31">
        <v>1035.5</v>
      </c>
      <c r="AE32" s="32"/>
      <c r="AF32" s="28"/>
    </row>
    <row r="33" spans="1:32" ht="12.75" x14ac:dyDescent="0.2">
      <c r="A33" s="28" t="s">
        <v>66</v>
      </c>
      <c r="B33" s="31">
        <v>252.12297100000001</v>
      </c>
      <c r="C33" s="31">
        <v>262.199432</v>
      </c>
      <c r="D33" s="31">
        <v>276.18127399999997</v>
      </c>
      <c r="E33" s="31">
        <v>286.01892099999998</v>
      </c>
      <c r="F33" s="31">
        <v>290.46655299999998</v>
      </c>
      <c r="G33" s="31">
        <v>292.43240400000002</v>
      </c>
      <c r="H33" s="31">
        <v>293.63424700000002</v>
      </c>
      <c r="I33" s="31">
        <v>296.173248</v>
      </c>
      <c r="J33" s="31">
        <v>298.12170400000002</v>
      </c>
      <c r="K33" s="31">
        <v>300.39685100000003</v>
      </c>
      <c r="L33" s="31">
        <v>303.257294</v>
      </c>
      <c r="M33" s="31">
        <v>305.71603399999998</v>
      </c>
      <c r="N33" s="31">
        <v>309.26257299999997</v>
      </c>
      <c r="O33" s="31">
        <v>314.79812600000002</v>
      </c>
      <c r="P33" s="31">
        <v>321.14746100000002</v>
      </c>
      <c r="Q33" s="31">
        <v>327.09249899999998</v>
      </c>
      <c r="R33" s="31">
        <v>333.56478900000002</v>
      </c>
      <c r="S33" s="31">
        <v>339.75351000000001</v>
      </c>
      <c r="T33" s="31">
        <v>346.38189699999998</v>
      </c>
      <c r="U33" s="31">
        <v>351.209137</v>
      </c>
      <c r="V33" s="31">
        <v>355.95761099999999</v>
      </c>
      <c r="W33" s="31">
        <v>360.42837500000002</v>
      </c>
      <c r="X33" s="31">
        <v>364.902466</v>
      </c>
      <c r="Y33" s="31">
        <v>371.72610500000002</v>
      </c>
      <c r="Z33" s="31">
        <v>378.28823899999998</v>
      </c>
      <c r="AA33" s="31">
        <v>383.89129600000001</v>
      </c>
      <c r="AB33" s="31">
        <v>388.47567700000002</v>
      </c>
      <c r="AC33" s="31">
        <v>394.81222500000001</v>
      </c>
      <c r="AD33" s="31">
        <v>401.96115099999997</v>
      </c>
      <c r="AE33" s="32"/>
      <c r="AF33" s="28"/>
    </row>
    <row r="34" spans="1:32" ht="12.75" x14ac:dyDescent="0.2">
      <c r="A34" s="28" t="s">
        <v>67</v>
      </c>
      <c r="B34" s="31">
        <v>180.61982699999999</v>
      </c>
      <c r="C34" s="31">
        <v>186.49350000000001</v>
      </c>
      <c r="D34" s="31">
        <v>188.82283000000001</v>
      </c>
      <c r="E34" s="31">
        <v>190.626938</v>
      </c>
      <c r="F34" s="31">
        <v>195.106979</v>
      </c>
      <c r="G34" s="31">
        <v>202.50727800000001</v>
      </c>
      <c r="H34" s="31">
        <v>207.005585</v>
      </c>
      <c r="I34" s="31">
        <v>207.12138400000001</v>
      </c>
      <c r="J34" s="31">
        <v>203.823837</v>
      </c>
      <c r="K34" s="31">
        <v>201.78428600000001</v>
      </c>
      <c r="L34" s="31">
        <v>203.63635300000001</v>
      </c>
      <c r="M34" s="31">
        <v>206.92961099999999</v>
      </c>
      <c r="N34" s="31">
        <v>209.69859299999999</v>
      </c>
      <c r="O34" s="31">
        <v>212.967072</v>
      </c>
      <c r="P34" s="31">
        <v>216.125214</v>
      </c>
      <c r="Q34" s="31">
        <v>219.188492</v>
      </c>
      <c r="R34" s="31">
        <v>221.84333799999999</v>
      </c>
      <c r="S34" s="31">
        <v>224.323059</v>
      </c>
      <c r="T34" s="31">
        <v>227.32418799999999</v>
      </c>
      <c r="U34" s="31">
        <v>230.371872</v>
      </c>
      <c r="V34" s="31">
        <v>232.498154</v>
      </c>
      <c r="W34" s="31">
        <v>235.21517900000001</v>
      </c>
      <c r="X34" s="31">
        <v>236.05999800000001</v>
      </c>
      <c r="Y34" s="31">
        <v>234.92872600000001</v>
      </c>
      <c r="Z34" s="31">
        <v>234.37702899999999</v>
      </c>
      <c r="AA34" s="31">
        <v>235.44674699999999</v>
      </c>
      <c r="AB34" s="31">
        <v>237.52796900000001</v>
      </c>
      <c r="AC34" s="31">
        <v>239.052933</v>
      </c>
      <c r="AD34" s="31">
        <v>241.633881</v>
      </c>
      <c r="AE34" s="32"/>
      <c r="AF34" s="28"/>
    </row>
    <row r="36" spans="1:32" ht="12.75" x14ac:dyDescent="0.2">
      <c r="A36" s="24" t="s">
        <v>68</v>
      </c>
      <c r="B36" s="25">
        <f t="shared" ref="B36:AD36" si="1">SUMPRODUCT(B32:B34,$D$23:$D$25)/SUM(B32:B34)</f>
        <v>10134.948146095066</v>
      </c>
      <c r="C36" s="25">
        <f t="shared" si="1"/>
        <v>10121.162702145082</v>
      </c>
      <c r="D36" s="25">
        <f t="shared" si="1"/>
        <v>10059.772494365814</v>
      </c>
      <c r="E36" s="25">
        <f t="shared" si="1"/>
        <v>10050.763799597085</v>
      </c>
      <c r="F36" s="25">
        <f t="shared" si="1"/>
        <v>10127.428607069427</v>
      </c>
      <c r="G36" s="25">
        <f t="shared" si="1"/>
        <v>10269.11524721545</v>
      </c>
      <c r="H36" s="25">
        <f t="shared" si="1"/>
        <v>10350.781370900584</v>
      </c>
      <c r="I36" s="25">
        <f t="shared" si="1"/>
        <v>10353.674088089921</v>
      </c>
      <c r="J36" s="25">
        <f t="shared" si="1"/>
        <v>10294.239800360298</v>
      </c>
      <c r="K36" s="25">
        <f t="shared" si="1"/>
        <v>10251.903689786537</v>
      </c>
      <c r="L36" s="25">
        <f t="shared" si="1"/>
        <v>10279.777009851599</v>
      </c>
      <c r="M36" s="25">
        <f t="shared" si="1"/>
        <v>10325.709491436844</v>
      </c>
      <c r="N36" s="25">
        <f t="shared" si="1"/>
        <v>10344.230833049938</v>
      </c>
      <c r="O36" s="25">
        <f t="shared" si="1"/>
        <v>10359.12748221428</v>
      </c>
      <c r="P36" s="25">
        <f t="shared" si="1"/>
        <v>10371.638430973771</v>
      </c>
      <c r="Q36" s="25">
        <f t="shared" si="1"/>
        <v>10380.548547191598</v>
      </c>
      <c r="R36" s="25">
        <f t="shared" si="1"/>
        <v>10382.950508948947</v>
      </c>
      <c r="S36" s="25">
        <f t="shared" si="1"/>
        <v>10380.927010758403</v>
      </c>
      <c r="T36" s="25">
        <f t="shared" si="1"/>
        <v>10398.663134138134</v>
      </c>
      <c r="U36" s="25">
        <f t="shared" si="1"/>
        <v>10422.653431517481</v>
      </c>
      <c r="V36" s="25">
        <f t="shared" si="1"/>
        <v>10434.319910781423</v>
      </c>
      <c r="W36" s="25">
        <f t="shared" si="1"/>
        <v>10455.739600691937</v>
      </c>
      <c r="X36" s="25">
        <f t="shared" si="1"/>
        <v>10432.932814907192</v>
      </c>
      <c r="Y36" s="25">
        <f t="shared" si="1"/>
        <v>10374.231186923143</v>
      </c>
      <c r="Z36" s="25">
        <f t="shared" si="1"/>
        <v>10332.172107247137</v>
      </c>
      <c r="AA36" s="25">
        <f t="shared" si="1"/>
        <v>10324.781329795693</v>
      </c>
      <c r="AB36" s="25">
        <f t="shared" si="1"/>
        <v>10326.315629830769</v>
      </c>
      <c r="AC36" s="25">
        <f t="shared" si="1"/>
        <v>10310.34979051626</v>
      </c>
      <c r="AD36" s="25">
        <f t="shared" si="1"/>
        <v>9558.932689351499</v>
      </c>
    </row>
    <row r="37" spans="1:32" ht="12.75" x14ac:dyDescent="0.2"/>
    <row r="38" spans="1:32" ht="12.75" x14ac:dyDescent="0.2"/>
    <row r="39" spans="1:32" ht="12.75" x14ac:dyDescent="0.2"/>
    <row r="40" spans="1:32" ht="12.75" x14ac:dyDescent="0.2"/>
    <row r="41" spans="1:32" ht="12.75" x14ac:dyDescent="0.2"/>
    <row r="42" spans="1:32" ht="12.75" x14ac:dyDescent="0.2"/>
    <row r="43" spans="1:32" ht="12.75" x14ac:dyDescent="0.2"/>
    <row r="44" spans="1:32" ht="12.75" x14ac:dyDescent="0.2"/>
    <row r="45" spans="1:32" ht="12.75" x14ac:dyDescent="0.2"/>
    <row r="46" spans="1:32" ht="12.75" x14ac:dyDescent="0.2"/>
    <row r="47" spans="1:32" ht="12.75" x14ac:dyDescent="0.2"/>
    <row r="48" spans="1:32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  <col min="2" max="2" width="9.57031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 s="17">
        <f>'Passenger Vehicle Calculations'!D49</f>
        <v>4961.5503867299467</v>
      </c>
      <c r="C2" s="17">
        <f>'Passenger Vehicle Calculations'!E49</f>
        <v>4297.7962934452999</v>
      </c>
      <c r="D2" s="17">
        <f>'Passenger Vehicle Calculations'!F49</f>
        <v>3753.8787903509697</v>
      </c>
      <c r="E2" s="17">
        <f>'Passenger Vehicle Calculations'!G49</f>
        <v>1000.8575</v>
      </c>
      <c r="F2" s="17">
        <f>'Passenger Vehicle Calculations'!H49</f>
        <v>1102.7774999999999</v>
      </c>
      <c r="G2" s="17">
        <f>'Passenger Vehicle Calculations'!I49</f>
        <v>1057.2825</v>
      </c>
      <c r="H2" s="17">
        <f>'Passenger Vehicle Calculations'!J49</f>
        <v>1022.79</v>
      </c>
      <c r="I2" s="17">
        <f>'Passenger Vehicle Calculations'!K49</f>
        <v>1024.8150000000001</v>
      </c>
      <c r="J2" s="17">
        <f>'Passenger Vehicle Calculations'!L49</f>
        <v>1031.5474999999999</v>
      </c>
      <c r="K2" s="17">
        <f>'Passenger Vehicle Calculations'!M49</f>
        <v>1089.8074999999999</v>
      </c>
      <c r="L2" s="17">
        <f>'Passenger Vehicle Calculations'!N49</f>
        <v>1145.5925</v>
      </c>
      <c r="M2" s="17">
        <f>'Passenger Vehicle Calculations'!O49</f>
        <v>1156.375</v>
      </c>
      <c r="N2" s="17">
        <f>'Passenger Vehicle Calculations'!P49</f>
        <v>0</v>
      </c>
      <c r="O2" s="17">
        <f>'Passenger Vehicle Calculations'!Q49</f>
        <v>0</v>
      </c>
      <c r="P2" s="17">
        <f>'Passenger Vehicle Calculations'!R49</f>
        <v>0</v>
      </c>
      <c r="Q2" s="17">
        <f>'Passenger Vehicle Calculations'!S49</f>
        <v>0</v>
      </c>
      <c r="R2" s="17">
        <f>'Passenger Vehicle Calculations'!T49</f>
        <v>0</v>
      </c>
      <c r="S2" s="17">
        <f>'Passenger Vehicle Calculations'!U49</f>
        <v>0</v>
      </c>
      <c r="T2" s="17">
        <f>'Passenger Vehicle Calculations'!V49</f>
        <v>0</v>
      </c>
      <c r="U2" s="17">
        <f>'Passenger Vehicle Calculations'!W49</f>
        <v>0</v>
      </c>
      <c r="V2" s="17">
        <f>'Passenger Vehicle Calculations'!X49</f>
        <v>0</v>
      </c>
      <c r="W2" s="17">
        <f>'Passenger Vehicle Calculations'!Y49</f>
        <v>0</v>
      </c>
      <c r="X2" s="17">
        <f>'Passenger Vehicle Calculations'!Z49</f>
        <v>0</v>
      </c>
      <c r="Y2" s="17">
        <f>'Passenger Vehicle Calculations'!AA49</f>
        <v>0</v>
      </c>
      <c r="Z2" s="17">
        <f>'Passenger Vehicle Calculations'!AB49</f>
        <v>0</v>
      </c>
      <c r="AA2" s="17">
        <f>'Passenger Vehicle Calculations'!AC49</f>
        <v>0</v>
      </c>
      <c r="AB2" s="17">
        <f>'Passenger Vehicle Calculations'!AD49</f>
        <v>0</v>
      </c>
      <c r="AC2" s="17">
        <f>'Passenger Vehicle Calculations'!AE49</f>
        <v>0</v>
      </c>
      <c r="AD2" s="17">
        <f>'Passenger Vehicle Calculations'!AF49</f>
        <v>0</v>
      </c>
      <c r="AE2" s="17">
        <f>'Passenger Vehicle Calculations'!AG49</f>
        <v>0</v>
      </c>
    </row>
    <row r="3" spans="1:31" x14ac:dyDescent="0.25">
      <c r="A3" t="s">
        <v>2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0</v>
      </c>
      <c r="AD3" s="17">
        <v>0</v>
      </c>
      <c r="AE3" s="17">
        <v>0</v>
      </c>
    </row>
    <row r="4" spans="1:31" x14ac:dyDescent="0.25">
      <c r="A4" t="s">
        <v>3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0</v>
      </c>
      <c r="AD4" s="17">
        <v>0</v>
      </c>
      <c r="AE4" s="17">
        <v>0</v>
      </c>
    </row>
    <row r="5" spans="1:31" x14ac:dyDescent="0.25">
      <c r="A5" t="s">
        <v>4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</row>
    <row r="6" spans="1:31" x14ac:dyDescent="0.25">
      <c r="A6" t="s">
        <v>5</v>
      </c>
      <c r="B6" s="17">
        <f>'Passenger Vehicle Calculations'!D50</f>
        <v>9178.3903867299468</v>
      </c>
      <c r="C6" s="17">
        <f>'Passenger Vehicle Calculations'!E50</f>
        <v>6217.7662934453001</v>
      </c>
      <c r="D6" s="17">
        <f>'Passenger Vehicle Calculations'!F50</f>
        <v>3753.8787903509697</v>
      </c>
      <c r="E6" s="17">
        <f>'Passenger Vehicle Calculations'!G50</f>
        <v>1000.8575</v>
      </c>
      <c r="F6" s="17">
        <f>'Passenger Vehicle Calculations'!H50</f>
        <v>1102.7774999999999</v>
      </c>
      <c r="G6" s="17">
        <f>'Passenger Vehicle Calculations'!I50</f>
        <v>1057.2825</v>
      </c>
      <c r="H6" s="17">
        <f>'Passenger Vehicle Calculations'!J50</f>
        <v>1022.79</v>
      </c>
      <c r="I6" s="17">
        <f>'Passenger Vehicle Calculations'!K50</f>
        <v>1024.8150000000001</v>
      </c>
      <c r="J6" s="17">
        <f>'Passenger Vehicle Calculations'!L50</f>
        <v>1031.5474999999999</v>
      </c>
      <c r="K6" s="17">
        <f>'Passenger Vehicle Calculations'!M50</f>
        <v>1089.8074999999999</v>
      </c>
      <c r="L6" s="17">
        <f>'Passenger Vehicle Calculations'!N50</f>
        <v>1145.5925</v>
      </c>
      <c r="M6" s="17">
        <f>'Passenger Vehicle Calculations'!O50</f>
        <v>1156.375</v>
      </c>
      <c r="N6" s="17">
        <f>'Passenger Vehicle Calculations'!P50</f>
        <v>0</v>
      </c>
      <c r="O6" s="17">
        <f>'Passenger Vehicle Calculations'!Q50</f>
        <v>0</v>
      </c>
      <c r="P6" s="17">
        <f>'Passenger Vehicle Calculations'!R50</f>
        <v>0</v>
      </c>
      <c r="Q6" s="17">
        <f>'Passenger Vehicle Calculations'!S50</f>
        <v>0</v>
      </c>
      <c r="R6" s="17">
        <f>'Passenger Vehicle Calculations'!T50</f>
        <v>0</v>
      </c>
      <c r="S6" s="17">
        <f>'Passenger Vehicle Calculations'!U50</f>
        <v>0</v>
      </c>
      <c r="T6" s="17">
        <f>'Passenger Vehicle Calculations'!V50</f>
        <v>0</v>
      </c>
      <c r="U6" s="17">
        <f>'Passenger Vehicle Calculations'!W50</f>
        <v>0</v>
      </c>
      <c r="V6" s="17">
        <f>'Passenger Vehicle Calculations'!X50</f>
        <v>0</v>
      </c>
      <c r="W6" s="17">
        <f>'Passenger Vehicle Calculations'!Y50</f>
        <v>0</v>
      </c>
      <c r="X6" s="17">
        <f>'Passenger Vehicle Calculations'!Z50</f>
        <v>0</v>
      </c>
      <c r="Y6" s="17">
        <f>'Passenger Vehicle Calculations'!AA50</f>
        <v>0</v>
      </c>
      <c r="Z6" s="17">
        <f>'Passenger Vehicle Calculations'!AB50</f>
        <v>0</v>
      </c>
      <c r="AA6" s="17">
        <f>'Passenger Vehicle Calculations'!AC50</f>
        <v>0</v>
      </c>
      <c r="AB6" s="17">
        <f>'Passenger Vehicle Calculations'!AD50</f>
        <v>0</v>
      </c>
      <c r="AC6" s="17">
        <f>'Passenger Vehicle Calculations'!AE50</f>
        <v>0</v>
      </c>
      <c r="AD6" s="17">
        <f>'Passenger Vehicle Calculations'!AF50</f>
        <v>0</v>
      </c>
      <c r="AE6" s="17">
        <f>'Passenger Vehicle Calculations'!AG50</f>
        <v>0</v>
      </c>
    </row>
    <row r="7" spans="1:31" x14ac:dyDescent="0.25">
      <c r="A7" t="s">
        <v>6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</row>
    <row r="8" spans="1:31" x14ac:dyDescent="0.25">
      <c r="A8" t="s">
        <v>7</v>
      </c>
      <c r="B8" s="17">
        <v>0</v>
      </c>
      <c r="C8" s="17">
        <v>0</v>
      </c>
      <c r="D8" s="17">
        <f>D2</f>
        <v>3753.8787903509697</v>
      </c>
      <c r="E8" s="17">
        <f t="shared" ref="E8:AE8" si="0">E2</f>
        <v>1000.8575</v>
      </c>
      <c r="F8" s="17">
        <f t="shared" si="0"/>
        <v>1102.7774999999999</v>
      </c>
      <c r="G8" s="17">
        <f t="shared" si="0"/>
        <v>1057.2825</v>
      </c>
      <c r="H8" s="17">
        <f t="shared" si="0"/>
        <v>1022.79</v>
      </c>
      <c r="I8" s="17">
        <f t="shared" si="0"/>
        <v>1024.8150000000001</v>
      </c>
      <c r="J8" s="17">
        <f t="shared" si="0"/>
        <v>1031.5474999999999</v>
      </c>
      <c r="K8" s="17">
        <f t="shared" si="0"/>
        <v>1089.8074999999999</v>
      </c>
      <c r="L8" s="17">
        <f t="shared" si="0"/>
        <v>1145.5925</v>
      </c>
      <c r="M8" s="17">
        <f t="shared" si="0"/>
        <v>1156.375</v>
      </c>
      <c r="N8" s="17">
        <f t="shared" si="0"/>
        <v>0</v>
      </c>
      <c r="O8" s="17">
        <f t="shared" si="0"/>
        <v>0</v>
      </c>
      <c r="P8" s="17">
        <f t="shared" si="0"/>
        <v>0</v>
      </c>
      <c r="Q8" s="17">
        <f t="shared" si="0"/>
        <v>0</v>
      </c>
      <c r="R8" s="17">
        <f t="shared" si="0"/>
        <v>0</v>
      </c>
      <c r="S8" s="17">
        <f t="shared" si="0"/>
        <v>0</v>
      </c>
      <c r="T8" s="17">
        <f t="shared" si="0"/>
        <v>0</v>
      </c>
      <c r="U8" s="17">
        <f t="shared" si="0"/>
        <v>0</v>
      </c>
      <c r="V8" s="17">
        <f t="shared" si="0"/>
        <v>0</v>
      </c>
      <c r="W8" s="17">
        <f t="shared" si="0"/>
        <v>0</v>
      </c>
      <c r="X8" s="17">
        <f t="shared" si="0"/>
        <v>0</v>
      </c>
      <c r="Y8" s="17">
        <f t="shared" si="0"/>
        <v>0</v>
      </c>
      <c r="Z8" s="17">
        <f t="shared" si="0"/>
        <v>0</v>
      </c>
      <c r="AA8" s="17">
        <f t="shared" si="0"/>
        <v>0</v>
      </c>
      <c r="AB8" s="17">
        <f t="shared" si="0"/>
        <v>0</v>
      </c>
      <c r="AC8" s="17">
        <f t="shared" si="0"/>
        <v>0</v>
      </c>
      <c r="AD8" s="17">
        <f t="shared" si="0"/>
        <v>0</v>
      </c>
      <c r="AE8" s="17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/>
  </sheetViews>
  <sheetFormatPr defaultColWidth="8.85546875" defaultRowHeight="15" x14ac:dyDescent="0.25"/>
  <cols>
    <col min="1" max="1" width="25.140625" customWidth="1"/>
  </cols>
  <sheetData>
    <row r="1" spans="1:31" x14ac:dyDescent="0.25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5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2017-06-23T20:50:52Z</dcterms:created>
  <dcterms:modified xsi:type="dcterms:W3CDTF">2025-01-24T22:37:37Z</dcterms:modified>
</cp:coreProperties>
</file>