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0" yWindow="1520" windowWidth="4630" windowHeight="391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8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0" fontId="18" fillId="0" borderId="0" applyAlignment="1" pivotButton="0" quotePrefix="0" xfId="0">
      <alignment vertical="center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8" defaultColWidth="8.81640625" defaultRowHeight="14.5"/>
  <cols>
    <col width="16" customWidth="1" style="63" min="1" max="1"/>
    <col width="122.63281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California</t>
        </is>
      </c>
      <c r="C1" s="68" t="n">
        <v>44343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abSelected="1" topLeftCell="A23" zoomScale="60" zoomScaleNormal="60" workbookViewId="0">
      <selection activeCell="G30" sqref="G30"/>
    </sheetView>
  </sheetViews>
  <sheetFormatPr baseColWidth="8" defaultColWidth="0" defaultRowHeight="14.5" zeroHeight="1"/>
  <cols>
    <col width="16.6328125" customWidth="1" style="63" min="1" max="1"/>
    <col width="7.81640625" customWidth="1" style="63" min="2" max="2"/>
    <col width="69.36328125" customWidth="1" style="14" min="3" max="3"/>
    <col width="10.36328125" customWidth="1" style="14" min="4" max="4"/>
    <col width="10.1796875" customWidth="1" style="14" min="5" max="5"/>
    <col width="19.6328125" customWidth="1" style="13" min="6" max="6"/>
    <col width="10" customWidth="1" style="63" min="7" max="12"/>
    <col width="11.6328125" bestFit="1" customWidth="1" style="63" min="13" max="22"/>
    <col width="10" customWidth="1" style="63" min="23" max="23"/>
    <col width="19.6328125" bestFit="1" customWidth="1" style="63" min="24" max="24"/>
    <col width="11.6328125" bestFit="1" customWidth="1" style="63" min="25" max="33"/>
    <col width="18.81640625" bestFit="1" customWidth="1" style="63" min="34" max="34"/>
    <col width="17.6328125" bestFit="1" customWidth="1" style="63" min="35" max="42"/>
    <col width="11.6328125" bestFit="1" customWidth="1" style="63" min="43" max="43"/>
    <col width="8.81640625" customWidth="1" style="63" min="44" max="45"/>
    <col hidden="1" width="8.816406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70" t="n">
        <v>0.045</v>
      </c>
      <c r="H5" s="70" t="n">
        <v>0.05</v>
      </c>
      <c r="I5" s="70" t="n">
        <v>0.06</v>
      </c>
      <c r="J5" s="70" t="n">
        <v>0.07000000000000001</v>
      </c>
      <c r="K5" s="70" t="n">
        <v>0.08</v>
      </c>
      <c r="L5" s="70" t="n">
        <v>0.09</v>
      </c>
      <c r="M5" s="70" t="n">
        <v>0.1</v>
      </c>
      <c r="N5" s="70" t="n">
        <v>0.11</v>
      </c>
      <c r="O5" s="70" t="n">
        <v>0.12</v>
      </c>
      <c r="P5" s="70" t="n">
        <v>0.13</v>
      </c>
      <c r="Q5" s="70" t="n">
        <v>0.14</v>
      </c>
      <c r="R5" s="70" t="n">
        <v>0.15</v>
      </c>
      <c r="S5" s="71">
        <f>$R5</f>
        <v/>
      </c>
      <c r="T5" s="71">
        <f>$R5</f>
        <v/>
      </c>
      <c r="U5" s="71">
        <f>$R5</f>
        <v/>
      </c>
      <c r="V5" s="71">
        <f>$R5</f>
        <v/>
      </c>
      <c r="W5" s="71">
        <f>$R5</f>
        <v/>
      </c>
      <c r="X5" s="71">
        <f>$R5</f>
        <v/>
      </c>
      <c r="Y5" s="71">
        <f>$R5</f>
        <v/>
      </c>
      <c r="Z5" s="71">
        <f>$R5</f>
        <v/>
      </c>
      <c r="AA5" s="71">
        <f>$R5</f>
        <v/>
      </c>
      <c r="AB5" s="71">
        <f>$R5</f>
        <v/>
      </c>
      <c r="AC5" s="71">
        <f>$R5</f>
        <v/>
      </c>
      <c r="AD5" s="71">
        <f>$R5</f>
        <v/>
      </c>
      <c r="AE5" s="71">
        <f>$R5</f>
        <v/>
      </c>
      <c r="AF5" s="71">
        <f>$R5</f>
        <v/>
      </c>
      <c r="AG5" s="71">
        <f>$R5</f>
        <v/>
      </c>
      <c r="AH5" s="71">
        <f>$R5</f>
        <v/>
      </c>
      <c r="AI5" s="71">
        <f>$R5</f>
        <v/>
      </c>
      <c r="AJ5" s="71">
        <f>$R5</f>
        <v/>
      </c>
      <c r="AK5" s="71">
        <f>$R5</f>
        <v/>
      </c>
      <c r="AL5" s="71">
        <f>$R5</f>
        <v/>
      </c>
      <c r="AM5" s="71">
        <f>$R5</f>
        <v/>
      </c>
      <c r="AN5" s="71">
        <f>$R5</f>
        <v/>
      </c>
      <c r="AO5" s="71">
        <f>$R5</f>
        <v/>
      </c>
      <c r="AP5" s="71">
        <f>$R5</f>
        <v/>
      </c>
      <c r="AQ5" s="71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2">
        <f>(0.25-0.2)/3+0.2</f>
        <v/>
      </c>
      <c r="H7" s="71">
        <f>$G7+($I7-$G7)*(H$2-$G$2)/($I$2-$G$2)</f>
        <v/>
      </c>
      <c r="I7" s="70">
        <f>25%*SUM('Extra State Data'!B66:B67)/'Extra State Data'!B68</f>
        <v/>
      </c>
      <c r="J7" s="71">
        <f>$I7+($M7-$I7)*(J$2-$I$2)/($M$2-$I$2)</f>
        <v/>
      </c>
      <c r="K7" s="71">
        <f>$I7+($M7-$I7)*(K$2-$I$2)/($M$2-$I$2)</f>
        <v/>
      </c>
      <c r="L7" s="71">
        <f>$I7+($M7-$I7)*(L$2-$I$2)/($M$2-$I$2)</f>
        <v/>
      </c>
      <c r="M7" s="33">
        <f>33%*SUM('Extra State Data'!B66:B67)/'Extra State Data'!B68</f>
        <v/>
      </c>
      <c r="N7" s="71">
        <f>$M7+($Q7-$M7)*(N$2-$M$2)/($Q$2-$M$2)</f>
        <v/>
      </c>
      <c r="O7" s="71">
        <f>$M7+($Q7-$M7)*(O$2-$M$2)/($Q$2-$M$2)</f>
        <v/>
      </c>
      <c r="P7" s="71">
        <f>$M7+($Q7-$M7)*(P$2-$M$2)/($Q$2-$M$2)</f>
        <v/>
      </c>
      <c r="Q7" s="33">
        <f>44%*SUM('Extra State Data'!B66:B67)/'Extra State Data'!B68</f>
        <v/>
      </c>
      <c r="R7" s="71">
        <f>$Q7+($T7-$Q7)*(R$2-$Q$2)/($T$2-$Q$2)</f>
        <v/>
      </c>
      <c r="S7" s="71">
        <f>$Q7+($T7-$Q7)*(S$2-$Q$2)/($T$2-$Q$2)</f>
        <v/>
      </c>
      <c r="T7" s="33">
        <f>52%*SUM('Extra State Data'!B66:B67)/'Extra State Data'!B68</f>
        <v/>
      </c>
      <c r="U7" s="71">
        <f>$T7+($W7-$T7)*(U$2-$T$2)/($W$2-$T$2)</f>
        <v/>
      </c>
      <c r="V7" s="71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2">
        <f>(0.2*'Extra State Data'!B18+0.06*SUM('Extra State Data'!B19:B20))/SUM('Extra State Data'!B18:B20)</f>
        <v/>
      </c>
      <c r="I8" s="71">
        <f>$H8+($M8-$H8)*(I$2-$H$2)/($M$2-$H$2)</f>
        <v/>
      </c>
      <c r="J8" s="71">
        <f>$H8+($M8-$H8)*(J$2-$H$2)/($M$2-$H$2)</f>
        <v/>
      </c>
      <c r="K8" s="71">
        <f>$H8+($M8-$H8)*(K$2-$H$2)/($M$2-$H$2)</f>
        <v/>
      </c>
      <c r="L8" s="71">
        <f>$H8+($M8-$H8)*(L$2-$H$2)/($M$2-$H$2)</f>
        <v/>
      </c>
      <c r="M8" s="73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2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70" t="n">
        <v>0.195</v>
      </c>
      <c r="I9" s="70" t="n">
        <v>0.21</v>
      </c>
      <c r="J9" s="70" t="n">
        <v>0.225</v>
      </c>
      <c r="K9" s="70" t="n">
        <v>0.25</v>
      </c>
      <c r="L9" s="70" t="n">
        <v>0.275</v>
      </c>
      <c r="M9" s="70" t="n">
        <v>0.29</v>
      </c>
      <c r="N9" s="70" t="n">
        <v>0.305</v>
      </c>
      <c r="O9" s="70" t="n">
        <v>0.32</v>
      </c>
      <c r="P9" s="70" t="n">
        <v>0.34</v>
      </c>
      <c r="Q9" s="70" t="n">
        <v>0.36</v>
      </c>
      <c r="R9" s="70" t="n">
        <v>0.38</v>
      </c>
      <c r="S9" s="70">
        <f>($W$9-$R$9)/COUNT($S$2:$W$2)+R9</f>
        <v/>
      </c>
      <c r="T9" s="70">
        <f>($W$9-$R$9)/COUNT($S$2:$W$2)+S9</f>
        <v/>
      </c>
      <c r="U9" s="70">
        <f>($W$9-$R$9)/COUNT($S$2:$W$2)+T9</f>
        <v/>
      </c>
      <c r="V9" s="70">
        <f>($W$9-$R$9)/COUNT($S$2:$W$2)+U9</f>
        <v/>
      </c>
      <c r="W9" s="70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70" t="n">
        <v>0.115</v>
      </c>
      <c r="H10" s="70" t="n">
        <v>0.13</v>
      </c>
      <c r="I10" s="70" t="n">
        <v>0.145</v>
      </c>
      <c r="J10" s="70" t="n">
        <v>0.16</v>
      </c>
      <c r="K10" s="70" t="n">
        <v>0.175</v>
      </c>
      <c r="L10" s="70" t="n">
        <v>0.19</v>
      </c>
      <c r="M10" s="70" t="n">
        <v>0.2</v>
      </c>
      <c r="N10" s="70" t="n">
        <v>0.21</v>
      </c>
      <c r="O10" s="70" t="n">
        <v>0.22</v>
      </c>
      <c r="P10" s="70" t="n">
        <v>0.23</v>
      </c>
      <c r="Q10" s="70" t="n">
        <v>0.24</v>
      </c>
      <c r="R10" s="70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2">
        <f>0.15*SUMIFS('EIA 2019 ESRAP Table 10'!$E$4:$E$2216,'EIA 2019 ESRAP Table 10'!B4:B2216,"FL",'EIA 2019 ESRAP Table 10'!A4:A2216,"JEA")/SUMIF('EIA 2019 ESRAP Table 10'!B4:B2216,"FL",'EIA 2019 ESRAP Table 10'!E4:E2216)</f>
        <v/>
      </c>
      <c r="H11" s="72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1">
        <f>$M13+($W13-$M13)*(N$2-$M$2)/($W$2-$M$2)</f>
        <v/>
      </c>
      <c r="O13" s="71">
        <f>$M13+($W13-$M13)*(O$2-$M$2)/($W$2-$M$2)</f>
        <v/>
      </c>
      <c r="P13" s="71">
        <f>$M13+($W13-$M13)*(P$2-$M$2)/($W$2-$M$2)</f>
        <v/>
      </c>
      <c r="Q13" s="71">
        <f>$M13+($W13-$M13)*(Q$2-$M$2)/($W$2-$M$2)</f>
        <v/>
      </c>
      <c r="R13" s="71">
        <f>$M13+($W13-$M13)*(R$2-$M$2)/($W$2-$M$2)</f>
        <v/>
      </c>
      <c r="S13" s="71">
        <f>$M13+($W13-$M13)*(S$2-$M$2)/($W$2-$M$2)</f>
        <v/>
      </c>
      <c r="T13" s="71">
        <f>$M13+($W13-$M13)*(T$2-$M$2)/($W$2-$M$2)</f>
        <v/>
      </c>
      <c r="U13" s="71">
        <f>$M13+($W13-$M13)*(U$2-$M$2)/($W$2-$M$2)</f>
        <v/>
      </c>
      <c r="V13" s="71">
        <f>$M13+($W13-$M13)*(V$2-$M$2)/($W$2-$M$2)</f>
        <v/>
      </c>
      <c r="W13" s="33" t="n">
        <v>0.4</v>
      </c>
      <c r="X13" s="71">
        <f>$W13+($AG13-$W13)*(X$2-$W$2)/($AG$2-$W$2)</f>
        <v/>
      </c>
      <c r="Y13" s="71">
        <f>$W13+($AG13-$W13)*(Y$2-$W$2)/($AG$2-$W$2)</f>
        <v/>
      </c>
      <c r="Z13" s="71">
        <f>$W13+($AG13-$W13)*(Z$2-$W$2)/($AG$2-$W$2)</f>
        <v/>
      </c>
      <c r="AA13" s="71">
        <f>$W13+($AG13-$W13)*(AA$2-$W$2)/($AG$2-$W$2)</f>
        <v/>
      </c>
      <c r="AB13" s="71">
        <f>$W13+($AG13-$W13)*(AB$2-$W$2)/($AG$2-$W$2)</f>
        <v/>
      </c>
      <c r="AC13" s="71">
        <f>$W13+($AG13-$W13)*(AC$2-$W$2)/($AG$2-$W$2)</f>
        <v/>
      </c>
      <c r="AD13" s="71">
        <f>$W13+($AG13-$W13)*(AD$2-$W$2)/($AG$2-$W$2)</f>
        <v/>
      </c>
      <c r="AE13" s="71">
        <f>$W13+($AG13-$W13)*(AE$2-$W$2)/($AG$2-$W$2)</f>
        <v/>
      </c>
      <c r="AF13" s="71">
        <f>$W13+($AG13-$W13)*(AF$2-$W$2)/($AG$2-$W$2)</f>
        <v/>
      </c>
      <c r="AG13" s="33" t="n">
        <v>0.7</v>
      </c>
      <c r="AH13" s="71">
        <f>$AG13+($AL13-$AG13)*(AH$2-$AG$2)/($AL$2-$AG$2)</f>
        <v/>
      </c>
      <c r="AI13" s="71">
        <f>$AG13+($AL13-$AG13)*(AI$2-$AG$2)/($AL$2-$AG$2)</f>
        <v/>
      </c>
      <c r="AJ13" s="71">
        <f>$AG13+($AL13-$AG13)*(AJ$2-$AG$2)/($AL$2-$AG$2)</f>
        <v/>
      </c>
      <c r="AK13" s="71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70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1">
        <f>$G16+($L16-$G16)*(H$2-$G$2)/($L$2-$G$2)</f>
        <v/>
      </c>
      <c r="I16" s="71">
        <f>$G16+($L16-$G16)*(I$2-$G$2)/($L$2-$G$2)</f>
        <v/>
      </c>
      <c r="J16" s="71">
        <f>$G16+($L16-$G16)*(J$2-$G$2)/($L$2-$G$2)</f>
        <v/>
      </c>
      <c r="K16" s="71">
        <f>$G16+($L16-$G16)*(K$2-$G$2)/($L$2-$G$2)</f>
        <v/>
      </c>
      <c r="L16" s="70" t="n">
        <v>0.07000000000000001</v>
      </c>
      <c r="M16" s="71">
        <f>$L16+($R16-$L16)*(M$2-$L$2)/($R$2-$L$2)</f>
        <v/>
      </c>
      <c r="N16" s="71">
        <f>$L16+($R16-$L16)*(N$2-$L$2)/($R$2-$L$2)</f>
        <v/>
      </c>
      <c r="O16" s="71">
        <f>$L16+($R16-$L16)*(O$2-$L$2)/($R$2-$L$2)</f>
        <v/>
      </c>
      <c r="P16" s="71">
        <f>$L16+($R16-$L16)*(P$2-$L$2)/($R$2-$L$2)</f>
        <v/>
      </c>
      <c r="Q16" s="71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70" t="n">
        <v>0.08</v>
      </c>
      <c r="I21" s="70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4">
        <f>0.0035+0.0995+0.025</f>
        <v/>
      </c>
      <c r="H22" s="70">
        <f>0.005+0.1+0.025</f>
        <v/>
      </c>
      <c r="I22" s="70">
        <f>0.007+0.12+0.025</f>
        <v/>
      </c>
      <c r="J22" s="70">
        <f>0.0095+0.1215+0.025</f>
        <v/>
      </c>
      <c r="K22" s="70">
        <f>0.014+0.144+0.025</f>
        <v/>
      </c>
      <c r="L22" s="70" t="n">
        <v>0.204</v>
      </c>
      <c r="M22" s="70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70" t="n">
        <v>0.1075</v>
      </c>
      <c r="H23" s="70" t="n">
        <v>0.12</v>
      </c>
      <c r="I23" s="70" t="n">
        <v>0.13</v>
      </c>
      <c r="J23" s="70" t="n">
        <v>0.14</v>
      </c>
      <c r="K23" s="70" t="n">
        <v>0.15</v>
      </c>
      <c r="L23" s="71">
        <f>K23+(($W$23-$K$23)/12)</f>
        <v/>
      </c>
      <c r="M23" s="71">
        <f>L23+(($W$23-$K$23)/12)</f>
        <v/>
      </c>
      <c r="N23" s="71">
        <f>M23+(($W$23-$K$23)/12)</f>
        <v/>
      </c>
      <c r="O23" s="71">
        <f>N23+(($W$23-$K$23)/12)</f>
        <v/>
      </c>
      <c r="P23" s="71">
        <f>O23+(($W$23-$K$23)/12)</f>
        <v/>
      </c>
      <c r="Q23" s="71">
        <f>P23+(($W$23-$K$23)/12)</f>
        <v/>
      </c>
      <c r="R23" s="71">
        <f>Q23+(($W$23-$K$23)/12)</f>
        <v/>
      </c>
      <c r="S23" s="71">
        <f>R23+(($W$23-$K$23)/12)</f>
        <v/>
      </c>
      <c r="T23" s="71">
        <f>S23+(($W$23-$K$23)/12)</f>
        <v/>
      </c>
      <c r="U23" s="71">
        <f>T23+(($W$23-$K$23)/12)</f>
        <v/>
      </c>
      <c r="V23" s="71">
        <f>U23+(($W$23-$K$23)/12)</f>
        <v/>
      </c>
      <c r="W23" s="74" t="n">
        <v>0.35</v>
      </c>
      <c r="X23" s="74">
        <f>W23+1%</f>
        <v/>
      </c>
      <c r="Y23" s="74">
        <f>X23+1%</f>
        <v/>
      </c>
      <c r="Z23" s="74">
        <f>Y23+1%</f>
        <v/>
      </c>
      <c r="AA23" s="74">
        <f>Z23+1%</f>
        <v/>
      </c>
      <c r="AB23" s="74">
        <f>AA23+1%</f>
        <v/>
      </c>
      <c r="AC23" s="74">
        <f>AB23+1%</f>
        <v/>
      </c>
      <c r="AD23" s="74">
        <f>AC23+1%</f>
        <v/>
      </c>
      <c r="AE23" s="74">
        <f>AD23+1%</f>
        <v/>
      </c>
      <c r="AF23" s="74">
        <f>AE23+1%</f>
        <v/>
      </c>
      <c r="AG23" s="74">
        <f>AF23+1%</f>
        <v/>
      </c>
      <c r="AH23" s="74">
        <f>AG23+1%</f>
        <v/>
      </c>
      <c r="AI23" s="74">
        <f>AH23+1%</f>
        <v/>
      </c>
      <c r="AJ23" s="74">
        <f>AI23+1%</f>
        <v/>
      </c>
      <c r="AK23" s="74">
        <f>AJ23+1%</f>
        <v/>
      </c>
      <c r="AL23" s="74">
        <f>AK23+1%</f>
        <v/>
      </c>
      <c r="AM23" s="74">
        <f>AL23+1%</f>
        <v/>
      </c>
      <c r="AN23" s="74">
        <f>AM23+1%</f>
        <v/>
      </c>
      <c r="AO23" s="74">
        <f>AN23+1%</f>
        <v/>
      </c>
      <c r="AP23" s="74">
        <f>AO23+1%</f>
        <v/>
      </c>
      <c r="AQ23" s="74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70" t="n">
        <v>0.081</v>
      </c>
      <c r="H24" s="70" t="n">
        <v>0.1</v>
      </c>
      <c r="I24" s="70">
        <f>$H24</f>
        <v/>
      </c>
      <c r="J24" s="70">
        <f>$H24</f>
        <v/>
      </c>
      <c r="K24" s="70" t="n">
        <v>0.1</v>
      </c>
      <c r="L24" s="70" t="n">
        <v>0.125</v>
      </c>
      <c r="M24" s="70" t="n">
        <v>0.125</v>
      </c>
      <c r="N24" s="70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5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2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1">
        <f>$G25+($I25-$G25)*(H$2-$G$2)/($I$2-$G$2)</f>
        <v/>
      </c>
      <c r="I25" s="72">
        <f>(0.25*'Extra State Data'!$B$2+0.17*'Extra State Data'!$B$3+0.17*'Extra State Data'!$B$5)/'Extra State Data'!$B$4</f>
        <v/>
      </c>
      <c r="J25" s="71">
        <f>$I25+($M25-$I25)*(J$2-$I$2)/($M$2-$I$2)</f>
        <v/>
      </c>
      <c r="K25" s="71">
        <f>$I25+($M25-$I25)*(K$2-$I$2)/($M$2-$I$2)</f>
        <v/>
      </c>
      <c r="L25" s="71">
        <f>$I25+($M25-$I25)*(L$2-$I$2)/($M$2-$I$2)</f>
        <v/>
      </c>
      <c r="M25" s="72">
        <f>(0.315*'Extra State Data'!$B$2+0.215*'Extra State Data'!$B$3+0.2*'Extra State Data'!$B$5)/'Extra State Data'!$B$4</f>
        <v/>
      </c>
      <c r="N25" s="71">
        <f>$M25+($R25-$M25)*(N$2-$M$2)/($R$2-$M$2)</f>
        <v/>
      </c>
      <c r="O25" s="71">
        <f>$M25+($R25-$M25)*(O$2-$M$2)/($R$2-$M$2)</f>
        <v/>
      </c>
      <c r="P25" s="71">
        <f>$M25+($R25-$M25)*(P$2-$M$2)/($R$2-$M$2)</f>
        <v/>
      </c>
      <c r="Q25" s="71">
        <f>$M25+($R25-$M25)*(Q$2-$M$2)/($R$2-$M$2)</f>
        <v/>
      </c>
      <c r="R25" s="72">
        <f>(0.315*'Extra State Data'!$B$2+0.265*'Extra State Data'!$B$3+0.25*'Extra State Data'!$B$5)/'Extra State Data'!$B$4</f>
        <v/>
      </c>
      <c r="S25" s="71">
        <f>$R25</f>
        <v/>
      </c>
      <c r="T25" s="71">
        <f>$R25</f>
        <v/>
      </c>
      <c r="U25" s="71">
        <f>$R25</f>
        <v/>
      </c>
      <c r="V25" s="71">
        <f>$R25</f>
        <v/>
      </c>
      <c r="W25" s="71">
        <f>$R25</f>
        <v/>
      </c>
      <c r="X25" s="71">
        <f>$R25</f>
        <v/>
      </c>
      <c r="Y25" s="71">
        <f>$R25</f>
        <v/>
      </c>
      <c r="Z25" s="71">
        <f>$R25</f>
        <v/>
      </c>
      <c r="AA25" s="71">
        <f>$R25</f>
        <v/>
      </c>
      <c r="AB25" s="71">
        <f>$R25</f>
        <v/>
      </c>
      <c r="AC25" s="71">
        <f>$R25</f>
        <v/>
      </c>
      <c r="AD25" s="71">
        <f>$R25</f>
        <v/>
      </c>
      <c r="AE25" s="71">
        <f>$R25</f>
        <v/>
      </c>
      <c r="AF25" s="71">
        <f>$R25</f>
        <v/>
      </c>
      <c r="AG25" s="71">
        <f>$R25</f>
        <v/>
      </c>
      <c r="AH25" s="71">
        <f>$R25</f>
        <v/>
      </c>
      <c r="AI25" s="71">
        <f>$R25</f>
        <v/>
      </c>
      <c r="AJ25" s="71">
        <f>$R25</f>
        <v/>
      </c>
      <c r="AK25" s="71">
        <f>$R25</f>
        <v/>
      </c>
      <c r="AL25" s="71">
        <f>$R25</f>
        <v/>
      </c>
      <c r="AM25" s="71">
        <f>$R25</f>
        <v/>
      </c>
      <c r="AN25" s="71">
        <f>$R25</f>
        <v/>
      </c>
      <c r="AO25" s="71">
        <f>$R25</f>
        <v/>
      </c>
      <c r="AP25" s="71">
        <f>$R25</f>
        <v/>
      </c>
      <c r="AQ25" s="71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3">
        <f>0.05*'Extra State Data'!$B$37/'Extra State Data'!$B$38</f>
        <v/>
      </c>
      <c r="H27" s="71">
        <f>$G27+($K27-$G27)*(H$2-$G$2)/($K$2-$G$2)</f>
        <v/>
      </c>
      <c r="I27" s="71">
        <f>$G27+($K27-$G27)*(I$2-$G$2)/($K$2-$G$2)</f>
        <v/>
      </c>
      <c r="J27" s="71">
        <f>$G27+($K27-$G27)*(J$2-$G$2)/($K$2-$G$2)</f>
        <v/>
      </c>
      <c r="K27" s="73">
        <f>0.1*'Extra State Data'!$B$37/'Extra State Data'!$B$38</f>
        <v/>
      </c>
      <c r="L27" s="71">
        <f>$K27+($O27-$K27)*(L$2-$K$2)/($O$2-$K$2)</f>
        <v/>
      </c>
      <c r="M27" s="71">
        <f>$K27+($O27-$K27)*(M$2-$K$2)/($O$2-$K$2)</f>
        <v/>
      </c>
      <c r="N27" s="71">
        <f>$K27+($O27-$K27)*(N$2-$K$2)/($O$2-$K$2)</f>
        <v/>
      </c>
      <c r="O27" s="73">
        <f>0.15*'Extra State Data'!$B$37/'Extra State Data'!$B$38</f>
        <v/>
      </c>
      <c r="P27" s="76">
        <f>$O27</f>
        <v/>
      </c>
      <c r="Q27" s="76">
        <f>$O27</f>
        <v/>
      </c>
      <c r="R27" s="76">
        <f>$O27</f>
        <v/>
      </c>
      <c r="S27" s="76">
        <f>$O27</f>
        <v/>
      </c>
      <c r="T27" s="76">
        <f>$O27</f>
        <v/>
      </c>
      <c r="U27" s="76">
        <f>$O27</f>
        <v/>
      </c>
      <c r="V27" s="76">
        <f>$O27</f>
        <v/>
      </c>
      <c r="W27" s="76">
        <f>$O27</f>
        <v/>
      </c>
      <c r="X27" s="76">
        <f>$O27</f>
        <v/>
      </c>
      <c r="Y27" s="76">
        <f>$O27</f>
        <v/>
      </c>
      <c r="Z27" s="76">
        <f>$O27</f>
        <v/>
      </c>
      <c r="AA27" s="76">
        <f>$O27</f>
        <v/>
      </c>
      <c r="AB27" s="76">
        <f>$O27</f>
        <v/>
      </c>
      <c r="AC27" s="76">
        <f>$O27</f>
        <v/>
      </c>
      <c r="AD27" s="76">
        <f>$O27</f>
        <v/>
      </c>
      <c r="AE27" s="76">
        <f>$O27</f>
        <v/>
      </c>
      <c r="AF27" s="76">
        <f>$O27</f>
        <v/>
      </c>
      <c r="AG27" s="76">
        <f>$O27</f>
        <v/>
      </c>
      <c r="AH27" s="76">
        <f>$O27</f>
        <v/>
      </c>
      <c r="AI27" s="76">
        <f>$O27</f>
        <v/>
      </c>
      <c r="AJ27" s="76">
        <f>$O27</f>
        <v/>
      </c>
      <c r="AK27" s="76">
        <f>$O27</f>
        <v/>
      </c>
      <c r="AL27" s="76">
        <f>$O27</f>
        <v/>
      </c>
      <c r="AM27" s="76">
        <f>$O27</f>
        <v/>
      </c>
      <c r="AN27" s="76">
        <f>$O27</f>
        <v/>
      </c>
      <c r="AO27" s="76">
        <f>$O27</f>
        <v/>
      </c>
      <c r="AP27" s="76">
        <f>$O27</f>
        <v/>
      </c>
      <c r="AQ27" s="76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2">
        <f>0.18*'Extra State Data'!$B$42/'Extra State Data'!$B$43+(0.5*(H30-0.18*'Extra State Data'!$B$42/'Extra State Data'!$B$43))</f>
        <v/>
      </c>
      <c r="H30" s="72">
        <f>0.2*'Extra State Data'!$B$42/'Extra State Data'!$B$43</f>
        <v/>
      </c>
      <c r="I30" s="71">
        <f>$H30+($M30-$H30)*(I$2-$H$2)/($M$2-$H$2)</f>
        <v/>
      </c>
      <c r="J30" s="71">
        <f>$H30+($M30-$H30)*(J$2-$H$2)/($M$2-$H$2)</f>
        <v/>
      </c>
      <c r="K30" s="71">
        <f>$H30+($M30-$H30)*(K$2-$H$2)/($M$2-$H$2)</f>
        <v/>
      </c>
      <c r="L30" s="71">
        <f>$H30+($M30-$H30)*(L$2-$H$2)/($M$2-$H$2)</f>
        <v/>
      </c>
      <c r="M30" s="72">
        <f>0.22*'Extra State Data'!$B$42/'Extra State Data'!$B$43</f>
        <v/>
      </c>
      <c r="N30" s="71">
        <f>($W$30-$M$30)/COUNT($N$2:$W$2)+M30</f>
        <v/>
      </c>
      <c r="O30" s="71">
        <f>($W$30-$M$30)/COUNT($N$2:$W$2)+N30</f>
        <v/>
      </c>
      <c r="P30" s="71">
        <f>($W$30-$M$30)/COUNT($N$2:$W$2)+O30</f>
        <v/>
      </c>
      <c r="Q30" s="71">
        <f>($W$30-$M$30)/COUNT($N$2:$W$2)+P30</f>
        <v/>
      </c>
      <c r="R30" s="71">
        <f>($W$30-$M$30)/COUNT($N$2:$W$2)+Q30</f>
        <v/>
      </c>
      <c r="S30" s="71">
        <f>($W$30-$M$30)/COUNT($N$2:$W$2)+R30</f>
        <v/>
      </c>
      <c r="T30" s="71">
        <f>($W$30-$M$30)/COUNT($N$2:$W$2)+S30</f>
        <v/>
      </c>
      <c r="U30" s="71">
        <f>($W$30-$M$30)/COUNT($N$2:$W$2)+T30</f>
        <v/>
      </c>
      <c r="V30" s="71">
        <f>($W$30-$M$30)/COUNT($N$2:$W$2)+U30</f>
        <v/>
      </c>
      <c r="W30" s="72">
        <f>0.5*'Extra State Data'!$B$42/'Extra State Data'!$B$43</f>
        <v/>
      </c>
      <c r="X30" s="71">
        <f>$R30</f>
        <v/>
      </c>
      <c r="Y30" s="71">
        <f>$R30</f>
        <v/>
      </c>
      <c r="Z30" s="71">
        <f>$R30</f>
        <v/>
      </c>
      <c r="AA30" s="71">
        <f>$R30</f>
        <v/>
      </c>
      <c r="AB30" s="71">
        <f>$R30</f>
        <v/>
      </c>
      <c r="AC30" s="71">
        <f>$R30</f>
        <v/>
      </c>
      <c r="AD30" s="71">
        <f>$R30</f>
        <v/>
      </c>
      <c r="AE30" s="71">
        <f>$R30</f>
        <v/>
      </c>
      <c r="AF30" s="71">
        <f>$R30</f>
        <v/>
      </c>
      <c r="AG30" s="71">
        <f>$R30</f>
        <v/>
      </c>
      <c r="AH30" s="71">
        <f>$R30</f>
        <v/>
      </c>
      <c r="AI30" s="71">
        <f>$R30</f>
        <v/>
      </c>
      <c r="AJ30" s="71">
        <f>$R30</f>
        <v/>
      </c>
      <c r="AK30" s="71">
        <f>$R30</f>
        <v/>
      </c>
      <c r="AL30" s="71">
        <f>$R30</f>
        <v/>
      </c>
      <c r="AM30" s="71">
        <f>$R30</f>
        <v/>
      </c>
      <c r="AN30" s="71">
        <f>$R30</f>
        <v/>
      </c>
      <c r="AO30" s="71">
        <f>$R30</f>
        <v/>
      </c>
      <c r="AP30" s="71">
        <f>$R30</f>
        <v/>
      </c>
      <c r="AQ30" s="71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5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70">
        <f>0.092-0.015</f>
        <v/>
      </c>
      <c r="J31" s="70">
        <f>0.176-0.015</f>
        <v/>
      </c>
      <c r="K31" s="70">
        <f>0.185-0.015</f>
        <v/>
      </c>
      <c r="L31" s="70">
        <f>0.194-0.015</f>
        <v/>
      </c>
      <c r="M31" s="70">
        <f>0.207-0.015</f>
        <v/>
      </c>
      <c r="N31" s="70">
        <f>0.216-0.015</f>
        <v/>
      </c>
      <c r="O31" s="70">
        <f>0.225-0.015</f>
        <v/>
      </c>
      <c r="P31" s="70">
        <f>0.234-0.015</f>
        <v/>
      </c>
      <c r="Q31" s="70">
        <f>0.243-0.015</f>
        <v/>
      </c>
      <c r="R31" s="70">
        <f>0.252-0.015</f>
        <v/>
      </c>
      <c r="S31" s="71">
        <f>$R31</f>
        <v/>
      </c>
      <c r="T31" s="71">
        <f>$R31</f>
        <v/>
      </c>
      <c r="U31" s="71">
        <f>$R31</f>
        <v/>
      </c>
      <c r="V31" s="71">
        <f>$R31</f>
        <v/>
      </c>
      <c r="W31" s="71">
        <f>$R31</f>
        <v/>
      </c>
      <c r="X31" s="71">
        <f>$R31</f>
        <v/>
      </c>
      <c r="Y31" s="71">
        <f>$R31</f>
        <v/>
      </c>
      <c r="Z31" s="71">
        <f>$R31</f>
        <v/>
      </c>
      <c r="AA31" s="71">
        <f>$R31</f>
        <v/>
      </c>
      <c r="AB31" s="71">
        <f>$R31</f>
        <v/>
      </c>
      <c r="AC31" s="71">
        <f>$R31</f>
        <v/>
      </c>
      <c r="AD31" s="71">
        <f>$R31</f>
        <v/>
      </c>
      <c r="AE31" s="71">
        <f>$R31</f>
        <v/>
      </c>
      <c r="AF31" s="71">
        <f>$R31</f>
        <v/>
      </c>
      <c r="AG31" s="71">
        <f>$R31</f>
        <v/>
      </c>
      <c r="AH31" s="71">
        <f>$R31</f>
        <v/>
      </c>
      <c r="AI31" s="71">
        <f>$R31</f>
        <v/>
      </c>
      <c r="AJ31" s="71">
        <f>$R31</f>
        <v/>
      </c>
      <c r="AK31" s="71">
        <f>$R31</f>
        <v/>
      </c>
      <c r="AL31" s="71">
        <f>$R31</f>
        <v/>
      </c>
      <c r="AM31" s="71">
        <f>$R31</f>
        <v/>
      </c>
      <c r="AN31" s="71">
        <f>$R31</f>
        <v/>
      </c>
      <c r="AO31" s="71">
        <f>$R31</f>
        <v/>
      </c>
      <c r="AP31" s="71">
        <f>$R31</f>
        <v/>
      </c>
      <c r="AQ31" s="71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70" t="n">
        <v>0.07976999999999999</v>
      </c>
      <c r="H32" s="70" t="n">
        <v>0.08807</v>
      </c>
      <c r="I32" s="70" t="n">
        <v>0.9649</v>
      </c>
      <c r="J32" s="70" t="n">
        <v>0.10485</v>
      </c>
      <c r="K32" s="70" t="n">
        <v>0.12325</v>
      </c>
      <c r="L32" s="70" t="n">
        <v>0.14175</v>
      </c>
      <c r="M32" s="70" t="n">
        <v>0.16029</v>
      </c>
      <c r="N32" s="70" t="n">
        <v>0.21</v>
      </c>
      <c r="O32" s="71">
        <f>($R$32-$N$32)/COUNT($O$2:$R$2)+N32</f>
        <v/>
      </c>
      <c r="P32" s="71">
        <f>($R$32-$N$32)/COUNT($O$2:$R$2)+O32</f>
        <v/>
      </c>
      <c r="Q32" s="71">
        <f>($R$32-$N$32)/COUNT($O$2:$R$2)+P32</f>
        <v/>
      </c>
      <c r="R32" s="70" t="n">
        <v>0.35</v>
      </c>
      <c r="S32" s="71">
        <f>($W$32-$R$32)/COUNT($S$2:$W$2)+R32</f>
        <v/>
      </c>
      <c r="T32" s="71">
        <f>($W$32-$R$32)/COUNT($S$2:$W$2)+S32</f>
        <v/>
      </c>
      <c r="U32" s="71">
        <f>($W$32-$R$32)/COUNT($S$2:$W$2)+T32</f>
        <v/>
      </c>
      <c r="V32" s="71">
        <f>($W$32-$R$32)/COUNT($S$2:$W$2)+U32</f>
        <v/>
      </c>
      <c r="W32" s="70" t="n">
        <v>0.5</v>
      </c>
      <c r="X32" s="71">
        <f>W32</f>
        <v/>
      </c>
      <c r="Y32" s="71">
        <f>X32</f>
        <v/>
      </c>
      <c r="Z32" s="71">
        <f>Y32</f>
        <v/>
      </c>
      <c r="AA32" s="71">
        <f>Z32</f>
        <v/>
      </c>
      <c r="AB32" s="71">
        <f>AA32</f>
        <v/>
      </c>
      <c r="AC32" s="71">
        <f>AB32</f>
        <v/>
      </c>
      <c r="AD32" s="71">
        <f>AC32</f>
        <v/>
      </c>
      <c r="AE32" s="71">
        <f>AD32</f>
        <v/>
      </c>
      <c r="AF32" s="71">
        <f>AE32</f>
        <v/>
      </c>
      <c r="AG32" s="71">
        <f>AF32</f>
        <v/>
      </c>
      <c r="AH32" s="71">
        <f>AG32</f>
        <v/>
      </c>
      <c r="AI32" s="71">
        <f>AH32</f>
        <v/>
      </c>
      <c r="AJ32" s="71">
        <f>AI32</f>
        <v/>
      </c>
      <c r="AK32" s="71">
        <f>AJ32</f>
        <v/>
      </c>
      <c r="AL32" s="71">
        <f>AK32</f>
        <v/>
      </c>
      <c r="AM32" s="71">
        <f>AL32</f>
        <v/>
      </c>
      <c r="AN32" s="71">
        <f>AM32</f>
        <v/>
      </c>
      <c r="AO32" s="71">
        <f>AN32</f>
        <v/>
      </c>
      <c r="AP32" s="71">
        <f>AO32</f>
        <v/>
      </c>
      <c r="AQ32" s="71">
        <f>AP32</f>
        <v/>
      </c>
    </row>
    <row r="33" ht="127.5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required 20% by 2020; required 40% renewable energy by 2025; required 50% renewable energy by 2030; required 80% renewable energy by 2040; required 100% zero-carbon energy by 2045
Coops: required 40% renewable energy by 2025; required 50% renewable energy by 2030; target of 100% zero-carbon with at least 80% renewable energy by 2050 (target not included; schedule only reflects required shares)
note that this schedule reflects legislation passed in 2019 and pre-2019 years preserved based on previously legislated trajectories.</t>
        </is>
      </c>
      <c r="D33" s="25" t="inlineStr">
        <is>
          <t>2045/2050 goals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idden="1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1">
        <f>$H34+($W34-$H34)*(I$2-$H$2)/($W$2-$H$2)</f>
        <v/>
      </c>
      <c r="J34" s="71">
        <f>$H34+($W34-$H34)*(J$2-$H$2)/($W$2-$H$2)</f>
        <v/>
      </c>
      <c r="K34" s="71">
        <f>$H34+($W34-$H34)*(K$2-$H$2)/($W$2-$H$2)</f>
        <v/>
      </c>
      <c r="L34" s="71">
        <f>$H34+($W34-$H34)*(L$2-$H$2)/($W$2-$H$2)</f>
        <v/>
      </c>
      <c r="M34" s="71">
        <f>$H34+($W34-$H34)*(M$2-$H$2)/($W$2-$H$2)</f>
        <v/>
      </c>
      <c r="N34" s="71">
        <f>$H34+($W34-$H34)*(N$2-$H$2)/($W$2-$H$2)</f>
        <v/>
      </c>
      <c r="O34" s="71">
        <f>$H34+($W34-$H34)*(O$2-$H$2)/($W$2-$H$2)</f>
        <v/>
      </c>
      <c r="P34" s="71">
        <f>$H34+($W34-$H34)*(P$2-$H$2)/($W$2-$H$2)</f>
        <v/>
      </c>
      <c r="Q34" s="71">
        <f>$H34+($W34-$H34)*(Q$2-$H$2)/($W$2-$H$2)</f>
        <v/>
      </c>
      <c r="R34" s="71">
        <f>$H34+($W34-$H34)*(R$2-$H$2)/($W$2-$H$2)</f>
        <v/>
      </c>
      <c r="S34" s="71">
        <f>$H34+($W34-$H34)*(S$2-$H$2)/($W$2-$H$2)</f>
        <v/>
      </c>
      <c r="T34" s="71">
        <f>$H34+($W34-$H34)*(T$2-$H$2)/($W$2-$H$2)</f>
        <v/>
      </c>
      <c r="U34" s="71">
        <f>$H34+($W34-$H34)*(U$2-$H$2)/($W$2-$H$2)</f>
        <v/>
      </c>
      <c r="V34" s="71">
        <f>$H34+($W34-$H34)*(V$2-$H$2)/($W$2-$H$2)</f>
        <v/>
      </c>
      <c r="W34" s="33" t="n">
        <v>0.7</v>
      </c>
      <c r="X34" s="71">
        <f>$W34+($AG34-$W34)*(X$2-$W$2)/($AG$2-$W$2)</f>
        <v/>
      </c>
      <c r="Y34" s="71">
        <f>$W34+($AG34-$W34)*(Y$2-$W$2)/($AG$2-$W$2)</f>
        <v/>
      </c>
      <c r="Z34" s="71">
        <f>$W34+($AG34-$W34)*(Z$2-$W$2)/($AG$2-$W$2)</f>
        <v/>
      </c>
      <c r="AA34" s="71">
        <f>$W34+($AG34-$W34)*(AA$2-$W$2)/($AG$2-$W$2)</f>
        <v/>
      </c>
      <c r="AB34" s="71">
        <f>$W34+($AG34-$W34)*(AB$2-$W$2)/($AG$2-$W$2)</f>
        <v/>
      </c>
      <c r="AC34" s="71">
        <f>$W34+($AG34-$W34)*(AC$2-$W$2)/($AG$2-$W$2)</f>
        <v/>
      </c>
      <c r="AD34" s="71">
        <f>$W34+($AG34-$W34)*(AD$2-$W$2)/($AG$2-$W$2)</f>
        <v/>
      </c>
      <c r="AE34" s="71">
        <f>$W34+($AG34-$W34)*(AE$2-$W$2)/($AG$2-$W$2)</f>
        <v/>
      </c>
      <c r="AF34" s="71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idden="1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2">
        <f>0.05*'Extra State Data'!$B$13/SUM('Extra State Data'!$B$13:$B$15)</f>
        <v/>
      </c>
      <c r="H35" s="72">
        <f>0.06*'Extra State Data'!$B$13/SUM('Extra State Data'!$B$13:$B$15)</f>
        <v/>
      </c>
      <c r="I35" s="71">
        <f>0.0733*'Extra State Data'!$B$13/SUM('Extra State Data'!$B$13:$B$15)</f>
        <v/>
      </c>
      <c r="J35" s="71">
        <f>0.0866*'Extra State Data'!$B$13/SUM('Extra State Data'!$B$13:$B$15)</f>
        <v/>
      </c>
      <c r="K35" s="72">
        <f>(0.1*'Extra State Data'!$B$13+0.1*SUM('Extra State Data'!$B$14:$B$15))/SUM('Extra State Data'!$B$13:$B$15)</f>
        <v/>
      </c>
      <c r="L35" s="71">
        <f>$K35+($N35-$K35)*(L$2-$K$2)/($N$2-$K$2)</f>
        <v/>
      </c>
      <c r="M35" s="71">
        <f>$K35+($N35-$K35)*(M$2-$K$2)/($N$2-$K$2)</f>
        <v/>
      </c>
      <c r="N35" s="72">
        <f>(0.125*'Extra State Data'!$B$13+0.1*SUM('Extra State Data'!$B$14:$B$15))/SUM('Extra State Data'!$B$13:$B$15)</f>
        <v/>
      </c>
      <c r="O35" s="71">
        <f>$N35</f>
        <v/>
      </c>
      <c r="P35" s="71">
        <f>$N35</f>
        <v/>
      </c>
      <c r="Q35" s="71">
        <f>$N35</f>
        <v/>
      </c>
      <c r="R35" s="71">
        <f>$N35</f>
        <v/>
      </c>
      <c r="S35" s="71">
        <f>$N35</f>
        <v/>
      </c>
      <c r="T35" s="71">
        <f>$N35</f>
        <v/>
      </c>
      <c r="U35" s="71">
        <f>$N35</f>
        <v/>
      </c>
      <c r="V35" s="71">
        <f>$N35</f>
        <v/>
      </c>
      <c r="W35" s="71">
        <f>$N35</f>
        <v/>
      </c>
      <c r="X35" s="71">
        <f>$N35</f>
        <v/>
      </c>
      <c r="Y35" s="71">
        <f>$N35</f>
        <v/>
      </c>
      <c r="Z35" s="71">
        <f>$N35</f>
        <v/>
      </c>
      <c r="AA35" s="71">
        <f>$N35</f>
        <v/>
      </c>
      <c r="AB35" s="71">
        <f>$N35</f>
        <v/>
      </c>
      <c r="AC35" s="71">
        <f>$N35</f>
        <v/>
      </c>
      <c r="AD35" s="71">
        <f>$N35</f>
        <v/>
      </c>
      <c r="AE35" s="71">
        <f>$N35</f>
        <v/>
      </c>
      <c r="AF35" s="71">
        <f>$N35</f>
        <v/>
      </c>
      <c r="AG35" s="71">
        <f>$N35</f>
        <v/>
      </c>
      <c r="AH35" s="71">
        <f>$N35</f>
        <v/>
      </c>
      <c r="AI35" s="71">
        <f>$N35</f>
        <v/>
      </c>
      <c r="AJ35" s="71">
        <f>$N35</f>
        <v/>
      </c>
      <c r="AK35" s="71">
        <f>$N35</f>
        <v/>
      </c>
      <c r="AL35" s="71">
        <f>$N35</f>
        <v/>
      </c>
      <c r="AM35" s="71">
        <f>$N35</f>
        <v/>
      </c>
      <c r="AN35" s="71">
        <f>$N35</f>
        <v/>
      </c>
      <c r="AO35" s="71">
        <f>$N35</f>
        <v/>
      </c>
      <c r="AP35" s="71">
        <f>$N35</f>
        <v/>
      </c>
      <c r="AQ35" s="71">
        <f>$N35</f>
        <v/>
      </c>
    </row>
    <row r="36" hidden="1" s="63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idden="1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2">
        <f>0.025*'Extra State Data'!$B$52/'Extra State Data'!$B$53</f>
        <v/>
      </c>
      <c r="H37" s="72">
        <f>0.025*'Extra State Data'!$B$52/'Extra State Data'!$B$53</f>
        <v/>
      </c>
      <c r="I37" s="72">
        <f>0.025*'Extra State Data'!$B$52/'Extra State Data'!$B$53</f>
        <v/>
      </c>
      <c r="J37" s="72">
        <f>0.035*'Extra State Data'!$B$52/'Extra State Data'!$B$53</f>
        <v/>
      </c>
      <c r="K37" s="72">
        <f>0.045*'Extra State Data'!$B$52/'Extra State Data'!$B$53</f>
        <v/>
      </c>
      <c r="L37" s="72">
        <f>0.055*'Extra State Data'!$B$52/'Extra State Data'!$B$53</f>
        <v/>
      </c>
      <c r="M37" s="72">
        <f>0.055*'Extra State Data'!$B$52/'Extra State Data'!$B$53</f>
        <v/>
      </c>
      <c r="N37" s="72">
        <f>0.06*'Extra State Data'!$B$52/'Extra State Data'!$B$53</f>
        <v/>
      </c>
      <c r="O37" s="72">
        <f>0.065*'Extra State Data'!$B$52/'Extra State Data'!$B$53</f>
        <v/>
      </c>
      <c r="P37" s="72">
        <f>0.07*'Extra State Data'!$B$52/'Extra State Data'!$B$53</f>
        <v/>
      </c>
      <c r="Q37" s="72">
        <f>0.075*'Extra State Data'!$B$52/'Extra State Data'!$B$53</f>
        <v/>
      </c>
      <c r="R37" s="72">
        <f>0.08*'Extra State Data'!$B$52/'Extra State Data'!$B$53</f>
        <v/>
      </c>
      <c r="S37" s="72">
        <f>0.085*'Extra State Data'!$B$52/'Extra State Data'!$B$53</f>
        <v/>
      </c>
      <c r="T37" s="71" t="n">
        <v>0</v>
      </c>
      <c r="U37" s="71" t="n">
        <v>0</v>
      </c>
      <c r="V37" s="71" t="n">
        <v>0</v>
      </c>
      <c r="W37" s="71" t="n">
        <v>0</v>
      </c>
      <c r="X37" s="71" t="n">
        <v>0</v>
      </c>
      <c r="Y37" s="71" t="n">
        <v>0</v>
      </c>
      <c r="Z37" s="71" t="n">
        <v>0</v>
      </c>
      <c r="AA37" s="71" t="n">
        <v>0</v>
      </c>
      <c r="AB37" s="71" t="n">
        <v>0</v>
      </c>
      <c r="AC37" s="71" t="n">
        <v>0</v>
      </c>
      <c r="AD37" s="71" t="n">
        <v>0</v>
      </c>
      <c r="AE37" s="71" t="n">
        <v>0</v>
      </c>
      <c r="AF37" s="71" t="n">
        <v>0</v>
      </c>
      <c r="AG37" s="71" t="n">
        <v>0</v>
      </c>
      <c r="AH37" s="71" t="n">
        <v>0</v>
      </c>
      <c r="AI37" s="71" t="n">
        <v>0</v>
      </c>
      <c r="AJ37" s="71" t="n">
        <v>0</v>
      </c>
      <c r="AK37" s="71" t="n">
        <v>0</v>
      </c>
      <c r="AL37" s="71" t="n">
        <v>0</v>
      </c>
      <c r="AM37" s="71" t="n">
        <v>0</v>
      </c>
      <c r="AN37" s="71" t="n">
        <v>0</v>
      </c>
      <c r="AO37" s="71" t="n">
        <v>0</v>
      </c>
      <c r="AP37" s="71" t="n">
        <v>0</v>
      </c>
      <c r="AQ37" s="71" t="n">
        <v>0</v>
      </c>
    </row>
    <row r="38" hidden="1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idden="1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2">
        <f>0.15*'Extra State Data'!$B$28/'Extra State Data'!$B$25</f>
        <v/>
      </c>
      <c r="I39" s="71">
        <f>$H39+($M39-$H39)*(I$2-$H$2)/($M$2-$H$2)</f>
        <v/>
      </c>
      <c r="J39" s="71">
        <f>$H39+($M39-$H39)*(J$2-$H$2)/($M$2-$H$2)</f>
        <v/>
      </c>
      <c r="K39" s="71">
        <f>$H39+($M39-$H39)*(K$2-$H$2)/($M$2-$H$2)</f>
        <v/>
      </c>
      <c r="L39" s="71">
        <f>$H39+($M39-$H39)*(L$2-$H$2)/($M$2-$H$2)</f>
        <v/>
      </c>
      <c r="M39" s="72">
        <f>0.2*'Extra State Data'!$B$28/'Extra State Data'!$B$25</f>
        <v/>
      </c>
      <c r="N39" s="71">
        <f>$M39+($R39-$M39)*(N$2-$M$2)/($R$2-$M$2)</f>
        <v/>
      </c>
      <c r="O39" s="71">
        <f>$M39+($R39-$M39)*(O$2-$M$2)/($R$2-$M$2)</f>
        <v/>
      </c>
      <c r="P39" s="71">
        <f>$M39+($R39-$M39)*(P$2-$M$2)/($R$2-$M$2)</f>
        <v/>
      </c>
      <c r="Q39" s="71">
        <f>$M39+($R39-$M39)*(Q$2-$M$2)/($R$2-$M$2)</f>
        <v/>
      </c>
      <c r="R39" s="73">
        <f>(0.25*'Extra State Data'!B28+0.25*'Extra State Data'!B29+0.1*'Extra State Data'!B30+0.05*'Extra State Data'!B31)/'Extra State Data'!$B$25</f>
        <v/>
      </c>
      <c r="S39" s="71">
        <f>$R39+($W39-$R39)*(S$2-$R$2)/($W$2-$R$2)</f>
        <v/>
      </c>
      <c r="T39" s="71">
        <f>$R39+($W39-$R39)*(T$2-$R$2)/($W$2-$R$2)</f>
        <v/>
      </c>
      <c r="U39" s="71">
        <f>$R39+($W39-$R39)*(U$2-$R$2)/($W$2-$R$2)</f>
        <v/>
      </c>
      <c r="V39" s="71">
        <f>$R39+($W39-$R39)*(V$2-$R$2)/($W$2-$R$2)</f>
        <v/>
      </c>
      <c r="W39" s="72">
        <f>(0.35*'Extra State Data'!B28+0.25*'Extra State Data'!B29+0.1*'Extra State Data'!B30+0.05*'Extra State Data'!B31)/'Extra State Data'!$B$25</f>
        <v/>
      </c>
      <c r="X39" s="71">
        <f>$W39+($AB39-$W39)*(X$2-$W$2)/($AB$2-$W$2)</f>
        <v/>
      </c>
      <c r="Y39" s="71">
        <f>$W39+($AB39-$W39)*(Y$2-$W$2)/($AB$2-$W$2)</f>
        <v/>
      </c>
      <c r="Z39" s="71">
        <f>$W39+($AB39-$W39)*(Z$2-$W$2)/($AB$2-$W$2)</f>
        <v/>
      </c>
      <c r="AA39" s="71">
        <f>$W39+($AB39-$W39)*(AA$2-$W$2)/($AB$2-$W$2)</f>
        <v/>
      </c>
      <c r="AB39" s="73">
        <f>(0.45*'Extra State Data'!B28+0.25*'Extra State Data'!B29+0.1*'Extra State Data'!B30+0.05*'Extra State Data'!B31)/'Extra State Data'!$B$25</f>
        <v/>
      </c>
      <c r="AC39" s="71">
        <f>$AB39+($AG39-$AB39)*(AC$2-$AB$2)/($AG$2-$AB$2)</f>
        <v/>
      </c>
      <c r="AD39" s="71">
        <f>$AB39+($AG39-$AB39)*(AD$2-$AB$2)/($AG$2-$AB$2)</f>
        <v/>
      </c>
      <c r="AE39" s="71">
        <f>$AB39+($AG39-$AB39)*(AE$2-$AB$2)/($AG$2-$AB$2)</f>
        <v/>
      </c>
      <c r="AF39" s="71">
        <f>$AB39+($AG39-$AB39)*(AF$2-$AB$2)/($AG$2-$AB$2)</f>
        <v/>
      </c>
      <c r="AG39" s="73">
        <f>(0.5*'Extra State Data'!B28+0.25*'Extra State Data'!B29+0.1*'Extra State Data'!B30+0.05*'Extra State Data'!B31)/'Extra State Data'!$B$25</f>
        <v/>
      </c>
      <c r="AH39" s="71">
        <f>$AG39</f>
        <v/>
      </c>
      <c r="AI39" s="71">
        <f>$AG39</f>
        <v/>
      </c>
      <c r="AJ39" s="71">
        <f>$AG39</f>
        <v/>
      </c>
      <c r="AK39" s="71">
        <f>$AG39</f>
        <v/>
      </c>
      <c r="AL39" s="71">
        <f>$AG39</f>
        <v/>
      </c>
      <c r="AM39" s="71">
        <f>$AG39</f>
        <v/>
      </c>
      <c r="AN39" s="71">
        <f>$AG39</f>
        <v/>
      </c>
      <c r="AO39" s="71">
        <f>$AG39</f>
        <v/>
      </c>
      <c r="AP39" s="71">
        <f>$AG39</f>
        <v/>
      </c>
      <c r="AQ39" s="71">
        <f>$AG39</f>
        <v/>
      </c>
    </row>
    <row r="40" hidden="1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70">
        <f>0.05+0.062</f>
        <v/>
      </c>
      <c r="I40" s="70">
        <f>0.055+0.082</f>
        <v/>
      </c>
      <c r="J40" s="70">
        <f>0.06+0.082</f>
        <v/>
      </c>
      <c r="K40" s="70">
        <f>0.065+0.082</f>
        <v/>
      </c>
      <c r="L40" s="70">
        <f>0.07+0.082</f>
        <v/>
      </c>
      <c r="M40" s="70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idden="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70" t="n">
        <v>0.08500000000000001</v>
      </c>
      <c r="H41" s="70">
        <f>G41</f>
        <v/>
      </c>
      <c r="I41" s="70">
        <f>H41+0.015</f>
        <v/>
      </c>
      <c r="J41" s="70">
        <f>I41+0.015</f>
        <v/>
      </c>
      <c r="K41" s="70">
        <f>J41+0.015</f>
        <v/>
      </c>
      <c r="L41" s="70">
        <f>K41+0.015</f>
        <v/>
      </c>
      <c r="M41" s="70">
        <f>L41+0.015</f>
        <v/>
      </c>
      <c r="N41" s="70">
        <f>M41+0.015</f>
        <v/>
      </c>
      <c r="O41" s="70">
        <f>N41+0.015</f>
        <v/>
      </c>
      <c r="P41" s="70">
        <f>O41+0.015</f>
        <v/>
      </c>
      <c r="Q41" s="70">
        <f>P41+0.015</f>
        <v/>
      </c>
      <c r="R41" s="70">
        <f>Q41+0.015</f>
        <v/>
      </c>
      <c r="S41" s="70">
        <f>R41+0.015</f>
        <v/>
      </c>
      <c r="T41" s="70">
        <f>S41+0.015</f>
        <v/>
      </c>
      <c r="U41" s="70">
        <f>T41+0.015</f>
        <v/>
      </c>
      <c r="V41" s="70">
        <f>U41+0.015</f>
        <v/>
      </c>
      <c r="W41" s="70">
        <f>V41+0.015</f>
        <v/>
      </c>
      <c r="X41" s="70">
        <f>W41+0.015</f>
        <v/>
      </c>
      <c r="Y41" s="70">
        <f>X41+0.015</f>
        <v/>
      </c>
      <c r="Z41" s="70">
        <f>Y41+0.015</f>
        <v/>
      </c>
      <c r="AA41" s="70">
        <f>Z41+0.015</f>
        <v/>
      </c>
      <c r="AB41" s="70">
        <f>AA41+0.015</f>
        <v/>
      </c>
      <c r="AC41" s="71">
        <f>$AB41</f>
        <v/>
      </c>
      <c r="AD41" s="71">
        <f>$AB41</f>
        <v/>
      </c>
      <c r="AE41" s="71">
        <f>$AB41</f>
        <v/>
      </c>
      <c r="AF41" s="71">
        <f>$AB41</f>
        <v/>
      </c>
      <c r="AG41" s="71">
        <f>$AB41</f>
        <v/>
      </c>
      <c r="AH41" s="71">
        <f>$AB41</f>
        <v/>
      </c>
      <c r="AI41" s="71">
        <f>$AB41</f>
        <v/>
      </c>
      <c r="AJ41" s="71">
        <f>$AB41</f>
        <v/>
      </c>
      <c r="AK41" s="71">
        <f>$AB41</f>
        <v/>
      </c>
      <c r="AL41" s="71">
        <f>$AB41</f>
        <v/>
      </c>
      <c r="AM41" s="71">
        <f>$AB41</f>
        <v/>
      </c>
      <c r="AN41" s="71">
        <f>$AB41</f>
        <v/>
      </c>
      <c r="AO41" s="71">
        <f>$AB41</f>
        <v/>
      </c>
      <c r="AP41" s="71">
        <f>$AB41</f>
        <v/>
      </c>
      <c r="AQ41" s="71">
        <f>$AB41</f>
        <v/>
      </c>
    </row>
    <row r="42" hidden="1" s="63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idden="1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 hidden="1" s="63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idden="1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3">
        <f>5580/'Extra State Data'!B34</f>
        <v/>
      </c>
      <c r="I45" s="71">
        <f>$H45+($R45-$H45)*(I$2-$H$2)/($R$2-$H$2)</f>
        <v/>
      </c>
      <c r="J45" s="71">
        <f>$H45+($R45-$H45)*(J$2-$H$2)/($R$2-$H$2)</f>
        <v/>
      </c>
      <c r="K45" s="71">
        <f>$H45+($R45-$H45)*(K$2-$H$2)/($R$2-$H$2)</f>
        <v/>
      </c>
      <c r="L45" s="71">
        <f>$H45+($R45-$H45)*(L$2-$H$2)/($R$2-$H$2)</f>
        <v/>
      </c>
      <c r="M45" s="71">
        <f>$H45+($R45-$H45)*(M$2-$H$2)/($R$2-$H$2)</f>
        <v/>
      </c>
      <c r="N45" s="71">
        <f>$H45+($R45-$H45)*(N$2-$H$2)/($R$2-$H$2)</f>
        <v/>
      </c>
      <c r="O45" s="71">
        <f>$H45+($R45-$H45)*(O$2-$H$2)/($R$2-$H$2)</f>
        <v/>
      </c>
      <c r="P45" s="71">
        <f>$H45+($R45-$H45)*(P$2-$H$2)/($R$2-$H$2)</f>
        <v/>
      </c>
      <c r="Q45" s="71">
        <f>$H45+($R45-$H45)*(Q$2-$H$2)/($R$2-$H$2)</f>
        <v/>
      </c>
      <c r="R45" s="73">
        <f>10000/'Extra State Data'!B34</f>
        <v/>
      </c>
      <c r="S45" s="71">
        <f>$R45</f>
        <v/>
      </c>
      <c r="T45" s="71">
        <f>$R45</f>
        <v/>
      </c>
      <c r="U45" s="71">
        <f>$R45</f>
        <v/>
      </c>
      <c r="V45" s="71">
        <f>$R45</f>
        <v/>
      </c>
      <c r="W45" s="71">
        <f>$R45</f>
        <v/>
      </c>
      <c r="X45" s="71">
        <f>$R45</f>
        <v/>
      </c>
      <c r="Y45" s="71">
        <f>$R45</f>
        <v/>
      </c>
      <c r="Z45" s="71">
        <f>$R45</f>
        <v/>
      </c>
      <c r="AA45" s="71">
        <f>$R45</f>
        <v/>
      </c>
      <c r="AB45" s="71">
        <f>$R45</f>
        <v/>
      </c>
      <c r="AC45" s="71">
        <f>$R45</f>
        <v/>
      </c>
      <c r="AD45" s="71">
        <f>$R45</f>
        <v/>
      </c>
      <c r="AE45" s="71">
        <f>$R45</f>
        <v/>
      </c>
      <c r="AF45" s="71">
        <f>$R45</f>
        <v/>
      </c>
      <c r="AG45" s="71">
        <f>$R45</f>
        <v/>
      </c>
      <c r="AH45" s="71">
        <f>$R45</f>
        <v/>
      </c>
      <c r="AI45" s="71">
        <f>$R45</f>
        <v/>
      </c>
      <c r="AJ45" s="71">
        <f>$R45</f>
        <v/>
      </c>
      <c r="AK45" s="71">
        <f>$R45</f>
        <v/>
      </c>
      <c r="AL45" s="71">
        <f>$R45</f>
        <v/>
      </c>
      <c r="AM45" s="71">
        <f>$R45</f>
        <v/>
      </c>
      <c r="AN45" s="71">
        <f>$R45</f>
        <v/>
      </c>
      <c r="AO45" s="71">
        <f>$R45</f>
        <v/>
      </c>
      <c r="AP45" s="71">
        <f>$R45</f>
        <v/>
      </c>
      <c r="AQ45" s="71">
        <f>$R45</f>
        <v/>
      </c>
    </row>
    <row r="46" hidden="1" s="63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idden="1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1">
        <f>$J47+($Y47-$J47)*(K$2-$J$2)/($Y$2-$J$2)</f>
        <v/>
      </c>
      <c r="L47" s="71">
        <f>$J47+($Y47-$J47)*(L$2-$J$2)/($Y$2-$J$2)</f>
        <v/>
      </c>
      <c r="M47" s="71">
        <f>$J47+($Y47-$J47)*(M$2-$J$2)/($Y$2-$J$2)</f>
        <v/>
      </c>
      <c r="N47" s="71">
        <f>$J47+($Y47-$J47)*(N$2-$J$2)/($Y$2-$J$2)</f>
        <v/>
      </c>
      <c r="O47" s="71">
        <f>$J47+($Y47-$J47)*(O$2-$J$2)/($Y$2-$J$2)</f>
        <v/>
      </c>
      <c r="P47" s="71">
        <f>$J47+($Y47-$J47)*(P$2-$J$2)/($Y$2-$J$2)</f>
        <v/>
      </c>
      <c r="Q47" s="71">
        <f>$J47+($Y47-$J47)*(Q$2-$J$2)/($Y$2-$J$2)</f>
        <v/>
      </c>
      <c r="R47" s="71">
        <f>$J47+($Y47-$J47)*(R$2-$J$2)/($Y$2-$J$2)</f>
        <v/>
      </c>
      <c r="S47" s="71">
        <f>$J47+($Y47-$J47)*(S$2-$J$2)/($Y$2-$J$2)</f>
        <v/>
      </c>
      <c r="T47" s="71">
        <f>$J47+($Y47-$J47)*(T$2-$J$2)/($Y$2-$J$2)</f>
        <v/>
      </c>
      <c r="U47" s="71">
        <f>$J47+($Y47-$J47)*(U$2-$J$2)/($Y$2-$J$2)</f>
        <v/>
      </c>
      <c r="V47" s="71">
        <f>$J47+($Y47-$J47)*(V$2-$J$2)/($Y$2-$J$2)</f>
        <v/>
      </c>
      <c r="W47" s="71">
        <f>$J47+($Y47-$J47)*(W$2-$J$2)/($Y$2-$J$2)</f>
        <v/>
      </c>
      <c r="X47" s="71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idden="1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idden="1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70">
        <f>(0.03*2)*'Extra State Data'!$B$57/'Extra State Data'!$B$58</f>
        <v/>
      </c>
      <c r="H49" s="71">
        <f>$G49+($I49-$G49)*(H$2-$G$2)/($I$2-$G$2)</f>
        <v/>
      </c>
      <c r="I49" s="70">
        <f>0.09*'Extra State Data'!$B$57/'Extra State Data'!$B$58</f>
        <v/>
      </c>
      <c r="J49" s="71">
        <f>$I49+($M49-$I49)*(J$2-$I$2)/($M$2-$I$2)</f>
        <v/>
      </c>
      <c r="K49" s="71">
        <f>$I49+($M49-$I49)*(K$2-$I$2)/($M$2-$I$2)</f>
        <v/>
      </c>
      <c r="L49" s="71">
        <f>$I49+($M49-$I49)*(L$2-$I$2)/($M$2-$I$2)</f>
        <v/>
      </c>
      <c r="M49" s="70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 hidden="1" s="63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idden="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 hidden="1" s="63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idden="1" ht="29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70" t="n">
        <v>0.095</v>
      </c>
      <c r="I53" s="70" t="n">
        <v>0.115</v>
      </c>
      <c r="J53" s="70" t="n">
        <v>0.135</v>
      </c>
      <c r="K53" s="70" t="n">
        <v>0.155</v>
      </c>
      <c r="L53" s="70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69">
        <f>0.15*('Extra State Data'!$B$8/'Extra State Data'!$B$10)</f>
        <v/>
      </c>
      <c r="I56" s="43">
        <f>0.16*('Extra State Data'!$B$8/'Extra State Data'!$B$10)</f>
        <v/>
      </c>
      <c r="J56" s="43">
        <f>0.17*('Extra State Data'!$B$8/'Extra State Data'!$B$10)</f>
        <v/>
      </c>
      <c r="K56" s="43">
        <f>0.18*('Extra State Data'!$B$8/'Extra State Data'!$B$10)</f>
        <v/>
      </c>
      <c r="L56" s="43">
        <f>0.19*('Extra State Data'!$B$8/'Extra State Data'!$B$10)</f>
        <v/>
      </c>
      <c r="M56" s="69">
        <f>0.2*('Extra State Data'!$B$8/'Extra State Data'!$B$10)</f>
        <v/>
      </c>
      <c r="N56" s="43">
        <f>M56+(($R$56-$M$56)/5)</f>
        <v/>
      </c>
      <c r="O56" s="43">
        <f>N56+(($R$56-$M$56)/5)</f>
        <v/>
      </c>
      <c r="P56" s="43">
        <f>O56+(($R$56-$M$56)/5)</f>
        <v/>
      </c>
      <c r="Q56" s="43">
        <f>P56+(($R$56-$M$56)/5)</f>
        <v/>
      </c>
      <c r="R56" s="69">
        <f>0.4*('Extra State Data'!$B$8/'Extra State Data'!$B$10)</f>
        <v/>
      </c>
      <c r="S56" s="43">
        <f>(($W$56-$R$56)/5)+R56</f>
        <v/>
      </c>
      <c r="T56" s="43">
        <f>(($W$56-$R$56)/5)+S56</f>
        <v/>
      </c>
      <c r="U56" s="43">
        <f>(($W$56-$R$56)/5)+T56</f>
        <v/>
      </c>
      <c r="V56" s="43">
        <f>(($W$56-$R$56)/5)+U56</f>
        <v/>
      </c>
      <c r="W56" s="69">
        <f>0.5*('Extra State Data'!$B$8/'Extra State Data'!$B$10)</f>
        <v/>
      </c>
      <c r="X56" s="43">
        <f>W56+(($AG$56-$W$56)/10)</f>
        <v/>
      </c>
      <c r="Y56" s="43">
        <f>X56+(($AG$56-$W$56)/10)</f>
        <v/>
      </c>
      <c r="Z56" s="43">
        <f>Y56+(($AG$56-$W$56)/10)</f>
        <v/>
      </c>
      <c r="AA56" s="43">
        <f>Z56+(($AG$56-$W$56)/10)</f>
        <v/>
      </c>
      <c r="AB56" s="43">
        <f>AA56+(($AG$56-$W$56)/10)</f>
        <v/>
      </c>
      <c r="AC56" s="43">
        <f>AB56+(($AG$56-$W$56)/10)</f>
        <v/>
      </c>
      <c r="AD56" s="43">
        <f>AC56+(($AG$56-$W$56)/10)</f>
        <v/>
      </c>
      <c r="AE56" s="43">
        <f>AD56+(($AG$56-$W$56)/10)</f>
        <v/>
      </c>
      <c r="AF56" s="43">
        <f>AE56+(($AG$56-$W$56)/10)</f>
        <v/>
      </c>
      <c r="AG56" s="69">
        <f>0.8*('Extra State Data'!$B$8/'Extra State Data'!$B$10)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69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($W$57-$L$57)/COUNT($M$2:$W$2)+L57</f>
        <v/>
      </c>
      <c r="N57" s="43">
        <f>(($R$57-$M$57)/5)+M57</f>
        <v/>
      </c>
      <c r="O57" s="43">
        <f>(($R$57-$M$57)/5)+N57</f>
        <v/>
      </c>
      <c r="P57" s="43">
        <f>(($R$57-$M$57)/5)+O57</f>
        <v/>
      </c>
      <c r="Q57" s="43">
        <f>(($R$57-$M$57)/5)+P57</f>
        <v/>
      </c>
      <c r="R57" s="69">
        <f>0.4*('Extra State Data'!$B$9/'Extra State Data'!$B$10)</f>
        <v/>
      </c>
      <c r="S57" s="43">
        <f>(($W$57-$R$57)/5)+R57</f>
        <v/>
      </c>
      <c r="T57" s="43">
        <f>(($W$57-$R$57)/5)+S57</f>
        <v/>
      </c>
      <c r="U57" s="43">
        <f>(($W$57-$R$57)/5)+T57</f>
        <v/>
      </c>
      <c r="V57" s="43">
        <f>(($W$57-$R$57)/5)+U57</f>
        <v/>
      </c>
      <c r="W57" s="69">
        <f>0.5*('Extra State Data'!$B$9/'Extra State Data'!$B$10)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workbookViewId="0">
      <selection activeCell="F23" sqref="F23"/>
    </sheetView>
  </sheetViews>
  <sheetFormatPr baseColWidth="8" defaultColWidth="10.90625" defaultRowHeight="14.5"/>
  <sheetData>
    <row r="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8" defaultColWidth="0" defaultRowHeight="14.5" zeroHeight="1"/>
  <cols>
    <col width="42.81640625" bestFit="1" customWidth="1" style="2" min="1" max="1"/>
    <col width="10.36328125" bestFit="1" customWidth="1" style="2" min="2" max="2"/>
    <col width="20.6328125" bestFit="1" customWidth="1" style="2" min="3" max="3"/>
    <col width="17.1796875" bestFit="1" customWidth="1" style="2" min="4" max="4"/>
    <col width="20.6328125" bestFit="1" customWidth="1" style="2" min="5" max="7"/>
    <col width="9.1796875" customWidth="1" style="2" min="8" max="9"/>
    <col hidden="1" width="9.1796875" customWidth="1" style="2" min="10" max="256"/>
    <col hidden="1" width="42.81640625" customWidth="1" style="2" min="257" max="257"/>
    <col hidden="1" width="10.36328125" customWidth="1" style="2" min="258" max="258"/>
    <col hidden="1" width="20.6328125" customWidth="1" style="2" min="259" max="259"/>
    <col hidden="1" width="17.1796875" customWidth="1" style="2" min="260" max="260"/>
    <col hidden="1" width="20.6328125" customWidth="1" style="2" min="261" max="263"/>
    <col hidden="1" width="9.1796875" customWidth="1" style="2" min="264" max="512"/>
    <col hidden="1" width="42.81640625" customWidth="1" style="2" min="513" max="513"/>
    <col hidden="1" width="10.36328125" customWidth="1" style="2" min="514" max="514"/>
    <col hidden="1" width="20.6328125" customWidth="1" style="2" min="515" max="515"/>
    <col hidden="1" width="17.1796875" customWidth="1" style="2" min="516" max="516"/>
    <col hidden="1" width="20.6328125" customWidth="1" style="2" min="517" max="519"/>
    <col hidden="1" width="9.1796875" customWidth="1" style="2" min="520" max="768"/>
    <col hidden="1" width="42.81640625" customWidth="1" style="2" min="769" max="769"/>
    <col hidden="1" width="10.36328125" customWidth="1" style="2" min="770" max="770"/>
    <col hidden="1" width="20.6328125" customWidth="1" style="2" min="771" max="771"/>
    <col hidden="1" width="17.1796875" customWidth="1" style="2" min="772" max="772"/>
    <col hidden="1" width="20.6328125" customWidth="1" style="2" min="773" max="775"/>
    <col hidden="1" width="9.1796875" customWidth="1" style="2" min="776" max="1024"/>
    <col hidden="1" width="42.81640625" customWidth="1" style="2" min="1025" max="1025"/>
    <col hidden="1" width="10.36328125" customWidth="1" style="2" min="1026" max="1026"/>
    <col hidden="1" width="20.6328125" customWidth="1" style="2" min="1027" max="1027"/>
    <col hidden="1" width="17.1796875" customWidth="1" style="2" min="1028" max="1028"/>
    <col hidden="1" width="20.6328125" customWidth="1" style="2" min="1029" max="1031"/>
    <col hidden="1" width="9.1796875" customWidth="1" style="2" min="1032" max="1280"/>
    <col hidden="1" width="42.81640625" customWidth="1" style="2" min="1281" max="1281"/>
    <col hidden="1" width="10.36328125" customWidth="1" style="2" min="1282" max="1282"/>
    <col hidden="1" width="20.6328125" customWidth="1" style="2" min="1283" max="1283"/>
    <col hidden="1" width="17.1796875" customWidth="1" style="2" min="1284" max="1284"/>
    <col hidden="1" width="20.6328125" customWidth="1" style="2" min="1285" max="1287"/>
    <col hidden="1" width="9.1796875" customWidth="1" style="2" min="1288" max="1536"/>
    <col hidden="1" width="42.81640625" customWidth="1" style="2" min="1537" max="1537"/>
    <col hidden="1" width="10.36328125" customWidth="1" style="2" min="1538" max="1538"/>
    <col hidden="1" width="20.6328125" customWidth="1" style="2" min="1539" max="1539"/>
    <col hidden="1" width="17.1796875" customWidth="1" style="2" min="1540" max="1540"/>
    <col hidden="1" width="20.6328125" customWidth="1" style="2" min="1541" max="1543"/>
    <col hidden="1" width="9.1796875" customWidth="1" style="2" min="1544" max="1792"/>
    <col hidden="1" width="42.81640625" customWidth="1" style="2" min="1793" max="1793"/>
    <col hidden="1" width="10.36328125" customWidth="1" style="2" min="1794" max="1794"/>
    <col hidden="1" width="20.6328125" customWidth="1" style="2" min="1795" max="1795"/>
    <col hidden="1" width="17.1796875" customWidth="1" style="2" min="1796" max="1796"/>
    <col hidden="1" width="20.6328125" customWidth="1" style="2" min="1797" max="1799"/>
    <col hidden="1" width="9.1796875" customWidth="1" style="2" min="1800" max="2048"/>
    <col hidden="1" width="42.81640625" customWidth="1" style="2" min="2049" max="2049"/>
    <col hidden="1" width="10.36328125" customWidth="1" style="2" min="2050" max="2050"/>
    <col hidden="1" width="20.6328125" customWidth="1" style="2" min="2051" max="2051"/>
    <col hidden="1" width="17.1796875" customWidth="1" style="2" min="2052" max="2052"/>
    <col hidden="1" width="20.6328125" customWidth="1" style="2" min="2053" max="2055"/>
    <col hidden="1" width="9.1796875" customWidth="1" style="2" min="2056" max="2304"/>
    <col hidden="1" width="42.81640625" customWidth="1" style="2" min="2305" max="2305"/>
    <col hidden="1" width="10.36328125" customWidth="1" style="2" min="2306" max="2306"/>
    <col hidden="1" width="20.6328125" customWidth="1" style="2" min="2307" max="2307"/>
    <col hidden="1" width="17.1796875" customWidth="1" style="2" min="2308" max="2308"/>
    <col hidden="1" width="20.6328125" customWidth="1" style="2" min="2309" max="2311"/>
    <col hidden="1" width="9.1796875" customWidth="1" style="2" min="2312" max="2560"/>
    <col hidden="1" width="42.81640625" customWidth="1" style="2" min="2561" max="2561"/>
    <col hidden="1" width="10.36328125" customWidth="1" style="2" min="2562" max="2562"/>
    <col hidden="1" width="20.6328125" customWidth="1" style="2" min="2563" max="2563"/>
    <col hidden="1" width="17.1796875" customWidth="1" style="2" min="2564" max="2564"/>
    <col hidden="1" width="20.6328125" customWidth="1" style="2" min="2565" max="2567"/>
    <col hidden="1" width="9.1796875" customWidth="1" style="2" min="2568" max="2816"/>
    <col hidden="1" width="42.81640625" customWidth="1" style="2" min="2817" max="2817"/>
    <col hidden="1" width="10.36328125" customWidth="1" style="2" min="2818" max="2818"/>
    <col hidden="1" width="20.6328125" customWidth="1" style="2" min="2819" max="2819"/>
    <col hidden="1" width="17.1796875" customWidth="1" style="2" min="2820" max="2820"/>
    <col hidden="1" width="20.6328125" customWidth="1" style="2" min="2821" max="2823"/>
    <col hidden="1" width="9.1796875" customWidth="1" style="2" min="2824" max="3072"/>
    <col hidden="1" width="42.81640625" customWidth="1" style="2" min="3073" max="3073"/>
    <col hidden="1" width="10.36328125" customWidth="1" style="2" min="3074" max="3074"/>
    <col hidden="1" width="20.6328125" customWidth="1" style="2" min="3075" max="3075"/>
    <col hidden="1" width="17.1796875" customWidth="1" style="2" min="3076" max="3076"/>
    <col hidden="1" width="20.6328125" customWidth="1" style="2" min="3077" max="3079"/>
    <col hidden="1" width="9.1796875" customWidth="1" style="2" min="3080" max="3328"/>
    <col hidden="1" width="42.81640625" customWidth="1" style="2" min="3329" max="3329"/>
    <col hidden="1" width="10.36328125" customWidth="1" style="2" min="3330" max="3330"/>
    <col hidden="1" width="20.6328125" customWidth="1" style="2" min="3331" max="3331"/>
    <col hidden="1" width="17.1796875" customWidth="1" style="2" min="3332" max="3332"/>
    <col hidden="1" width="20.6328125" customWidth="1" style="2" min="3333" max="3335"/>
    <col hidden="1" width="9.1796875" customWidth="1" style="2" min="3336" max="3584"/>
    <col hidden="1" width="42.81640625" customWidth="1" style="2" min="3585" max="3585"/>
    <col hidden="1" width="10.36328125" customWidth="1" style="2" min="3586" max="3586"/>
    <col hidden="1" width="20.6328125" customWidth="1" style="2" min="3587" max="3587"/>
    <col hidden="1" width="17.1796875" customWidth="1" style="2" min="3588" max="3588"/>
    <col hidden="1" width="20.6328125" customWidth="1" style="2" min="3589" max="3591"/>
    <col hidden="1" width="9.1796875" customWidth="1" style="2" min="3592" max="3840"/>
    <col hidden="1" width="42.81640625" customWidth="1" style="2" min="3841" max="3841"/>
    <col hidden="1" width="10.36328125" customWidth="1" style="2" min="3842" max="3842"/>
    <col hidden="1" width="20.6328125" customWidth="1" style="2" min="3843" max="3843"/>
    <col hidden="1" width="17.1796875" customWidth="1" style="2" min="3844" max="3844"/>
    <col hidden="1" width="20.6328125" customWidth="1" style="2" min="3845" max="3847"/>
    <col hidden="1" width="9.1796875" customWidth="1" style="2" min="3848" max="4096"/>
    <col hidden="1" width="42.81640625" customWidth="1" style="2" min="4097" max="4097"/>
    <col hidden="1" width="10.36328125" customWidth="1" style="2" min="4098" max="4098"/>
    <col hidden="1" width="20.6328125" customWidth="1" style="2" min="4099" max="4099"/>
    <col hidden="1" width="17.1796875" customWidth="1" style="2" min="4100" max="4100"/>
    <col hidden="1" width="20.6328125" customWidth="1" style="2" min="4101" max="4103"/>
    <col hidden="1" width="9.1796875" customWidth="1" style="2" min="4104" max="4352"/>
    <col hidden="1" width="42.81640625" customWidth="1" style="2" min="4353" max="4353"/>
    <col hidden="1" width="10.36328125" customWidth="1" style="2" min="4354" max="4354"/>
    <col hidden="1" width="20.6328125" customWidth="1" style="2" min="4355" max="4355"/>
    <col hidden="1" width="17.1796875" customWidth="1" style="2" min="4356" max="4356"/>
    <col hidden="1" width="20.6328125" customWidth="1" style="2" min="4357" max="4359"/>
    <col hidden="1" width="9.1796875" customWidth="1" style="2" min="4360" max="4608"/>
    <col hidden="1" width="42.81640625" customWidth="1" style="2" min="4609" max="4609"/>
    <col hidden="1" width="10.36328125" customWidth="1" style="2" min="4610" max="4610"/>
    <col hidden="1" width="20.6328125" customWidth="1" style="2" min="4611" max="4611"/>
    <col hidden="1" width="17.1796875" customWidth="1" style="2" min="4612" max="4612"/>
    <col hidden="1" width="20.6328125" customWidth="1" style="2" min="4613" max="4615"/>
    <col hidden="1" width="9.1796875" customWidth="1" style="2" min="4616" max="4864"/>
    <col hidden="1" width="42.81640625" customWidth="1" style="2" min="4865" max="4865"/>
    <col hidden="1" width="10.36328125" customWidth="1" style="2" min="4866" max="4866"/>
    <col hidden="1" width="20.6328125" customWidth="1" style="2" min="4867" max="4867"/>
    <col hidden="1" width="17.1796875" customWidth="1" style="2" min="4868" max="4868"/>
    <col hidden="1" width="20.6328125" customWidth="1" style="2" min="4869" max="4871"/>
    <col hidden="1" width="9.1796875" customWidth="1" style="2" min="4872" max="5120"/>
    <col hidden="1" width="42.81640625" customWidth="1" style="2" min="5121" max="5121"/>
    <col hidden="1" width="10.36328125" customWidth="1" style="2" min="5122" max="5122"/>
    <col hidden="1" width="20.6328125" customWidth="1" style="2" min="5123" max="5123"/>
    <col hidden="1" width="17.1796875" customWidth="1" style="2" min="5124" max="5124"/>
    <col hidden="1" width="20.6328125" customWidth="1" style="2" min="5125" max="5127"/>
    <col hidden="1" width="9.1796875" customWidth="1" style="2" min="5128" max="5376"/>
    <col hidden="1" width="42.81640625" customWidth="1" style="2" min="5377" max="5377"/>
    <col hidden="1" width="10.36328125" customWidth="1" style="2" min="5378" max="5378"/>
    <col hidden="1" width="20.6328125" customWidth="1" style="2" min="5379" max="5379"/>
    <col hidden="1" width="17.1796875" customWidth="1" style="2" min="5380" max="5380"/>
    <col hidden="1" width="20.6328125" customWidth="1" style="2" min="5381" max="5383"/>
    <col hidden="1" width="9.1796875" customWidth="1" style="2" min="5384" max="5632"/>
    <col hidden="1" width="42.81640625" customWidth="1" style="2" min="5633" max="5633"/>
    <col hidden="1" width="10.36328125" customWidth="1" style="2" min="5634" max="5634"/>
    <col hidden="1" width="20.6328125" customWidth="1" style="2" min="5635" max="5635"/>
    <col hidden="1" width="17.1796875" customWidth="1" style="2" min="5636" max="5636"/>
    <col hidden="1" width="20.6328125" customWidth="1" style="2" min="5637" max="5639"/>
    <col hidden="1" width="9.1796875" customWidth="1" style="2" min="5640" max="5888"/>
    <col hidden="1" width="42.81640625" customWidth="1" style="2" min="5889" max="5889"/>
    <col hidden="1" width="10.36328125" customWidth="1" style="2" min="5890" max="5890"/>
    <col hidden="1" width="20.6328125" customWidth="1" style="2" min="5891" max="5891"/>
    <col hidden="1" width="17.1796875" customWidth="1" style="2" min="5892" max="5892"/>
    <col hidden="1" width="20.6328125" customWidth="1" style="2" min="5893" max="5895"/>
    <col hidden="1" width="9.1796875" customWidth="1" style="2" min="5896" max="6144"/>
    <col hidden="1" width="42.81640625" customWidth="1" style="2" min="6145" max="6145"/>
    <col hidden="1" width="10.36328125" customWidth="1" style="2" min="6146" max="6146"/>
    <col hidden="1" width="20.6328125" customWidth="1" style="2" min="6147" max="6147"/>
    <col hidden="1" width="17.1796875" customWidth="1" style="2" min="6148" max="6148"/>
    <col hidden="1" width="20.6328125" customWidth="1" style="2" min="6149" max="6151"/>
    <col hidden="1" width="9.1796875" customWidth="1" style="2" min="6152" max="6400"/>
    <col hidden="1" width="42.81640625" customWidth="1" style="2" min="6401" max="6401"/>
    <col hidden="1" width="10.36328125" customWidth="1" style="2" min="6402" max="6402"/>
    <col hidden="1" width="20.6328125" customWidth="1" style="2" min="6403" max="6403"/>
    <col hidden="1" width="17.1796875" customWidth="1" style="2" min="6404" max="6404"/>
    <col hidden="1" width="20.6328125" customWidth="1" style="2" min="6405" max="6407"/>
    <col hidden="1" width="9.1796875" customWidth="1" style="2" min="6408" max="6656"/>
    <col hidden="1" width="42.81640625" customWidth="1" style="2" min="6657" max="6657"/>
    <col hidden="1" width="10.36328125" customWidth="1" style="2" min="6658" max="6658"/>
    <col hidden="1" width="20.6328125" customWidth="1" style="2" min="6659" max="6659"/>
    <col hidden="1" width="17.1796875" customWidth="1" style="2" min="6660" max="6660"/>
    <col hidden="1" width="20.6328125" customWidth="1" style="2" min="6661" max="6663"/>
    <col hidden="1" width="9.1796875" customWidth="1" style="2" min="6664" max="6912"/>
    <col hidden="1" width="42.81640625" customWidth="1" style="2" min="6913" max="6913"/>
    <col hidden="1" width="10.36328125" customWidth="1" style="2" min="6914" max="6914"/>
    <col hidden="1" width="20.6328125" customWidth="1" style="2" min="6915" max="6915"/>
    <col hidden="1" width="17.1796875" customWidth="1" style="2" min="6916" max="6916"/>
    <col hidden="1" width="20.6328125" customWidth="1" style="2" min="6917" max="6919"/>
    <col hidden="1" width="9.1796875" customWidth="1" style="2" min="6920" max="7168"/>
    <col hidden="1" width="42.81640625" customWidth="1" style="2" min="7169" max="7169"/>
    <col hidden="1" width="10.36328125" customWidth="1" style="2" min="7170" max="7170"/>
    <col hidden="1" width="20.6328125" customWidth="1" style="2" min="7171" max="7171"/>
    <col hidden="1" width="17.1796875" customWidth="1" style="2" min="7172" max="7172"/>
    <col hidden="1" width="20.6328125" customWidth="1" style="2" min="7173" max="7175"/>
    <col hidden="1" width="9.1796875" customWidth="1" style="2" min="7176" max="7424"/>
    <col hidden="1" width="42.81640625" customWidth="1" style="2" min="7425" max="7425"/>
    <col hidden="1" width="10.36328125" customWidth="1" style="2" min="7426" max="7426"/>
    <col hidden="1" width="20.6328125" customWidth="1" style="2" min="7427" max="7427"/>
    <col hidden="1" width="17.1796875" customWidth="1" style="2" min="7428" max="7428"/>
    <col hidden="1" width="20.6328125" customWidth="1" style="2" min="7429" max="7431"/>
    <col hidden="1" width="9.1796875" customWidth="1" style="2" min="7432" max="7680"/>
    <col hidden="1" width="42.81640625" customWidth="1" style="2" min="7681" max="7681"/>
    <col hidden="1" width="10.36328125" customWidth="1" style="2" min="7682" max="7682"/>
    <col hidden="1" width="20.6328125" customWidth="1" style="2" min="7683" max="7683"/>
    <col hidden="1" width="17.1796875" customWidth="1" style="2" min="7684" max="7684"/>
    <col hidden="1" width="20.6328125" customWidth="1" style="2" min="7685" max="7687"/>
    <col hidden="1" width="9.1796875" customWidth="1" style="2" min="7688" max="7936"/>
    <col hidden="1" width="42.81640625" customWidth="1" style="2" min="7937" max="7937"/>
    <col hidden="1" width="10.36328125" customWidth="1" style="2" min="7938" max="7938"/>
    <col hidden="1" width="20.6328125" customWidth="1" style="2" min="7939" max="7939"/>
    <col hidden="1" width="17.1796875" customWidth="1" style="2" min="7940" max="7940"/>
    <col hidden="1" width="20.6328125" customWidth="1" style="2" min="7941" max="7943"/>
    <col hidden="1" width="9.1796875" customWidth="1" style="2" min="7944" max="8192"/>
    <col hidden="1" width="42.81640625" customWidth="1" style="2" min="8193" max="8193"/>
    <col hidden="1" width="10.36328125" customWidth="1" style="2" min="8194" max="8194"/>
    <col hidden="1" width="20.6328125" customWidth="1" style="2" min="8195" max="8195"/>
    <col hidden="1" width="17.1796875" customWidth="1" style="2" min="8196" max="8196"/>
    <col hidden="1" width="20.6328125" customWidth="1" style="2" min="8197" max="8199"/>
    <col hidden="1" width="9.1796875" customWidth="1" style="2" min="8200" max="8448"/>
    <col hidden="1" width="42.81640625" customWidth="1" style="2" min="8449" max="8449"/>
    <col hidden="1" width="10.36328125" customWidth="1" style="2" min="8450" max="8450"/>
    <col hidden="1" width="20.6328125" customWidth="1" style="2" min="8451" max="8451"/>
    <col hidden="1" width="17.1796875" customWidth="1" style="2" min="8452" max="8452"/>
    <col hidden="1" width="20.6328125" customWidth="1" style="2" min="8453" max="8455"/>
    <col hidden="1" width="9.1796875" customWidth="1" style="2" min="8456" max="8704"/>
    <col hidden="1" width="42.81640625" customWidth="1" style="2" min="8705" max="8705"/>
    <col hidden="1" width="10.36328125" customWidth="1" style="2" min="8706" max="8706"/>
    <col hidden="1" width="20.6328125" customWidth="1" style="2" min="8707" max="8707"/>
    <col hidden="1" width="17.1796875" customWidth="1" style="2" min="8708" max="8708"/>
    <col hidden="1" width="20.6328125" customWidth="1" style="2" min="8709" max="8711"/>
    <col hidden="1" width="9.1796875" customWidth="1" style="2" min="8712" max="8960"/>
    <col hidden="1" width="42.81640625" customWidth="1" style="2" min="8961" max="8961"/>
    <col hidden="1" width="10.36328125" customWidth="1" style="2" min="8962" max="8962"/>
    <col hidden="1" width="20.6328125" customWidth="1" style="2" min="8963" max="8963"/>
    <col hidden="1" width="17.1796875" customWidth="1" style="2" min="8964" max="8964"/>
    <col hidden="1" width="20.6328125" customWidth="1" style="2" min="8965" max="8967"/>
    <col hidden="1" width="9.1796875" customWidth="1" style="2" min="8968" max="9216"/>
    <col hidden="1" width="42.81640625" customWidth="1" style="2" min="9217" max="9217"/>
    <col hidden="1" width="10.36328125" customWidth="1" style="2" min="9218" max="9218"/>
    <col hidden="1" width="20.6328125" customWidth="1" style="2" min="9219" max="9219"/>
    <col hidden="1" width="17.1796875" customWidth="1" style="2" min="9220" max="9220"/>
    <col hidden="1" width="20.6328125" customWidth="1" style="2" min="9221" max="9223"/>
    <col hidden="1" width="9.1796875" customWidth="1" style="2" min="9224" max="9472"/>
    <col hidden="1" width="42.81640625" customWidth="1" style="2" min="9473" max="9473"/>
    <col hidden="1" width="10.36328125" customWidth="1" style="2" min="9474" max="9474"/>
    <col hidden="1" width="20.6328125" customWidth="1" style="2" min="9475" max="9475"/>
    <col hidden="1" width="17.1796875" customWidth="1" style="2" min="9476" max="9476"/>
    <col hidden="1" width="20.6328125" customWidth="1" style="2" min="9477" max="9479"/>
    <col hidden="1" width="9.1796875" customWidth="1" style="2" min="9480" max="9728"/>
    <col hidden="1" width="42.81640625" customWidth="1" style="2" min="9729" max="9729"/>
    <col hidden="1" width="10.36328125" customWidth="1" style="2" min="9730" max="9730"/>
    <col hidden="1" width="20.6328125" customWidth="1" style="2" min="9731" max="9731"/>
    <col hidden="1" width="17.1796875" customWidth="1" style="2" min="9732" max="9732"/>
    <col hidden="1" width="20.6328125" customWidth="1" style="2" min="9733" max="9735"/>
    <col hidden="1" width="9.1796875" customWidth="1" style="2" min="9736" max="9984"/>
    <col hidden="1" width="42.81640625" customWidth="1" style="2" min="9985" max="9985"/>
    <col hidden="1" width="10.36328125" customWidth="1" style="2" min="9986" max="9986"/>
    <col hidden="1" width="20.6328125" customWidth="1" style="2" min="9987" max="9987"/>
    <col hidden="1" width="17.1796875" customWidth="1" style="2" min="9988" max="9988"/>
    <col hidden="1" width="20.6328125" customWidth="1" style="2" min="9989" max="9991"/>
    <col hidden="1" width="9.1796875" customWidth="1" style="2" min="9992" max="10240"/>
    <col hidden="1" width="42.81640625" customWidth="1" style="2" min="10241" max="10241"/>
    <col hidden="1" width="10.36328125" customWidth="1" style="2" min="10242" max="10242"/>
    <col hidden="1" width="20.6328125" customWidth="1" style="2" min="10243" max="10243"/>
    <col hidden="1" width="17.1796875" customWidth="1" style="2" min="10244" max="10244"/>
    <col hidden="1" width="20.6328125" customWidth="1" style="2" min="10245" max="10247"/>
    <col hidden="1" width="9.1796875" customWidth="1" style="2" min="10248" max="10496"/>
    <col hidden="1" width="42.81640625" customWidth="1" style="2" min="10497" max="10497"/>
    <col hidden="1" width="10.36328125" customWidth="1" style="2" min="10498" max="10498"/>
    <col hidden="1" width="20.6328125" customWidth="1" style="2" min="10499" max="10499"/>
    <col hidden="1" width="17.1796875" customWidth="1" style="2" min="10500" max="10500"/>
    <col hidden="1" width="20.6328125" customWidth="1" style="2" min="10501" max="10503"/>
    <col hidden="1" width="9.1796875" customWidth="1" style="2" min="10504" max="10752"/>
    <col hidden="1" width="42.81640625" customWidth="1" style="2" min="10753" max="10753"/>
    <col hidden="1" width="10.36328125" customWidth="1" style="2" min="10754" max="10754"/>
    <col hidden="1" width="20.6328125" customWidth="1" style="2" min="10755" max="10755"/>
    <col hidden="1" width="17.1796875" customWidth="1" style="2" min="10756" max="10756"/>
    <col hidden="1" width="20.6328125" customWidth="1" style="2" min="10757" max="10759"/>
    <col hidden="1" width="9.1796875" customWidth="1" style="2" min="10760" max="11008"/>
    <col hidden="1" width="42.81640625" customWidth="1" style="2" min="11009" max="11009"/>
    <col hidden="1" width="10.36328125" customWidth="1" style="2" min="11010" max="11010"/>
    <col hidden="1" width="20.6328125" customWidth="1" style="2" min="11011" max="11011"/>
    <col hidden="1" width="17.1796875" customWidth="1" style="2" min="11012" max="11012"/>
    <col hidden="1" width="20.6328125" customWidth="1" style="2" min="11013" max="11015"/>
    <col hidden="1" width="9.1796875" customWidth="1" style="2" min="11016" max="11264"/>
    <col hidden="1" width="42.81640625" customWidth="1" style="2" min="11265" max="11265"/>
    <col hidden="1" width="10.36328125" customWidth="1" style="2" min="11266" max="11266"/>
    <col hidden="1" width="20.6328125" customWidth="1" style="2" min="11267" max="11267"/>
    <col hidden="1" width="17.1796875" customWidth="1" style="2" min="11268" max="11268"/>
    <col hidden="1" width="20.6328125" customWidth="1" style="2" min="11269" max="11271"/>
    <col hidden="1" width="9.1796875" customWidth="1" style="2" min="11272" max="11520"/>
    <col hidden="1" width="42.81640625" customWidth="1" style="2" min="11521" max="11521"/>
    <col hidden="1" width="10.36328125" customWidth="1" style="2" min="11522" max="11522"/>
    <col hidden="1" width="20.6328125" customWidth="1" style="2" min="11523" max="11523"/>
    <col hidden="1" width="17.1796875" customWidth="1" style="2" min="11524" max="11524"/>
    <col hidden="1" width="20.6328125" customWidth="1" style="2" min="11525" max="11527"/>
    <col hidden="1" width="9.1796875" customWidth="1" style="2" min="11528" max="11776"/>
    <col hidden="1" width="42.81640625" customWidth="1" style="2" min="11777" max="11777"/>
    <col hidden="1" width="10.36328125" customWidth="1" style="2" min="11778" max="11778"/>
    <col hidden="1" width="20.6328125" customWidth="1" style="2" min="11779" max="11779"/>
    <col hidden="1" width="17.1796875" customWidth="1" style="2" min="11780" max="11780"/>
    <col hidden="1" width="20.6328125" customWidth="1" style="2" min="11781" max="11783"/>
    <col hidden="1" width="9.1796875" customWidth="1" style="2" min="11784" max="12032"/>
    <col hidden="1" width="42.81640625" customWidth="1" style="2" min="12033" max="12033"/>
    <col hidden="1" width="10.36328125" customWidth="1" style="2" min="12034" max="12034"/>
    <col hidden="1" width="20.6328125" customWidth="1" style="2" min="12035" max="12035"/>
    <col hidden="1" width="17.1796875" customWidth="1" style="2" min="12036" max="12036"/>
    <col hidden="1" width="20.6328125" customWidth="1" style="2" min="12037" max="12039"/>
    <col hidden="1" width="9.1796875" customWidth="1" style="2" min="12040" max="12288"/>
    <col hidden="1" width="42.81640625" customWidth="1" style="2" min="12289" max="12289"/>
    <col hidden="1" width="10.36328125" customWidth="1" style="2" min="12290" max="12290"/>
    <col hidden="1" width="20.6328125" customWidth="1" style="2" min="12291" max="12291"/>
    <col hidden="1" width="17.1796875" customWidth="1" style="2" min="12292" max="12292"/>
    <col hidden="1" width="20.6328125" customWidth="1" style="2" min="12293" max="12295"/>
    <col hidden="1" width="9.1796875" customWidth="1" style="2" min="12296" max="12544"/>
    <col hidden="1" width="42.81640625" customWidth="1" style="2" min="12545" max="12545"/>
    <col hidden="1" width="10.36328125" customWidth="1" style="2" min="12546" max="12546"/>
    <col hidden="1" width="20.6328125" customWidth="1" style="2" min="12547" max="12547"/>
    <col hidden="1" width="17.1796875" customWidth="1" style="2" min="12548" max="12548"/>
    <col hidden="1" width="20.6328125" customWidth="1" style="2" min="12549" max="12551"/>
    <col hidden="1" width="9.1796875" customWidth="1" style="2" min="12552" max="12800"/>
    <col hidden="1" width="42.81640625" customWidth="1" style="2" min="12801" max="12801"/>
    <col hidden="1" width="10.36328125" customWidth="1" style="2" min="12802" max="12802"/>
    <col hidden="1" width="20.6328125" customWidth="1" style="2" min="12803" max="12803"/>
    <col hidden="1" width="17.1796875" customWidth="1" style="2" min="12804" max="12804"/>
    <col hidden="1" width="20.6328125" customWidth="1" style="2" min="12805" max="12807"/>
    <col hidden="1" width="9.1796875" customWidth="1" style="2" min="12808" max="13056"/>
    <col hidden="1" width="42.81640625" customWidth="1" style="2" min="13057" max="13057"/>
    <col hidden="1" width="10.36328125" customWidth="1" style="2" min="13058" max="13058"/>
    <col hidden="1" width="20.6328125" customWidth="1" style="2" min="13059" max="13059"/>
    <col hidden="1" width="17.1796875" customWidth="1" style="2" min="13060" max="13060"/>
    <col hidden="1" width="20.6328125" customWidth="1" style="2" min="13061" max="13063"/>
    <col hidden="1" width="9.1796875" customWidth="1" style="2" min="13064" max="13312"/>
    <col hidden="1" width="42.81640625" customWidth="1" style="2" min="13313" max="13313"/>
    <col hidden="1" width="10.36328125" customWidth="1" style="2" min="13314" max="13314"/>
    <col hidden="1" width="20.6328125" customWidth="1" style="2" min="13315" max="13315"/>
    <col hidden="1" width="17.1796875" customWidth="1" style="2" min="13316" max="13316"/>
    <col hidden="1" width="20.6328125" customWidth="1" style="2" min="13317" max="13319"/>
    <col hidden="1" width="9.1796875" customWidth="1" style="2" min="13320" max="13568"/>
    <col hidden="1" width="42.81640625" customWidth="1" style="2" min="13569" max="13569"/>
    <col hidden="1" width="10.36328125" customWidth="1" style="2" min="13570" max="13570"/>
    <col hidden="1" width="20.6328125" customWidth="1" style="2" min="13571" max="13571"/>
    <col hidden="1" width="17.1796875" customWidth="1" style="2" min="13572" max="13572"/>
    <col hidden="1" width="20.6328125" customWidth="1" style="2" min="13573" max="13575"/>
    <col hidden="1" width="9.1796875" customWidth="1" style="2" min="13576" max="13824"/>
    <col hidden="1" width="42.81640625" customWidth="1" style="2" min="13825" max="13825"/>
    <col hidden="1" width="10.36328125" customWidth="1" style="2" min="13826" max="13826"/>
    <col hidden="1" width="20.6328125" customWidth="1" style="2" min="13827" max="13827"/>
    <col hidden="1" width="17.1796875" customWidth="1" style="2" min="13828" max="13828"/>
    <col hidden="1" width="20.6328125" customWidth="1" style="2" min="13829" max="13831"/>
    <col hidden="1" width="9.1796875" customWidth="1" style="2" min="13832" max="14080"/>
    <col hidden="1" width="42.81640625" customWidth="1" style="2" min="14081" max="14081"/>
    <col hidden="1" width="10.36328125" customWidth="1" style="2" min="14082" max="14082"/>
    <col hidden="1" width="20.6328125" customWidth="1" style="2" min="14083" max="14083"/>
    <col hidden="1" width="17.1796875" customWidth="1" style="2" min="14084" max="14084"/>
    <col hidden="1" width="20.6328125" customWidth="1" style="2" min="14085" max="14087"/>
    <col hidden="1" width="9.1796875" customWidth="1" style="2" min="14088" max="14336"/>
    <col hidden="1" width="42.81640625" customWidth="1" style="2" min="14337" max="14337"/>
    <col hidden="1" width="10.36328125" customWidth="1" style="2" min="14338" max="14338"/>
    <col hidden="1" width="20.6328125" customWidth="1" style="2" min="14339" max="14339"/>
    <col hidden="1" width="17.1796875" customWidth="1" style="2" min="14340" max="14340"/>
    <col hidden="1" width="20.6328125" customWidth="1" style="2" min="14341" max="14343"/>
    <col hidden="1" width="9.1796875" customWidth="1" style="2" min="14344" max="14592"/>
    <col hidden="1" width="42.81640625" customWidth="1" style="2" min="14593" max="14593"/>
    <col hidden="1" width="10.36328125" customWidth="1" style="2" min="14594" max="14594"/>
    <col hidden="1" width="20.6328125" customWidth="1" style="2" min="14595" max="14595"/>
    <col hidden="1" width="17.1796875" customWidth="1" style="2" min="14596" max="14596"/>
    <col hidden="1" width="20.6328125" customWidth="1" style="2" min="14597" max="14599"/>
    <col hidden="1" width="9.1796875" customWidth="1" style="2" min="14600" max="14848"/>
    <col hidden="1" width="42.81640625" customWidth="1" style="2" min="14849" max="14849"/>
    <col hidden="1" width="10.36328125" customWidth="1" style="2" min="14850" max="14850"/>
    <col hidden="1" width="20.6328125" customWidth="1" style="2" min="14851" max="14851"/>
    <col hidden="1" width="17.1796875" customWidth="1" style="2" min="14852" max="14852"/>
    <col hidden="1" width="20.6328125" customWidth="1" style="2" min="14853" max="14855"/>
    <col hidden="1" width="9.1796875" customWidth="1" style="2" min="14856" max="15104"/>
    <col hidden="1" width="42.81640625" customWidth="1" style="2" min="15105" max="15105"/>
    <col hidden="1" width="10.36328125" customWidth="1" style="2" min="15106" max="15106"/>
    <col hidden="1" width="20.6328125" customWidth="1" style="2" min="15107" max="15107"/>
    <col hidden="1" width="17.1796875" customWidth="1" style="2" min="15108" max="15108"/>
    <col hidden="1" width="20.6328125" customWidth="1" style="2" min="15109" max="15111"/>
    <col hidden="1" width="9.1796875" customWidth="1" style="2" min="15112" max="15360"/>
    <col hidden="1" width="42.81640625" customWidth="1" style="2" min="15361" max="15361"/>
    <col hidden="1" width="10.36328125" customWidth="1" style="2" min="15362" max="15362"/>
    <col hidden="1" width="20.6328125" customWidth="1" style="2" min="15363" max="15363"/>
    <col hidden="1" width="17.1796875" customWidth="1" style="2" min="15364" max="15364"/>
    <col hidden="1" width="20.6328125" customWidth="1" style="2" min="15365" max="15367"/>
    <col hidden="1" width="9.1796875" customWidth="1" style="2" min="15368" max="15616"/>
    <col hidden="1" width="42.81640625" customWidth="1" style="2" min="15617" max="15617"/>
    <col hidden="1" width="10.36328125" customWidth="1" style="2" min="15618" max="15618"/>
    <col hidden="1" width="20.6328125" customWidth="1" style="2" min="15619" max="15619"/>
    <col hidden="1" width="17.1796875" customWidth="1" style="2" min="15620" max="15620"/>
    <col hidden="1" width="20.6328125" customWidth="1" style="2" min="15621" max="15623"/>
    <col hidden="1" width="9.1796875" customWidth="1" style="2" min="15624" max="15872"/>
    <col hidden="1" width="42.81640625" customWidth="1" style="2" min="15873" max="15873"/>
    <col hidden="1" width="10.36328125" customWidth="1" style="2" min="15874" max="15874"/>
    <col hidden="1" width="20.6328125" customWidth="1" style="2" min="15875" max="15875"/>
    <col hidden="1" width="17.1796875" customWidth="1" style="2" min="15876" max="15876"/>
    <col hidden="1" width="20.6328125" customWidth="1" style="2" min="15877" max="15879"/>
    <col hidden="1" width="9.1796875" customWidth="1" style="2" min="15880" max="16128"/>
    <col hidden="1" width="42.81640625" customWidth="1" style="2" min="16129" max="16129"/>
    <col hidden="1" width="10.36328125" customWidth="1" style="2" min="16130" max="16130"/>
    <col hidden="1" width="20.6328125" customWidth="1" style="2" min="16131" max="16131"/>
    <col hidden="1" width="17.1796875" customWidth="1" style="2" min="16132" max="16132"/>
    <col hidden="1" width="20.6328125" customWidth="1" style="2" min="16133" max="16135"/>
    <col hidden="1" width="9.179687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6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8" defaultColWidth="8.81640625" defaultRowHeight="14.5"/>
  <cols>
    <col width="32.453125" bestFit="1" customWidth="1" style="63" min="1" max="1"/>
    <col width="14.6328125" bestFit="1" customWidth="1" style="63" min="2" max="2"/>
    <col width="10.36328125" bestFit="1" customWidth="1" style="63" min="3" max="3"/>
    <col width="23" bestFit="1" customWidth="1" style="63" min="4" max="4"/>
    <col width="10.6328125" bestFit="1" customWidth="1" style="63" min="5" max="6"/>
    <col width="8.6328125" bestFit="1" customWidth="1" style="63" min="7" max="7"/>
    <col width="12.6328125" bestFit="1" customWidth="1" style="63" min="8" max="8"/>
    <col width="10.6328125" bestFit="1" customWidth="1" style="63" min="9" max="9"/>
    <col width="9.6328125" bestFit="1" customWidth="1" style="63" min="10" max="10"/>
    <col width="14.36328125" bestFit="1" customWidth="1" style="63" min="11" max="11"/>
    <col width="26.36328125" bestFit="1" customWidth="1" style="63" min="12" max="12"/>
    <col width="11.6328125" bestFit="1" customWidth="1" style="63" min="13" max="13"/>
    <col width="10.6328125" bestFit="1" customWidth="1" style="63" min="14" max="14"/>
    <col width="26.36328125" bestFit="1" customWidth="1" style="63" min="15" max="15"/>
    <col width="11.6328125" bestFit="1" customWidth="1" style="63" min="16" max="16"/>
    <col width="8.816406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8" defaultColWidth="0" defaultRowHeight="14.5"/>
  <cols>
    <col width="50.1796875" customWidth="1" style="63" min="1" max="1"/>
    <col width="11.36328125" bestFit="1" customWidth="1" style="63" min="2" max="2"/>
    <col width="8.81640625" customWidth="1" style="63" min="3" max="8"/>
    <col width="9.453125" customWidth="1" style="63" min="9" max="9"/>
    <col width="11.1796875" bestFit="1" customWidth="1" style="63" min="10" max="10"/>
    <col width="8.81640625" customWidth="1" style="63" min="11" max="35"/>
    <col hidden="1" width="8.816406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B29" sqref="B29"/>
    </sheetView>
  </sheetViews>
  <sheetFormatPr baseColWidth="8" defaultColWidth="8.81640625" defaultRowHeight="14.5"/>
  <cols>
    <col width="42.36328125" customWidth="1" style="63" min="1" max="1"/>
    <col width="14.63281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workbookViewId="0">
      <selection activeCell="AI2" sqref="AI2"/>
    </sheetView>
  </sheetViews>
  <sheetFormatPr baseColWidth="8" defaultColWidth="8.81640625" defaultRowHeight="14.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7">
        <f>'RPS by State'!J60</f>
        <v/>
      </c>
      <c r="C2" s="77">
        <f>'RPS by State'!K60</f>
        <v/>
      </c>
      <c r="D2" s="77">
        <f>'RPS by State'!L60</f>
        <v/>
      </c>
      <c r="E2" s="77">
        <f>'RPS by State'!M60</f>
        <v/>
      </c>
      <c r="F2" s="77">
        <f>'RPS by State'!N60</f>
        <v/>
      </c>
      <c r="G2" s="77">
        <f>'RPS by State'!O60</f>
        <v/>
      </c>
      <c r="H2" s="77">
        <f>'RPS by State'!P60</f>
        <v/>
      </c>
      <c r="I2" s="77">
        <f>'RPS by State'!Q60</f>
        <v/>
      </c>
      <c r="J2" s="77">
        <f>'RPS by State'!R60</f>
        <v/>
      </c>
      <c r="K2" s="77">
        <f>'RPS by State'!S60</f>
        <v/>
      </c>
      <c r="L2" s="77">
        <f>'RPS by State'!T60</f>
        <v/>
      </c>
      <c r="M2" s="77">
        <f>'RPS by State'!U60</f>
        <v/>
      </c>
      <c r="N2" s="77">
        <f>'RPS by State'!V60</f>
        <v/>
      </c>
      <c r="O2" s="77">
        <f>'RPS by State'!W60</f>
        <v/>
      </c>
      <c r="P2" s="77">
        <f>'RPS by State'!X60</f>
        <v/>
      </c>
      <c r="Q2" s="77">
        <f>'RPS by State'!Y60</f>
        <v/>
      </c>
      <c r="R2" s="77">
        <f>'RPS by State'!Z60</f>
        <v/>
      </c>
      <c r="S2" s="77">
        <f>'RPS by State'!AA60</f>
        <v/>
      </c>
      <c r="T2" s="77">
        <f>'RPS by State'!AB60</f>
        <v/>
      </c>
      <c r="U2" s="77">
        <f>'RPS by State'!AC60</f>
        <v/>
      </c>
      <c r="V2" s="77">
        <f>'RPS by State'!AD60</f>
        <v/>
      </c>
      <c r="W2" s="77">
        <f>'RPS by State'!AE60</f>
        <v/>
      </c>
      <c r="X2" s="77">
        <f>'RPS by State'!AF60</f>
        <v/>
      </c>
      <c r="Y2" s="77">
        <f>'RPS by State'!AG60</f>
        <v/>
      </c>
      <c r="Z2" s="77">
        <f>'RPS by State'!AH60</f>
        <v/>
      </c>
      <c r="AA2" s="77">
        <f>'RPS by State'!AI60</f>
        <v/>
      </c>
      <c r="AB2" s="77">
        <f>'RPS by State'!AJ60</f>
        <v/>
      </c>
      <c r="AC2" s="77">
        <f>'RPS by State'!AK60</f>
        <v/>
      </c>
      <c r="AD2" s="77">
        <f>'RPS by State'!AL60</f>
        <v/>
      </c>
      <c r="AE2" s="77">
        <f>'RPS by State'!AM60</f>
        <v/>
      </c>
      <c r="AF2" s="77">
        <f>'RPS by State'!AN60</f>
        <v/>
      </c>
      <c r="AG2" s="77">
        <f>'RPS by State'!AO60</f>
        <v/>
      </c>
      <c r="AH2" s="77">
        <f>'RPS by State'!AP60</f>
        <v/>
      </c>
      <c r="AI2" s="77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2021-05-27T20:39:29Z</dcterms:modified>
  <cp:lastModifiedBy>Lainie Rowland</cp:lastModifiedBy>
</cp:coreProperties>
</file>