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template_state/endo-learn/bgbsc/"/>
    </mc:Choice>
  </mc:AlternateContent>
  <xr:revisionPtr revIDLastSave="0" documentId="13_ncr:1_{BCE82D8B-D091-5243-AE09-503C9C660BC7}" xr6:coauthVersionLast="46" xr6:coauthVersionMax="46" xr10:uidLastSave="{00000000-0000-0000-0000-000000000000}"/>
  <bookViews>
    <workbookView xWindow="0" yWindow="460" windowWidth="22640" windowHeight="8740" xr2:uid="{00000000-000D-0000-FFFF-FFFF00000000}"/>
  </bookViews>
  <sheets>
    <sheet name="About" sheetId="1" r:id="rId1"/>
    <sheet name="Grid Batteries" sheetId="3" r:id="rId2"/>
    <sheet name="EV Batteries" sheetId="5" r:id="rId3"/>
    <sheet name="Calculations" sheetId="7" r:id="rId4"/>
    <sheet name="BGBSC"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31" i="7" l="1"/>
  <c r="AD31" i="7"/>
  <c r="AE31" i="7"/>
  <c r="AF31" i="7"/>
  <c r="AG31" i="7"/>
  <c r="AH31" i="7"/>
  <c r="AI31" i="7"/>
  <c r="AJ31" i="7"/>
  <c r="AK31" i="7"/>
  <c r="AB31" i="7"/>
  <c r="C29" i="7"/>
  <c r="D29" i="7"/>
  <c r="E29" i="7"/>
  <c r="F29" i="7"/>
  <c r="G29" i="7"/>
  <c r="H29" i="7"/>
  <c r="I29" i="7"/>
  <c r="J29" i="7"/>
  <c r="K29" i="7"/>
  <c r="L29" i="7"/>
  <c r="M29" i="7"/>
  <c r="N29" i="7"/>
  <c r="O29" i="7"/>
  <c r="P29" i="7"/>
  <c r="Q29" i="7"/>
  <c r="W30" i="7" s="1"/>
  <c r="B29" i="7"/>
  <c r="B37" i="7" s="1"/>
  <c r="C37" i="7" s="1"/>
  <c r="D37" i="7" s="1"/>
  <c r="B2" i="6" s="1"/>
  <c r="E37" i="7" l="1"/>
  <c r="V30" i="7"/>
  <c r="U30" i="7"/>
  <c r="R30" i="7"/>
  <c r="T30" i="7"/>
  <c r="AA30" i="7"/>
  <c r="S30" i="7"/>
  <c r="Z30" i="7"/>
  <c r="Y30" i="7"/>
  <c r="X30" i="7"/>
  <c r="G6" i="7"/>
  <c r="H6" i="7"/>
  <c r="I6" i="7"/>
  <c r="O6" i="7"/>
  <c r="P6" i="7"/>
  <c r="Q6" i="7"/>
  <c r="W6" i="7"/>
  <c r="X6" i="7"/>
  <c r="Y6" i="7"/>
  <c r="B10" i="5"/>
  <c r="F9" i="5"/>
  <c r="F10" i="5" s="1"/>
  <c r="E9" i="5"/>
  <c r="E10" i="5" s="1"/>
  <c r="D9" i="5"/>
  <c r="D10" i="5" s="1"/>
  <c r="C9" i="5"/>
  <c r="C10" i="5" s="1"/>
  <c r="F40" i="3"/>
  <c r="F39" i="3"/>
  <c r="E39" i="3"/>
  <c r="E40" i="3" s="1"/>
  <c r="D39" i="3"/>
  <c r="D40" i="3" s="1"/>
  <c r="C39" i="3"/>
  <c r="C40" i="3" s="1"/>
  <c r="S30" i="3"/>
  <c r="R30" i="3"/>
  <c r="Q30" i="3"/>
  <c r="P30" i="3"/>
  <c r="O30" i="3"/>
  <c r="N30" i="3"/>
  <c r="M30" i="3"/>
  <c r="L30" i="3"/>
  <c r="K30" i="3"/>
  <c r="J30" i="3"/>
  <c r="I30" i="3"/>
  <c r="H30" i="3"/>
  <c r="G30" i="3"/>
  <c r="F30" i="3"/>
  <c r="T26" i="3"/>
  <c r="S26" i="3"/>
  <c r="R26" i="3"/>
  <c r="Q26" i="3"/>
  <c r="P26" i="3"/>
  <c r="O26" i="3"/>
  <c r="N26" i="3"/>
  <c r="M26" i="3"/>
  <c r="L26" i="3"/>
  <c r="K26" i="3"/>
  <c r="J26" i="3"/>
  <c r="I26" i="3"/>
  <c r="H26" i="3"/>
  <c r="G26" i="3"/>
  <c r="F26" i="3"/>
  <c r="AD18" i="3"/>
  <c r="AC18" i="3"/>
  <c r="AB18" i="3"/>
  <c r="AA18" i="3"/>
  <c r="V6" i="7" s="1"/>
  <c r="Z18" i="3"/>
  <c r="U6" i="7" s="1"/>
  <c r="Y18" i="3"/>
  <c r="T6" i="7" s="1"/>
  <c r="X18" i="3"/>
  <c r="S6" i="7" s="1"/>
  <c r="W18" i="3"/>
  <c r="R6" i="7" s="1"/>
  <c r="V18" i="3"/>
  <c r="U18" i="3"/>
  <c r="T18" i="3"/>
  <c r="S18" i="3"/>
  <c r="N6" i="7" s="1"/>
  <c r="R18" i="3"/>
  <c r="M6" i="7" s="1"/>
  <c r="Q18" i="3"/>
  <c r="L6" i="7" s="1"/>
  <c r="P18" i="3"/>
  <c r="K6" i="7" s="1"/>
  <c r="O18" i="3"/>
  <c r="J6" i="7" s="1"/>
  <c r="N18" i="3"/>
  <c r="M18" i="3"/>
  <c r="L18" i="3"/>
  <c r="K18" i="3"/>
  <c r="F6" i="7" s="1"/>
  <c r="J18" i="3"/>
  <c r="E6" i="7" s="1"/>
  <c r="I18" i="3"/>
  <c r="D6" i="7" s="1"/>
  <c r="H18" i="3"/>
  <c r="C6" i="7" s="1"/>
  <c r="G18" i="3"/>
  <c r="B6" i="7" s="1"/>
  <c r="F18" i="3"/>
  <c r="E18" i="3"/>
  <c r="D18" i="3"/>
  <c r="C18" i="3"/>
  <c r="B18" i="3"/>
  <c r="AD13" i="3"/>
  <c r="AC13" i="3"/>
  <c r="AB13" i="3"/>
  <c r="AA13" i="3"/>
  <c r="Z13" i="3"/>
  <c r="Y13" i="3"/>
  <c r="X13" i="3"/>
  <c r="W13" i="3"/>
  <c r="V13" i="3"/>
  <c r="U13" i="3"/>
  <c r="T13" i="3"/>
  <c r="S13" i="3"/>
  <c r="R13" i="3"/>
  <c r="Q13" i="3"/>
  <c r="P13" i="3"/>
  <c r="O13" i="3"/>
  <c r="N13" i="3"/>
  <c r="M13" i="3"/>
  <c r="L13" i="3"/>
  <c r="K13" i="3"/>
  <c r="J13" i="3"/>
  <c r="I13" i="3"/>
  <c r="H13" i="3"/>
  <c r="G13" i="3"/>
  <c r="F13" i="3"/>
  <c r="E13" i="3"/>
  <c r="D13" i="3"/>
  <c r="C13" i="3"/>
  <c r="B13" i="3"/>
  <c r="F37" i="7" l="1"/>
  <c r="C2" i="6"/>
  <c r="AD7" i="7"/>
  <c r="Z7" i="7"/>
  <c r="AE7" i="7"/>
  <c r="AC7" i="7"/>
  <c r="AI7" i="7"/>
  <c r="AA7" i="7"/>
  <c r="AH7" i="7"/>
  <c r="AG7" i="7"/>
  <c r="AF7" i="7"/>
  <c r="AB7" i="7"/>
  <c r="G37" i="7" l="1"/>
  <c r="D2" i="6"/>
  <c r="H37" i="7" l="1"/>
  <c r="E2" i="6"/>
  <c r="I37" i="7" l="1"/>
  <c r="F2" i="6"/>
  <c r="J37" i="7" l="1"/>
  <c r="G2" i="6"/>
  <c r="K37" i="7" l="1"/>
  <c r="H2" i="6"/>
  <c r="L37" i="7" l="1"/>
  <c r="I2" i="6"/>
  <c r="M37" i="7" l="1"/>
  <c r="J2" i="6"/>
  <c r="N37" i="7" l="1"/>
  <c r="K2" i="6"/>
  <c r="O37" i="7" l="1"/>
  <c r="L2" i="6"/>
  <c r="P37" i="7" l="1"/>
  <c r="M2" i="6"/>
  <c r="Q37" i="7" l="1"/>
  <c r="N2" i="6"/>
  <c r="O2" i="6" l="1"/>
  <c r="R37" i="7"/>
  <c r="S37" i="7" l="1"/>
  <c r="P2" i="6"/>
  <c r="T37" i="7" l="1"/>
  <c r="Q2" i="6"/>
  <c r="U37" i="7" l="1"/>
  <c r="R2" i="6"/>
  <c r="V37" i="7" l="1"/>
  <c r="S2" i="6"/>
  <c r="W37" i="7" l="1"/>
  <c r="T2" i="6"/>
  <c r="X37" i="7" l="1"/>
  <c r="U2" i="6"/>
  <c r="Y37" i="7" l="1"/>
  <c r="V2" i="6"/>
  <c r="Z37" i="7" l="1"/>
  <c r="W2" i="6"/>
  <c r="AA37" i="7" l="1"/>
  <c r="X2" i="6"/>
  <c r="AB37" i="7" l="1"/>
  <c r="Y2" i="6"/>
  <c r="AC37" i="7" l="1"/>
  <c r="Z2" i="6"/>
  <c r="AD37" i="7" l="1"/>
  <c r="AA2" i="6"/>
  <c r="AE37" i="7" l="1"/>
  <c r="AB2" i="6"/>
  <c r="AF37" i="7" l="1"/>
  <c r="AC2" i="6"/>
  <c r="AG37" i="7" l="1"/>
  <c r="AD2" i="6"/>
  <c r="AH37" i="7" l="1"/>
  <c r="AE2" i="6"/>
  <c r="AI37" i="7" l="1"/>
  <c r="AF2" i="6"/>
  <c r="AJ37" i="7" l="1"/>
  <c r="AG2" i="6"/>
  <c r="AK37" i="7" l="1"/>
  <c r="AI2" i="6" s="1"/>
  <c r="AH2" i="6"/>
</calcChain>
</file>

<file path=xl/sharedStrings.xml><?xml version="1.0" encoding="utf-8"?>
<sst xmlns="http://schemas.openxmlformats.org/spreadsheetml/2006/main" count="99" uniqueCount="67">
  <si>
    <t>BGBSC BAU Global Battery Storage Capacity</t>
  </si>
  <si>
    <t>Sources:</t>
  </si>
  <si>
    <t>Installed Capacity (GWh)</t>
  </si>
  <si>
    <t>Total</t>
  </si>
  <si>
    <t>No Data</t>
  </si>
  <si>
    <t>BNEF - NEO forecast</t>
  </si>
  <si>
    <t>Installed Capacity (GW)</t>
  </si>
  <si>
    <t>Small-scale batteries</t>
  </si>
  <si>
    <t>Utility-scale batteries</t>
  </si>
  <si>
    <t>BNEF - Indirectly Sourced Data</t>
  </si>
  <si>
    <t>https://cleantechnica.com/2017/11/24/bnef-predicts-explosive-energy-storage-growth-sides-meter/</t>
  </si>
  <si>
    <t>Behind the Meter</t>
  </si>
  <si>
    <t>System-Level</t>
  </si>
  <si>
    <t>https://about.bnef.com/blog/global-storage-market-double-six-times-2030/</t>
  </si>
  <si>
    <t xml:space="preserve">IRENA </t>
  </si>
  <si>
    <t>http://www.irena.org/publications/2017/Oct/Electricity-storage-and-renewables-costs-and-markets</t>
  </si>
  <si>
    <t>Pages 105 and 106</t>
  </si>
  <si>
    <t>Low Estimates</t>
  </si>
  <si>
    <t>High Estimates</t>
  </si>
  <si>
    <t>2030 (Reference Case)</t>
  </si>
  <si>
    <t>2030 Doubling Case</t>
  </si>
  <si>
    <t>Utility Scale</t>
  </si>
  <si>
    <t>IRENA SCENARIOS</t>
  </si>
  <si>
    <t>Low Scenarios</t>
  </si>
  <si>
    <t>High Scenarios</t>
  </si>
  <si>
    <t>Electric Vehicles</t>
  </si>
  <si>
    <t>2030 - Reference Case</t>
  </si>
  <si>
    <t>2030 - Remap Doubling Case</t>
  </si>
  <si>
    <t>Total Storage LDVs and Buses Low Estimate (GWh)</t>
  </si>
  <si>
    <t>Total Storage 2 and 3 Wheelers Low Estimate (GWh)</t>
  </si>
  <si>
    <t>Total (GWh)</t>
  </si>
  <si>
    <t>BNEF Data</t>
  </si>
  <si>
    <t>BNEF - Long-Term Electric Vehicle Outlook 2017</t>
  </si>
  <si>
    <t>Global EV Li-Ion Battery Demand (GWh)</t>
  </si>
  <si>
    <t>New EV Sales (Number of Vehicles)</t>
  </si>
  <si>
    <t>OPEC EV Forecast</t>
  </si>
  <si>
    <r>
      <t>Passenger car fleet composition, 2016</t>
    </r>
    <r>
      <rPr>
        <b/>
        <sz val="11"/>
        <color rgb="FF00B0F0"/>
        <rFont val="Calibri"/>
        <family val="2"/>
      </rPr>
      <t>–2040</t>
    </r>
  </si>
  <si>
    <t>millions</t>
  </si>
  <si>
    <t>FCV</t>
  </si>
  <si>
    <t>Electric</t>
  </si>
  <si>
    <t>HEV</t>
  </si>
  <si>
    <t>NGV</t>
  </si>
  <si>
    <t>Conventional</t>
  </si>
  <si>
    <r>
      <t>Commercial vehicle fleet composition, 2016</t>
    </r>
    <r>
      <rPr>
        <b/>
        <sz val="11"/>
        <color rgb="FF00B0F0"/>
        <rFont val="Calibri"/>
        <family val="2"/>
      </rPr>
      <t>–2040</t>
    </r>
  </si>
  <si>
    <t>Alternative fuel vehicles</t>
  </si>
  <si>
    <t>Electric only</t>
  </si>
  <si>
    <t>Global battery cap (MWh)</t>
  </si>
  <si>
    <t>For grid batteries, we will use BNEF NEO numbers and curve fit to extrapolate</t>
  </si>
  <si>
    <t>Grid battery capacity (GWh)</t>
  </si>
  <si>
    <t>Grid battery cap, extrap (GWh)</t>
  </si>
  <si>
    <t>Grid batteries</t>
  </si>
  <si>
    <t>Bloomberg</t>
  </si>
  <si>
    <t>New Energy Outlook 2017</t>
  </si>
  <si>
    <t>Data Viewer version 1.06 from November 2017</t>
  </si>
  <si>
    <t>EV battery new sales (GWh)</t>
  </si>
  <si>
    <t>EV battery cap, cumulative (GWh)</t>
  </si>
  <si>
    <t>EV battery new sales, extrapolated 2031-2040 (GWh)</t>
  </si>
  <si>
    <t>EV battery new sales, extrapolated 2041-2050 (GWh)</t>
  </si>
  <si>
    <t>y = 3783.376 + (-5.914868 - 3783.376)/(1 + (x/2032.421)^570.4679)</t>
  </si>
  <si>
    <t>for years 2014-2050.  We assume no grid batteries retire during the model</t>
  </si>
  <si>
    <t>run, so installed capacity equals cumulative capacity.</t>
  </si>
  <si>
    <t>Sigmoidal fit equation (symmetric sigmoidal from https://mycurvefit.com/)</t>
  </si>
  <si>
    <t>Sum-of-series multiplier for years prior to 2015</t>
  </si>
  <si>
    <t>EV batteries</t>
  </si>
  <si>
    <t>Long-Term Electric Vehicle Outlook 2017</t>
  </si>
  <si>
    <t>For Evs, we use Bloomberg New Energy Finance's numbers.  This assumes an aggressive rate of EV deployment,</t>
  </si>
  <si>
    <t>which matches usual EPS model behavior in the United States and other EPS regions we've 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</si>
</sst>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_);_(* \(#,##0.0\);_(* &quot;-&quot;??_);_(@_)"/>
    <numFmt numFmtId="166" formatCode="#,##0.0"/>
    <numFmt numFmtId="167"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Arial"/>
      <family val="2"/>
    </font>
    <font>
      <b/>
      <sz val="18"/>
      <color theme="1"/>
      <name val="Calibri"/>
      <family val="2"/>
      <scheme val="minor"/>
    </font>
    <font>
      <sz val="10"/>
      <color rgb="FF000000"/>
      <name val="Arial"/>
      <family val="2"/>
    </font>
    <font>
      <sz val="10"/>
      <color theme="1"/>
      <name val="Arial"/>
      <family val="2"/>
    </font>
    <font>
      <sz val="10"/>
      <name val="Arial"/>
      <family val="2"/>
    </font>
    <font>
      <u/>
      <sz val="11"/>
      <color theme="10"/>
      <name val="Calibri"/>
      <family val="2"/>
      <scheme val="minor"/>
    </font>
    <font>
      <b/>
      <sz val="10"/>
      <name val="Arial"/>
      <family val="2"/>
    </font>
    <font>
      <b/>
      <sz val="11"/>
      <color rgb="FF00B0F0"/>
      <name val="Calibri"/>
      <family val="2"/>
      <scheme val="minor"/>
    </font>
    <font>
      <b/>
      <sz val="11"/>
      <color rgb="FF00B0F0"/>
      <name val="Calibri"/>
      <family val="2"/>
    </font>
    <font>
      <i/>
      <sz val="11"/>
      <color rgb="FF00B0F0"/>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s>
  <borders count="17">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1" applyNumberFormat="0">
      <alignment horizontal="left" vertical="center"/>
    </xf>
    <xf numFmtId="0" fontId="8" fillId="0" borderId="0" applyNumberFormat="0" applyFill="0" applyBorder="0" applyAlignment="0" applyProtection="0"/>
    <xf numFmtId="0" fontId="7" fillId="0" borderId="0"/>
  </cellStyleXfs>
  <cellXfs count="66">
    <xf numFmtId="0" fontId="0" fillId="0" borderId="0" xfId="0"/>
    <xf numFmtId="0" fontId="2" fillId="0" borderId="0" xfId="0" applyFont="1"/>
    <xf numFmtId="0" fontId="2" fillId="2" borderId="0" xfId="0" applyFont="1" applyFill="1"/>
    <xf numFmtId="0" fontId="2" fillId="0" borderId="1" xfId="0" applyFont="1" applyBorder="1"/>
    <xf numFmtId="0" fontId="3" fillId="0" borderId="1" xfId="3" applyBorder="1" applyAlignment="1" applyProtection="1">
      <alignment horizontal="right" vertical="center"/>
      <protection hidden="1"/>
    </xf>
    <xf numFmtId="0" fontId="0" fillId="0" borderId="0" xfId="0" applyFill="1" applyBorder="1"/>
    <xf numFmtId="0" fontId="0" fillId="3" borderId="0" xfId="0" applyFill="1"/>
    <xf numFmtId="164" fontId="0" fillId="0" borderId="0" xfId="1" applyNumberFormat="1" applyFont="1"/>
    <xf numFmtId="0" fontId="4" fillId="0" borderId="0" xfId="0" applyFont="1"/>
    <xf numFmtId="3" fontId="5" fillId="0" borderId="0" xfId="0" applyNumberFormat="1" applyFont="1" applyFill="1" applyBorder="1" applyAlignment="1" applyProtection="1">
      <alignment horizontal="left"/>
      <protection hidden="1"/>
    </xf>
    <xf numFmtId="165" fontId="6" fillId="0" borderId="0" xfId="1" applyNumberFormat="1" applyFont="1" applyFill="1" applyBorder="1" applyAlignment="1" applyProtection="1">
      <alignment horizontal="right"/>
      <protection hidden="1"/>
    </xf>
    <xf numFmtId="3" fontId="5" fillId="0" borderId="2" xfId="0" applyNumberFormat="1" applyFont="1" applyFill="1" applyBorder="1" applyAlignment="1" applyProtection="1">
      <alignment horizontal="left"/>
      <protection hidden="1"/>
    </xf>
    <xf numFmtId="165" fontId="6" fillId="0" borderId="2" xfId="1" applyNumberFormat="1" applyFont="1" applyFill="1" applyBorder="1" applyAlignment="1" applyProtection="1">
      <alignment horizontal="right"/>
      <protection hidden="1"/>
    </xf>
    <xf numFmtId="0" fontId="3" fillId="0" borderId="1" xfId="3" applyFont="1" applyAlignment="1" applyProtection="1">
      <alignment horizontal="left" vertical="center"/>
      <protection hidden="1"/>
    </xf>
    <xf numFmtId="0" fontId="3" fillId="0" borderId="1" xfId="3" applyAlignment="1" applyProtection="1">
      <alignment horizontal="right" vertical="center"/>
      <protection hidden="1"/>
    </xf>
    <xf numFmtId="164" fontId="7" fillId="0" borderId="0" xfId="1" applyNumberFormat="1" applyFont="1" applyFill="1" applyBorder="1" applyAlignment="1" applyProtection="1">
      <alignment horizontal="right"/>
      <protection hidden="1"/>
    </xf>
    <xf numFmtId="3" fontId="5" fillId="0" borderId="1" xfId="0" applyNumberFormat="1" applyFont="1" applyFill="1" applyBorder="1" applyAlignment="1" applyProtection="1">
      <alignment horizontal="left"/>
      <protection hidden="1"/>
    </xf>
    <xf numFmtId="164" fontId="7" fillId="0" borderId="1" xfId="1" applyNumberFormat="1" applyFont="1" applyFill="1" applyBorder="1" applyAlignment="1" applyProtection="1">
      <alignment horizontal="right"/>
      <protection hidden="1"/>
    </xf>
    <xf numFmtId="43" fontId="0" fillId="0" borderId="0" xfId="0" applyNumberFormat="1"/>
    <xf numFmtId="0" fontId="8" fillId="0" borderId="0" xfId="4"/>
    <xf numFmtId="0" fontId="3" fillId="0" borderId="0" xfId="3" applyBorder="1" applyAlignment="1" applyProtection="1">
      <alignment horizontal="right" vertical="center"/>
      <protection hidden="1"/>
    </xf>
    <xf numFmtId="0" fontId="0" fillId="0" borderId="0" xfId="0" applyBorder="1"/>
    <xf numFmtId="0" fontId="0" fillId="0" borderId="0" xfId="0" applyFill="1"/>
    <xf numFmtId="0" fontId="2" fillId="0" borderId="5" xfId="0" applyFont="1" applyBorder="1"/>
    <xf numFmtId="0" fontId="2" fillId="0" borderId="6" xfId="0" applyFont="1" applyBorder="1"/>
    <xf numFmtId="0" fontId="2" fillId="0" borderId="7" xfId="0" applyFont="1" applyBorder="1"/>
    <xf numFmtId="0" fontId="0" fillId="0" borderId="0" xfId="0" applyBorder="1" applyAlignment="1">
      <alignment vertical="center"/>
    </xf>
    <xf numFmtId="164" fontId="0" fillId="0" borderId="8" xfId="1" applyNumberFormat="1" applyFont="1" applyBorder="1"/>
    <xf numFmtId="164" fontId="0" fillId="0" borderId="9" xfId="1" applyNumberFormat="1" applyFont="1" applyBorder="1"/>
    <xf numFmtId="0" fontId="0" fillId="0" borderId="10" xfId="0" applyBorder="1"/>
    <xf numFmtId="0" fontId="0" fillId="0" borderId="1" xfId="0" applyBorder="1" applyAlignment="1">
      <alignment vertical="center"/>
    </xf>
    <xf numFmtId="164" fontId="0" fillId="0" borderId="10" xfId="0" applyNumberFormat="1" applyBorder="1"/>
    <xf numFmtId="164" fontId="0" fillId="0" borderId="11" xfId="0" applyNumberFormat="1" applyBorder="1"/>
    <xf numFmtId="0" fontId="2" fillId="0" borderId="12" xfId="0" applyFont="1" applyBorder="1"/>
    <xf numFmtId="0" fontId="2" fillId="0" borderId="13" xfId="0" applyFont="1" applyBorder="1"/>
    <xf numFmtId="0" fontId="2" fillId="0" borderId="14" xfId="0" applyFont="1" applyBorder="1"/>
    <xf numFmtId="0" fontId="2" fillId="0" borderId="10" xfId="0" applyFont="1" applyBorder="1"/>
    <xf numFmtId="0" fontId="2" fillId="0" borderId="11" xfId="0" applyFont="1" applyBorder="1"/>
    <xf numFmtId="0" fontId="0" fillId="0" borderId="8" xfId="0" applyBorder="1"/>
    <xf numFmtId="0" fontId="0" fillId="0" borderId="9" xfId="0" applyBorder="1"/>
    <xf numFmtId="0" fontId="0" fillId="0" borderId="11" xfId="0" applyBorder="1"/>
    <xf numFmtId="164" fontId="0" fillId="0" borderId="10" xfId="1" applyNumberFormat="1" applyFont="1" applyBorder="1"/>
    <xf numFmtId="164" fontId="0" fillId="0" borderId="11" xfId="1" applyNumberFormat="1" applyFont="1" applyBorder="1"/>
    <xf numFmtId="164" fontId="2" fillId="0" borderId="14" xfId="1" applyNumberFormat="1" applyFont="1" applyBorder="1"/>
    <xf numFmtId="164" fontId="2" fillId="0" borderId="12" xfId="1" applyNumberFormat="1" applyFont="1" applyBorder="1"/>
    <xf numFmtId="0" fontId="2" fillId="0" borderId="0" xfId="0" applyFont="1" applyBorder="1"/>
    <xf numFmtId="164" fontId="2" fillId="0" borderId="0" xfId="1" applyNumberFormat="1" applyFont="1" applyBorder="1"/>
    <xf numFmtId="0" fontId="0" fillId="0" borderId="1" xfId="0" applyBorder="1"/>
    <xf numFmtId="0" fontId="9" fillId="0" borderId="1" xfId="5" applyFont="1" applyBorder="1"/>
    <xf numFmtId="164" fontId="5" fillId="0" borderId="0" xfId="1" applyNumberFormat="1" applyFont="1" applyFill="1" applyBorder="1" applyAlignment="1" applyProtection="1">
      <alignment horizontal="right"/>
      <protection locked="0"/>
    </xf>
    <xf numFmtId="164" fontId="0" fillId="4" borderId="0" xfId="1" applyNumberFormat="1" applyFont="1" applyFill="1"/>
    <xf numFmtId="0" fontId="10" fillId="0" borderId="0" xfId="0" applyFont="1"/>
    <xf numFmtId="0" fontId="12" fillId="0" borderId="0" xfId="0" applyFont="1"/>
    <xf numFmtId="0" fontId="0" fillId="0" borderId="16" xfId="0" applyBorder="1" applyAlignment="1">
      <alignment horizontal="center"/>
    </xf>
    <xf numFmtId="0" fontId="0" fillId="0" borderId="16" xfId="0" applyBorder="1"/>
    <xf numFmtId="166" fontId="0" fillId="0" borderId="16" xfId="0" applyNumberFormat="1" applyBorder="1" applyAlignment="1">
      <alignment horizontal="center"/>
    </xf>
    <xf numFmtId="167" fontId="0" fillId="0" borderId="16" xfId="2" applyNumberFormat="1" applyFont="1" applyBorder="1" applyAlignment="1">
      <alignment horizontal="center"/>
    </xf>
    <xf numFmtId="1" fontId="0" fillId="0" borderId="0" xfId="0" applyNumberFormat="1"/>
    <xf numFmtId="9" fontId="0" fillId="0" borderId="0" xfId="2" applyFont="1"/>
    <xf numFmtId="0" fontId="0" fillId="0" borderId="0" xfId="0" applyAlignment="1">
      <alignment horizontal="left"/>
    </xf>
    <xf numFmtId="0" fontId="13" fillId="0" borderId="0" xfId="0" applyFont="1"/>
    <xf numFmtId="0" fontId="0" fillId="5" borderId="0" xfId="0" applyFill="1"/>
    <xf numFmtId="0" fontId="2" fillId="0" borderId="3" xfId="0" applyFont="1" applyBorder="1" applyAlignment="1">
      <alignment horizontal="center"/>
    </xf>
    <xf numFmtId="0" fontId="2" fillId="0" borderId="4" xfId="0" applyFont="1" applyBorder="1" applyAlignment="1">
      <alignment horizontal="center"/>
    </xf>
    <xf numFmtId="0" fontId="2" fillId="0" borderId="15" xfId="0" applyFont="1" applyBorder="1" applyAlignment="1">
      <alignment horizontal="center"/>
    </xf>
    <xf numFmtId="14" fontId="0" fillId="0" borderId="0" xfId="0" applyNumberFormat="1"/>
  </cellXfs>
  <cellStyles count="6">
    <cellStyle name="Comma" xfId="1" builtinId="3"/>
    <cellStyle name="Hyperlink" xfId="4" builtinId="8"/>
    <cellStyle name="Normal" xfId="0" builtinId="0"/>
    <cellStyle name="Normal 10" xfId="5" xr:uid="{00000000-0005-0000-0000-000003000000}"/>
    <cellStyle name="Percent" xfId="2" builtinId="5"/>
    <cellStyle name="Table Header 2" xfId="3" xr:uid="{00000000-0005-0000-0000-000005000000}"/>
  </cellStyles>
  <dxfs count="10">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Grid Battery Cumulative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Calculations!$A$6</c:f>
              <c:strCache>
                <c:ptCount val="1"/>
                <c:pt idx="0">
                  <c:v>Grid battery capacity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xVal>
          <c:yVal>
            <c:numRef>
              <c:f>Calculations!$B$6:$AI$6</c:f>
              <c:numCache>
                <c:formatCode>0</c:formatCode>
                <c:ptCount val="34"/>
                <c:pt idx="0">
                  <c:v>11.937044891812949</c:v>
                </c:pt>
                <c:pt idx="1">
                  <c:v>16.137072400541257</c:v>
                </c:pt>
                <c:pt idx="2">
                  <c:v>21.457364208732109</c:v>
                </c:pt>
                <c:pt idx="3">
                  <c:v>28.43066048152593</c:v>
                </c:pt>
                <c:pt idx="4">
                  <c:v>35.239612790414157</c:v>
                </c:pt>
                <c:pt idx="5">
                  <c:v>44.496476615811602</c:v>
                </c:pt>
                <c:pt idx="6">
                  <c:v>54.039100845657543</c:v>
                </c:pt>
                <c:pt idx="7">
                  <c:v>72.256920157165652</c:v>
                </c:pt>
                <c:pt idx="8">
                  <c:v>83.09684647819293</c:v>
                </c:pt>
                <c:pt idx="9">
                  <c:v>95.859346137628961</c:v>
                </c:pt>
                <c:pt idx="10">
                  <c:v>108.8964721053445</c:v>
                </c:pt>
                <c:pt idx="11">
                  <c:v>128.45279510338946</c:v>
                </c:pt>
                <c:pt idx="12">
                  <c:v>146.20414308597842</c:v>
                </c:pt>
                <c:pt idx="13">
                  <c:v>176.98129838207547</c:v>
                </c:pt>
                <c:pt idx="14">
                  <c:v>204.19514111939412</c:v>
                </c:pt>
                <c:pt idx="15">
                  <c:v>258.70609841592636</c:v>
                </c:pt>
                <c:pt idx="16">
                  <c:v>325.28284446338955</c:v>
                </c:pt>
                <c:pt idx="17">
                  <c:v>402.42213140214062</c:v>
                </c:pt>
                <c:pt idx="18">
                  <c:v>503.28146889578659</c:v>
                </c:pt>
                <c:pt idx="19">
                  <c:v>580.62058932403056</c:v>
                </c:pt>
                <c:pt idx="20">
                  <c:v>677.02217907919317</c:v>
                </c:pt>
                <c:pt idx="21">
                  <c:v>761.6347223147593</c:v>
                </c:pt>
                <c:pt idx="22">
                  <c:v>874.65188464107632</c:v>
                </c:pt>
                <c:pt idx="23">
                  <c:v>974.21886669147398</c:v>
                </c:pt>
              </c:numCache>
            </c:numRef>
          </c:yVal>
          <c:smooth val="1"/>
          <c:extLst>
            <c:ext xmlns:c16="http://schemas.microsoft.com/office/drawing/2014/chart" uri="{C3380CC4-5D6E-409C-BE32-E72D297353CC}">
              <c16:uniqueId val="{00000000-C4C1-4287-A135-043B257F3755}"/>
            </c:ext>
          </c:extLst>
        </c:ser>
        <c:ser>
          <c:idx val="1"/>
          <c:order val="1"/>
          <c:tx>
            <c:strRef>
              <c:f>Calculations!$A$7</c:f>
              <c:strCache>
                <c:ptCount val="1"/>
                <c:pt idx="0">
                  <c:v>Grid battery cap, extrap (GWh)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xVal>
          <c:yVal>
            <c:numRef>
              <c:f>Calculations!$B$7:$AI$7</c:f>
              <c:numCache>
                <c:formatCode>0</c:formatCode>
                <c:ptCount val="34"/>
                <c:pt idx="24">
                  <c:v>1053.9183861266647</c:v>
                </c:pt>
                <c:pt idx="25">
                  <c:v>1146.4798417433631</c:v>
                </c:pt>
                <c:pt idx="26">
                  <c:v>1239.0412973600905</c:v>
                </c:pt>
                <c:pt idx="27">
                  <c:v>1331.6027529767889</c:v>
                </c:pt>
                <c:pt idx="28">
                  <c:v>1424.1642085934873</c:v>
                </c:pt>
                <c:pt idx="29">
                  <c:v>1516.7256642101856</c:v>
                </c:pt>
                <c:pt idx="30">
                  <c:v>1609.2871198269131</c:v>
                </c:pt>
                <c:pt idx="31">
                  <c:v>1701.8485754436115</c:v>
                </c:pt>
                <c:pt idx="32">
                  <c:v>1794.4100310603098</c:v>
                </c:pt>
                <c:pt idx="33">
                  <c:v>1886.9714866770373</c:v>
                </c:pt>
              </c:numCache>
            </c:numRef>
          </c:yVal>
          <c:smooth val="1"/>
          <c:extLst>
            <c:ext xmlns:c16="http://schemas.microsoft.com/office/drawing/2014/chart" uri="{C3380CC4-5D6E-409C-BE32-E72D297353CC}">
              <c16:uniqueId val="{00000001-C4C1-4287-A135-043B257F3755}"/>
            </c:ext>
          </c:extLst>
        </c:ser>
        <c:dLbls>
          <c:showLegendKey val="0"/>
          <c:showVal val="0"/>
          <c:showCatName val="0"/>
          <c:showSerName val="0"/>
          <c:showPercent val="0"/>
          <c:showBubbleSize val="0"/>
        </c:dLbls>
        <c:axId val="605549616"/>
        <c:axId val="468118952"/>
      </c:scatterChart>
      <c:valAx>
        <c:axId val="605549616"/>
        <c:scaling>
          <c:orientation val="minMax"/>
          <c:max val="20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18952"/>
        <c:crosses val="autoZero"/>
        <c:crossBetween val="midCat"/>
      </c:valAx>
      <c:valAx>
        <c:axId val="468118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49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 Battery</a:t>
            </a:r>
            <a:r>
              <a:rPr lang="en-US" baseline="0"/>
              <a:t> Sales (NOT Cumulative)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Calculations!$A$29</c:f>
              <c:strCache>
                <c:ptCount val="1"/>
                <c:pt idx="0">
                  <c:v>EV battery new sales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Calculations!$B$29:$AK$29</c:f>
              <c:numCache>
                <c:formatCode>General</c:formatCode>
                <c:ptCount val="36"/>
                <c:pt idx="0">
                  <c:v>19.099972492632041</c:v>
                </c:pt>
                <c:pt idx="1">
                  <c:v>33.60019285007489</c:v>
                </c:pt>
                <c:pt idx="2">
                  <c:v>46.840217011157698</c:v>
                </c:pt>
                <c:pt idx="3">
                  <c:v>78.390084012716187</c:v>
                </c:pt>
                <c:pt idx="4">
                  <c:v>105.71791482845779</c:v>
                </c:pt>
                <c:pt idx="5">
                  <c:v>122.97922506085837</c:v>
                </c:pt>
                <c:pt idx="6">
                  <c:v>150.14192102637278</c:v>
                </c:pt>
                <c:pt idx="7">
                  <c:v>189.49540277143416</c:v>
                </c:pt>
                <c:pt idx="8">
                  <c:v>251.2578376312016</c:v>
                </c:pt>
                <c:pt idx="9">
                  <c:v>325.24102177198762</c:v>
                </c:pt>
                <c:pt idx="10">
                  <c:v>408.72463023139971</c:v>
                </c:pt>
                <c:pt idx="11">
                  <c:v>512.81725584666378</c:v>
                </c:pt>
                <c:pt idx="12">
                  <c:v>654.88241619244786</c:v>
                </c:pt>
                <c:pt idx="13">
                  <c:v>819.32660274887803</c:v>
                </c:pt>
                <c:pt idx="14">
                  <c:v>1036.0033484224491</c:v>
                </c:pt>
                <c:pt idx="15">
                  <c:v>1293.7275038027401</c:v>
                </c:pt>
              </c:numCache>
            </c:numRef>
          </c:yVal>
          <c:smooth val="1"/>
          <c:extLst>
            <c:ext xmlns:c16="http://schemas.microsoft.com/office/drawing/2014/chart" uri="{C3380CC4-5D6E-409C-BE32-E72D297353CC}">
              <c16:uniqueId val="{00000000-D93C-44B6-A2D3-E34118BC424F}"/>
            </c:ext>
          </c:extLst>
        </c:ser>
        <c:ser>
          <c:idx val="1"/>
          <c:order val="1"/>
          <c:tx>
            <c:strRef>
              <c:f>Calculations!$A$30</c:f>
              <c:strCache>
                <c:ptCount val="1"/>
                <c:pt idx="0">
                  <c:v>EV battery new sales, extrapolated 2031-2040 (GWh)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Calculations!$B$30:$AK$30</c:f>
              <c:numCache>
                <c:formatCode>General</c:formatCode>
                <c:ptCount val="36"/>
                <c:pt idx="16">
                  <c:v>1535.5989466133306</c:v>
                </c:pt>
                <c:pt idx="17">
                  <c:v>1779.5833642399714</c:v>
                </c:pt>
                <c:pt idx="18">
                  <c:v>2055.1238156378618</c:v>
                </c:pt>
                <c:pt idx="19">
                  <c:v>2314.9575036528563</c:v>
                </c:pt>
                <c:pt idx="20">
                  <c:v>2542.9571613545163</c:v>
                </c:pt>
                <c:pt idx="21">
                  <c:v>2734.0024964032455</c:v>
                </c:pt>
                <c:pt idx="22">
                  <c:v>2934.5225013986969</c:v>
                </c:pt>
                <c:pt idx="23">
                  <c:v>3126.5401779109302</c:v>
                </c:pt>
                <c:pt idx="24">
                  <c:v>3283.507775486657</c:v>
                </c:pt>
                <c:pt idx="25">
                  <c:v>3391.3723653630636</c:v>
                </c:pt>
              </c:numCache>
            </c:numRef>
          </c:yVal>
          <c:smooth val="1"/>
          <c:extLst>
            <c:ext xmlns:c16="http://schemas.microsoft.com/office/drawing/2014/chart" uri="{C3380CC4-5D6E-409C-BE32-E72D297353CC}">
              <c16:uniqueId val="{00000001-D93C-44B6-A2D3-E34118BC424F}"/>
            </c:ext>
          </c:extLst>
        </c:ser>
        <c:ser>
          <c:idx val="2"/>
          <c:order val="2"/>
          <c:tx>
            <c:strRef>
              <c:f>Calculations!$A$31</c:f>
              <c:strCache>
                <c:ptCount val="1"/>
                <c:pt idx="0">
                  <c:v>EV battery new sales, extrapolated 2041-2050 (GWh)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Calculations!$B$31:$AK$31</c:f>
              <c:numCache>
                <c:formatCode>General</c:formatCode>
                <c:ptCount val="36"/>
                <c:pt idx="26">
                  <c:v>3469.0530275124911</c:v>
                </c:pt>
                <c:pt idx="27">
                  <c:v>3540.7757391959544</c:v>
                </c:pt>
                <c:pt idx="28">
                  <c:v>3596.9861176660324</c:v>
                </c:pt>
                <c:pt idx="29">
                  <c:v>3640.6777453056338</c:v>
                </c:pt>
                <c:pt idx="30">
                  <c:v>3674.4228496423589</c:v>
                </c:pt>
                <c:pt idx="31">
                  <c:v>3700.358525044835</c:v>
                </c:pt>
                <c:pt idx="32">
                  <c:v>3720.2178329304297</c:v>
                </c:pt>
                <c:pt idx="33">
                  <c:v>3735.3814891748912</c:v>
                </c:pt>
                <c:pt idx="34">
                  <c:v>3746.935191963657</c:v>
                </c:pt>
                <c:pt idx="35">
                  <c:v>3755.7243998407343</c:v>
                </c:pt>
              </c:numCache>
            </c:numRef>
          </c:yVal>
          <c:smooth val="1"/>
          <c:extLst>
            <c:ext xmlns:c16="http://schemas.microsoft.com/office/drawing/2014/chart" uri="{C3380CC4-5D6E-409C-BE32-E72D297353CC}">
              <c16:uniqueId val="{00000002-D93C-44B6-A2D3-E34118BC424F}"/>
            </c:ext>
          </c:extLst>
        </c:ser>
        <c:dLbls>
          <c:showLegendKey val="0"/>
          <c:showVal val="0"/>
          <c:showCatName val="0"/>
          <c:showSerName val="0"/>
          <c:showPercent val="0"/>
          <c:showBubbleSize val="0"/>
        </c:dLbls>
        <c:axId val="568993792"/>
        <c:axId val="568994120"/>
      </c:scatterChart>
      <c:valAx>
        <c:axId val="568993792"/>
        <c:scaling>
          <c:orientation val="minMax"/>
          <c:max val="2050"/>
          <c:min val="20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94120"/>
        <c:crosses val="autoZero"/>
        <c:crossBetween val="midCat"/>
      </c:valAx>
      <c:valAx>
        <c:axId val="56899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937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Calculations!$A$37</c:f>
              <c:strCache>
                <c:ptCount val="1"/>
                <c:pt idx="0">
                  <c:v>EV battery cap, cumulative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Calculations!$B$36:$AK$36</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Calculations!$B$37:$AK$37</c:f>
              <c:numCache>
                <c:formatCode>General</c:formatCode>
                <c:ptCount val="36"/>
                <c:pt idx="0">
                  <c:v>38.199944985264082</c:v>
                </c:pt>
                <c:pt idx="1">
                  <c:v>71.800137835338973</c:v>
                </c:pt>
                <c:pt idx="2">
                  <c:v>118.64035484649668</c:v>
                </c:pt>
                <c:pt idx="3">
                  <c:v>197.03043885921286</c:v>
                </c:pt>
                <c:pt idx="4">
                  <c:v>302.74835368767066</c:v>
                </c:pt>
                <c:pt idx="5">
                  <c:v>425.72757874852903</c:v>
                </c:pt>
                <c:pt idx="6">
                  <c:v>575.86949977490178</c:v>
                </c:pt>
                <c:pt idx="7">
                  <c:v>765.364902546336</c:v>
                </c:pt>
                <c:pt idx="8">
                  <c:v>1016.6227401775376</c:v>
                </c:pt>
                <c:pt idx="9">
                  <c:v>1341.8637619495253</c:v>
                </c:pt>
                <c:pt idx="10">
                  <c:v>1750.588392180925</c:v>
                </c:pt>
                <c:pt idx="11">
                  <c:v>2263.4056480275885</c:v>
                </c:pt>
                <c:pt idx="12">
                  <c:v>2918.2880642200362</c:v>
                </c:pt>
                <c:pt idx="13">
                  <c:v>3737.6146669689142</c:v>
                </c:pt>
                <c:pt idx="14">
                  <c:v>4773.6180153913629</c:v>
                </c:pt>
                <c:pt idx="15">
                  <c:v>6067.345519194103</c:v>
                </c:pt>
                <c:pt idx="16">
                  <c:v>7602.9444658074335</c:v>
                </c:pt>
                <c:pt idx="17">
                  <c:v>9382.5278300474056</c:v>
                </c:pt>
                <c:pt idx="18">
                  <c:v>11437.651645685268</c:v>
                </c:pt>
                <c:pt idx="19">
                  <c:v>13752.609149338125</c:v>
                </c:pt>
                <c:pt idx="20">
                  <c:v>16295.56631069264</c:v>
                </c:pt>
                <c:pt idx="21">
                  <c:v>19029.568807095886</c:v>
                </c:pt>
                <c:pt idx="22">
                  <c:v>21964.091308494582</c:v>
                </c:pt>
                <c:pt idx="23">
                  <c:v>25090.631486405513</c:v>
                </c:pt>
                <c:pt idx="24">
                  <c:v>28374.139261892171</c:v>
                </c:pt>
                <c:pt idx="25">
                  <c:v>31765.511627255233</c:v>
                </c:pt>
                <c:pt idx="26">
                  <c:v>35234.564654767724</c:v>
                </c:pt>
                <c:pt idx="27">
                  <c:v>38775.340393963677</c:v>
                </c:pt>
                <c:pt idx="28">
                  <c:v>42372.326511629712</c:v>
                </c:pt>
                <c:pt idx="29">
                  <c:v>46013.004256935346</c:v>
                </c:pt>
                <c:pt idx="30">
                  <c:v>49687.427106577707</c:v>
                </c:pt>
                <c:pt idx="31">
                  <c:v>53387.785631622544</c:v>
                </c:pt>
                <c:pt idx="32">
                  <c:v>57108.003464552974</c:v>
                </c:pt>
                <c:pt idx="33">
                  <c:v>60843.384953727866</c:v>
                </c:pt>
                <c:pt idx="34">
                  <c:v>64590.320145691519</c:v>
                </c:pt>
                <c:pt idx="35">
                  <c:v>68346.044545532248</c:v>
                </c:pt>
              </c:numCache>
            </c:numRef>
          </c:yVal>
          <c:smooth val="0"/>
          <c:extLst>
            <c:ext xmlns:c16="http://schemas.microsoft.com/office/drawing/2014/chart" uri="{C3380CC4-5D6E-409C-BE32-E72D297353CC}">
              <c16:uniqueId val="{00000000-9D16-4C1B-86B2-1D08B3D04978}"/>
            </c:ext>
          </c:extLst>
        </c:ser>
        <c:dLbls>
          <c:showLegendKey val="0"/>
          <c:showVal val="0"/>
          <c:showCatName val="0"/>
          <c:showSerName val="0"/>
          <c:showPercent val="0"/>
          <c:showBubbleSize val="0"/>
        </c:dLbls>
        <c:axId val="568983624"/>
        <c:axId val="568979360"/>
      </c:scatterChart>
      <c:valAx>
        <c:axId val="568983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79360"/>
        <c:crosses val="autoZero"/>
        <c:crossBetween val="midCat"/>
      </c:valAx>
      <c:valAx>
        <c:axId val="56897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83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hyperlink" Target="http://www.irena.org/publications/2017/Oct/Electricity-storage-and-renewables-costs-and-markets"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9</xdr:col>
      <xdr:colOff>9525</xdr:colOff>
      <xdr:row>5</xdr:row>
      <xdr:rowOff>190499</xdr:rowOff>
    </xdr:to>
    <xdr:sp macro="" textlink="">
      <xdr:nvSpPr>
        <xdr:cNvPr id="2" name="TextBox 1">
          <a:extLst>
            <a:ext uri="{FF2B5EF4-FFF2-40B4-BE49-F238E27FC236}">
              <a16:creationId xmlns:a16="http://schemas.microsoft.com/office/drawing/2014/main" id="{BDB18A53-D471-4AF0-A39D-8B79839D544D}"/>
            </a:ext>
          </a:extLst>
        </xdr:cNvPr>
        <xdr:cNvSpPr txBox="1"/>
      </xdr:nvSpPr>
      <xdr:spPr>
        <a:xfrm>
          <a:off x="38100" y="19050"/>
          <a:ext cx="11696700" cy="112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The top table</a:t>
          </a:r>
          <a:r>
            <a:rPr lang="en-US" sz="1100" baseline="0"/>
            <a:t> is from Bloomberg's New Energy Outlook, 2017 Data Viewer version 1.06 from November, 2017. New Energy Outlook includes current policies and economic trends in their forecast, but does not include any commitments for which there is no regulatory mandate (i.e., NDCs). Since this source is behind a paywall, we have also included some second hand data sourced to BNEF for comparison. Finally, we have also included projections from the International Renewable Energy Agency (IRENA) http://www.irena.org/publications/2017/Oct/Electricity-storage-and-renewables-costs-and-markets.</a:t>
          </a:r>
        </a:p>
        <a:p>
          <a:r>
            <a:rPr lang="en-US" sz="1100" baseline="0"/>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9525</xdr:rowOff>
    </xdr:from>
    <xdr:to>
      <xdr:col>3</xdr:col>
      <xdr:colOff>19050</xdr:colOff>
      <xdr:row>4</xdr:row>
      <xdr:rowOff>133350</xdr:rowOff>
    </xdr:to>
    <xdr:sp macro="" textlink="">
      <xdr:nvSpPr>
        <xdr:cNvPr id="2" name="TextBox 1">
          <a:hlinkClick xmlns:r="http://schemas.openxmlformats.org/officeDocument/2006/relationships" r:id="rId1"/>
          <a:extLst>
            <a:ext uri="{FF2B5EF4-FFF2-40B4-BE49-F238E27FC236}">
              <a16:creationId xmlns:a16="http://schemas.microsoft.com/office/drawing/2014/main" id="{E4F2AACA-19AD-4E9A-AEAF-45431F636363}"/>
            </a:ext>
          </a:extLst>
        </xdr:cNvPr>
        <xdr:cNvSpPr txBox="1"/>
      </xdr:nvSpPr>
      <xdr:spPr>
        <a:xfrm>
          <a:off x="19050" y="9525"/>
          <a:ext cx="762952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The first table is constructed</a:t>
          </a:r>
          <a:r>
            <a:rPr lang="en-US" sz="1100" baseline="0"/>
            <a:t> from data presented in the International Renewable Energy Agenc</a:t>
          </a:r>
          <a:r>
            <a:rPr lang="en-US" sz="1100" baseline="0">
              <a:solidFill>
                <a:sysClr val="windowText" lastClr="000000"/>
              </a:solidFill>
              <a:latin typeface="+mn-lt"/>
              <a:ea typeface="+mn-ea"/>
              <a:cs typeface="+mn-cs"/>
            </a:rPr>
            <a:t>y's report </a:t>
          </a:r>
          <a:r>
            <a:rPr lang="en-US" sz="1100" i="1" baseline="0">
              <a:solidFill>
                <a:sysClr val="windowText" lastClr="000000"/>
              </a:solidFill>
              <a:latin typeface="+mn-lt"/>
              <a:ea typeface="+mn-ea"/>
              <a:cs typeface="+mn-cs"/>
            </a:rPr>
            <a:t>"Electricity Storage and Renewables: Costs and MArkets to 2030" </a:t>
          </a:r>
          <a:r>
            <a:rPr lang="en-US" sz="1100" i="0" baseline="0">
              <a:solidFill>
                <a:sysClr val="windowText" lastClr="000000"/>
              </a:solidFill>
              <a:latin typeface="+mn-lt"/>
              <a:ea typeface="+mn-ea"/>
              <a:cs typeface="+mn-cs"/>
            </a:rPr>
            <a:t>The table was constructed using information presented on pages 104-105.</a:t>
          </a:r>
          <a:endParaRPr lang="en-US" sz="1100" i="1"/>
        </a:p>
      </xdr:txBody>
    </xdr:sp>
    <xdr:clientData/>
  </xdr:twoCellAnchor>
  <xdr:twoCellAnchor>
    <xdr:from>
      <xdr:col>0</xdr:col>
      <xdr:colOff>47625</xdr:colOff>
      <xdr:row>12</xdr:row>
      <xdr:rowOff>171450</xdr:rowOff>
    </xdr:from>
    <xdr:to>
      <xdr:col>5</xdr:col>
      <xdr:colOff>466725</xdr:colOff>
      <xdr:row>18</xdr:row>
      <xdr:rowOff>85725</xdr:rowOff>
    </xdr:to>
    <xdr:sp macro="" textlink="">
      <xdr:nvSpPr>
        <xdr:cNvPr id="3" name="TextBox 2">
          <a:extLst>
            <a:ext uri="{FF2B5EF4-FFF2-40B4-BE49-F238E27FC236}">
              <a16:creationId xmlns:a16="http://schemas.microsoft.com/office/drawing/2014/main" id="{EBB3AE92-85FF-4410-8B7A-9C3D744457A0}"/>
            </a:ext>
          </a:extLst>
        </xdr:cNvPr>
        <xdr:cNvSpPr txBox="1"/>
      </xdr:nvSpPr>
      <xdr:spPr>
        <a:xfrm>
          <a:off x="47625" y="2590800"/>
          <a:ext cx="11172825"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table below is from BNEF's </a:t>
          </a:r>
          <a:r>
            <a:rPr lang="en-US" sz="1100" i="1"/>
            <a:t>Long-Term</a:t>
          </a:r>
          <a:r>
            <a:rPr lang="en-US" sz="1100" i="1" baseline="0"/>
            <a:t> Electric Vehicle Outlook 2017.</a:t>
          </a:r>
          <a:r>
            <a:rPr lang="en-US" sz="1100" i="0" baseline="0"/>
            <a:t> This data is behind a paywall, but can be use to cross reference with publicly available data (e.g., the IRENA data above). BNEF only has data on the annual demand for Li-ion batteries for EVs, not the cumulative stock of EV battery storage. But, this data can be used to estimate the stock of EV battery storage in place (i.e., you could model EV retirements and stock changes from this data). It is important to note that BNEF has one of the most aggressive EV forecasts right now, and therefore their estimates of EV battery demand are also likely to be on the higher end of the spectrum. BNEF is estimating (https://about.bnef.com/blog/forecasts-signal-accelerating-demand-electric-cars/) an EV fleet size of about 120M vehicles in 2030, compared to about 68M in OPEC's forecast (See below)</a:t>
          </a:r>
          <a:endParaRPr lang="en-US" sz="1100"/>
        </a:p>
      </xdr:txBody>
    </xdr:sp>
    <xdr:clientData/>
  </xdr:twoCellAnchor>
  <xdr:twoCellAnchor>
    <xdr:from>
      <xdr:col>0</xdr:col>
      <xdr:colOff>9525</xdr:colOff>
      <xdr:row>26</xdr:row>
      <xdr:rowOff>95250</xdr:rowOff>
    </xdr:from>
    <xdr:to>
      <xdr:col>5</xdr:col>
      <xdr:colOff>428625</xdr:colOff>
      <xdr:row>29</xdr:row>
      <xdr:rowOff>28575</xdr:rowOff>
    </xdr:to>
    <xdr:sp macro="" textlink="">
      <xdr:nvSpPr>
        <xdr:cNvPr id="4" name="TextBox 3">
          <a:extLst>
            <a:ext uri="{FF2B5EF4-FFF2-40B4-BE49-F238E27FC236}">
              <a16:creationId xmlns:a16="http://schemas.microsoft.com/office/drawing/2014/main" id="{C46A8A56-181A-49A1-87E3-98194960EA04}"/>
            </a:ext>
          </a:extLst>
        </xdr:cNvPr>
        <xdr:cNvSpPr txBox="1"/>
      </xdr:nvSpPr>
      <xdr:spPr>
        <a:xfrm>
          <a:off x="9525" y="5286375"/>
          <a:ext cx="11172825"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table</a:t>
          </a:r>
          <a:r>
            <a:rPr lang="en-US" sz="1100" baseline="0"/>
            <a:t> below is OPEC's EV stock forecast. We have included this in case you would like to play around with scenarios of EV battery storage capacity based on different EV penetration scenarios. Here is the source https://woo.opec.org/index.php/datadownload.</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2198</xdr:colOff>
      <xdr:row>6</xdr:row>
      <xdr:rowOff>183175</xdr:rowOff>
    </xdr:from>
    <xdr:to>
      <xdr:col>8</xdr:col>
      <xdr:colOff>306998</xdr:colOff>
      <xdr:row>21</xdr:row>
      <xdr:rowOff>68875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36635</xdr:colOff>
      <xdr:row>39</xdr:row>
      <xdr:rowOff>167054</xdr:rowOff>
    </xdr:from>
    <xdr:to>
      <xdr:col>11</xdr:col>
      <xdr:colOff>556846</xdr:colOff>
      <xdr:row>63</xdr:row>
      <xdr:rowOff>87923</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64</xdr:row>
      <xdr:rowOff>3313</xdr:rowOff>
    </xdr:from>
    <xdr:to>
      <xdr:col>12</xdr:col>
      <xdr:colOff>0</xdr:colOff>
      <xdr:row>84</xdr:row>
      <xdr:rowOff>16565</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rena.org/publications/2017/Oct/Electricity-storage-and-renewables-costs-and-markets" TargetMode="External"/><Relationship Id="rId2" Type="http://schemas.openxmlformats.org/officeDocument/2006/relationships/hyperlink" Target="https://about.bnef.com/blog/global-storage-market-double-six-times-2030/" TargetMode="External"/><Relationship Id="rId1" Type="http://schemas.openxmlformats.org/officeDocument/2006/relationships/hyperlink" Target="https://cleantechnica.com/2017/11/24/bnef-predicts-explosive-energy-storage-growth-sides-meter/"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tabSelected="1" workbookViewId="0"/>
  </sheetViews>
  <sheetFormatPr baseColWidth="10" defaultColWidth="8.83203125" defaultRowHeight="15" x14ac:dyDescent="0.2"/>
  <cols>
    <col min="2" max="2" width="60.83203125" customWidth="1"/>
  </cols>
  <sheetData>
    <row r="1" spans="1:3" x14ac:dyDescent="0.2">
      <c r="A1" s="1" t="s">
        <v>0</v>
      </c>
      <c r="C1" s="65">
        <v>44307</v>
      </c>
    </row>
    <row r="3" spans="1:3" x14ac:dyDescent="0.2">
      <c r="A3" s="1" t="s">
        <v>1</v>
      </c>
      <c r="B3" s="2" t="s">
        <v>50</v>
      </c>
    </row>
    <row r="4" spans="1:3" x14ac:dyDescent="0.2">
      <c r="B4" t="s">
        <v>51</v>
      </c>
    </row>
    <row r="5" spans="1:3" x14ac:dyDescent="0.2">
      <c r="B5" s="59">
        <v>2017</v>
      </c>
    </row>
    <row r="6" spans="1:3" x14ac:dyDescent="0.2">
      <c r="B6" t="s">
        <v>52</v>
      </c>
    </row>
    <row r="7" spans="1:3" x14ac:dyDescent="0.2">
      <c r="B7" s="60" t="s">
        <v>53</v>
      </c>
    </row>
    <row r="9" spans="1:3" x14ac:dyDescent="0.2">
      <c r="B9" s="2" t="s">
        <v>63</v>
      </c>
    </row>
    <row r="10" spans="1:3" x14ac:dyDescent="0.2">
      <c r="B10" t="s">
        <v>51</v>
      </c>
    </row>
    <row r="11" spans="1:3" x14ac:dyDescent="0.2">
      <c r="B11" s="59">
        <v>2017</v>
      </c>
    </row>
    <row r="12" spans="1:3" x14ac:dyDescent="0.2">
      <c r="B12" s="60" t="s">
        <v>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AD41"/>
  <sheetViews>
    <sheetView workbookViewId="0">
      <selection activeCell="A7" sqref="A7"/>
    </sheetView>
  </sheetViews>
  <sheetFormatPr baseColWidth="10" defaultColWidth="8.83203125" defaultRowHeight="15" x14ac:dyDescent="0.2"/>
  <cols>
    <col min="1" max="1" width="40.33203125" customWidth="1"/>
    <col min="2" max="2" width="14.5" bestFit="1" customWidth="1"/>
    <col min="3" max="3" width="20.83203125" bestFit="1" customWidth="1"/>
    <col min="4" max="4" width="18.33203125" bestFit="1" customWidth="1"/>
    <col min="5" max="5" width="20.83203125" bestFit="1" customWidth="1"/>
    <col min="6" max="6" width="18.33203125" bestFit="1" customWidth="1"/>
    <col min="7" max="7" width="13.5" bestFit="1" customWidth="1"/>
    <col min="8" max="16" width="14.5" bestFit="1" customWidth="1"/>
    <col min="17" max="18" width="15.5" bestFit="1" customWidth="1"/>
    <col min="19" max="27" width="12.6640625" customWidth="1"/>
    <col min="28" max="30" width="11.33203125" bestFit="1" customWidth="1"/>
  </cols>
  <sheetData>
    <row r="9" spans="1:30" ht="24" x14ac:dyDescent="0.3">
      <c r="A9" s="8" t="s">
        <v>5</v>
      </c>
    </row>
    <row r="10" spans="1:30" x14ac:dyDescent="0.2">
      <c r="A10" s="3" t="s">
        <v>6</v>
      </c>
      <c r="B10" s="4">
        <v>2012</v>
      </c>
      <c r="C10" s="4">
        <v>2013</v>
      </c>
      <c r="D10" s="4">
        <v>2014</v>
      </c>
      <c r="E10" s="4">
        <v>2015</v>
      </c>
      <c r="F10" s="4">
        <v>2016</v>
      </c>
      <c r="G10" s="4">
        <v>2017</v>
      </c>
      <c r="H10" s="4">
        <v>2018</v>
      </c>
      <c r="I10" s="4">
        <v>2019</v>
      </c>
      <c r="J10" s="4">
        <v>2020</v>
      </c>
      <c r="K10" s="4">
        <v>2021</v>
      </c>
      <c r="L10" s="4">
        <v>2022</v>
      </c>
      <c r="M10" s="4">
        <v>2023</v>
      </c>
      <c r="N10" s="4">
        <v>2024</v>
      </c>
      <c r="O10" s="4">
        <v>2025</v>
      </c>
      <c r="P10" s="4">
        <v>2026</v>
      </c>
      <c r="Q10" s="4">
        <v>2027</v>
      </c>
      <c r="R10" s="4">
        <v>2028</v>
      </c>
      <c r="S10" s="4">
        <v>2029</v>
      </c>
      <c r="T10" s="4">
        <v>2030</v>
      </c>
      <c r="U10" s="4">
        <v>2031</v>
      </c>
      <c r="V10" s="4">
        <v>2032</v>
      </c>
      <c r="W10" s="4">
        <v>2033</v>
      </c>
      <c r="X10" s="4">
        <v>2034</v>
      </c>
      <c r="Y10" s="4">
        <v>2035</v>
      </c>
      <c r="Z10" s="4">
        <v>2036</v>
      </c>
      <c r="AA10" s="4">
        <v>2037</v>
      </c>
      <c r="AB10" s="4">
        <v>2038</v>
      </c>
      <c r="AC10" s="4">
        <v>2039</v>
      </c>
      <c r="AD10" s="4">
        <v>2040</v>
      </c>
    </row>
    <row r="11" spans="1:30" x14ac:dyDescent="0.2">
      <c r="A11" s="9" t="s">
        <v>7</v>
      </c>
      <c r="B11" s="10">
        <v>1.5624008229559699E-2</v>
      </c>
      <c r="C11" s="10">
        <v>3.5004869659658967E-2</v>
      </c>
      <c r="D11" s="10">
        <v>9.7302414093571321E-2</v>
      </c>
      <c r="E11" s="10">
        <v>0.2639046853445422</v>
      </c>
      <c r="F11" s="10">
        <v>0.61861863356947189</v>
      </c>
      <c r="G11" s="10">
        <v>1.0904348271131181</v>
      </c>
      <c r="H11" s="10">
        <v>1.5874749241747743</v>
      </c>
      <c r="I11" s="10">
        <v>2.2997858512776239</v>
      </c>
      <c r="J11" s="10">
        <v>3.2942179807737757</v>
      </c>
      <c r="K11" s="10">
        <v>4.8196920369780081</v>
      </c>
      <c r="L11" s="10">
        <v>6.6598709852480455</v>
      </c>
      <c r="M11" s="10">
        <v>8.8455700594609716</v>
      </c>
      <c r="N11" s="10">
        <v>11.536962015122803</v>
      </c>
      <c r="O11" s="10">
        <v>14.348387162674342</v>
      </c>
      <c r="P11" s="10">
        <v>17.806023178792508</v>
      </c>
      <c r="Q11" s="10">
        <v>22.018750396933406</v>
      </c>
      <c r="R11" s="10">
        <v>27.276425678915068</v>
      </c>
      <c r="S11" s="10">
        <v>33.572532293825645</v>
      </c>
      <c r="T11" s="10">
        <v>41.103115138277659</v>
      </c>
      <c r="U11" s="10">
        <v>49.890011930470742</v>
      </c>
      <c r="V11" s="10">
        <v>59.907207037193977</v>
      </c>
      <c r="W11" s="10">
        <v>71.467277983950282</v>
      </c>
      <c r="X11" s="10">
        <v>85.588357482656235</v>
      </c>
      <c r="Y11" s="10">
        <v>102.10816669886459</v>
      </c>
      <c r="Z11" s="10">
        <v>120.94697088550399</v>
      </c>
      <c r="AA11" s="10">
        <v>142.41223432052803</v>
      </c>
      <c r="AB11" s="10">
        <v>166.76498311499859</v>
      </c>
      <c r="AC11" s="10">
        <v>193.8059180623321</v>
      </c>
      <c r="AD11" s="10">
        <v>223.71053661763759</v>
      </c>
    </row>
    <row r="12" spans="1:30" x14ac:dyDescent="0.2">
      <c r="A12" s="9" t="s">
        <v>8</v>
      </c>
      <c r="B12" s="10">
        <v>1.251402595766649</v>
      </c>
      <c r="C12" s="10">
        <v>1.3182041286864563</v>
      </c>
      <c r="D12" s="10">
        <v>1.3622041286864559</v>
      </c>
      <c r="E12" s="10">
        <v>1.7114909264586793</v>
      </c>
      <c r="F12" s="10">
        <v>2.7305552412131457</v>
      </c>
      <c r="G12" s="10">
        <v>4.004764271317458</v>
      </c>
      <c r="H12" s="10">
        <v>5.2906022130888362</v>
      </c>
      <c r="I12" s="10">
        <v>6.8295215567556742</v>
      </c>
      <c r="J12" s="10">
        <v>8.7804850128658654</v>
      </c>
      <c r="K12" s="10">
        <v>10.082775086073537</v>
      </c>
      <c r="L12" s="10">
        <v>12.107303979431082</v>
      </c>
      <c r="M12" s="10">
        <v>13.880511172610921</v>
      </c>
      <c r="N12" s="10">
        <v>18.875876138851588</v>
      </c>
      <c r="O12" s="10">
        <v>20.532990683263954</v>
      </c>
      <c r="P12" s="10">
        <v>22.323603561151177</v>
      </c>
      <c r="Q12" s="10">
        <v>23.412867875222169</v>
      </c>
      <c r="R12" s="10">
        <v>26.200752567870353</v>
      </c>
      <c r="S12" s="10">
        <v>27.075135804962738</v>
      </c>
      <c r="T12" s="10">
        <v>32.271091537557105</v>
      </c>
      <c r="U12" s="10">
        <v>34.552222301398821</v>
      </c>
      <c r="V12" s="10">
        <v>47.364382966496251</v>
      </c>
      <c r="W12" s="10">
        <v>63.745499784136491</v>
      </c>
      <c r="X12" s="10">
        <v>81.935320737173939</v>
      </c>
      <c r="Y12" s="10">
        <v>107.83089223853266</v>
      </c>
      <c r="Z12" s="10">
        <v>120.97963570011768</v>
      </c>
      <c r="AA12" s="10">
        <v>139.56156229472745</v>
      </c>
      <c r="AB12" s="10">
        <v>149.87924544663602</v>
      </c>
      <c r="AC12" s="10">
        <v>169.62482151532441</v>
      </c>
      <c r="AD12" s="10">
        <v>180.40979354233912</v>
      </c>
    </row>
    <row r="13" spans="1:30" x14ac:dyDescent="0.2">
      <c r="A13" s="11" t="s">
        <v>3</v>
      </c>
      <c r="B13" s="12">
        <f>SUM(B11:B12)</f>
        <v>1.2670266039962088</v>
      </c>
      <c r="C13" s="12">
        <f t="shared" ref="C13:AD13" si="0">SUM(C11:C12)</f>
        <v>1.3532089983461153</v>
      </c>
      <c r="D13" s="12">
        <f t="shared" si="0"/>
        <v>1.4595065427800273</v>
      </c>
      <c r="E13" s="12">
        <f t="shared" si="0"/>
        <v>1.9753956118032214</v>
      </c>
      <c r="F13" s="12">
        <f t="shared" si="0"/>
        <v>3.3491738747826174</v>
      </c>
      <c r="G13" s="12">
        <f t="shared" si="0"/>
        <v>5.0951990984305766</v>
      </c>
      <c r="H13" s="12">
        <f t="shared" si="0"/>
        <v>6.8780771372636105</v>
      </c>
      <c r="I13" s="12">
        <f t="shared" si="0"/>
        <v>9.1293074080332985</v>
      </c>
      <c r="J13" s="12">
        <f t="shared" si="0"/>
        <v>12.07470299363964</v>
      </c>
      <c r="K13" s="12">
        <f t="shared" si="0"/>
        <v>14.902467123051546</v>
      </c>
      <c r="L13" s="12">
        <f t="shared" si="0"/>
        <v>18.767174964679128</v>
      </c>
      <c r="M13" s="12">
        <f t="shared" si="0"/>
        <v>22.726081232071891</v>
      </c>
      <c r="N13" s="12">
        <f t="shared" si="0"/>
        <v>30.412838153974391</v>
      </c>
      <c r="O13" s="12">
        <f t="shared" si="0"/>
        <v>34.881377845938296</v>
      </c>
      <c r="P13" s="12">
        <f t="shared" si="0"/>
        <v>40.129626739943689</v>
      </c>
      <c r="Q13" s="12">
        <f t="shared" si="0"/>
        <v>45.431618272155575</v>
      </c>
      <c r="R13" s="12">
        <f t="shared" si="0"/>
        <v>53.477178246785421</v>
      </c>
      <c r="S13" s="12">
        <f t="shared" si="0"/>
        <v>60.647668098788387</v>
      </c>
      <c r="T13" s="12">
        <f t="shared" si="0"/>
        <v>73.374206675834756</v>
      </c>
      <c r="U13" s="12">
        <f t="shared" si="0"/>
        <v>84.442234231869563</v>
      </c>
      <c r="V13" s="12">
        <f t="shared" si="0"/>
        <v>107.27159000369022</v>
      </c>
      <c r="W13" s="12">
        <f t="shared" si="0"/>
        <v>135.21277776808677</v>
      </c>
      <c r="X13" s="12">
        <f t="shared" si="0"/>
        <v>167.52367821983017</v>
      </c>
      <c r="Y13" s="12">
        <f t="shared" si="0"/>
        <v>209.93905893739725</v>
      </c>
      <c r="Z13" s="12">
        <f t="shared" si="0"/>
        <v>241.92660658562167</v>
      </c>
      <c r="AA13" s="12">
        <f t="shared" si="0"/>
        <v>281.97379661525548</v>
      </c>
      <c r="AB13" s="12">
        <f t="shared" si="0"/>
        <v>316.64422856163458</v>
      </c>
      <c r="AC13" s="12">
        <f t="shared" si="0"/>
        <v>363.43073957765648</v>
      </c>
      <c r="AD13" s="12">
        <f t="shared" si="0"/>
        <v>404.12033015997667</v>
      </c>
    </row>
    <row r="15" spans="1:30" x14ac:dyDescent="0.2">
      <c r="A15" s="13" t="s">
        <v>2</v>
      </c>
      <c r="B15" s="14">
        <v>2012</v>
      </c>
      <c r="C15" s="14">
        <v>2013</v>
      </c>
      <c r="D15" s="14">
        <v>2014</v>
      </c>
      <c r="E15" s="14">
        <v>2015</v>
      </c>
      <c r="F15" s="14">
        <v>2016</v>
      </c>
      <c r="G15" s="14">
        <v>2017</v>
      </c>
      <c r="H15" s="14">
        <v>2018</v>
      </c>
      <c r="I15" s="14">
        <v>2019</v>
      </c>
      <c r="J15" s="14">
        <v>2020</v>
      </c>
      <c r="K15" s="14">
        <v>2021</v>
      </c>
      <c r="L15" s="14">
        <v>2022</v>
      </c>
      <c r="M15" s="14">
        <v>2023</v>
      </c>
      <c r="N15" s="14">
        <v>2024</v>
      </c>
      <c r="O15" s="14">
        <v>2025</v>
      </c>
      <c r="P15" s="14">
        <v>2026</v>
      </c>
      <c r="Q15" s="14">
        <v>2027</v>
      </c>
      <c r="R15" s="14">
        <v>2028</v>
      </c>
      <c r="S15" s="14">
        <v>2029</v>
      </c>
      <c r="T15" s="14">
        <v>2030</v>
      </c>
      <c r="U15" s="14">
        <v>2031</v>
      </c>
      <c r="V15" s="14">
        <v>2032</v>
      </c>
      <c r="W15" s="14">
        <v>2033</v>
      </c>
      <c r="X15" s="14">
        <v>2034</v>
      </c>
      <c r="Y15" s="14">
        <v>2035</v>
      </c>
      <c r="Z15" s="14">
        <v>2036</v>
      </c>
      <c r="AA15" s="14">
        <v>2037</v>
      </c>
      <c r="AB15" s="14">
        <v>2038</v>
      </c>
      <c r="AC15" s="14">
        <v>2039</v>
      </c>
      <c r="AD15" s="14">
        <v>2040</v>
      </c>
    </row>
    <row r="16" spans="1:30" x14ac:dyDescent="0.2">
      <c r="A16" s="9" t="s">
        <v>7</v>
      </c>
      <c r="B16" s="15">
        <v>3.9060020573899248E-2</v>
      </c>
      <c r="C16" s="15">
        <v>8.7512174149147415E-2</v>
      </c>
      <c r="D16" s="15">
        <v>0.24325603523392827</v>
      </c>
      <c r="E16" s="15">
        <v>0.65976171336135558</v>
      </c>
      <c r="F16" s="15">
        <v>1.5465465839236796</v>
      </c>
      <c r="G16" s="15">
        <v>2.7260870677827955</v>
      </c>
      <c r="H16" s="15">
        <v>3.9686873104369358</v>
      </c>
      <c r="I16" s="15">
        <v>5.7494646281940591</v>
      </c>
      <c r="J16" s="15">
        <v>8.2355449519344397</v>
      </c>
      <c r="K16" s="15">
        <v>12.04923009244502</v>
      </c>
      <c r="L16" s="15">
        <v>16.64967746312011</v>
      </c>
      <c r="M16" s="15">
        <v>22.113925148652431</v>
      </c>
      <c r="N16" s="15">
        <v>28.842405037807005</v>
      </c>
      <c r="O16" s="15">
        <v>35.870967906685848</v>
      </c>
      <c r="P16" s="15">
        <v>44.515057946981266</v>
      </c>
      <c r="Q16" s="15">
        <v>55.046875992333518</v>
      </c>
      <c r="R16" s="15">
        <v>68.191064197287659</v>
      </c>
      <c r="S16" s="15">
        <v>83.931330734564114</v>
      </c>
      <c r="T16" s="15">
        <v>102.75778784569414</v>
      </c>
      <c r="U16" s="15">
        <v>124.72502982617685</v>
      </c>
      <c r="V16" s="15">
        <v>149.76801759298496</v>
      </c>
      <c r="W16" s="15">
        <v>178.66819495987568</v>
      </c>
      <c r="X16" s="15">
        <v>213.9708937066406</v>
      </c>
      <c r="Y16" s="15">
        <v>255.27041674716148</v>
      </c>
      <c r="Z16" s="15">
        <v>302.36742721375998</v>
      </c>
      <c r="AA16" s="15">
        <v>356.03058580132006</v>
      </c>
      <c r="AB16" s="15">
        <v>416.91245778749646</v>
      </c>
      <c r="AC16" s="15">
        <v>484.5147951558302</v>
      </c>
      <c r="AD16" s="15">
        <v>559.27634154409395</v>
      </c>
    </row>
    <row r="17" spans="1:30" x14ac:dyDescent="0.2">
      <c r="A17" s="16" t="s">
        <v>8</v>
      </c>
      <c r="B17" s="17">
        <v>2.8782259702632929</v>
      </c>
      <c r="C17" s="17">
        <v>3.031869495978849</v>
      </c>
      <c r="D17" s="17">
        <v>3.1330694959788485</v>
      </c>
      <c r="E17" s="17">
        <v>3.9364291308549619</v>
      </c>
      <c r="F17" s="17">
        <v>6.2802770547902345</v>
      </c>
      <c r="G17" s="17">
        <v>9.2109578240301531</v>
      </c>
      <c r="H17" s="17">
        <v>12.168385090104323</v>
      </c>
      <c r="I17" s="17">
        <v>15.707899580538049</v>
      </c>
      <c r="J17" s="17">
        <v>20.19511552959149</v>
      </c>
      <c r="K17" s="17">
        <v>23.190382697969138</v>
      </c>
      <c r="L17" s="17">
        <v>27.846799152691489</v>
      </c>
      <c r="M17" s="17">
        <v>31.925175697005113</v>
      </c>
      <c r="N17" s="17">
        <v>43.414515119358647</v>
      </c>
      <c r="O17" s="17">
        <v>47.225878571507089</v>
      </c>
      <c r="P17" s="17">
        <v>51.344288190647696</v>
      </c>
      <c r="Q17" s="17">
        <v>53.849596113010982</v>
      </c>
      <c r="R17" s="17">
        <v>60.26173090610181</v>
      </c>
      <c r="S17" s="17">
        <v>62.272812351414295</v>
      </c>
      <c r="T17" s="17">
        <v>74.22351053638134</v>
      </c>
      <c r="U17" s="17">
        <v>79.470111293217286</v>
      </c>
      <c r="V17" s="17">
        <v>108.93808082294139</v>
      </c>
      <c r="W17" s="17">
        <v>146.6146495035139</v>
      </c>
      <c r="X17" s="17">
        <v>188.45123769550005</v>
      </c>
      <c r="Y17" s="17">
        <v>248.01105214862511</v>
      </c>
      <c r="Z17" s="17">
        <v>278.25316211027064</v>
      </c>
      <c r="AA17" s="17">
        <v>320.99159327787311</v>
      </c>
      <c r="AB17" s="17">
        <v>344.72226452726284</v>
      </c>
      <c r="AC17" s="17">
        <v>390.13708948524612</v>
      </c>
      <c r="AD17" s="17">
        <v>414.94252514737997</v>
      </c>
    </row>
    <row r="18" spans="1:30" x14ac:dyDescent="0.2">
      <c r="A18" t="s">
        <v>3</v>
      </c>
      <c r="B18" s="7">
        <f>SUM(B16:B17)</f>
        <v>2.917285990837192</v>
      </c>
      <c r="C18" s="7">
        <f t="shared" ref="C18:AD18" si="1">SUM(C16:C17)</f>
        <v>3.1193816701279964</v>
      </c>
      <c r="D18" s="7">
        <f t="shared" si="1"/>
        <v>3.3763255312127769</v>
      </c>
      <c r="E18" s="7">
        <f t="shared" si="1"/>
        <v>4.5961908442163173</v>
      </c>
      <c r="F18" s="7">
        <f t="shared" si="1"/>
        <v>7.8268236387139138</v>
      </c>
      <c r="G18" s="7">
        <f t="shared" si="1"/>
        <v>11.937044891812949</v>
      </c>
      <c r="H18" s="7">
        <f t="shared" si="1"/>
        <v>16.137072400541257</v>
      </c>
      <c r="I18" s="7">
        <f t="shared" si="1"/>
        <v>21.457364208732109</v>
      </c>
      <c r="J18" s="7">
        <f t="shared" si="1"/>
        <v>28.43066048152593</v>
      </c>
      <c r="K18" s="7">
        <f t="shared" si="1"/>
        <v>35.239612790414157</v>
      </c>
      <c r="L18" s="7">
        <f t="shared" si="1"/>
        <v>44.496476615811602</v>
      </c>
      <c r="M18" s="7">
        <f t="shared" si="1"/>
        <v>54.039100845657543</v>
      </c>
      <c r="N18" s="7">
        <f t="shared" si="1"/>
        <v>72.256920157165652</v>
      </c>
      <c r="O18" s="7">
        <f t="shared" si="1"/>
        <v>83.09684647819293</v>
      </c>
      <c r="P18" s="7">
        <f t="shared" si="1"/>
        <v>95.859346137628961</v>
      </c>
      <c r="Q18" s="7">
        <f t="shared" si="1"/>
        <v>108.8964721053445</v>
      </c>
      <c r="R18" s="7">
        <f t="shared" si="1"/>
        <v>128.45279510338946</v>
      </c>
      <c r="S18" s="7">
        <f t="shared" si="1"/>
        <v>146.20414308597842</v>
      </c>
      <c r="T18" s="7">
        <f t="shared" si="1"/>
        <v>176.98129838207547</v>
      </c>
      <c r="U18" s="7">
        <f t="shared" si="1"/>
        <v>204.19514111939412</v>
      </c>
      <c r="V18" s="7">
        <f t="shared" si="1"/>
        <v>258.70609841592636</v>
      </c>
      <c r="W18" s="7">
        <f t="shared" si="1"/>
        <v>325.28284446338955</v>
      </c>
      <c r="X18" s="7">
        <f t="shared" si="1"/>
        <v>402.42213140214062</v>
      </c>
      <c r="Y18" s="7">
        <f t="shared" si="1"/>
        <v>503.28146889578659</v>
      </c>
      <c r="Z18" s="7">
        <f t="shared" si="1"/>
        <v>580.62058932403056</v>
      </c>
      <c r="AA18" s="7">
        <f t="shared" si="1"/>
        <v>677.02217907919317</v>
      </c>
      <c r="AB18" s="7">
        <f t="shared" si="1"/>
        <v>761.6347223147593</v>
      </c>
      <c r="AC18" s="7">
        <f t="shared" si="1"/>
        <v>874.65188464107632</v>
      </c>
      <c r="AD18" s="7">
        <f t="shared" si="1"/>
        <v>974.21886669147398</v>
      </c>
    </row>
    <row r="19" spans="1:30" x14ac:dyDescent="0.2">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row>
    <row r="20" spans="1:30" x14ac:dyDescent="0.2">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row>
    <row r="21" spans="1:30" ht="24" x14ac:dyDescent="0.3">
      <c r="A21" s="8" t="s">
        <v>9</v>
      </c>
    </row>
    <row r="22" spans="1:30" x14ac:dyDescent="0.2">
      <c r="A22" s="19" t="s">
        <v>10</v>
      </c>
    </row>
    <row r="23" spans="1:30" x14ac:dyDescent="0.2">
      <c r="A23" s="3" t="s">
        <v>6</v>
      </c>
      <c r="B23" s="4">
        <v>2012</v>
      </c>
      <c r="C23" s="4">
        <v>2013</v>
      </c>
      <c r="D23" s="4">
        <v>2014</v>
      </c>
      <c r="E23" s="4">
        <v>2015</v>
      </c>
      <c r="F23" s="4">
        <v>2016</v>
      </c>
      <c r="G23" s="4">
        <v>2017</v>
      </c>
      <c r="H23" s="4">
        <v>2018</v>
      </c>
      <c r="I23" s="4">
        <v>2019</v>
      </c>
      <c r="J23" s="4">
        <v>2020</v>
      </c>
      <c r="K23" s="4">
        <v>2021</v>
      </c>
      <c r="L23" s="4">
        <v>2022</v>
      </c>
      <c r="M23" s="4">
        <v>2023</v>
      </c>
      <c r="N23" s="4">
        <v>2024</v>
      </c>
      <c r="O23" s="4">
        <v>2025</v>
      </c>
      <c r="P23" s="4">
        <v>2026</v>
      </c>
      <c r="Q23" s="4">
        <v>2027</v>
      </c>
      <c r="R23" s="4">
        <v>2028</v>
      </c>
      <c r="S23" s="4">
        <v>2029</v>
      </c>
      <c r="T23" s="4">
        <v>2030</v>
      </c>
      <c r="U23" s="20"/>
      <c r="V23" s="20"/>
      <c r="W23" s="20"/>
      <c r="X23" s="20"/>
      <c r="Y23" s="20"/>
      <c r="Z23" s="20"/>
      <c r="AA23" s="20"/>
      <c r="AB23" s="20"/>
      <c r="AC23" s="20"/>
      <c r="AD23" s="20"/>
    </row>
    <row r="24" spans="1:30" x14ac:dyDescent="0.2">
      <c r="A24" t="s">
        <v>11</v>
      </c>
      <c r="B24" s="6" t="s">
        <v>4</v>
      </c>
      <c r="C24" s="6" t="s">
        <v>4</v>
      </c>
      <c r="D24" s="6" t="s">
        <v>4</v>
      </c>
      <c r="E24" s="6" t="s">
        <v>4</v>
      </c>
      <c r="F24">
        <v>1</v>
      </c>
      <c r="G24">
        <v>2</v>
      </c>
      <c r="H24">
        <v>2</v>
      </c>
      <c r="I24">
        <v>3</v>
      </c>
      <c r="J24">
        <v>5</v>
      </c>
      <c r="K24">
        <v>7</v>
      </c>
      <c r="L24">
        <v>9</v>
      </c>
      <c r="M24">
        <v>12</v>
      </c>
      <c r="N24">
        <v>15</v>
      </c>
      <c r="O24">
        <v>20</v>
      </c>
      <c r="P24">
        <v>26</v>
      </c>
      <c r="Q24">
        <v>34</v>
      </c>
      <c r="R24">
        <v>45</v>
      </c>
      <c r="S24">
        <v>56</v>
      </c>
      <c r="T24">
        <v>69</v>
      </c>
      <c r="U24" s="21"/>
      <c r="V24" s="21"/>
      <c r="W24" s="21"/>
      <c r="X24" s="21"/>
      <c r="Y24" s="21"/>
      <c r="Z24" s="21"/>
      <c r="AA24" s="21"/>
      <c r="AB24" s="21"/>
      <c r="AC24" s="21"/>
      <c r="AD24" s="21"/>
    </row>
    <row r="25" spans="1:30" x14ac:dyDescent="0.2">
      <c r="A25" t="s">
        <v>12</v>
      </c>
      <c r="B25" s="6" t="s">
        <v>4</v>
      </c>
      <c r="C25" s="6" t="s">
        <v>4</v>
      </c>
      <c r="D25" s="6" t="s">
        <v>4</v>
      </c>
      <c r="E25" s="6" t="s">
        <v>4</v>
      </c>
      <c r="F25">
        <v>2</v>
      </c>
      <c r="G25">
        <v>3</v>
      </c>
      <c r="H25">
        <v>5</v>
      </c>
      <c r="I25">
        <v>6</v>
      </c>
      <c r="J25">
        <v>8</v>
      </c>
      <c r="K25">
        <v>10</v>
      </c>
      <c r="L25">
        <v>12</v>
      </c>
      <c r="M25">
        <v>15</v>
      </c>
      <c r="N25">
        <v>18</v>
      </c>
      <c r="O25">
        <v>21</v>
      </c>
      <c r="P25">
        <v>26</v>
      </c>
      <c r="Q25">
        <v>31</v>
      </c>
      <c r="R25">
        <v>36</v>
      </c>
      <c r="S25">
        <v>42</v>
      </c>
      <c r="T25">
        <v>55</v>
      </c>
      <c r="U25" s="21"/>
      <c r="V25" s="21"/>
      <c r="W25" s="21"/>
      <c r="X25" s="21"/>
      <c r="Y25" s="21"/>
      <c r="Z25" s="21"/>
      <c r="AA25" s="21"/>
      <c r="AB25" s="21"/>
      <c r="AC25" s="21"/>
      <c r="AD25" s="21"/>
    </row>
    <row r="26" spans="1:30" x14ac:dyDescent="0.2">
      <c r="A26" t="s">
        <v>3</v>
      </c>
      <c r="B26" s="22"/>
      <c r="C26" s="22"/>
      <c r="D26" s="22"/>
      <c r="E26" s="22"/>
      <c r="F26">
        <f>SUM(F24:F25)</f>
        <v>3</v>
      </c>
      <c r="G26">
        <f t="shared" ref="G26:T26" si="2">SUM(G24:G25)</f>
        <v>5</v>
      </c>
      <c r="H26">
        <f t="shared" si="2"/>
        <v>7</v>
      </c>
      <c r="I26">
        <f t="shared" si="2"/>
        <v>9</v>
      </c>
      <c r="J26">
        <f t="shared" si="2"/>
        <v>13</v>
      </c>
      <c r="K26">
        <f t="shared" si="2"/>
        <v>17</v>
      </c>
      <c r="L26">
        <f t="shared" si="2"/>
        <v>21</v>
      </c>
      <c r="M26">
        <f t="shared" si="2"/>
        <v>27</v>
      </c>
      <c r="N26">
        <f t="shared" si="2"/>
        <v>33</v>
      </c>
      <c r="O26">
        <f t="shared" si="2"/>
        <v>41</v>
      </c>
      <c r="P26">
        <f t="shared" si="2"/>
        <v>52</v>
      </c>
      <c r="Q26">
        <f t="shared" si="2"/>
        <v>65</v>
      </c>
      <c r="R26">
        <f t="shared" si="2"/>
        <v>81</v>
      </c>
      <c r="S26">
        <f t="shared" si="2"/>
        <v>98</v>
      </c>
      <c r="T26">
        <f t="shared" si="2"/>
        <v>124</v>
      </c>
      <c r="U26" s="21"/>
      <c r="V26" s="21"/>
      <c r="W26" s="21"/>
      <c r="X26" s="21"/>
      <c r="Y26" s="21"/>
      <c r="Z26" s="21"/>
      <c r="AA26" s="21"/>
      <c r="AB26" s="21"/>
      <c r="AC26" s="21"/>
      <c r="AD26" s="21"/>
    </row>
    <row r="27" spans="1:30" x14ac:dyDescent="0.2">
      <c r="U27" s="21"/>
      <c r="V27" s="21"/>
      <c r="W27" s="21"/>
      <c r="X27" s="21"/>
      <c r="Y27" s="21"/>
      <c r="Z27" s="21"/>
      <c r="AA27" s="21"/>
      <c r="AB27" s="21"/>
      <c r="AC27" s="21"/>
      <c r="AD27" s="21"/>
    </row>
    <row r="28" spans="1:30" x14ac:dyDescent="0.2">
      <c r="A28" s="19" t="s">
        <v>13</v>
      </c>
      <c r="U28" s="21"/>
      <c r="V28" s="21"/>
      <c r="W28" s="21"/>
      <c r="X28" s="21"/>
      <c r="Y28" s="21"/>
      <c r="Z28" s="21"/>
      <c r="AA28" s="21"/>
      <c r="AB28" s="21"/>
      <c r="AC28" s="21"/>
      <c r="AD28" s="21"/>
    </row>
    <row r="29" spans="1:30" x14ac:dyDescent="0.2">
      <c r="A29" s="3" t="s">
        <v>2</v>
      </c>
      <c r="B29" s="4">
        <v>2012</v>
      </c>
      <c r="C29" s="4">
        <v>2013</v>
      </c>
      <c r="D29" s="4">
        <v>2014</v>
      </c>
      <c r="E29" s="4">
        <v>2015</v>
      </c>
      <c r="F29" s="4">
        <v>2016</v>
      </c>
      <c r="G29" s="4">
        <v>2017</v>
      </c>
      <c r="H29" s="4">
        <v>2018</v>
      </c>
      <c r="I29" s="4">
        <v>2019</v>
      </c>
      <c r="J29" s="4">
        <v>2020</v>
      </c>
      <c r="K29" s="4">
        <v>2021</v>
      </c>
      <c r="L29" s="4">
        <v>2022</v>
      </c>
      <c r="M29" s="4">
        <v>2023</v>
      </c>
      <c r="N29" s="4">
        <v>2024</v>
      </c>
      <c r="O29" s="4">
        <v>2025</v>
      </c>
      <c r="P29" s="4">
        <v>2026</v>
      </c>
      <c r="Q29" s="4">
        <v>2027</v>
      </c>
      <c r="R29" s="4">
        <v>2028</v>
      </c>
      <c r="S29" s="4">
        <v>2029</v>
      </c>
      <c r="T29" s="4">
        <v>2030</v>
      </c>
      <c r="U29" s="20"/>
      <c r="V29" s="20"/>
      <c r="W29" s="20"/>
      <c r="X29" s="20"/>
      <c r="Y29" s="20"/>
      <c r="Z29" s="20"/>
      <c r="AA29" s="20"/>
      <c r="AB29" s="20"/>
      <c r="AC29" s="20"/>
      <c r="AD29" s="20"/>
    </row>
    <row r="30" spans="1:30" x14ac:dyDescent="0.2">
      <c r="A30" s="5" t="s">
        <v>3</v>
      </c>
      <c r="B30" s="6" t="s">
        <v>4</v>
      </c>
      <c r="C30" s="6" t="s">
        <v>4</v>
      </c>
      <c r="D30" s="6" t="s">
        <v>4</v>
      </c>
      <c r="E30" s="6" t="s">
        <v>4</v>
      </c>
      <c r="F30" s="7">
        <f t="shared" ref="F30:S30" si="3">SUM(F24:F25)*($T$30/SUM($T$24:$T$25))</f>
        <v>7.379032258064516</v>
      </c>
      <c r="G30" s="7">
        <f t="shared" si="3"/>
        <v>12.298387096774192</v>
      </c>
      <c r="H30" s="7">
        <f t="shared" si="3"/>
        <v>17.217741935483868</v>
      </c>
      <c r="I30" s="7">
        <f t="shared" si="3"/>
        <v>22.137096774193548</v>
      </c>
      <c r="J30" s="7">
        <f t="shared" si="3"/>
        <v>31.9758064516129</v>
      </c>
      <c r="K30" s="7">
        <f t="shared" si="3"/>
        <v>41.814516129032256</v>
      </c>
      <c r="L30" s="7">
        <f t="shared" si="3"/>
        <v>51.653225806451609</v>
      </c>
      <c r="M30" s="7">
        <f t="shared" si="3"/>
        <v>66.411290322580641</v>
      </c>
      <c r="N30" s="7">
        <f t="shared" si="3"/>
        <v>81.169354838709666</v>
      </c>
      <c r="O30" s="7">
        <f t="shared" si="3"/>
        <v>100.84677419354838</v>
      </c>
      <c r="P30" s="7">
        <f t="shared" si="3"/>
        <v>127.9032258064516</v>
      </c>
      <c r="Q30" s="7">
        <f t="shared" si="3"/>
        <v>159.87903225806451</v>
      </c>
      <c r="R30" s="7">
        <f t="shared" si="3"/>
        <v>199.23387096774192</v>
      </c>
      <c r="S30" s="7">
        <f t="shared" si="3"/>
        <v>241.04838709677418</v>
      </c>
      <c r="T30">
        <v>305</v>
      </c>
      <c r="U30" s="21"/>
      <c r="V30" s="21"/>
      <c r="W30" s="21"/>
      <c r="X30" s="21"/>
      <c r="Y30" s="21"/>
      <c r="Z30" s="21"/>
      <c r="AA30" s="21"/>
      <c r="AB30" s="21"/>
      <c r="AC30" s="21"/>
      <c r="AD30" s="21"/>
    </row>
    <row r="31" spans="1:30" x14ac:dyDescent="0.2">
      <c r="B31" s="22"/>
      <c r="C31" s="22"/>
      <c r="D31" s="22"/>
      <c r="E31" s="22"/>
    </row>
    <row r="34" spans="1:6" ht="24" x14ac:dyDescent="0.3">
      <c r="A34" s="8" t="s">
        <v>14</v>
      </c>
    </row>
    <row r="35" spans="1:6" x14ac:dyDescent="0.2">
      <c r="A35" s="19" t="s">
        <v>15</v>
      </c>
    </row>
    <row r="36" spans="1:6" ht="16" thickBot="1" x14ac:dyDescent="0.25">
      <c r="A36" t="s">
        <v>16</v>
      </c>
    </row>
    <row r="37" spans="1:6" ht="16" thickBot="1" x14ac:dyDescent="0.25">
      <c r="C37" s="62" t="s">
        <v>17</v>
      </c>
      <c r="D37" s="63"/>
      <c r="E37" s="62" t="s">
        <v>18</v>
      </c>
      <c r="F37" s="63"/>
    </row>
    <row r="38" spans="1:6" x14ac:dyDescent="0.2">
      <c r="A38" s="23" t="s">
        <v>2</v>
      </c>
      <c r="B38" s="24">
        <v>2017</v>
      </c>
      <c r="C38" s="23" t="s">
        <v>19</v>
      </c>
      <c r="D38" s="25" t="s">
        <v>20</v>
      </c>
      <c r="E38" s="23" t="s">
        <v>19</v>
      </c>
      <c r="F38" s="25" t="s">
        <v>20</v>
      </c>
    </row>
    <row r="39" spans="1:6" x14ac:dyDescent="0.2">
      <c r="A39" s="21" t="s">
        <v>21</v>
      </c>
      <c r="B39" s="26"/>
      <c r="C39" s="27">
        <f>0.44*C41</f>
        <v>44</v>
      </c>
      <c r="D39" s="28">
        <f>0.44*D41</f>
        <v>79.64</v>
      </c>
      <c r="E39" s="27">
        <f>0.44*E41</f>
        <v>73.48</v>
      </c>
      <c r="F39" s="28">
        <f>0.44*F41</f>
        <v>185.24</v>
      </c>
    </row>
    <row r="40" spans="1:6" x14ac:dyDescent="0.2">
      <c r="A40" s="29" t="s">
        <v>11</v>
      </c>
      <c r="B40" s="30"/>
      <c r="C40" s="31">
        <f>C41-C39</f>
        <v>56</v>
      </c>
      <c r="D40" s="32">
        <f t="shared" ref="D40:F40" si="4">D41-D39</f>
        <v>101.36</v>
      </c>
      <c r="E40" s="31">
        <f t="shared" si="4"/>
        <v>93.52</v>
      </c>
      <c r="F40" s="32">
        <f t="shared" si="4"/>
        <v>235.76</v>
      </c>
    </row>
    <row r="41" spans="1:6" ht="16" thickBot="1" x14ac:dyDescent="0.25">
      <c r="A41" s="33" t="s">
        <v>3</v>
      </c>
      <c r="B41" s="34">
        <v>11</v>
      </c>
      <c r="C41" s="33">
        <v>100</v>
      </c>
      <c r="D41" s="35">
        <v>181</v>
      </c>
      <c r="E41" s="33">
        <v>167</v>
      </c>
      <c r="F41" s="35">
        <v>421</v>
      </c>
    </row>
  </sheetData>
  <mergeCells count="2">
    <mergeCell ref="C37:D37"/>
    <mergeCell ref="E37:F37"/>
  </mergeCells>
  <conditionalFormatting sqref="B17:AD17 B11:AD13">
    <cfRule type="expression" dxfId="9" priority="9" stopIfTrue="1">
      <formula>MOD(ROW(),2)=1</formula>
    </cfRule>
  </conditionalFormatting>
  <conditionalFormatting sqref="B17:AD17 B11:AD13">
    <cfRule type="expression" dxfId="8" priority="10" stopIfTrue="1">
      <formula>MOD(ROW(),2)=0</formula>
    </cfRule>
  </conditionalFormatting>
  <conditionalFormatting sqref="A11:A13">
    <cfRule type="expression" dxfId="7" priority="7" stopIfTrue="1">
      <formula>MOD(ROW(),2)=1</formula>
    </cfRule>
  </conditionalFormatting>
  <conditionalFormatting sqref="A11:A13">
    <cfRule type="expression" dxfId="6" priority="8" stopIfTrue="1">
      <formula>MOD(ROW(),2)=0</formula>
    </cfRule>
  </conditionalFormatting>
  <conditionalFormatting sqref="A16">
    <cfRule type="expression" dxfId="5" priority="5" stopIfTrue="1">
      <formula>MOD(ROW(),2)=1</formula>
    </cfRule>
  </conditionalFormatting>
  <conditionalFormatting sqref="A16">
    <cfRule type="expression" dxfId="4" priority="6" stopIfTrue="1">
      <formula>MOD(ROW(),2)=0</formula>
    </cfRule>
  </conditionalFormatting>
  <conditionalFormatting sqref="A17">
    <cfRule type="expression" dxfId="3" priority="3" stopIfTrue="1">
      <formula>MOD(ROW(),2)=1</formula>
    </cfRule>
  </conditionalFormatting>
  <conditionalFormatting sqref="A17">
    <cfRule type="expression" dxfId="2" priority="4" stopIfTrue="1">
      <formula>MOD(ROW(),2)=0</formula>
    </cfRule>
  </conditionalFormatting>
  <conditionalFormatting sqref="B16:AD16">
    <cfRule type="expression" dxfId="1" priority="1" stopIfTrue="1">
      <formula>MOD(ROW(),2)=1</formula>
    </cfRule>
  </conditionalFormatting>
  <conditionalFormatting sqref="B16:AD16">
    <cfRule type="expression" dxfId="0" priority="2" stopIfTrue="1">
      <formula>MOD(ROW(),2)=0</formula>
    </cfRule>
  </conditionalFormatting>
  <hyperlinks>
    <hyperlink ref="A22" r:id="rId1" xr:uid="{00000000-0004-0000-0100-000000000000}"/>
    <hyperlink ref="A28" r:id="rId2" xr:uid="{00000000-0004-0000-0100-000001000000}"/>
    <hyperlink ref="A35" r:id="rId3" xr:uid="{00000000-0004-0000-0100-000002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AC48"/>
  <sheetViews>
    <sheetView workbookViewId="0">
      <selection activeCell="A10" sqref="A10"/>
    </sheetView>
  </sheetViews>
  <sheetFormatPr baseColWidth="10" defaultColWidth="8.83203125" defaultRowHeight="15" x14ac:dyDescent="0.2"/>
  <cols>
    <col min="1" max="1" width="48.1640625" bestFit="1" customWidth="1"/>
    <col min="2" max="2" width="45.6640625" customWidth="1"/>
    <col min="3" max="3" width="20.5" bestFit="1" customWidth="1"/>
    <col min="4" max="4" width="26.33203125" bestFit="1" customWidth="1"/>
    <col min="5" max="5" width="20.5" bestFit="1" customWidth="1"/>
    <col min="6" max="6" width="26.33203125" bestFit="1" customWidth="1"/>
    <col min="7" max="9" width="10.5" bestFit="1" customWidth="1"/>
    <col min="10" max="15" width="11.5" bestFit="1" customWidth="1"/>
    <col min="16" max="17" width="11.33203125" bestFit="1" customWidth="1"/>
    <col min="18" max="18" width="11.5" bestFit="1" customWidth="1"/>
    <col min="19" max="19" width="12.5" bestFit="1" customWidth="1"/>
    <col min="20" max="29" width="11.33203125" bestFit="1" customWidth="1"/>
  </cols>
  <sheetData>
    <row r="5" spans="1:6" ht="16" thickBot="1" x14ac:dyDescent="0.25"/>
    <row r="6" spans="1:6" ht="25" thickBot="1" x14ac:dyDescent="0.35">
      <c r="A6" s="8" t="s">
        <v>22</v>
      </c>
      <c r="C6" s="62" t="s">
        <v>23</v>
      </c>
      <c r="D6" s="64"/>
      <c r="E6" s="62" t="s">
        <v>24</v>
      </c>
      <c r="F6" s="63"/>
    </row>
    <row r="7" spans="1:6" x14ac:dyDescent="0.2">
      <c r="A7" s="23" t="s">
        <v>25</v>
      </c>
      <c r="B7" s="25">
        <v>2017</v>
      </c>
      <c r="C7" s="36" t="s">
        <v>26</v>
      </c>
      <c r="D7" s="37" t="s">
        <v>27</v>
      </c>
      <c r="E7" s="36" t="s">
        <v>26</v>
      </c>
      <c r="F7" s="37" t="s">
        <v>27</v>
      </c>
    </row>
    <row r="8" spans="1:6" x14ac:dyDescent="0.2">
      <c r="A8" s="38" t="s">
        <v>28</v>
      </c>
      <c r="B8" s="39">
        <v>22</v>
      </c>
      <c r="C8" s="27">
        <v>918</v>
      </c>
      <c r="D8" s="28">
        <v>3290</v>
      </c>
      <c r="E8" s="27">
        <v>1377</v>
      </c>
      <c r="F8" s="28">
        <v>4021</v>
      </c>
    </row>
    <row r="9" spans="1:6" x14ac:dyDescent="0.2">
      <c r="A9" s="29" t="s">
        <v>29</v>
      </c>
      <c r="B9" s="40">
        <v>105</v>
      </c>
      <c r="C9" s="41">
        <f>0.23*6.62*0.17*1000</f>
        <v>258.8420000000001</v>
      </c>
      <c r="D9" s="42">
        <f>0.06*0.49*11.89*1000</f>
        <v>349.56599999999997</v>
      </c>
      <c r="E9" s="41">
        <f>0.26*0.17*7.82*1000</f>
        <v>345.64400000000006</v>
      </c>
      <c r="F9" s="42">
        <f>0.09*0.55*15.27*1000</f>
        <v>755.86500000000001</v>
      </c>
    </row>
    <row r="10" spans="1:6" ht="16" thickBot="1" x14ac:dyDescent="0.25">
      <c r="A10" s="33" t="s">
        <v>30</v>
      </c>
      <c r="B10" s="43">
        <f>SUM(B8:B9)</f>
        <v>127</v>
      </c>
      <c r="C10" s="44">
        <f t="shared" ref="C10:F10" si="0">SUM(C8:C9)</f>
        <v>1176.8420000000001</v>
      </c>
      <c r="D10" s="43">
        <f t="shared" si="0"/>
        <v>3639.5659999999998</v>
      </c>
      <c r="E10" s="44">
        <f t="shared" si="0"/>
        <v>1722.644</v>
      </c>
      <c r="F10" s="43">
        <f t="shared" si="0"/>
        <v>4776.8649999999998</v>
      </c>
    </row>
    <row r="11" spans="1:6" x14ac:dyDescent="0.2">
      <c r="A11" s="45"/>
      <c r="B11" s="46"/>
      <c r="C11" s="46"/>
      <c r="D11" s="46"/>
      <c r="E11" s="46"/>
      <c r="F11" s="46"/>
    </row>
    <row r="12" spans="1:6" x14ac:dyDescent="0.2">
      <c r="A12" s="45"/>
      <c r="B12" s="46"/>
      <c r="C12" s="46"/>
      <c r="D12" s="46"/>
      <c r="E12" s="46"/>
      <c r="F12" s="46"/>
    </row>
    <row r="19" spans="1:29" ht="24" x14ac:dyDescent="0.3">
      <c r="A19" s="8" t="s">
        <v>31</v>
      </c>
    </row>
    <row r="20" spans="1:29" x14ac:dyDescent="0.2">
      <c r="A20" s="3" t="s">
        <v>32</v>
      </c>
      <c r="B20" s="47"/>
      <c r="C20" s="47"/>
      <c r="D20" s="48">
        <v>2015</v>
      </c>
      <c r="E20" s="48">
        <v>2016</v>
      </c>
      <c r="F20" s="48">
        <v>2017</v>
      </c>
      <c r="G20" s="48">
        <v>2018</v>
      </c>
      <c r="H20" s="48">
        <v>2019</v>
      </c>
      <c r="I20" s="48">
        <v>2020</v>
      </c>
      <c r="J20" s="48">
        <v>2021</v>
      </c>
      <c r="K20" s="48">
        <v>2022</v>
      </c>
      <c r="L20" s="48">
        <v>2023</v>
      </c>
      <c r="M20" s="48">
        <v>2024</v>
      </c>
      <c r="N20" s="48">
        <v>2025</v>
      </c>
      <c r="O20" s="48">
        <v>2026</v>
      </c>
      <c r="P20" s="48">
        <v>2027</v>
      </c>
      <c r="Q20" s="48">
        <v>2028</v>
      </c>
      <c r="R20" s="48">
        <v>2029</v>
      </c>
      <c r="S20" s="48">
        <v>2030</v>
      </c>
      <c r="T20" s="48">
        <v>2031</v>
      </c>
      <c r="U20" s="48">
        <v>2032</v>
      </c>
      <c r="V20" s="48">
        <v>2033</v>
      </c>
      <c r="W20" s="48">
        <v>2034</v>
      </c>
      <c r="X20" s="48">
        <v>2035</v>
      </c>
      <c r="Y20" s="48">
        <v>2036</v>
      </c>
      <c r="Z20" s="48">
        <v>2037</v>
      </c>
      <c r="AA20" s="48">
        <v>2038</v>
      </c>
      <c r="AB20" s="48">
        <v>2039</v>
      </c>
      <c r="AC20" s="48">
        <v>2040</v>
      </c>
    </row>
    <row r="21" spans="1:29" x14ac:dyDescent="0.2">
      <c r="A21" t="s">
        <v>33</v>
      </c>
      <c r="D21" s="49">
        <v>19.099972492632041</v>
      </c>
      <c r="E21" s="49">
        <v>33.60019285007489</v>
      </c>
      <c r="F21" s="49">
        <v>46.840217011157698</v>
      </c>
      <c r="G21" s="49">
        <v>78.390084012716187</v>
      </c>
      <c r="H21" s="49">
        <v>105.71791482845779</v>
      </c>
      <c r="I21" s="49">
        <v>122.97922506085837</v>
      </c>
      <c r="J21" s="49">
        <v>150.14192102637278</v>
      </c>
      <c r="K21" s="49">
        <v>189.49540277143416</v>
      </c>
      <c r="L21" s="49">
        <v>251.2578376312016</v>
      </c>
      <c r="M21" s="49">
        <v>325.24102177198762</v>
      </c>
      <c r="N21" s="49">
        <v>408.72463023139971</v>
      </c>
      <c r="O21" s="49">
        <v>512.81725584666378</v>
      </c>
      <c r="P21" s="49">
        <v>654.88241619244786</v>
      </c>
      <c r="Q21" s="49">
        <v>819.32660274887803</v>
      </c>
      <c r="R21" s="49">
        <v>1036.0033484224491</v>
      </c>
      <c r="S21" s="49">
        <v>1293.7275038027401</v>
      </c>
      <c r="T21" s="50"/>
      <c r="U21" s="50"/>
      <c r="V21" s="50"/>
      <c r="W21" s="50"/>
      <c r="X21" s="50"/>
      <c r="Y21" s="50"/>
      <c r="Z21" s="50"/>
      <c r="AA21" s="50"/>
      <c r="AB21" s="50"/>
      <c r="AC21" s="50"/>
    </row>
    <row r="22" spans="1:29" x14ac:dyDescent="0.2">
      <c r="A22" t="s">
        <v>34</v>
      </c>
      <c r="D22" s="49">
        <v>448342</v>
      </c>
      <c r="E22" s="49">
        <v>694713</v>
      </c>
      <c r="F22" s="49">
        <v>1017911.8358592112</v>
      </c>
      <c r="G22" s="49">
        <v>1670971.012904431</v>
      </c>
      <c r="H22" s="49">
        <v>2131619.1119355685</v>
      </c>
      <c r="I22" s="49">
        <v>2454466.8335796478</v>
      </c>
      <c r="J22" s="49">
        <v>2892253.2603390338</v>
      </c>
      <c r="K22" s="49">
        <v>3644554.8005815325</v>
      </c>
      <c r="L22" s="49">
        <v>4953887.4079530137</v>
      </c>
      <c r="M22" s="49">
        <v>6391435.6377578368</v>
      </c>
      <c r="N22" s="49">
        <v>8065085.5788198905</v>
      </c>
      <c r="O22" s="49">
        <v>10132110.194558753</v>
      </c>
      <c r="P22" s="49">
        <v>12788492.619753104</v>
      </c>
      <c r="Q22" s="49">
        <v>15927253.982247265</v>
      </c>
      <c r="R22" s="49">
        <v>19855435.218036462</v>
      </c>
      <c r="S22" s="49">
        <v>24431423.803297423</v>
      </c>
      <c r="T22" s="49">
        <v>28999050.067600422</v>
      </c>
      <c r="U22" s="49">
        <v>33606578.848519072</v>
      </c>
      <c r="V22" s="49">
        <v>38810028.201853812</v>
      </c>
      <c r="W22" s="49">
        <v>43716862.857226506</v>
      </c>
      <c r="X22" s="49">
        <v>48022527.108734399</v>
      </c>
      <c r="Y22" s="49">
        <v>51630326.689789087</v>
      </c>
      <c r="Z22" s="49">
        <v>55417050.871414095</v>
      </c>
      <c r="AA22" s="49">
        <v>59043212.654946938</v>
      </c>
      <c r="AB22" s="49">
        <v>62007470.49787423</v>
      </c>
      <c r="AC22" s="49">
        <v>64044441.576322578</v>
      </c>
    </row>
    <row r="23" spans="1:29" x14ac:dyDescent="0.2">
      <c r="E23" s="58"/>
    </row>
    <row r="30" spans="1:29" ht="24" x14ac:dyDescent="0.3">
      <c r="A30" s="8" t="s">
        <v>35</v>
      </c>
    </row>
    <row r="31" spans="1:29" x14ac:dyDescent="0.2">
      <c r="A31" s="51" t="s">
        <v>36</v>
      </c>
      <c r="B31" s="51"/>
      <c r="C31" s="51"/>
    </row>
    <row r="32" spans="1:29" x14ac:dyDescent="0.2">
      <c r="A32" s="52" t="s">
        <v>37</v>
      </c>
      <c r="B32" s="52"/>
      <c r="C32" s="52"/>
    </row>
    <row r="33" spans="1:28" x14ac:dyDescent="0.2">
      <c r="D33" s="53">
        <v>2016</v>
      </c>
      <c r="E33" s="53">
        <v>2017</v>
      </c>
      <c r="F33" s="53">
        <v>2018</v>
      </c>
      <c r="G33" s="53">
        <v>2019</v>
      </c>
      <c r="H33" s="53">
        <v>2020</v>
      </c>
      <c r="I33" s="53">
        <v>2021</v>
      </c>
      <c r="J33" s="53">
        <v>2022</v>
      </c>
      <c r="K33" s="53">
        <v>2023</v>
      </c>
      <c r="L33" s="53">
        <v>2024</v>
      </c>
      <c r="M33" s="53">
        <v>2025</v>
      </c>
      <c r="N33" s="53">
        <v>2026</v>
      </c>
      <c r="O33" s="53">
        <v>2027</v>
      </c>
      <c r="P33" s="53">
        <v>2028</v>
      </c>
      <c r="Q33" s="53">
        <v>2029</v>
      </c>
      <c r="R33" s="53">
        <v>2030</v>
      </c>
      <c r="S33" s="53">
        <v>2031</v>
      </c>
      <c r="T33" s="53">
        <v>2032</v>
      </c>
      <c r="U33" s="53">
        <v>2033</v>
      </c>
      <c r="V33" s="53">
        <v>2034</v>
      </c>
      <c r="W33" s="53">
        <v>2035</v>
      </c>
      <c r="X33" s="53">
        <v>2036</v>
      </c>
      <c r="Y33" s="53">
        <v>2037</v>
      </c>
      <c r="Z33" s="53">
        <v>2038</v>
      </c>
      <c r="AA33" s="53">
        <v>2039</v>
      </c>
      <c r="AB33" s="53">
        <v>2040</v>
      </c>
    </row>
    <row r="34" spans="1:28" x14ac:dyDescent="0.2">
      <c r="A34" s="54" t="s">
        <v>38</v>
      </c>
      <c r="B34" s="54"/>
      <c r="C34" s="54"/>
      <c r="D34" s="55">
        <v>0</v>
      </c>
      <c r="E34" s="55">
        <v>0</v>
      </c>
      <c r="F34" s="55">
        <v>0</v>
      </c>
      <c r="G34" s="55">
        <v>0</v>
      </c>
      <c r="H34" s="55">
        <v>0</v>
      </c>
      <c r="I34" s="55">
        <v>0</v>
      </c>
      <c r="J34" s="55">
        <v>0.1</v>
      </c>
      <c r="K34" s="55">
        <v>0.1</v>
      </c>
      <c r="L34" s="55">
        <v>0.1</v>
      </c>
      <c r="M34" s="55">
        <v>0.2</v>
      </c>
      <c r="N34" s="55">
        <v>0.2</v>
      </c>
      <c r="O34" s="55">
        <v>0.3</v>
      </c>
      <c r="P34" s="55">
        <v>0.4</v>
      </c>
      <c r="Q34" s="55">
        <v>0.6</v>
      </c>
      <c r="R34" s="55">
        <v>0.8</v>
      </c>
      <c r="S34" s="55">
        <v>1.1000000000000001</v>
      </c>
      <c r="T34" s="55">
        <v>1.4</v>
      </c>
      <c r="U34" s="55">
        <v>1.9</v>
      </c>
      <c r="V34" s="55">
        <v>2.4</v>
      </c>
      <c r="W34" s="55">
        <v>3.1</v>
      </c>
      <c r="X34" s="55">
        <v>4</v>
      </c>
      <c r="Y34" s="55">
        <v>5</v>
      </c>
      <c r="Z34" s="55">
        <v>6.4</v>
      </c>
      <c r="AA34" s="55">
        <v>7.9</v>
      </c>
      <c r="AB34" s="55">
        <v>9.6</v>
      </c>
    </row>
    <row r="35" spans="1:28" x14ac:dyDescent="0.2">
      <c r="A35" s="54" t="s">
        <v>39</v>
      </c>
      <c r="B35" s="54"/>
      <c r="C35" s="54"/>
      <c r="D35" s="55">
        <v>1.5</v>
      </c>
      <c r="E35" s="55">
        <v>2.1</v>
      </c>
      <c r="F35" s="55">
        <v>3</v>
      </c>
      <c r="G35" s="55">
        <v>4.0999999999999996</v>
      </c>
      <c r="H35" s="55">
        <v>5.6</v>
      </c>
      <c r="I35" s="55">
        <v>7.5</v>
      </c>
      <c r="J35" s="55">
        <v>9.9</v>
      </c>
      <c r="K35" s="55">
        <v>13.1</v>
      </c>
      <c r="L35" s="55">
        <v>17.2</v>
      </c>
      <c r="M35" s="55">
        <v>22.2</v>
      </c>
      <c r="N35" s="55">
        <v>28.4</v>
      </c>
      <c r="O35" s="55">
        <v>35.9</v>
      </c>
      <c r="P35" s="55">
        <v>44.7</v>
      </c>
      <c r="Q35" s="55">
        <v>54.8</v>
      </c>
      <c r="R35" s="55">
        <v>66.400000000000006</v>
      </c>
      <c r="S35" s="55">
        <v>79.3</v>
      </c>
      <c r="T35" s="55">
        <v>93.6</v>
      </c>
      <c r="U35" s="55">
        <v>109.1</v>
      </c>
      <c r="V35" s="55">
        <v>125.6</v>
      </c>
      <c r="W35" s="55">
        <v>143</v>
      </c>
      <c r="X35" s="55">
        <v>161.1</v>
      </c>
      <c r="Y35" s="55">
        <v>179.5</v>
      </c>
      <c r="Z35" s="55">
        <v>198.2</v>
      </c>
      <c r="AA35" s="55">
        <v>216.8</v>
      </c>
      <c r="AB35" s="55">
        <v>235.3</v>
      </c>
    </row>
    <row r="36" spans="1:28" x14ac:dyDescent="0.2">
      <c r="A36" s="54" t="s">
        <v>40</v>
      </c>
      <c r="B36" s="54"/>
      <c r="C36" s="54"/>
      <c r="D36" s="55">
        <v>12.9</v>
      </c>
      <c r="E36" s="55">
        <v>14.5</v>
      </c>
      <c r="F36" s="55">
        <v>16.3</v>
      </c>
      <c r="G36" s="55">
        <v>18.3</v>
      </c>
      <c r="H36" s="55">
        <v>20.5</v>
      </c>
      <c r="I36" s="55">
        <v>22.9</v>
      </c>
      <c r="J36" s="55">
        <v>25.5</v>
      </c>
      <c r="K36" s="55">
        <v>28.4</v>
      </c>
      <c r="L36" s="55">
        <v>31.5</v>
      </c>
      <c r="M36" s="55">
        <v>34.799999999999997</v>
      </c>
      <c r="N36" s="55">
        <v>38.4</v>
      </c>
      <c r="O36" s="55">
        <v>42.2</v>
      </c>
      <c r="P36" s="55">
        <v>46.1</v>
      </c>
      <c r="Q36" s="55">
        <v>50.3</v>
      </c>
      <c r="R36" s="55">
        <v>54.7</v>
      </c>
      <c r="S36" s="55">
        <v>59.2</v>
      </c>
      <c r="T36" s="55">
        <v>63.8</v>
      </c>
      <c r="U36" s="55">
        <v>68.599999999999994</v>
      </c>
      <c r="V36" s="55">
        <v>73.400000000000006</v>
      </c>
      <c r="W36" s="55">
        <v>78.3</v>
      </c>
      <c r="X36" s="55">
        <v>83.3</v>
      </c>
      <c r="Y36" s="55">
        <v>88.2</v>
      </c>
      <c r="Z36" s="55">
        <v>93.2</v>
      </c>
      <c r="AA36" s="55">
        <v>98.1</v>
      </c>
      <c r="AB36" s="55">
        <v>103</v>
      </c>
    </row>
    <row r="37" spans="1:28" x14ac:dyDescent="0.2">
      <c r="A37" s="54" t="s">
        <v>41</v>
      </c>
      <c r="B37" s="54"/>
      <c r="C37" s="54"/>
      <c r="D37" s="55">
        <v>19.8</v>
      </c>
      <c r="E37" s="55">
        <v>21</v>
      </c>
      <c r="F37" s="55">
        <v>22.5</v>
      </c>
      <c r="G37" s="55">
        <v>24</v>
      </c>
      <c r="H37" s="55">
        <v>25.7</v>
      </c>
      <c r="I37" s="55">
        <v>27.5</v>
      </c>
      <c r="J37" s="55">
        <v>29.4</v>
      </c>
      <c r="K37" s="55">
        <v>31.5</v>
      </c>
      <c r="L37" s="55">
        <v>33.700000000000003</v>
      </c>
      <c r="M37" s="55">
        <v>36</v>
      </c>
      <c r="N37" s="55">
        <v>38.4</v>
      </c>
      <c r="O37" s="55">
        <v>40.9</v>
      </c>
      <c r="P37" s="55">
        <v>43.4</v>
      </c>
      <c r="Q37" s="55">
        <v>46.1</v>
      </c>
      <c r="R37" s="55">
        <v>48.8</v>
      </c>
      <c r="S37" s="55">
        <v>51.5</v>
      </c>
      <c r="T37" s="55">
        <v>54.3</v>
      </c>
      <c r="U37" s="55">
        <v>57.1</v>
      </c>
      <c r="V37" s="55">
        <v>59.9</v>
      </c>
      <c r="W37" s="55">
        <v>62.8</v>
      </c>
      <c r="X37" s="55">
        <v>65.599999999999994</v>
      </c>
      <c r="Y37" s="55">
        <v>68.400000000000006</v>
      </c>
      <c r="Z37" s="55">
        <v>71.2</v>
      </c>
      <c r="AA37" s="55">
        <v>74</v>
      </c>
      <c r="AB37" s="55">
        <v>76.7</v>
      </c>
    </row>
    <row r="38" spans="1:28" x14ac:dyDescent="0.2">
      <c r="A38" s="54" t="s">
        <v>42</v>
      </c>
      <c r="B38" s="54"/>
      <c r="C38" s="54"/>
      <c r="D38" s="55">
        <v>1042.5</v>
      </c>
      <c r="E38" s="55">
        <v>1071.7</v>
      </c>
      <c r="F38" s="55">
        <v>1101.5999999999999</v>
      </c>
      <c r="G38" s="55">
        <v>1131.9000000000001</v>
      </c>
      <c r="H38" s="55">
        <v>1162.5999999999999</v>
      </c>
      <c r="I38" s="55">
        <v>1193.5</v>
      </c>
      <c r="J38" s="55">
        <v>1224.3</v>
      </c>
      <c r="K38" s="55">
        <v>1255</v>
      </c>
      <c r="L38" s="55">
        <v>1285.2</v>
      </c>
      <c r="M38" s="55">
        <v>1314.7</v>
      </c>
      <c r="N38" s="55">
        <v>1343.4</v>
      </c>
      <c r="O38" s="55">
        <v>1371</v>
      </c>
      <c r="P38" s="55">
        <v>1397.3</v>
      </c>
      <c r="Q38" s="55">
        <v>1422.2</v>
      </c>
      <c r="R38" s="55">
        <v>1445.7</v>
      </c>
      <c r="S38" s="55">
        <v>1467.6</v>
      </c>
      <c r="T38" s="55">
        <v>1488</v>
      </c>
      <c r="U38" s="55">
        <v>1506.9</v>
      </c>
      <c r="V38" s="55">
        <v>1524.4</v>
      </c>
      <c r="W38" s="55">
        <v>1540.6</v>
      </c>
      <c r="X38" s="55">
        <v>1555.6</v>
      </c>
      <c r="Y38" s="55">
        <v>1569.6</v>
      </c>
      <c r="Z38" s="55">
        <v>1582.7</v>
      </c>
      <c r="AA38" s="55">
        <v>1595.2</v>
      </c>
      <c r="AB38" s="55">
        <v>1607</v>
      </c>
    </row>
    <row r="40" spans="1:28" x14ac:dyDescent="0.2">
      <c r="A40" s="51" t="s">
        <v>43</v>
      </c>
      <c r="B40" s="51"/>
      <c r="C40" s="51"/>
    </row>
    <row r="41" spans="1:28" x14ac:dyDescent="0.2">
      <c r="A41" s="52" t="s">
        <v>37</v>
      </c>
      <c r="B41" s="52"/>
      <c r="C41" s="52"/>
      <c r="D41" s="53">
        <v>2016</v>
      </c>
      <c r="E41" s="53">
        <v>2017</v>
      </c>
      <c r="F41" s="53">
        <v>2018</v>
      </c>
      <c r="G41" s="53">
        <v>2019</v>
      </c>
      <c r="H41" s="53">
        <v>2020</v>
      </c>
      <c r="I41" s="53">
        <v>2021</v>
      </c>
      <c r="J41" s="53">
        <v>2022</v>
      </c>
      <c r="K41" s="53">
        <v>2023</v>
      </c>
      <c r="L41" s="53">
        <v>2024</v>
      </c>
      <c r="M41" s="53">
        <v>2025</v>
      </c>
      <c r="N41" s="53">
        <v>2026</v>
      </c>
      <c r="O41" s="53">
        <v>2027</v>
      </c>
      <c r="P41" s="53">
        <v>2028</v>
      </c>
      <c r="Q41" s="53">
        <v>2029</v>
      </c>
      <c r="R41" s="53">
        <v>2030</v>
      </c>
      <c r="S41" s="53">
        <v>2031</v>
      </c>
      <c r="T41" s="53">
        <v>2032</v>
      </c>
      <c r="U41" s="53">
        <v>2033</v>
      </c>
      <c r="V41" s="53">
        <v>2034</v>
      </c>
      <c r="W41" s="53">
        <v>2035</v>
      </c>
      <c r="X41" s="53">
        <v>2036</v>
      </c>
      <c r="Y41" s="53">
        <v>2037</v>
      </c>
      <c r="Z41" s="53">
        <v>2038</v>
      </c>
      <c r="AA41" s="53">
        <v>2039</v>
      </c>
      <c r="AB41" s="53">
        <v>2040</v>
      </c>
    </row>
    <row r="42" spans="1:28" x14ac:dyDescent="0.2">
      <c r="A42" s="54" t="s">
        <v>38</v>
      </c>
      <c r="B42" s="54"/>
      <c r="C42" s="54"/>
      <c r="D42" s="55">
        <v>0</v>
      </c>
      <c r="E42" s="55">
        <v>0</v>
      </c>
      <c r="F42" s="55">
        <v>0</v>
      </c>
      <c r="G42" s="55">
        <v>0</v>
      </c>
      <c r="H42" s="55">
        <v>0.1</v>
      </c>
      <c r="I42" s="55">
        <v>0.1</v>
      </c>
      <c r="J42" s="55">
        <v>0.1</v>
      </c>
      <c r="K42" s="55">
        <v>0.1</v>
      </c>
      <c r="L42" s="55">
        <v>0.1</v>
      </c>
      <c r="M42" s="55">
        <v>0.2</v>
      </c>
      <c r="N42" s="55">
        <v>0.2</v>
      </c>
      <c r="O42" s="55">
        <v>0.2</v>
      </c>
      <c r="P42" s="55">
        <v>0.3</v>
      </c>
      <c r="Q42" s="55">
        <v>0.3</v>
      </c>
      <c r="R42" s="55">
        <v>0.3</v>
      </c>
      <c r="S42" s="55">
        <v>0.4</v>
      </c>
      <c r="T42" s="55">
        <v>0.4</v>
      </c>
      <c r="U42" s="55">
        <v>0.5</v>
      </c>
      <c r="V42" s="55">
        <v>0.5</v>
      </c>
      <c r="W42" s="55">
        <v>0.6</v>
      </c>
      <c r="X42" s="55">
        <v>0.6</v>
      </c>
      <c r="Y42" s="55">
        <v>0.7</v>
      </c>
      <c r="Z42" s="55">
        <v>0.7</v>
      </c>
      <c r="AA42" s="55">
        <v>0.8</v>
      </c>
      <c r="AB42" s="55">
        <v>0.9</v>
      </c>
    </row>
    <row r="43" spans="1:28" x14ac:dyDescent="0.2">
      <c r="A43" s="54" t="s">
        <v>39</v>
      </c>
      <c r="B43" s="54"/>
      <c r="C43" s="54"/>
      <c r="D43" s="55">
        <v>0</v>
      </c>
      <c r="E43" s="55">
        <v>0</v>
      </c>
      <c r="F43" s="55">
        <v>0</v>
      </c>
      <c r="G43" s="55">
        <v>0</v>
      </c>
      <c r="H43" s="55">
        <v>0</v>
      </c>
      <c r="I43" s="55">
        <v>0</v>
      </c>
      <c r="J43" s="55">
        <v>0.1</v>
      </c>
      <c r="K43" s="55">
        <v>0.1</v>
      </c>
      <c r="L43" s="55">
        <v>0.2</v>
      </c>
      <c r="M43" s="55">
        <v>0.4</v>
      </c>
      <c r="N43" s="55">
        <v>0.6</v>
      </c>
      <c r="O43" s="55">
        <v>0.8</v>
      </c>
      <c r="P43" s="55">
        <v>1.3</v>
      </c>
      <c r="Q43" s="55">
        <v>1.8</v>
      </c>
      <c r="R43" s="55">
        <v>2.6</v>
      </c>
      <c r="S43" s="55">
        <v>3.4</v>
      </c>
      <c r="T43" s="55">
        <v>4.5</v>
      </c>
      <c r="U43" s="55">
        <v>5.8</v>
      </c>
      <c r="V43" s="55">
        <v>7.3</v>
      </c>
      <c r="W43" s="55">
        <v>8.9</v>
      </c>
      <c r="X43" s="55">
        <v>10.7</v>
      </c>
      <c r="Y43" s="55">
        <v>12.6</v>
      </c>
      <c r="Z43" s="55">
        <v>14.6</v>
      </c>
      <c r="AA43" s="55">
        <v>16.7</v>
      </c>
      <c r="AB43" s="55">
        <v>18.899999999999999</v>
      </c>
    </row>
    <row r="44" spans="1:28" x14ac:dyDescent="0.2">
      <c r="A44" s="54" t="s">
        <v>40</v>
      </c>
      <c r="B44" s="54"/>
      <c r="C44" s="54"/>
      <c r="D44" s="55">
        <v>0</v>
      </c>
      <c r="E44" s="55">
        <v>0</v>
      </c>
      <c r="F44" s="55">
        <v>0</v>
      </c>
      <c r="G44" s="55">
        <v>0</v>
      </c>
      <c r="H44" s="55">
        <v>0</v>
      </c>
      <c r="I44" s="55">
        <v>0</v>
      </c>
      <c r="J44" s="55">
        <v>0.1</v>
      </c>
      <c r="K44" s="55">
        <v>0.1</v>
      </c>
      <c r="L44" s="55">
        <v>0.2</v>
      </c>
      <c r="M44" s="55">
        <v>0.3</v>
      </c>
      <c r="N44" s="55">
        <v>0.5</v>
      </c>
      <c r="O44" s="55">
        <v>0.7</v>
      </c>
      <c r="P44" s="55">
        <v>0.9</v>
      </c>
      <c r="Q44" s="55">
        <v>1.3</v>
      </c>
      <c r="R44" s="55">
        <v>1.7</v>
      </c>
      <c r="S44" s="55">
        <v>2.2000000000000002</v>
      </c>
      <c r="T44" s="55">
        <v>2.8</v>
      </c>
      <c r="U44" s="55">
        <v>3.5</v>
      </c>
      <c r="V44" s="55">
        <v>4.4000000000000004</v>
      </c>
      <c r="W44" s="55">
        <v>5.4</v>
      </c>
      <c r="X44" s="55">
        <v>6.6</v>
      </c>
      <c r="Y44" s="55">
        <v>7.9</v>
      </c>
      <c r="Z44" s="55">
        <v>9.3000000000000007</v>
      </c>
      <c r="AA44" s="55">
        <v>10.9</v>
      </c>
      <c r="AB44" s="55">
        <v>12.5</v>
      </c>
    </row>
    <row r="45" spans="1:28" x14ac:dyDescent="0.2">
      <c r="A45" s="54" t="s">
        <v>41</v>
      </c>
      <c r="B45" s="54"/>
      <c r="C45" s="54"/>
      <c r="D45" s="55">
        <v>2.2000000000000002</v>
      </c>
      <c r="E45" s="55">
        <v>2.7</v>
      </c>
      <c r="F45" s="55">
        <v>3.2</v>
      </c>
      <c r="G45" s="55">
        <v>3.8</v>
      </c>
      <c r="H45" s="55">
        <v>4.4000000000000004</v>
      </c>
      <c r="I45" s="55">
        <v>5.2</v>
      </c>
      <c r="J45" s="55">
        <v>5.9</v>
      </c>
      <c r="K45" s="55">
        <v>6.7</v>
      </c>
      <c r="L45" s="55">
        <v>7.6</v>
      </c>
      <c r="M45" s="55">
        <v>8.5</v>
      </c>
      <c r="N45" s="55">
        <v>9.4</v>
      </c>
      <c r="O45" s="55">
        <v>10.4</v>
      </c>
      <c r="P45" s="55">
        <v>11.5</v>
      </c>
      <c r="Q45" s="55">
        <v>12.6</v>
      </c>
      <c r="R45" s="55">
        <v>13.7</v>
      </c>
      <c r="S45" s="55">
        <v>14.9</v>
      </c>
      <c r="T45" s="55">
        <v>16.100000000000001</v>
      </c>
      <c r="U45" s="55">
        <v>17.3</v>
      </c>
      <c r="V45" s="55">
        <v>18.600000000000001</v>
      </c>
      <c r="W45" s="55">
        <v>20</v>
      </c>
      <c r="X45" s="55">
        <v>21.3</v>
      </c>
      <c r="Y45" s="55">
        <v>22.7</v>
      </c>
      <c r="Z45" s="55">
        <v>24.1</v>
      </c>
      <c r="AA45" s="55">
        <v>25.6</v>
      </c>
      <c r="AB45" s="55">
        <v>27.1</v>
      </c>
    </row>
    <row r="46" spans="1:28" x14ac:dyDescent="0.2">
      <c r="A46" s="54" t="s">
        <v>42</v>
      </c>
      <c r="B46" s="54"/>
      <c r="C46" s="54"/>
      <c r="D46" s="55">
        <v>221.4</v>
      </c>
      <c r="E46" s="55">
        <v>227.4</v>
      </c>
      <c r="F46" s="55">
        <v>233.9</v>
      </c>
      <c r="G46" s="55">
        <v>240.8</v>
      </c>
      <c r="H46" s="55">
        <v>248</v>
      </c>
      <c r="I46" s="55">
        <v>255.4</v>
      </c>
      <c r="J46" s="55">
        <v>263</v>
      </c>
      <c r="K46" s="55">
        <v>270.8</v>
      </c>
      <c r="L46" s="55">
        <v>278.60000000000002</v>
      </c>
      <c r="M46" s="55">
        <v>286.5</v>
      </c>
      <c r="N46" s="55">
        <v>294.5</v>
      </c>
      <c r="O46" s="55">
        <v>302.60000000000002</v>
      </c>
      <c r="P46" s="55">
        <v>310.7</v>
      </c>
      <c r="Q46" s="55">
        <v>318.7</v>
      </c>
      <c r="R46" s="55">
        <v>326.7</v>
      </c>
      <c r="S46" s="55">
        <v>334.7</v>
      </c>
      <c r="T46" s="55">
        <v>342.6</v>
      </c>
      <c r="U46" s="55">
        <v>350.3</v>
      </c>
      <c r="V46" s="55">
        <v>358</v>
      </c>
      <c r="W46" s="55">
        <v>365.5</v>
      </c>
      <c r="X46" s="55">
        <v>373</v>
      </c>
      <c r="Y46" s="55">
        <v>380.5</v>
      </c>
      <c r="Z46" s="55">
        <v>388</v>
      </c>
      <c r="AA46" s="55">
        <v>395.6</v>
      </c>
      <c r="AB46" s="55">
        <v>403.3</v>
      </c>
    </row>
    <row r="47" spans="1:28" x14ac:dyDescent="0.2">
      <c r="A47" s="54" t="s">
        <v>44</v>
      </c>
      <c r="B47" s="54"/>
      <c r="C47" s="54"/>
      <c r="D47" s="56">
        <v>0.01</v>
      </c>
      <c r="E47" s="56">
        <v>1.2E-2</v>
      </c>
      <c r="F47" s="56">
        <v>1.2999999999999999E-2</v>
      </c>
      <c r="G47" s="56">
        <v>1.6E-2</v>
      </c>
      <c r="H47" s="56">
        <v>1.7999999999999999E-2</v>
      </c>
      <c r="I47" s="56">
        <v>0.02</v>
      </c>
      <c r="J47" s="56">
        <v>2.3E-2</v>
      </c>
      <c r="K47" s="56">
        <v>2.5000000000000001E-2</v>
      </c>
      <c r="L47" s="56">
        <v>2.8000000000000001E-2</v>
      </c>
      <c r="M47" s="56">
        <v>3.1E-2</v>
      </c>
      <c r="N47" s="56">
        <v>3.3000000000000002E-2</v>
      </c>
      <c r="O47" s="56">
        <v>3.5999999999999997E-2</v>
      </c>
      <c r="P47" s="56">
        <v>0.04</v>
      </c>
      <c r="Q47" s="56">
        <v>4.3999999999999997E-2</v>
      </c>
      <c r="R47" s="56">
        <v>4.8000000000000001E-2</v>
      </c>
      <c r="S47" s="56">
        <v>5.2999999999999999E-2</v>
      </c>
      <c r="T47" s="56">
        <v>5.7000000000000002E-2</v>
      </c>
      <c r="U47" s="56">
        <v>6.3E-2</v>
      </c>
      <c r="V47" s="56">
        <v>6.8000000000000005E-2</v>
      </c>
      <c r="W47" s="56">
        <v>7.3999999999999996E-2</v>
      </c>
      <c r="X47" s="56">
        <v>7.9000000000000001E-2</v>
      </c>
      <c r="Y47" s="56">
        <v>8.5000000000000006E-2</v>
      </c>
      <c r="Z47" s="56">
        <v>0.09</v>
      </c>
      <c r="AA47" s="56">
        <v>9.6000000000000002E-2</v>
      </c>
      <c r="AB47" s="56">
        <v>0.10100000000000001</v>
      </c>
    </row>
    <row r="48" spans="1:28" x14ac:dyDescent="0.2">
      <c r="A48" s="54" t="s">
        <v>45</v>
      </c>
      <c r="B48" s="54"/>
      <c r="C48" s="54"/>
      <c r="D48" s="56">
        <v>0</v>
      </c>
      <c r="E48" s="56">
        <v>0</v>
      </c>
      <c r="F48" s="56">
        <v>0</v>
      </c>
      <c r="G48" s="56">
        <v>0</v>
      </c>
      <c r="H48" s="56">
        <v>0</v>
      </c>
      <c r="I48" s="56">
        <v>0</v>
      </c>
      <c r="J48" s="56">
        <v>0</v>
      </c>
      <c r="K48" s="56">
        <v>1E-3</v>
      </c>
      <c r="L48" s="56">
        <v>1E-3</v>
      </c>
      <c r="M48" s="56">
        <v>1E-3</v>
      </c>
      <c r="N48" s="56">
        <v>2E-3</v>
      </c>
      <c r="O48" s="56">
        <v>3.0000000000000001E-3</v>
      </c>
      <c r="P48" s="56">
        <v>4.0000000000000001E-3</v>
      </c>
      <c r="Q48" s="56">
        <v>5.0000000000000001E-3</v>
      </c>
      <c r="R48" s="56">
        <v>7.0000000000000001E-3</v>
      </c>
      <c r="S48" s="56">
        <v>0.01</v>
      </c>
      <c r="T48" s="56">
        <v>1.2E-2</v>
      </c>
      <c r="U48" s="56">
        <v>1.4999999999999999E-2</v>
      </c>
      <c r="V48" s="56">
        <v>1.9E-2</v>
      </c>
      <c r="W48" s="56">
        <v>2.1999999999999999E-2</v>
      </c>
      <c r="X48" s="56">
        <v>2.5999999999999999E-2</v>
      </c>
      <c r="Y48" s="56">
        <v>0.03</v>
      </c>
      <c r="Z48" s="56">
        <v>3.3000000000000002E-2</v>
      </c>
      <c r="AA48" s="56">
        <v>3.6999999999999998E-2</v>
      </c>
      <c r="AB48" s="56">
        <v>4.1000000000000002E-2</v>
      </c>
    </row>
  </sheetData>
  <mergeCells count="2">
    <mergeCell ref="C6:D6"/>
    <mergeCell ref="E6:F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38"/>
  <sheetViews>
    <sheetView topLeftCell="A19" zoomScale="115" zoomScaleNormal="115" workbookViewId="0"/>
  </sheetViews>
  <sheetFormatPr baseColWidth="10" defaultColWidth="8.83203125" defaultRowHeight="15" x14ac:dyDescent="0.2"/>
  <cols>
    <col min="1" max="1" width="47.83203125" customWidth="1"/>
  </cols>
  <sheetData>
    <row r="1" spans="1:35" x14ac:dyDescent="0.2">
      <c r="A1" t="s">
        <v>47</v>
      </c>
    </row>
    <row r="2" spans="1:35" x14ac:dyDescent="0.2">
      <c r="A2" t="s">
        <v>59</v>
      </c>
    </row>
    <row r="3" spans="1:35" x14ac:dyDescent="0.2">
      <c r="A3" t="s">
        <v>60</v>
      </c>
    </row>
    <row r="5" spans="1:35" x14ac:dyDescent="0.2">
      <c r="B5">
        <v>2017</v>
      </c>
      <c r="C5">
        <v>2018</v>
      </c>
      <c r="D5">
        <v>2019</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row>
    <row r="6" spans="1:35" x14ac:dyDescent="0.2">
      <c r="A6" t="s">
        <v>48</v>
      </c>
      <c r="B6" s="57">
        <f>'Grid Batteries'!G18</f>
        <v>11.937044891812949</v>
      </c>
      <c r="C6" s="57">
        <f>'Grid Batteries'!H18</f>
        <v>16.137072400541257</v>
      </c>
      <c r="D6" s="57">
        <f>'Grid Batteries'!I18</f>
        <v>21.457364208732109</v>
      </c>
      <c r="E6" s="57">
        <f>'Grid Batteries'!J18</f>
        <v>28.43066048152593</v>
      </c>
      <c r="F6" s="57">
        <f>'Grid Batteries'!K18</f>
        <v>35.239612790414157</v>
      </c>
      <c r="G6" s="57">
        <f>'Grid Batteries'!L18</f>
        <v>44.496476615811602</v>
      </c>
      <c r="H6" s="57">
        <f>'Grid Batteries'!M18</f>
        <v>54.039100845657543</v>
      </c>
      <c r="I6" s="57">
        <f>'Grid Batteries'!N18</f>
        <v>72.256920157165652</v>
      </c>
      <c r="J6" s="57">
        <f>'Grid Batteries'!O18</f>
        <v>83.09684647819293</v>
      </c>
      <c r="K6" s="57">
        <f>'Grid Batteries'!P18</f>
        <v>95.859346137628961</v>
      </c>
      <c r="L6" s="57">
        <f>'Grid Batteries'!Q18</f>
        <v>108.8964721053445</v>
      </c>
      <c r="M6" s="57">
        <f>'Grid Batteries'!R18</f>
        <v>128.45279510338946</v>
      </c>
      <c r="N6" s="57">
        <f>'Grid Batteries'!S18</f>
        <v>146.20414308597842</v>
      </c>
      <c r="O6" s="57">
        <f>'Grid Batteries'!T18</f>
        <v>176.98129838207547</v>
      </c>
      <c r="P6" s="57">
        <f>'Grid Batteries'!U18</f>
        <v>204.19514111939412</v>
      </c>
      <c r="Q6" s="57">
        <f>'Grid Batteries'!V18</f>
        <v>258.70609841592636</v>
      </c>
      <c r="R6" s="57">
        <f>'Grid Batteries'!W18</f>
        <v>325.28284446338955</v>
      </c>
      <c r="S6" s="57">
        <f>'Grid Batteries'!X18</f>
        <v>402.42213140214062</v>
      </c>
      <c r="T6" s="57">
        <f>'Grid Batteries'!Y18</f>
        <v>503.28146889578659</v>
      </c>
      <c r="U6" s="57">
        <f>'Grid Batteries'!Z18</f>
        <v>580.62058932403056</v>
      </c>
      <c r="V6" s="57">
        <f>'Grid Batteries'!AA18</f>
        <v>677.02217907919317</v>
      </c>
      <c r="W6" s="57">
        <f>'Grid Batteries'!AB18</f>
        <v>761.6347223147593</v>
      </c>
      <c r="X6" s="57">
        <f>'Grid Batteries'!AC18</f>
        <v>874.65188464107632</v>
      </c>
      <c r="Y6" s="57">
        <f>'Grid Batteries'!AD18</f>
        <v>974.21886669147398</v>
      </c>
      <c r="Z6" s="57"/>
      <c r="AA6" s="57"/>
      <c r="AB6" s="57"/>
      <c r="AC6" s="57"/>
      <c r="AD6" s="57"/>
      <c r="AE6" s="57"/>
      <c r="AF6" s="57"/>
      <c r="AG6" s="57"/>
      <c r="AH6" s="57"/>
      <c r="AI6" s="57"/>
    </row>
    <row r="7" spans="1:35" x14ac:dyDescent="0.2">
      <c r="A7" t="s">
        <v>49</v>
      </c>
      <c r="B7" s="57"/>
      <c r="C7" s="57"/>
      <c r="D7" s="57"/>
      <c r="E7" s="57"/>
      <c r="F7" s="57"/>
      <c r="G7" s="57"/>
      <c r="H7" s="57"/>
      <c r="I7" s="57"/>
      <c r="J7" s="57"/>
      <c r="K7" s="57"/>
      <c r="L7" s="57"/>
      <c r="M7" s="57"/>
      <c r="N7" s="57"/>
      <c r="O7" s="57"/>
      <c r="P7" s="57"/>
      <c r="Q7" s="57"/>
      <c r="R7" s="57"/>
      <c r="S7" s="57"/>
      <c r="T7" s="57"/>
      <c r="U7" s="57"/>
      <c r="V7" s="57"/>
      <c r="W7" s="57"/>
      <c r="X7" s="57"/>
      <c r="Y7" s="57"/>
      <c r="Z7" s="57">
        <f>TREND($R6:$Y6,$R$5:$Y$5,Z$5)</f>
        <v>1053.9183861266647</v>
      </c>
      <c r="AA7" s="57">
        <f t="shared" ref="AA7:AI7" si="0">TREND($R6:$Y6,$R$5:$Y$5,AA$5)</f>
        <v>1146.4798417433631</v>
      </c>
      <c r="AB7" s="57">
        <f t="shared" si="0"/>
        <v>1239.0412973600905</v>
      </c>
      <c r="AC7" s="57">
        <f t="shared" si="0"/>
        <v>1331.6027529767889</v>
      </c>
      <c r="AD7" s="57">
        <f t="shared" si="0"/>
        <v>1424.1642085934873</v>
      </c>
      <c r="AE7" s="57">
        <f t="shared" si="0"/>
        <v>1516.7256642101856</v>
      </c>
      <c r="AF7" s="57">
        <f t="shared" si="0"/>
        <v>1609.2871198269131</v>
      </c>
      <c r="AG7" s="57">
        <f t="shared" si="0"/>
        <v>1701.8485754436115</v>
      </c>
      <c r="AH7" s="57">
        <f t="shared" si="0"/>
        <v>1794.4100310603098</v>
      </c>
      <c r="AI7" s="57">
        <f t="shared" si="0"/>
        <v>1886.9714866770373</v>
      </c>
    </row>
    <row r="25" spans="1:37" x14ac:dyDescent="0.2">
      <c r="A25" t="s">
        <v>65</v>
      </c>
    </row>
    <row r="26" spans="1:37" x14ac:dyDescent="0.2">
      <c r="A26" t="s">
        <v>66</v>
      </c>
    </row>
    <row r="28" spans="1:37" x14ac:dyDescent="0.2">
      <c r="B28">
        <v>2015</v>
      </c>
      <c r="C28">
        <v>2016</v>
      </c>
      <c r="D28">
        <v>2017</v>
      </c>
      <c r="E28">
        <v>2018</v>
      </c>
      <c r="F28">
        <v>2019</v>
      </c>
      <c r="G28">
        <v>2020</v>
      </c>
      <c r="H28">
        <v>2021</v>
      </c>
      <c r="I28">
        <v>2022</v>
      </c>
      <c r="J28">
        <v>2023</v>
      </c>
      <c r="K28">
        <v>2024</v>
      </c>
      <c r="L28">
        <v>2025</v>
      </c>
      <c r="M28">
        <v>2026</v>
      </c>
      <c r="N28">
        <v>2027</v>
      </c>
      <c r="O28">
        <v>2028</v>
      </c>
      <c r="P28">
        <v>2029</v>
      </c>
      <c r="Q28">
        <v>2030</v>
      </c>
      <c r="R28">
        <v>2031</v>
      </c>
      <c r="S28">
        <v>2032</v>
      </c>
      <c r="T28">
        <v>2033</v>
      </c>
      <c r="U28">
        <v>2034</v>
      </c>
      <c r="V28">
        <v>2035</v>
      </c>
      <c r="W28">
        <v>2036</v>
      </c>
      <c r="X28">
        <v>2037</v>
      </c>
      <c r="Y28">
        <v>2038</v>
      </c>
      <c r="Z28">
        <v>2039</v>
      </c>
      <c r="AA28">
        <v>2040</v>
      </c>
      <c r="AB28">
        <v>2041</v>
      </c>
      <c r="AC28">
        <v>2042</v>
      </c>
      <c r="AD28">
        <v>2043</v>
      </c>
      <c r="AE28">
        <v>2044</v>
      </c>
      <c r="AF28">
        <v>2045</v>
      </c>
      <c r="AG28">
        <v>2046</v>
      </c>
      <c r="AH28">
        <v>2047</v>
      </c>
      <c r="AI28">
        <v>2048</v>
      </c>
      <c r="AJ28">
        <v>2049</v>
      </c>
      <c r="AK28">
        <v>2050</v>
      </c>
    </row>
    <row r="29" spans="1:37" x14ac:dyDescent="0.2">
      <c r="A29" t="s">
        <v>54</v>
      </c>
      <c r="B29">
        <f>'EV Batteries'!D21</f>
        <v>19.099972492632041</v>
      </c>
      <c r="C29">
        <f>'EV Batteries'!E21</f>
        <v>33.60019285007489</v>
      </c>
      <c r="D29">
        <f>'EV Batteries'!F21</f>
        <v>46.840217011157698</v>
      </c>
      <c r="E29">
        <f>'EV Batteries'!G21</f>
        <v>78.390084012716187</v>
      </c>
      <c r="F29">
        <f>'EV Batteries'!H21</f>
        <v>105.71791482845779</v>
      </c>
      <c r="G29">
        <f>'EV Batteries'!I21</f>
        <v>122.97922506085837</v>
      </c>
      <c r="H29">
        <f>'EV Batteries'!J21</f>
        <v>150.14192102637278</v>
      </c>
      <c r="I29">
        <f>'EV Batteries'!K21</f>
        <v>189.49540277143416</v>
      </c>
      <c r="J29">
        <f>'EV Batteries'!L21</f>
        <v>251.2578376312016</v>
      </c>
      <c r="K29">
        <f>'EV Batteries'!M21</f>
        <v>325.24102177198762</v>
      </c>
      <c r="L29">
        <f>'EV Batteries'!N21</f>
        <v>408.72463023139971</v>
      </c>
      <c r="M29">
        <f>'EV Batteries'!O21</f>
        <v>512.81725584666378</v>
      </c>
      <c r="N29">
        <f>'EV Batteries'!P21</f>
        <v>654.88241619244786</v>
      </c>
      <c r="O29">
        <f>'EV Batteries'!Q21</f>
        <v>819.32660274887803</v>
      </c>
      <c r="P29">
        <f>'EV Batteries'!R21</f>
        <v>1036.0033484224491</v>
      </c>
      <c r="Q29">
        <f>'EV Batteries'!S21</f>
        <v>1293.7275038027401</v>
      </c>
    </row>
    <row r="30" spans="1:37" x14ac:dyDescent="0.2">
      <c r="A30" t="s">
        <v>56</v>
      </c>
      <c r="R30">
        <f>$Q29*('EV Batteries'!T22/'EV Batteries'!$S22)</f>
        <v>1535.5989466133306</v>
      </c>
      <c r="S30">
        <f>$Q29*('EV Batteries'!U22/'EV Batteries'!$S22)</f>
        <v>1779.5833642399714</v>
      </c>
      <c r="T30">
        <f>$Q29*('EV Batteries'!V22/'EV Batteries'!$S22)</f>
        <v>2055.1238156378618</v>
      </c>
      <c r="U30">
        <f>$Q29*('EV Batteries'!W22/'EV Batteries'!$S22)</f>
        <v>2314.9575036528563</v>
      </c>
      <c r="V30">
        <f>$Q29*('EV Batteries'!X22/'EV Batteries'!$S22)</f>
        <v>2542.9571613545163</v>
      </c>
      <c r="W30">
        <f>$Q29*('EV Batteries'!Y22/'EV Batteries'!$S22)</f>
        <v>2734.0024964032455</v>
      </c>
      <c r="X30">
        <f>$Q29*('EV Batteries'!Z22/'EV Batteries'!$S22)</f>
        <v>2934.5225013986969</v>
      </c>
      <c r="Y30">
        <f>$Q29*('EV Batteries'!AA22/'EV Batteries'!$S22)</f>
        <v>3126.5401779109302</v>
      </c>
      <c r="Z30">
        <f>$Q29*('EV Batteries'!AB22/'EV Batteries'!$S22)</f>
        <v>3283.507775486657</v>
      </c>
      <c r="AA30">
        <f>$Q29*('EV Batteries'!AC22/'EV Batteries'!$S22)</f>
        <v>3391.3723653630636</v>
      </c>
    </row>
    <row r="31" spans="1:37" x14ac:dyDescent="0.2">
      <c r="A31" t="s">
        <v>57</v>
      </c>
      <c r="AB31">
        <f>3783.376+(-5.914868-3783.376)/(1+(AB28/2032.421)^570.4679)</f>
        <v>3469.0530275124911</v>
      </c>
      <c r="AC31">
        <f t="shared" ref="AC31:AK31" si="1">3783.376+(-5.914868-3783.376)/(1+(AC28/2032.421)^570.4679)</f>
        <v>3540.7757391959544</v>
      </c>
      <c r="AD31">
        <f t="shared" si="1"/>
        <v>3596.9861176660324</v>
      </c>
      <c r="AE31">
        <f t="shared" si="1"/>
        <v>3640.6777453056338</v>
      </c>
      <c r="AF31">
        <f t="shared" si="1"/>
        <v>3674.4228496423589</v>
      </c>
      <c r="AG31">
        <f t="shared" si="1"/>
        <v>3700.358525044835</v>
      </c>
      <c r="AH31">
        <f t="shared" si="1"/>
        <v>3720.2178329304297</v>
      </c>
      <c r="AI31">
        <f t="shared" si="1"/>
        <v>3735.3814891748912</v>
      </c>
      <c r="AJ31">
        <f t="shared" si="1"/>
        <v>3746.935191963657</v>
      </c>
      <c r="AK31">
        <f t="shared" si="1"/>
        <v>3755.7243998407343</v>
      </c>
    </row>
    <row r="33" spans="1:37" x14ac:dyDescent="0.2">
      <c r="A33" s="1" t="s">
        <v>61</v>
      </c>
    </row>
    <row r="34" spans="1:37" x14ac:dyDescent="0.2">
      <c r="A34" t="s">
        <v>58</v>
      </c>
    </row>
    <row r="36" spans="1:37" x14ac:dyDescent="0.2">
      <c r="B36">
        <v>2015</v>
      </c>
      <c r="C36">
        <v>2016</v>
      </c>
      <c r="D36">
        <v>2017</v>
      </c>
      <c r="E36">
        <v>2018</v>
      </c>
      <c r="F36">
        <v>2019</v>
      </c>
      <c r="G36">
        <v>2020</v>
      </c>
      <c r="H36">
        <v>2021</v>
      </c>
      <c r="I36">
        <v>2022</v>
      </c>
      <c r="J36">
        <v>2023</v>
      </c>
      <c r="K36">
        <v>2024</v>
      </c>
      <c r="L36">
        <v>2025</v>
      </c>
      <c r="M36">
        <v>2026</v>
      </c>
      <c r="N36">
        <v>2027</v>
      </c>
      <c r="O36">
        <v>2028</v>
      </c>
      <c r="P36">
        <v>2029</v>
      </c>
      <c r="Q36">
        <v>2030</v>
      </c>
      <c r="R36">
        <v>2031</v>
      </c>
      <c r="S36">
        <v>2032</v>
      </c>
      <c r="T36">
        <v>2033</v>
      </c>
      <c r="U36">
        <v>2034</v>
      </c>
      <c r="V36">
        <v>2035</v>
      </c>
      <c r="W36">
        <v>2036</v>
      </c>
      <c r="X36">
        <v>2037</v>
      </c>
      <c r="Y36">
        <v>2038</v>
      </c>
      <c r="Z36">
        <v>2039</v>
      </c>
      <c r="AA36">
        <v>2040</v>
      </c>
      <c r="AB36">
        <v>2041</v>
      </c>
      <c r="AC36">
        <v>2042</v>
      </c>
      <c r="AD36">
        <v>2043</v>
      </c>
      <c r="AE36">
        <v>2044</v>
      </c>
      <c r="AF36">
        <v>2045</v>
      </c>
      <c r="AG36">
        <v>2046</v>
      </c>
      <c r="AH36">
        <v>2047</v>
      </c>
      <c r="AI36">
        <v>2048</v>
      </c>
      <c r="AJ36">
        <v>2049</v>
      </c>
      <c r="AK36">
        <v>2050</v>
      </c>
    </row>
    <row r="37" spans="1:37" x14ac:dyDescent="0.2">
      <c r="A37" t="s">
        <v>55</v>
      </c>
      <c r="B37">
        <f>B38*B29</f>
        <v>38.199944985264082</v>
      </c>
      <c r="C37">
        <f t="shared" ref="C37:D37" si="2">SUM(C29:C31,B37)</f>
        <v>71.800137835338973</v>
      </c>
      <c r="D37">
        <f t="shared" si="2"/>
        <v>118.64035484649668</v>
      </c>
      <c r="E37">
        <f t="shared" ref="E37:AK37" si="3">SUM(E29:E31,D37)</f>
        <v>197.03043885921286</v>
      </c>
      <c r="F37">
        <f t="shared" si="3"/>
        <v>302.74835368767066</v>
      </c>
      <c r="G37">
        <f t="shared" si="3"/>
        <v>425.72757874852903</v>
      </c>
      <c r="H37">
        <f t="shared" si="3"/>
        <v>575.86949977490178</v>
      </c>
      <c r="I37">
        <f t="shared" si="3"/>
        <v>765.364902546336</v>
      </c>
      <c r="J37">
        <f t="shared" si="3"/>
        <v>1016.6227401775376</v>
      </c>
      <c r="K37">
        <f t="shared" si="3"/>
        <v>1341.8637619495253</v>
      </c>
      <c r="L37">
        <f t="shared" si="3"/>
        <v>1750.588392180925</v>
      </c>
      <c r="M37">
        <f t="shared" si="3"/>
        <v>2263.4056480275885</v>
      </c>
      <c r="N37">
        <f t="shared" si="3"/>
        <v>2918.2880642200362</v>
      </c>
      <c r="O37">
        <f t="shared" si="3"/>
        <v>3737.6146669689142</v>
      </c>
      <c r="P37">
        <f t="shared" si="3"/>
        <v>4773.6180153913629</v>
      </c>
      <c r="Q37">
        <f t="shared" si="3"/>
        <v>6067.345519194103</v>
      </c>
      <c r="R37">
        <f t="shared" si="3"/>
        <v>7602.9444658074335</v>
      </c>
      <c r="S37">
        <f t="shared" si="3"/>
        <v>9382.5278300474056</v>
      </c>
      <c r="T37">
        <f t="shared" si="3"/>
        <v>11437.651645685268</v>
      </c>
      <c r="U37">
        <f t="shared" si="3"/>
        <v>13752.609149338125</v>
      </c>
      <c r="V37">
        <f t="shared" si="3"/>
        <v>16295.56631069264</v>
      </c>
      <c r="W37">
        <f t="shared" si="3"/>
        <v>19029.568807095886</v>
      </c>
      <c r="X37">
        <f t="shared" si="3"/>
        <v>21964.091308494582</v>
      </c>
      <c r="Y37">
        <f t="shared" si="3"/>
        <v>25090.631486405513</v>
      </c>
      <c r="Z37">
        <f t="shared" si="3"/>
        <v>28374.139261892171</v>
      </c>
      <c r="AA37">
        <f t="shared" si="3"/>
        <v>31765.511627255233</v>
      </c>
      <c r="AB37">
        <f t="shared" si="3"/>
        <v>35234.564654767724</v>
      </c>
      <c r="AC37">
        <f t="shared" si="3"/>
        <v>38775.340393963677</v>
      </c>
      <c r="AD37">
        <f t="shared" si="3"/>
        <v>42372.326511629712</v>
      </c>
      <c r="AE37">
        <f t="shared" si="3"/>
        <v>46013.004256935346</v>
      </c>
      <c r="AF37">
        <f t="shared" si="3"/>
        <v>49687.427106577707</v>
      </c>
      <c r="AG37">
        <f t="shared" si="3"/>
        <v>53387.785631622544</v>
      </c>
      <c r="AH37">
        <f t="shared" si="3"/>
        <v>57108.003464552974</v>
      </c>
      <c r="AI37">
        <f t="shared" si="3"/>
        <v>60843.384953727866</v>
      </c>
      <c r="AJ37">
        <f t="shared" si="3"/>
        <v>64590.320145691519</v>
      </c>
      <c r="AK37">
        <f t="shared" si="3"/>
        <v>68346.044545532248</v>
      </c>
    </row>
    <row r="38" spans="1:37" x14ac:dyDescent="0.2">
      <c r="A38" t="s">
        <v>62</v>
      </c>
      <c r="B38" s="61">
        <v>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249977111117893"/>
  </sheetPr>
  <dimension ref="A1:AI2"/>
  <sheetViews>
    <sheetView workbookViewId="0"/>
  </sheetViews>
  <sheetFormatPr baseColWidth="10" defaultColWidth="8.83203125" defaultRowHeight="15" x14ac:dyDescent="0.2"/>
  <cols>
    <col min="1" max="1" width="26.6640625" customWidth="1"/>
    <col min="2" max="13" width="9.5" bestFit="1" customWidth="1"/>
    <col min="14" max="35" width="10.5" bestFit="1" customWidth="1"/>
  </cols>
  <sheetData>
    <row r="1" spans="1:35" x14ac:dyDescent="0.2">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
      <c r="A2" t="s">
        <v>46</v>
      </c>
      <c r="B2" s="57">
        <f>Calculations!D37*10^3</f>
        <v>118640.35484649667</v>
      </c>
      <c r="C2" s="57">
        <f>Calculations!E37*10^3</f>
        <v>197030.43885921285</v>
      </c>
      <c r="D2" s="57">
        <f>Calculations!F37*10^3</f>
        <v>302748.35368767066</v>
      </c>
      <c r="E2" s="57">
        <f>Calculations!G37*10^3</f>
        <v>425727.57874852902</v>
      </c>
      <c r="F2" s="57">
        <f>Calculations!H37*10^3</f>
        <v>575869.49977490178</v>
      </c>
      <c r="G2" s="57">
        <f>Calculations!I37*10^3</f>
        <v>765364.90254633594</v>
      </c>
      <c r="H2" s="57">
        <f>Calculations!J37*10^3</f>
        <v>1016622.7401775375</v>
      </c>
      <c r="I2" s="57">
        <f>Calculations!K37*10^3</f>
        <v>1341863.7619495252</v>
      </c>
      <c r="J2" s="57">
        <f>Calculations!L37*10^3</f>
        <v>1750588.392180925</v>
      </c>
      <c r="K2" s="57">
        <f>Calculations!M37*10^3</f>
        <v>2263405.6480275886</v>
      </c>
      <c r="L2" s="57">
        <f>Calculations!N37*10^3</f>
        <v>2918288.0642200364</v>
      </c>
      <c r="M2" s="57">
        <f>Calculations!O37*10^3</f>
        <v>3737614.6669689142</v>
      </c>
      <c r="N2" s="57">
        <f>Calculations!P37*10^3</f>
        <v>4773618.0153913628</v>
      </c>
      <c r="O2" s="57">
        <f>Calculations!Q37*10^3</f>
        <v>6067345.5191941028</v>
      </c>
      <c r="P2" s="57">
        <f>Calculations!R37*10^3</f>
        <v>7602944.4658074332</v>
      </c>
      <c r="Q2" s="57">
        <f>Calculations!S37*10^3</f>
        <v>9382527.8300474063</v>
      </c>
      <c r="R2" s="57">
        <f>Calculations!T37*10^3</f>
        <v>11437651.645685269</v>
      </c>
      <c r="S2" s="57">
        <f>Calculations!U37*10^3</f>
        <v>13752609.149338124</v>
      </c>
      <c r="T2" s="57">
        <f>Calculations!V37*10^3</f>
        <v>16295566.31069264</v>
      </c>
      <c r="U2" s="57">
        <f>Calculations!W37*10^3</f>
        <v>19029568.807095885</v>
      </c>
      <c r="V2" s="57">
        <f>Calculations!X37*10^3</f>
        <v>21964091.308494583</v>
      </c>
      <c r="W2" s="57">
        <f>Calculations!Y37*10^3</f>
        <v>25090631.486405514</v>
      </c>
      <c r="X2" s="57">
        <f>Calculations!Z37*10^3</f>
        <v>28374139.26189217</v>
      </c>
      <c r="Y2" s="57">
        <f>Calculations!AA37*10^3</f>
        <v>31765511.627255235</v>
      </c>
      <c r="Z2" s="57">
        <f>Calculations!AB37*10^3</f>
        <v>35234564.654767722</v>
      </c>
      <c r="AA2" s="57">
        <f>Calculations!AC37*10^3</f>
        <v>38775340.39396368</v>
      </c>
      <c r="AB2" s="57">
        <f>Calculations!AD37*10^3</f>
        <v>42372326.511629708</v>
      </c>
      <c r="AC2" s="57">
        <f>Calculations!AE37*10^3</f>
        <v>46013004.256935343</v>
      </c>
      <c r="AD2" s="57">
        <f>Calculations!AF37*10^3</f>
        <v>49687427.106577709</v>
      </c>
      <c r="AE2" s="57">
        <f>Calculations!AG37*10^3</f>
        <v>53387785.631622545</v>
      </c>
      <c r="AF2" s="57">
        <f>Calculations!AH37*10^3</f>
        <v>57108003.464552976</v>
      </c>
      <c r="AG2" s="57">
        <f>Calculations!AI37*10^3</f>
        <v>60843384.953727864</v>
      </c>
      <c r="AH2" s="57">
        <f>Calculations!AJ37*10^3</f>
        <v>64590320.145691521</v>
      </c>
      <c r="AI2" s="57">
        <f>Calculations!AK37*10^3</f>
        <v>68346044.545532241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Grid Batteries</vt:lpstr>
      <vt:lpstr>EV Batteries</vt:lpstr>
      <vt:lpstr>Calculations</vt:lpstr>
      <vt:lpstr>BGBSC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2018-04-25T01:32:28Z</dcterms:created>
  <dcterms:modified xsi:type="dcterms:W3CDTF">2021-04-22T00:04:56Z</dcterms:modified>
</cp:coreProperties>
</file>