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MPCbS/"/>
    </mc:Choice>
  </mc:AlternateContent>
  <xr:revisionPtr revIDLastSave="139" documentId="11_E8FCEF430562E883D93B910461C8C3C4CE5B4EA3" xr6:coauthVersionLast="48" xr6:coauthVersionMax="48" xr10:uidLastSave="{912369AA-FFD3-41FE-848F-34C3F4C8DBAD}"/>
  <bookViews>
    <workbookView xWindow="-80" yWindow="-80" windowWidth="19360" windowHeight="10360" xr2:uid="{00000000-000D-0000-FFFF-FFFF00000000}"/>
  </bookViews>
  <sheets>
    <sheet name="About" sheetId="6" r:id="rId1"/>
    <sheet name="Geothermal" sheetId="5" r:id="rId2"/>
    <sheet name="Biomass" sheetId="4" r:id="rId3"/>
    <sheet name="Solar" sheetId="7" r:id="rId4"/>
    <sheet name="Wind" sheetId="8" r:id="rId5"/>
    <sheet name="MSW" sheetId="9" r:id="rId6"/>
    <sheet name="MPCbS" sheetId="3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D5" i="9"/>
  <c r="D6" i="9"/>
  <c r="D4" i="9"/>
  <c r="B8" i="9"/>
  <c r="C5" i="9"/>
  <c r="C6" i="9"/>
  <c r="C4" i="9"/>
  <c r="B8" i="3" l="1"/>
  <c r="D4" i="4" l="1"/>
  <c r="B33" i="7"/>
  <c r="B30" i="7"/>
  <c r="B14" i="3"/>
  <c r="B6" i="3"/>
  <c r="B27" i="8"/>
  <c r="B26" i="8"/>
  <c r="D2" i="4" l="1"/>
  <c r="B32" i="7" l="1"/>
  <c r="B7" i="3" s="1"/>
  <c r="B31" i="7"/>
  <c r="D29" i="5"/>
  <c r="D28" i="5"/>
  <c r="C30" i="5" s="1"/>
  <c r="C10" i="4"/>
  <c r="D10" i="4" s="1"/>
  <c r="D9" i="4"/>
  <c r="D8" i="4"/>
  <c r="D7" i="4"/>
  <c r="D6" i="4"/>
  <c r="D5" i="4"/>
  <c r="C3" i="4"/>
  <c r="D3" i="4" s="1"/>
  <c r="C2" i="4"/>
  <c r="B30" i="5" l="1"/>
  <c r="A33" i="5" s="1"/>
  <c r="B12" i="3" l="1"/>
  <c r="B11" i="3"/>
  <c r="B4" i="3"/>
  <c r="B3" i="3"/>
  <c r="B2" i="3"/>
  <c r="B13" i="3" s="1"/>
  <c r="B16" i="3" l="1"/>
  <c r="B15" i="3"/>
</calcChain>
</file>

<file path=xl/sharedStrings.xml><?xml version="1.0" encoding="utf-8"?>
<sst xmlns="http://schemas.openxmlformats.org/spreadsheetml/2006/main" count="116" uniqueCount="107">
  <si>
    <t>MPCbS Max Potential Capacity by Source</t>
  </si>
  <si>
    <t>Source:</t>
  </si>
  <si>
    <t>Biomass</t>
  </si>
  <si>
    <t>The renewable energy landscape in Canada: A spatial analysis</t>
  </si>
  <si>
    <t>Christopher Barrington-Leigh, Mark Ouliaris</t>
  </si>
  <si>
    <t>http://wellbeing.ihsp.mcgill.ca/publications/Barrington-Leigh-Ouliaris-IAEE2016.pdf</t>
  </si>
  <si>
    <t>https://www.sciencedirect.com/science/article/pii/S1364032116308358</t>
  </si>
  <si>
    <t>*All other renewable categories reassessed in 2021 to unrestrict potentials.</t>
  </si>
  <si>
    <t>Wind</t>
  </si>
  <si>
    <t>https://www.pnas.org/content/106/27/10933</t>
  </si>
  <si>
    <t>Global potential for Wind Generated Energy</t>
  </si>
  <si>
    <t>Geothermal</t>
  </si>
  <si>
    <t>CanGEA Canadian Geothermal Energy Association</t>
  </si>
  <si>
    <t>Canadian National Geothermal Database and Territorial Resource Estimate Maps</t>
  </si>
  <si>
    <t>BC: https://www.cangea.ca/bc-geothermal-resource-estimate-maps.html</t>
  </si>
  <si>
    <t>AB: https://www.cangea.ca/alberta-geothermal-favourability-maps.html</t>
  </si>
  <si>
    <t>YT: https://www.cangea.ca/yukon-geothermal-resource-estimate-maps.html</t>
  </si>
  <si>
    <t>Solar</t>
  </si>
  <si>
    <t>https://globalsolaratlas.info/global-pv-potential-study</t>
  </si>
  <si>
    <t>Based on satellite data, global assessment for solar potential taking into account pitch, shading, water, etc.</t>
  </si>
  <si>
    <t>Municipal Solid Waste</t>
  </si>
  <si>
    <t>https://publications.gc.ca/collections/collection_2020/eccc/en14/En14-405-2020-eng.pdf</t>
  </si>
  <si>
    <t>https://www.epa.gov/facts-and-figures-about-materials-waste-and-recycling/national-overview-facts-and-figures-materials</t>
  </si>
  <si>
    <t>MSW waste calculated using electrical generation potential per ton burnable waste using US data, as Canada does not generate electricity from MSW in a meaningful capacity.</t>
  </si>
  <si>
    <t>It appears that most geothermal potential in Canada is found in</t>
  </si>
  <si>
    <t>British Columbia, Alberta, and Yukon.  Estimates of potential are</t>
  </si>
  <si>
    <t>only available for these three provinces/territories.</t>
  </si>
  <si>
    <t>Estimates are available for either technically recoverable resources</t>
  </si>
  <si>
    <t>and "theoretical" power generation potential.  Even the technically</t>
  </si>
  <si>
    <t>recoverable resources are large, so we use them, as the more</t>
  </si>
  <si>
    <t>conservative metric.</t>
  </si>
  <si>
    <t>In BC and YT (but not in AB),</t>
  </si>
  <si>
    <t>estimates are subdivided into "indicated resources" and "inferred</t>
  </si>
  <si>
    <t>resources."  Indicated resources have been demonstrated to exist through</t>
  </si>
  <si>
    <t>direct measurement.  Inferred resources are based on extrapolation</t>
  </si>
  <si>
    <t>of temperature profiles, rock properties, and heat flow from limited</t>
  </si>
  <si>
    <t>measurements.  (In AB, only the sum of indicated and inferred resources</t>
  </si>
  <si>
    <t>is available.)  For conservatism, we use only indicated resources, and we</t>
  </si>
  <si>
    <t>estimate the share of AB's total that consists of indicated resources</t>
  </si>
  <si>
    <t>using the shares from BC (since AB is located next to BC and not YT,</t>
  </si>
  <si>
    <t>so its underground properties may be more similar to those of BC).</t>
  </si>
  <si>
    <t>Potential estimates are also provided at different recovery rates (5%,</t>
  </si>
  <si>
    <t>14%, and 20%) and depths (from 1,500 m to 5,500 m).  We use the 20%</t>
  </si>
  <si>
    <t>recovery rate and the total across all depths, to capture all of the</t>
  </si>
  <si>
    <t>available, indicated resource.</t>
  </si>
  <si>
    <t>Technical Potential</t>
  </si>
  <si>
    <t>Province</t>
  </si>
  <si>
    <t>Indicated Resource</t>
  </si>
  <si>
    <t>Inferred Resource</t>
  </si>
  <si>
    <t>Total</t>
  </si>
  <si>
    <t>Unit</t>
  </si>
  <si>
    <t>BC</t>
  </si>
  <si>
    <t>MW</t>
  </si>
  <si>
    <t>YT</t>
  </si>
  <si>
    <t>AB</t>
  </si>
  <si>
    <t>Total technical potential of indicated resources</t>
  </si>
  <si>
    <t>Technology type</t>
  </si>
  <si>
    <t>RE potential (TWh/year)</t>
  </si>
  <si>
    <t>Capacity factor (%)</t>
  </si>
  <si>
    <t>Capacity (MW)</t>
  </si>
  <si>
    <t>Onshore wind</t>
  </si>
  <si>
    <t>Offshore wind</t>
  </si>
  <si>
    <t>Hydro</t>
  </si>
  <si>
    <t>Solar farming</t>
  </si>
  <si>
    <t>Solar PV (Rural)</t>
  </si>
  <si>
    <t>Wave</t>
  </si>
  <si>
    <t>Tidal</t>
  </si>
  <si>
    <t>Solar thermal (rural)</t>
  </si>
  <si>
    <t>Note: unless indicated otherwise, capacity factors are those used in the report.</t>
  </si>
  <si>
    <t>Capacity factors for onshore and offshore wind sourced from Lazard LCOE 11.0</t>
  </si>
  <si>
    <t>https://www.lazard.com/media/450337/lazard-levelized-cost-of-energy-version-110.pdf</t>
  </si>
  <si>
    <t>Total Solar Potential Calculation</t>
  </si>
  <si>
    <t>Capacity Factor</t>
  </si>
  <si>
    <t>Total Area (m2)</t>
  </si>
  <si>
    <t>Theoretical Potential (kWh)</t>
  </si>
  <si>
    <t>Solar Potential (MW)</t>
  </si>
  <si>
    <t>PWh to MW</t>
  </si>
  <si>
    <t>Onshore</t>
  </si>
  <si>
    <t>Offshore</t>
  </si>
  <si>
    <t>Assumed 20% capacity factor on these calculations.</t>
  </si>
  <si>
    <t>Class</t>
  </si>
  <si>
    <t>Total Tonnage To Landfill (Not diverted for recycle or compost) (Mt)</t>
  </si>
  <si>
    <t>Unburnable Tonnage</t>
  </si>
  <si>
    <t>Electric Potential</t>
  </si>
  <si>
    <t>Municipal</t>
  </si>
  <si>
    <t>Industrial and Commercial</t>
  </si>
  <si>
    <t>Demolition and Construction</t>
  </si>
  <si>
    <t>Energy Production Factor (MW/Mt)</t>
  </si>
  <si>
    <t>(From US Ver. 3.3.0 Vensim Data)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</si>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</sst>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1" fontId="0" fillId="0" borderId="0" xfId="0" applyNumberFormat="1"/>
    <xf numFmtId="9" fontId="0" fillId="0" borderId="0" xfId="1" applyFont="1"/>
    <xf numFmtId="0" fontId="5" fillId="3" borderId="0" xfId="0" applyFont="1" applyFill="1" applyAlignment="1">
      <alignment horizontal="center" vertical="center" wrapText="1"/>
    </xf>
    <xf numFmtId="164" fontId="0" fillId="0" borderId="0" xfId="3" applyNumberFormat="1" applyFont="1"/>
    <xf numFmtId="164" fontId="0" fillId="0" borderId="0" xfId="0" applyNumberFormat="1"/>
    <xf numFmtId="0" fontId="6" fillId="0" borderId="0" xfId="0" applyFont="1"/>
    <xf numFmtId="0" fontId="2" fillId="4" borderId="0" xfId="0" applyFont="1" applyFill="1"/>
    <xf numFmtId="0" fontId="0" fillId="4" borderId="0" xfId="0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1" fontId="0" fillId="5" borderId="0" xfId="0" applyNumberFormat="1" applyFill="1"/>
    <xf numFmtId="1" fontId="0" fillId="6" borderId="0" xfId="0" applyNumberFormat="1" applyFill="1"/>
    <xf numFmtId="0" fontId="7" fillId="0" borderId="0" xfId="2" applyFont="1"/>
  </cellXfs>
  <cellStyles count="4">
    <cellStyle name="Comma 2" xfId="3" xr:uid="{DC6268AD-DF06-43E4-A651-3AA4F69C17CD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63500</xdr:rowOff>
    </xdr:from>
    <xdr:to>
      <xdr:col>8</xdr:col>
      <xdr:colOff>183781</xdr:colOff>
      <xdr:row>37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84A45B-F608-4778-A88C-70B07669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87650"/>
          <a:ext cx="7368806" cy="416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311315</xdr:colOff>
      <xdr:row>27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13660F-4E16-454A-AE7A-022B8571F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8725065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8</xdr:col>
      <xdr:colOff>144799</xdr:colOff>
      <xdr:row>23</xdr:row>
      <xdr:rowOff>162950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A3928-669C-41B0-979F-1BDAADC99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5237499" cy="417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s://www.sciencedirect.com/science/article/pii/S136403211630835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ellbeing.ihsp.mcgill.ca/publications/Barrington-Leigh-Ouliaris-IAEE2016.pdf" TargetMode="External"/><Relationship Id="rId1" Type="http://schemas.openxmlformats.org/officeDocument/2006/relationships/hyperlink" Target="https://www.lazard.com/media/450337/lazard-levelized-cost-of-energy-version-110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lobalsolaratlas.info/global-pv-potential-stud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pnas.org/content/106/27/1093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publications.gc.ca/collections/collection_2020/eccc/en14/En14-405-2020-eng.pdf" TargetMode="External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D05E-6D84-47B1-A0EA-23F1158360DE}">
  <dimension ref="A1:B30"/>
  <sheetViews>
    <sheetView tabSelected="1" workbookViewId="0">
      <selection activeCell="B31" sqref="B31"/>
    </sheetView>
  </sheetViews>
  <sheetFormatPr defaultColWidth="8.85546875" defaultRowHeight="14.45"/>
  <cols>
    <col min="2" max="2" width="60.8554687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t="s">
        <v>3</v>
      </c>
    </row>
    <row r="5" spans="1:2">
      <c r="B5" s="4">
        <v>2016</v>
      </c>
    </row>
    <row r="6" spans="1:2">
      <c r="B6" s="4" t="s">
        <v>4</v>
      </c>
    </row>
    <row r="7" spans="1:2">
      <c r="B7" t="s">
        <v>5</v>
      </c>
    </row>
    <row r="8" spans="1:2">
      <c r="B8" s="5" t="s">
        <v>6</v>
      </c>
    </row>
    <row r="9" spans="1:2">
      <c r="B9" t="s">
        <v>7</v>
      </c>
    </row>
    <row r="10" spans="1:2">
      <c r="B10" s="3" t="s">
        <v>8</v>
      </c>
    </row>
    <row r="11" spans="1:2">
      <c r="B11" t="s">
        <v>9</v>
      </c>
    </row>
    <row r="12" spans="1:2">
      <c r="B12" s="4">
        <v>2009</v>
      </c>
    </row>
    <row r="13" spans="1:2">
      <c r="B13" s="18" t="s">
        <v>10</v>
      </c>
    </row>
    <row r="15" spans="1:2">
      <c r="B15" s="3" t="s">
        <v>11</v>
      </c>
    </row>
    <row r="16" spans="1:2">
      <c r="B16" t="s">
        <v>12</v>
      </c>
    </row>
    <row r="17" spans="2:2">
      <c r="B17" s="4">
        <v>2016</v>
      </c>
    </row>
    <row r="18" spans="2:2">
      <c r="B18" t="s">
        <v>13</v>
      </c>
    </row>
    <row r="19" spans="2:2">
      <c r="B19" t="s">
        <v>14</v>
      </c>
    </row>
    <row r="20" spans="2:2">
      <c r="B20" t="s">
        <v>15</v>
      </c>
    </row>
    <row r="21" spans="2:2">
      <c r="B21" t="s">
        <v>16</v>
      </c>
    </row>
    <row r="23" spans="2:2">
      <c r="B23" s="3" t="s">
        <v>17</v>
      </c>
    </row>
    <row r="24" spans="2:2">
      <c r="B24" t="s">
        <v>18</v>
      </c>
    </row>
    <row r="25" spans="2:2">
      <c r="B25" t="s">
        <v>19</v>
      </c>
    </row>
    <row r="27" spans="2:2">
      <c r="B27" s="3" t="s">
        <v>20</v>
      </c>
    </row>
    <row r="28" spans="2:2">
      <c r="B28" t="s">
        <v>21</v>
      </c>
    </row>
    <row r="29" spans="2:2">
      <c r="B29" s="5" t="s">
        <v>22</v>
      </c>
    </row>
    <row r="30" spans="2:2">
      <c r="B30" t="s">
        <v>23</v>
      </c>
    </row>
  </sheetData>
  <hyperlinks>
    <hyperlink ref="B8" r:id="rId1" xr:uid="{4E7074E0-5F89-4CB3-A7D7-5F6D5D72FC11}"/>
    <hyperlink ref="B29" r:id="rId2" xr:uid="{94ED2459-0441-4347-8C48-77BA341BADB3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8324-9BE4-4E14-9E4D-CC788459C9F7}">
  <dimension ref="A1:E33"/>
  <sheetViews>
    <sheetView workbookViewId="0">
      <selection activeCell="G27" sqref="G27"/>
    </sheetView>
  </sheetViews>
  <sheetFormatPr defaultRowHeight="14.45"/>
  <cols>
    <col min="2" max="2" width="12.42578125" customWidth="1"/>
    <col min="3" max="3" width="12.28515625" customWidth="1"/>
    <col min="4" max="4" width="10.7109375" customWidth="1"/>
  </cols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36</v>
      </c>
    </row>
    <row r="16" spans="1:1">
      <c r="A16" t="s">
        <v>37</v>
      </c>
    </row>
    <row r="17" spans="1:5">
      <c r="A17" t="s">
        <v>38</v>
      </c>
    </row>
    <row r="18" spans="1:5">
      <c r="A18" t="s">
        <v>39</v>
      </c>
    </row>
    <row r="19" spans="1:5">
      <c r="A19" t="s">
        <v>40</v>
      </c>
    </row>
    <row r="21" spans="1:5">
      <c r="A21" t="s">
        <v>41</v>
      </c>
    </row>
    <row r="22" spans="1:5">
      <c r="A22" t="s">
        <v>42</v>
      </c>
    </row>
    <row r="23" spans="1:5">
      <c r="A23" t="s">
        <v>43</v>
      </c>
    </row>
    <row r="24" spans="1:5">
      <c r="A24" t="s">
        <v>44</v>
      </c>
    </row>
    <row r="26" spans="1:5">
      <c r="A26" s="12" t="s">
        <v>45</v>
      </c>
      <c r="B26" s="13"/>
      <c r="C26" s="13"/>
      <c r="D26" s="13"/>
      <c r="E26" s="13"/>
    </row>
    <row r="27" spans="1:5" s="15" customFormat="1" ht="29.1">
      <c r="A27" s="14" t="s">
        <v>46</v>
      </c>
      <c r="B27" s="14" t="s">
        <v>47</v>
      </c>
      <c r="C27" s="14" t="s">
        <v>48</v>
      </c>
      <c r="D27" s="14" t="s">
        <v>49</v>
      </c>
      <c r="E27" s="14" t="s">
        <v>50</v>
      </c>
    </row>
    <row r="28" spans="1:5">
      <c r="A28" t="s">
        <v>51</v>
      </c>
      <c r="B28">
        <v>33877</v>
      </c>
      <c r="C28">
        <v>5688</v>
      </c>
      <c r="D28">
        <f>SUM(B28:C28)</f>
        <v>39565</v>
      </c>
      <c r="E28" t="s">
        <v>52</v>
      </c>
    </row>
    <row r="29" spans="1:5">
      <c r="A29" t="s">
        <v>53</v>
      </c>
      <c r="B29">
        <v>125954</v>
      </c>
      <c r="C29">
        <v>494686</v>
      </c>
      <c r="D29">
        <f>SUM(B29:C29)</f>
        <v>620640</v>
      </c>
      <c r="E29" t="s">
        <v>52</v>
      </c>
    </row>
    <row r="30" spans="1:5">
      <c r="A30" t="s">
        <v>54</v>
      </c>
      <c r="B30" s="16">
        <f>$D30*(B28/$D28)</f>
        <v>475896.28712245671</v>
      </c>
      <c r="C30" s="16">
        <f>$D30*(C28/$D28)</f>
        <v>79903.712877543294</v>
      </c>
      <c r="D30">
        <v>555800</v>
      </c>
      <c r="E30" t="s">
        <v>52</v>
      </c>
    </row>
    <row r="32" spans="1:5">
      <c r="A32" t="s">
        <v>55</v>
      </c>
    </row>
    <row r="33" spans="1:2">
      <c r="A33" s="17">
        <f>SUM(B28:B30)</f>
        <v>635727.28712245671</v>
      </c>
      <c r="B3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EC19-36C6-4DCC-B2FC-067A12574C03}">
  <dimension ref="A1:E39"/>
  <sheetViews>
    <sheetView topLeftCell="A4" workbookViewId="0">
      <selection activeCell="E11" sqref="E11"/>
    </sheetView>
  </sheetViews>
  <sheetFormatPr defaultColWidth="11.42578125" defaultRowHeight="14.45"/>
  <cols>
    <col min="1" max="1" width="20.42578125" customWidth="1"/>
    <col min="4" max="4" width="12.28515625" bestFit="1" customWidth="1"/>
    <col min="5" max="5" width="12.85546875" bestFit="1" customWidth="1"/>
  </cols>
  <sheetData>
    <row r="1" spans="1:5" ht="29.1">
      <c r="A1" s="8" t="s">
        <v>56</v>
      </c>
      <c r="B1" s="8" t="s">
        <v>57</v>
      </c>
      <c r="C1" s="8" t="s">
        <v>58</v>
      </c>
      <c r="D1" s="8" t="s">
        <v>59</v>
      </c>
    </row>
    <row r="2" spans="1:5">
      <c r="A2" t="s">
        <v>60</v>
      </c>
      <c r="B2">
        <v>1380</v>
      </c>
      <c r="C2" s="7">
        <f>AVERAGE(0.38,0.55)</f>
        <v>0.46500000000000002</v>
      </c>
      <c r="D2" s="9">
        <f>B2/C2/365/24*1000*1000</f>
        <v>338783.32596847846</v>
      </c>
      <c r="E2" s="10"/>
    </row>
    <row r="3" spans="1:5">
      <c r="A3" s="11" t="s">
        <v>61</v>
      </c>
      <c r="B3">
        <v>522</v>
      </c>
      <c r="C3" s="7">
        <f>AVERAGE(0.4,0.5)</f>
        <v>0.45</v>
      </c>
      <c r="D3" s="9">
        <f t="shared" ref="D3:D10" si="0">B3/C3/365/24*1000*1000</f>
        <v>132420.09132420091</v>
      </c>
    </row>
    <row r="4" spans="1:5">
      <c r="A4" s="11" t="s">
        <v>62</v>
      </c>
      <c r="B4">
        <v>1020</v>
      </c>
      <c r="C4" s="7">
        <v>0.6</v>
      </c>
      <c r="D4" s="9">
        <f>B4/C4/365/24*1000*1000</f>
        <v>194063.92694063924</v>
      </c>
    </row>
    <row r="5" spans="1:5">
      <c r="A5" s="11" t="s">
        <v>63</v>
      </c>
      <c r="B5">
        <v>308</v>
      </c>
      <c r="C5" s="7">
        <v>0.15</v>
      </c>
      <c r="D5" s="9">
        <f t="shared" si="0"/>
        <v>234398.78234398784</v>
      </c>
    </row>
    <row r="6" spans="1:5">
      <c r="A6" s="11" t="s">
        <v>64</v>
      </c>
      <c r="B6">
        <v>21</v>
      </c>
      <c r="C6" s="7">
        <v>0.2</v>
      </c>
      <c r="D6" s="9">
        <f t="shared" si="0"/>
        <v>11986.301369863013</v>
      </c>
    </row>
    <row r="7" spans="1:5">
      <c r="A7" s="11" t="s">
        <v>2</v>
      </c>
      <c r="B7">
        <v>262</v>
      </c>
      <c r="C7" s="7">
        <v>0.31</v>
      </c>
      <c r="D7" s="9">
        <f t="shared" si="0"/>
        <v>96479.599351892757</v>
      </c>
    </row>
    <row r="8" spans="1:5">
      <c r="A8" s="11" t="s">
        <v>65</v>
      </c>
      <c r="B8">
        <v>73</v>
      </c>
      <c r="C8" s="7">
        <v>0.1</v>
      </c>
      <c r="D8" s="9">
        <f t="shared" si="0"/>
        <v>83333.333333333328</v>
      </c>
    </row>
    <row r="9" spans="1:5">
      <c r="A9" s="11" t="s">
        <v>66</v>
      </c>
      <c r="B9">
        <v>16</v>
      </c>
      <c r="C9" s="7">
        <v>0.15</v>
      </c>
      <c r="D9" s="9">
        <f t="shared" si="0"/>
        <v>12176.560121765602</v>
      </c>
    </row>
    <row r="10" spans="1:5">
      <c r="A10" s="11" t="s">
        <v>67</v>
      </c>
      <c r="B10">
        <v>52</v>
      </c>
      <c r="C10" s="7">
        <f>AVERAGE(0.4,0.5)</f>
        <v>0.45</v>
      </c>
      <c r="D10" s="9">
        <f t="shared" si="0"/>
        <v>13191.273465246066</v>
      </c>
    </row>
    <row r="11" spans="1:5">
      <c r="A11" s="11"/>
      <c r="C11" s="7"/>
      <c r="D11" s="9"/>
    </row>
    <row r="12" spans="1:5">
      <c r="A12" s="11" t="s">
        <v>68</v>
      </c>
    </row>
    <row r="13" spans="1:5">
      <c r="A13" s="11" t="s">
        <v>69</v>
      </c>
    </row>
    <row r="14" spans="1:5">
      <c r="A14" s="5" t="s">
        <v>70</v>
      </c>
    </row>
    <row r="15" spans="1:5">
      <c r="A15" s="11"/>
    </row>
    <row r="39" spans="1:1">
      <c r="A39" s="5" t="s">
        <v>5</v>
      </c>
    </row>
  </sheetData>
  <hyperlinks>
    <hyperlink ref="A14" r:id="rId1" xr:uid="{AB86924A-8AD2-4184-AB6D-0CF2A8A0AFB7}"/>
    <hyperlink ref="A39" r:id="rId2" xr:uid="{D3F8129D-9FC3-4111-8C60-A7FF35D566EC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64AB-6A38-4253-9097-6A40C7E32BC8}">
  <dimension ref="A1:B33"/>
  <sheetViews>
    <sheetView topLeftCell="A25" workbookViewId="0"/>
  </sheetViews>
  <sheetFormatPr defaultRowHeight="14.45"/>
  <cols>
    <col min="1" max="1" width="30" customWidth="1"/>
    <col min="2" max="2" width="11.85546875" bestFit="1" customWidth="1"/>
  </cols>
  <sheetData>
    <row r="1" spans="1:1">
      <c r="A1" s="5" t="s">
        <v>18</v>
      </c>
    </row>
    <row r="29" spans="1:2">
      <c r="A29" t="s">
        <v>71</v>
      </c>
    </row>
    <row r="30" spans="1:2">
      <c r="A30" t="s">
        <v>72</v>
      </c>
      <c r="B30">
        <f>3.816/24</f>
        <v>0.159</v>
      </c>
    </row>
    <row r="31" spans="1:2">
      <c r="A31" t="s">
        <v>73</v>
      </c>
      <c r="B31">
        <f>5816175*1000000</f>
        <v>5816175000000</v>
      </c>
    </row>
    <row r="32" spans="1:2">
      <c r="A32" t="s">
        <v>74</v>
      </c>
      <c r="B32">
        <f>B31*3.252</f>
        <v>18914201100000</v>
      </c>
    </row>
    <row r="33" spans="1:2">
      <c r="A33" t="s">
        <v>75</v>
      </c>
      <c r="B33">
        <f>B32/1000/24/B30</f>
        <v>4956551650.9433966</v>
      </c>
    </row>
  </sheetData>
  <hyperlinks>
    <hyperlink ref="A1" r:id="rId1" xr:uid="{46652D55-A3F2-4327-B341-F87B18701252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16F7-2CD9-4D5E-90F5-019F0793D04A}">
  <dimension ref="A1:B28"/>
  <sheetViews>
    <sheetView workbookViewId="0"/>
  </sheetViews>
  <sheetFormatPr defaultRowHeight="14.45"/>
  <cols>
    <col min="2" max="2" width="11.85546875" bestFit="1" customWidth="1"/>
  </cols>
  <sheetData>
    <row r="1" spans="1:1">
      <c r="A1" s="5" t="s">
        <v>9</v>
      </c>
    </row>
    <row r="4" spans="1:1" ht="15.6" customHeight="1"/>
    <row r="25" spans="1:2">
      <c r="A25" t="s">
        <v>76</v>
      </c>
    </row>
    <row r="26" spans="1:2">
      <c r="A26" t="s">
        <v>77</v>
      </c>
      <c r="B26">
        <f>78*1000*1000*1000/24/0.2</f>
        <v>16250000000</v>
      </c>
    </row>
    <row r="27" spans="1:2">
      <c r="A27" t="s">
        <v>78</v>
      </c>
      <c r="B27">
        <f>21*1000*1000*1000/24/0.2</f>
        <v>4375000000</v>
      </c>
    </row>
    <row r="28" spans="1:2">
      <c r="A28" t="s">
        <v>79</v>
      </c>
    </row>
  </sheetData>
  <hyperlinks>
    <hyperlink ref="A1" r:id="rId1" xr:uid="{3F63F577-7735-425C-8553-BE3F19942AA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E471-3ABE-4107-A441-D196DB8B3933}">
  <dimension ref="A1:D10"/>
  <sheetViews>
    <sheetView workbookViewId="0">
      <selection activeCell="A10" sqref="A10"/>
    </sheetView>
  </sheetViews>
  <sheetFormatPr defaultRowHeight="14.45"/>
  <cols>
    <col min="1" max="1" width="33.140625" customWidth="1"/>
    <col min="2" max="2" width="26.5703125" customWidth="1"/>
    <col min="3" max="3" width="18.42578125" customWidth="1"/>
    <col min="4" max="4" width="21.42578125" customWidth="1"/>
  </cols>
  <sheetData>
    <row r="1" spans="1:4">
      <c r="A1" s="5" t="s">
        <v>21</v>
      </c>
    </row>
    <row r="3" spans="1:4" ht="43.5">
      <c r="A3" t="s">
        <v>80</v>
      </c>
      <c r="B3" s="15" t="s">
        <v>81</v>
      </c>
      <c r="C3" t="s">
        <v>82</v>
      </c>
      <c r="D3" t="s">
        <v>83</v>
      </c>
    </row>
    <row r="4" spans="1:4">
      <c r="A4" t="s">
        <v>84</v>
      </c>
      <c r="B4">
        <v>10.199999999999999</v>
      </c>
      <c r="C4">
        <f>B4*(0.018+0.044+0.032)</f>
        <v>0.95879999999999999</v>
      </c>
      <c r="D4">
        <f>$B$8*(B4-C4)</f>
        <v>501.01233243967823</v>
      </c>
    </row>
    <row r="5" spans="1:4">
      <c r="A5" t="s">
        <v>85</v>
      </c>
      <c r="B5">
        <v>11.5</v>
      </c>
      <c r="C5">
        <f t="shared" ref="C5:C6" si="0">B5*(0.018+0.044+0.032)</f>
        <v>1.081</v>
      </c>
      <c r="D5">
        <f t="shared" ref="D5:D6" si="1">$B$8*(B5-C5)</f>
        <v>564.86684539767646</v>
      </c>
    </row>
    <row r="6" spans="1:4">
      <c r="A6" t="s">
        <v>86</v>
      </c>
      <c r="B6">
        <v>3.2</v>
      </c>
      <c r="C6">
        <f t="shared" si="0"/>
        <v>0.30080000000000001</v>
      </c>
      <c r="D6">
        <f t="shared" si="1"/>
        <v>157.18033958891866</v>
      </c>
    </row>
    <row r="8" spans="1:4">
      <c r="A8" t="s">
        <v>87</v>
      </c>
      <c r="B8">
        <f>1820/33.57</f>
        <v>54.21507298182901</v>
      </c>
    </row>
    <row r="9" spans="1:4">
      <c r="A9" t="s">
        <v>88</v>
      </c>
    </row>
    <row r="10" spans="1:4">
      <c r="A10" s="5" t="s">
        <v>22</v>
      </c>
    </row>
  </sheetData>
  <hyperlinks>
    <hyperlink ref="A10" r:id="rId1" xr:uid="{F0BDE082-FAE0-4C82-8565-548294E5F056}"/>
    <hyperlink ref="A1" r:id="rId2" xr:uid="{9162FB91-32C8-47FF-8A19-6D66A687B5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E10" sqref="E10"/>
    </sheetView>
  </sheetViews>
  <sheetFormatPr defaultRowHeight="14.45"/>
  <cols>
    <col min="1" max="1" width="22" customWidth="1"/>
    <col min="2" max="2" width="27.28515625" customWidth="1"/>
  </cols>
  <sheetData>
    <row r="1" spans="1:2">
      <c r="A1" s="1" t="s">
        <v>89</v>
      </c>
      <c r="B1" s="1" t="s">
        <v>90</v>
      </c>
    </row>
    <row r="2" spans="1:2">
      <c r="A2" t="s">
        <v>91</v>
      </c>
      <c r="B2" s="6">
        <f>9*10^12</f>
        <v>9000000000000</v>
      </c>
    </row>
    <row r="3" spans="1:2">
      <c r="A3" t="s">
        <v>92</v>
      </c>
      <c r="B3" s="6">
        <f>9*10^12</f>
        <v>9000000000000</v>
      </c>
    </row>
    <row r="4" spans="1:2">
      <c r="A4" t="s">
        <v>93</v>
      </c>
      <c r="B4" s="6">
        <f>9*10^12</f>
        <v>9000000000000</v>
      </c>
    </row>
    <row r="5" spans="1:2">
      <c r="A5" t="s">
        <v>94</v>
      </c>
      <c r="B5">
        <v>194064</v>
      </c>
    </row>
    <row r="6" spans="1:2">
      <c r="A6" t="s">
        <v>95</v>
      </c>
      <c r="B6">
        <f>Wind!B26</f>
        <v>16250000000</v>
      </c>
    </row>
    <row r="7" spans="1:2">
      <c r="A7" t="s">
        <v>96</v>
      </c>
      <c r="B7">
        <f>Solar!B33</f>
        <v>4956551650.9433966</v>
      </c>
    </row>
    <row r="8" spans="1:2">
      <c r="A8" t="s">
        <v>97</v>
      </c>
      <c r="B8">
        <f>B7</f>
        <v>4956551650.9433966</v>
      </c>
    </row>
    <row r="9" spans="1:2">
      <c r="A9" t="s">
        <v>98</v>
      </c>
      <c r="B9">
        <v>96480</v>
      </c>
    </row>
    <row r="10" spans="1:2">
      <c r="A10" t="s">
        <v>99</v>
      </c>
      <c r="B10">
        <v>635727</v>
      </c>
    </row>
    <row r="11" spans="1:2">
      <c r="A11" t="s">
        <v>100</v>
      </c>
      <c r="B11" s="6">
        <f>9*10^12</f>
        <v>9000000000000</v>
      </c>
    </row>
    <row r="12" spans="1:2">
      <c r="A12" t="s">
        <v>101</v>
      </c>
      <c r="B12" s="6">
        <f>9*10^12</f>
        <v>9000000000000</v>
      </c>
    </row>
    <row r="13" spans="1:2">
      <c r="A13" t="s">
        <v>102</v>
      </c>
      <c r="B13" s="6">
        <f>B2</f>
        <v>9000000000000</v>
      </c>
    </row>
    <row r="14" spans="1:2">
      <c r="A14" t="s">
        <v>103</v>
      </c>
      <c r="B14">
        <f>Wind!B27</f>
        <v>4375000000</v>
      </c>
    </row>
    <row r="15" spans="1:2">
      <c r="A15" t="s">
        <v>104</v>
      </c>
      <c r="B15" s="6">
        <f>B11</f>
        <v>9000000000000</v>
      </c>
    </row>
    <row r="16" spans="1:2">
      <c r="A16" t="s">
        <v>105</v>
      </c>
      <c r="B16" s="6">
        <f>B11</f>
        <v>9000000000000</v>
      </c>
    </row>
    <row r="17" spans="1:2">
      <c r="A17" t="s">
        <v>106</v>
      </c>
      <c r="B17" s="6">
        <f>SUM(MSW!D4:D6)</f>
        <v>1223.0595174262735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2B9AEA-6E06-46C6-B93E-C8EA93D60DAE}"/>
</file>

<file path=customXml/itemProps2.xml><?xml version="1.0" encoding="utf-8"?>
<ds:datastoreItem xmlns:ds="http://schemas.openxmlformats.org/officeDocument/2006/customXml" ds:itemID="{D461D514-D7D5-4A2E-8B02-B02741DE781A}"/>
</file>

<file path=customXml/itemProps3.xml><?xml version="1.0" encoding="utf-8"?>
<ds:datastoreItem xmlns:ds="http://schemas.openxmlformats.org/officeDocument/2006/customXml" ds:itemID="{2E0EBFD6-9099-4FDA-94BD-1B6A221EEA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Janetta McKenzie</cp:lastModifiedBy>
  <cp:revision/>
  <dcterms:created xsi:type="dcterms:W3CDTF">2015-01-16T02:18:43Z</dcterms:created>
  <dcterms:modified xsi:type="dcterms:W3CDTF">2022-05-30T16:22:22Z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