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C:\Users\olivia\Documents\EPS_Models by Region\Canada\canada-eps\InputData\fuels\BS\"/>
    </mc:Choice>
  </mc:AlternateContent>
  <xr:revisionPtr revIDLastSave="0" documentId="13_ncr:1_{53B883AC-E08E-4A4A-93A4-CEC8471A927F}" xr6:coauthVersionLast="47" xr6:coauthVersionMax="47" xr10:uidLastSave="{00000000-0000-0000-0000-000000000000}"/>
  <bookViews>
    <workbookView xWindow="945" yWindow="525" windowWidth="16695" windowHeight="16875" tabRatio="827" firstSheet="12" activeTab="13" xr2:uid="{00000000-000D-0000-FFFF-FFFF00000000}"/>
  </bookViews>
  <sheets>
    <sheet name="About" sheetId="1" r:id="rId1"/>
    <sheet name="CAN Fossil Subsidies_old" sheetId="16" r:id="rId2"/>
    <sheet name="Fossil Subsidies" sheetId="23" r:id="rId3"/>
    <sheet name="Primary Energy Demand" sheetId="25" r:id="rId4"/>
    <sheet name="Fossil Fuel Calculations" sheetId="24" r:id="rId5"/>
    <sheet name="CAN Primary Energy_old" sheetId="18" state="hidden" r:id="rId6"/>
    <sheet name="CAN Fossil Calculations_old" sheetId="19" r:id="rId7"/>
    <sheet name="RE Subsidies" sheetId="20" r:id="rId8"/>
    <sheet name="Electricity Generation" sheetId="26" r:id="rId9"/>
    <sheet name="RE Calculations" sheetId="21" r:id="rId10"/>
    <sheet name="Subsidies" sheetId="27" r:id="rId11"/>
    <sheet name="New Subsidy data" sheetId="29" r:id="rId12"/>
    <sheet name="BS-BSfTFpEUP" sheetId="10" r:id="rId13"/>
    <sheet name="BS-BSpUEO-PreRet" sheetId="30" r:id="rId14"/>
    <sheet name="BS-BSpUEO-PreNonRet" sheetId="31" r:id="rId15"/>
    <sheet name="BS-BSpUEO-NewBlt" sheetId="32" r:id="rId16"/>
    <sheet name="BS-BSpUECB" sheetId="22" r:id="rId17"/>
    <sheet name="Tasks " sheetId="28" r:id="rId18"/>
  </sheets>
  <definedNames>
    <definedName name="_xlnm._FilterDatabase" localSheetId="2" hidden="1">'Fossil Subsidies'!$A$1:$T$131</definedName>
    <definedName name="_xlnm._FilterDatabase" localSheetId="11" hidden="1">'New Subsidy data'!$B$1:$Z$291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 i="24" l="1"/>
  <c r="AH14" i="32"/>
  <c r="AG14" i="32"/>
  <c r="AF14" i="32"/>
  <c r="AE14" i="32"/>
  <c r="AD14" i="32"/>
  <c r="AC14" i="32"/>
  <c r="AB14" i="32"/>
  <c r="AA14" i="32"/>
  <c r="Z14" i="32"/>
  <c r="Y14" i="32"/>
  <c r="X14" i="32"/>
  <c r="W14" i="32"/>
  <c r="V14" i="32"/>
  <c r="U14" i="32"/>
  <c r="T14" i="32"/>
  <c r="S14" i="32"/>
  <c r="R14" i="32"/>
  <c r="Q14" i="32"/>
  <c r="P14" i="32"/>
  <c r="O14" i="32"/>
  <c r="AH13" i="32"/>
  <c r="AG13" i="32"/>
  <c r="AF13" i="32"/>
  <c r="AE13" i="32"/>
  <c r="AD13" i="32"/>
  <c r="AC13" i="32"/>
  <c r="AB13" i="32"/>
  <c r="AA13" i="32"/>
  <c r="Z13" i="32"/>
  <c r="Y13" i="32"/>
  <c r="X13" i="32"/>
  <c r="W13" i="32"/>
  <c r="V13" i="32"/>
  <c r="U13" i="32"/>
  <c r="T13" i="32"/>
  <c r="S13" i="32"/>
  <c r="R13" i="32"/>
  <c r="Q13" i="32"/>
  <c r="P13" i="32"/>
  <c r="O13" i="32"/>
  <c r="AH12" i="32"/>
  <c r="AG12" i="32"/>
  <c r="AF12" i="32"/>
  <c r="AE12" i="32"/>
  <c r="AD12" i="32"/>
  <c r="AC12" i="32"/>
  <c r="AB12" i="32"/>
  <c r="AA12" i="32"/>
  <c r="Z12" i="32"/>
  <c r="Y12" i="32"/>
  <c r="X12" i="32"/>
  <c r="W12" i="32"/>
  <c r="V12" i="32"/>
  <c r="U12" i="32"/>
  <c r="T12" i="32"/>
  <c r="S12" i="32"/>
  <c r="R12" i="32"/>
  <c r="Q12" i="32"/>
  <c r="P12" i="32"/>
  <c r="O12" i="32"/>
  <c r="AH11" i="32"/>
  <c r="AG11" i="32"/>
  <c r="AF11" i="32"/>
  <c r="AE11" i="32"/>
  <c r="AD11" i="32"/>
  <c r="AC11" i="32"/>
  <c r="AB11" i="32"/>
  <c r="AA11" i="32"/>
  <c r="Z11" i="32"/>
  <c r="Y11" i="32"/>
  <c r="X11" i="32"/>
  <c r="W11" i="32"/>
  <c r="V11" i="32"/>
  <c r="U11" i="32"/>
  <c r="T11" i="32"/>
  <c r="S11" i="32"/>
  <c r="R11" i="32"/>
  <c r="Q11" i="32"/>
  <c r="P11" i="32"/>
  <c r="O11" i="32"/>
  <c r="AH10" i="32"/>
  <c r="AG10" i="32"/>
  <c r="AF10" i="32"/>
  <c r="AE10" i="32"/>
  <c r="AD10" i="32"/>
  <c r="AC10" i="32"/>
  <c r="AB10" i="32"/>
  <c r="AA10" i="32"/>
  <c r="Z10" i="32"/>
  <c r="Y10" i="32"/>
  <c r="X10" i="32"/>
  <c r="W10" i="32"/>
  <c r="V10" i="32"/>
  <c r="U10" i="32"/>
  <c r="T10" i="32"/>
  <c r="S10" i="32"/>
  <c r="R10" i="32"/>
  <c r="Q10" i="32"/>
  <c r="P10" i="32"/>
  <c r="O10" i="32"/>
  <c r="AH9" i="32"/>
  <c r="AG9" i="32"/>
  <c r="AF9" i="32"/>
  <c r="AE9" i="32"/>
  <c r="AD9" i="32"/>
  <c r="AC9" i="32"/>
  <c r="AB9" i="32"/>
  <c r="AA9" i="32"/>
  <c r="Z9" i="32"/>
  <c r="Y9" i="32"/>
  <c r="X9" i="32"/>
  <c r="W9" i="32"/>
  <c r="V9" i="32"/>
  <c r="U9" i="32"/>
  <c r="T9" i="32"/>
  <c r="S9" i="32"/>
  <c r="R9" i="32"/>
  <c r="Q9" i="32"/>
  <c r="P9" i="32"/>
  <c r="O9" i="32"/>
  <c r="AH8" i="32"/>
  <c r="AG8" i="32"/>
  <c r="AF8" i="32"/>
  <c r="AE8" i="32"/>
  <c r="AD8" i="32"/>
  <c r="AC8" i="32"/>
  <c r="AB8" i="32"/>
  <c r="AA8" i="32"/>
  <c r="Z8" i="32"/>
  <c r="Y8" i="32"/>
  <c r="X8" i="32"/>
  <c r="W8" i="32"/>
  <c r="V8" i="32"/>
  <c r="U8" i="32"/>
  <c r="T8" i="32"/>
  <c r="S8" i="32"/>
  <c r="R8" i="32"/>
  <c r="Q8" i="32"/>
  <c r="P8" i="32"/>
  <c r="O8" i="32"/>
  <c r="AH7" i="32"/>
  <c r="AG7" i="32"/>
  <c r="AF7" i="32"/>
  <c r="AE7" i="32"/>
  <c r="AD7" i="32"/>
  <c r="AC7" i="32"/>
  <c r="AB7" i="32"/>
  <c r="AA7" i="32"/>
  <c r="Z7" i="32"/>
  <c r="Y7" i="32"/>
  <c r="X7" i="32"/>
  <c r="W7" i="32"/>
  <c r="V7" i="32"/>
  <c r="U7" i="32"/>
  <c r="T7" i="32"/>
  <c r="S7" i="32"/>
  <c r="R7" i="32"/>
  <c r="Q7" i="32"/>
  <c r="P7" i="32"/>
  <c r="O7" i="32"/>
  <c r="AH6" i="32"/>
  <c r="AG6" i="32"/>
  <c r="AF6" i="32"/>
  <c r="AE6" i="32"/>
  <c r="AD6" i="32"/>
  <c r="AC6" i="32"/>
  <c r="AB6" i="32"/>
  <c r="AA6" i="32"/>
  <c r="Z6" i="32"/>
  <c r="Y6" i="32"/>
  <c r="X6" i="32"/>
  <c r="W6" i="32"/>
  <c r="V6" i="32"/>
  <c r="U6" i="32"/>
  <c r="T6" i="32"/>
  <c r="S6" i="32"/>
  <c r="R6" i="32"/>
  <c r="Q6" i="32"/>
  <c r="P6" i="32"/>
  <c r="O6" i="32"/>
  <c r="AH5" i="32"/>
  <c r="AG5" i="32"/>
  <c r="AF5" i="32"/>
  <c r="AE5" i="32"/>
  <c r="AD5" i="32"/>
  <c r="AC5" i="32"/>
  <c r="AB5" i="32"/>
  <c r="AA5" i="32"/>
  <c r="Z5" i="32"/>
  <c r="Y5" i="32"/>
  <c r="X5" i="32"/>
  <c r="W5" i="32"/>
  <c r="V5" i="32"/>
  <c r="U5" i="32"/>
  <c r="T5" i="32"/>
  <c r="S5" i="32"/>
  <c r="R5" i="32"/>
  <c r="Q5" i="32"/>
  <c r="P5" i="32"/>
  <c r="O5" i="32"/>
  <c r="AH4" i="32"/>
  <c r="AG4" i="32"/>
  <c r="AF4" i="32"/>
  <c r="AE4" i="32"/>
  <c r="AD4" i="32"/>
  <c r="AC4" i="32"/>
  <c r="AB4" i="32"/>
  <c r="AA4" i="32"/>
  <c r="Z4" i="32"/>
  <c r="Y4" i="32"/>
  <c r="X4" i="32"/>
  <c r="W4" i="32"/>
  <c r="V4" i="32"/>
  <c r="U4" i="32"/>
  <c r="T4" i="32"/>
  <c r="S4" i="32"/>
  <c r="R4" i="32"/>
  <c r="Q4" i="32"/>
  <c r="P4" i="32"/>
  <c r="O4" i="32"/>
  <c r="AH3" i="32"/>
  <c r="AG3" i="32"/>
  <c r="AF3" i="32"/>
  <c r="AE3" i="32"/>
  <c r="AD3" i="32"/>
  <c r="AC3" i="32"/>
  <c r="AB3" i="32"/>
  <c r="AA3" i="32"/>
  <c r="Z3" i="32"/>
  <c r="Y3" i="32"/>
  <c r="X3" i="32"/>
  <c r="W3" i="32"/>
  <c r="V3" i="32"/>
  <c r="U3" i="32"/>
  <c r="T3" i="32"/>
  <c r="S3" i="32"/>
  <c r="R3" i="32"/>
  <c r="Q3" i="32"/>
  <c r="P3" i="32"/>
  <c r="O3" i="32"/>
  <c r="AH2" i="32"/>
  <c r="AG2" i="32"/>
  <c r="AF2" i="32"/>
  <c r="AE2" i="32"/>
  <c r="AD2" i="32"/>
  <c r="AC2" i="32"/>
  <c r="AB2" i="32"/>
  <c r="AA2" i="32"/>
  <c r="Z2" i="32"/>
  <c r="Y2" i="32"/>
  <c r="X2" i="32"/>
  <c r="W2" i="32"/>
  <c r="V2" i="32"/>
  <c r="U2" i="32"/>
  <c r="T2" i="32"/>
  <c r="S2" i="32"/>
  <c r="R2" i="32"/>
  <c r="Q2" i="32"/>
  <c r="P2" i="32"/>
  <c r="O2" i="32"/>
  <c r="AH14" i="31"/>
  <c r="AG14" i="31"/>
  <c r="AF14" i="31"/>
  <c r="AE14" i="31"/>
  <c r="AD14" i="31"/>
  <c r="AC14" i="31"/>
  <c r="AB14" i="31"/>
  <c r="AA14" i="31"/>
  <c r="Z14" i="31"/>
  <c r="Y14" i="31"/>
  <c r="X14" i="31"/>
  <c r="W14" i="31"/>
  <c r="V14" i="31"/>
  <c r="U14" i="31"/>
  <c r="T14" i="31"/>
  <c r="S14" i="31"/>
  <c r="R14" i="31"/>
  <c r="Q14" i="31"/>
  <c r="P14" i="31"/>
  <c r="O14" i="31"/>
  <c r="AH13" i="31"/>
  <c r="AG13" i="31"/>
  <c r="AF13" i="31"/>
  <c r="AE13" i="31"/>
  <c r="AD13" i="31"/>
  <c r="AC13" i="31"/>
  <c r="AB13" i="31"/>
  <c r="AA13" i="31"/>
  <c r="Z13" i="31"/>
  <c r="Y13" i="31"/>
  <c r="X13" i="31"/>
  <c r="W13" i="31"/>
  <c r="V13" i="31"/>
  <c r="U13" i="31"/>
  <c r="T13" i="31"/>
  <c r="S13" i="31"/>
  <c r="R13" i="31"/>
  <c r="Q13" i="31"/>
  <c r="P13" i="31"/>
  <c r="O13" i="31"/>
  <c r="AH12" i="31"/>
  <c r="AG12" i="31"/>
  <c r="AF12" i="31"/>
  <c r="AE12" i="31"/>
  <c r="AD12" i="31"/>
  <c r="AC12" i="31"/>
  <c r="AB12" i="31"/>
  <c r="AA12" i="31"/>
  <c r="Z12" i="31"/>
  <c r="Y12" i="31"/>
  <c r="X12" i="31"/>
  <c r="W12" i="31"/>
  <c r="V12" i="31"/>
  <c r="U12" i="31"/>
  <c r="T12" i="31"/>
  <c r="S12" i="31"/>
  <c r="R12" i="31"/>
  <c r="Q12" i="31"/>
  <c r="P12" i="31"/>
  <c r="O12" i="31"/>
  <c r="AH11" i="31"/>
  <c r="AG11" i="31"/>
  <c r="AF11" i="31"/>
  <c r="AE11" i="31"/>
  <c r="AD11" i="31"/>
  <c r="AC11" i="31"/>
  <c r="AB11" i="31"/>
  <c r="AA11" i="31"/>
  <c r="Z11" i="31"/>
  <c r="Y11" i="31"/>
  <c r="X11" i="31"/>
  <c r="W11" i="31"/>
  <c r="V11" i="31"/>
  <c r="U11" i="31"/>
  <c r="T11" i="31"/>
  <c r="S11" i="31"/>
  <c r="R11" i="31"/>
  <c r="Q11" i="31"/>
  <c r="P11" i="31"/>
  <c r="O11" i="31"/>
  <c r="AH10" i="31"/>
  <c r="AG10" i="31"/>
  <c r="AF10" i="31"/>
  <c r="AE10" i="31"/>
  <c r="AD10" i="31"/>
  <c r="AC10" i="31"/>
  <c r="AB10" i="31"/>
  <c r="AA10" i="31"/>
  <c r="Z10" i="31"/>
  <c r="Y10" i="31"/>
  <c r="X10" i="31"/>
  <c r="W10" i="31"/>
  <c r="V10" i="31"/>
  <c r="U10" i="31"/>
  <c r="T10" i="31"/>
  <c r="S10" i="31"/>
  <c r="R10" i="31"/>
  <c r="Q10" i="31"/>
  <c r="P10" i="31"/>
  <c r="O10" i="31"/>
  <c r="AH9" i="31"/>
  <c r="AG9" i="31"/>
  <c r="AF9" i="31"/>
  <c r="AE9" i="31"/>
  <c r="AD9" i="31"/>
  <c r="AC9" i="31"/>
  <c r="AB9" i="31"/>
  <c r="AA9" i="31"/>
  <c r="Z9" i="31"/>
  <c r="Y9" i="31"/>
  <c r="X9" i="31"/>
  <c r="W9" i="31"/>
  <c r="V9" i="31"/>
  <c r="U9" i="31"/>
  <c r="T9" i="31"/>
  <c r="S9" i="31"/>
  <c r="R9" i="31"/>
  <c r="Q9" i="31"/>
  <c r="P9" i="31"/>
  <c r="O9" i="31"/>
  <c r="AH8" i="31"/>
  <c r="AG8" i="31"/>
  <c r="AF8" i="31"/>
  <c r="AE8" i="31"/>
  <c r="AD8" i="31"/>
  <c r="AC8" i="31"/>
  <c r="AB8" i="31"/>
  <c r="AA8" i="31"/>
  <c r="Z8" i="31"/>
  <c r="Y8" i="31"/>
  <c r="X8" i="31"/>
  <c r="W8" i="31"/>
  <c r="V8" i="31"/>
  <c r="U8" i="31"/>
  <c r="T8" i="31"/>
  <c r="S8" i="31"/>
  <c r="R8" i="31"/>
  <c r="Q8" i="31"/>
  <c r="P8" i="31"/>
  <c r="O8" i="31"/>
  <c r="AH7" i="31"/>
  <c r="AG7" i="31"/>
  <c r="AF7" i="31"/>
  <c r="AE7" i="31"/>
  <c r="AD7" i="31"/>
  <c r="AC7" i="31"/>
  <c r="AB7" i="31"/>
  <c r="AA7" i="31"/>
  <c r="Z7" i="31"/>
  <c r="Y7" i="31"/>
  <c r="X7" i="31"/>
  <c r="W7" i="31"/>
  <c r="V7" i="31"/>
  <c r="U7" i="31"/>
  <c r="T7" i="31"/>
  <c r="S7" i="31"/>
  <c r="R7" i="31"/>
  <c r="Q7" i="31"/>
  <c r="P7" i="31"/>
  <c r="O7" i="31"/>
  <c r="AH6" i="31"/>
  <c r="AG6" i="31"/>
  <c r="AF6" i="31"/>
  <c r="AE6" i="31"/>
  <c r="AD6" i="31"/>
  <c r="AC6" i="31"/>
  <c r="AB6" i="31"/>
  <c r="AA6" i="31"/>
  <c r="Z6" i="31"/>
  <c r="Y6" i="31"/>
  <c r="X6" i="31"/>
  <c r="W6" i="31"/>
  <c r="V6" i="31"/>
  <c r="U6" i="31"/>
  <c r="T6" i="31"/>
  <c r="S6" i="31"/>
  <c r="R6" i="31"/>
  <c r="Q6" i="31"/>
  <c r="P6" i="31"/>
  <c r="O6" i="31"/>
  <c r="AH5" i="31"/>
  <c r="AG5" i="31"/>
  <c r="AF5" i="31"/>
  <c r="AE5" i="31"/>
  <c r="AD5" i="31"/>
  <c r="AC5" i="31"/>
  <c r="AB5" i="31"/>
  <c r="AA5" i="31"/>
  <c r="Z5" i="31"/>
  <c r="Y5" i="31"/>
  <c r="X5" i="31"/>
  <c r="W5" i="31"/>
  <c r="V5" i="31"/>
  <c r="U5" i="31"/>
  <c r="T5" i="31"/>
  <c r="S5" i="31"/>
  <c r="R5" i="31"/>
  <c r="Q5" i="31"/>
  <c r="P5" i="31"/>
  <c r="O5" i="31"/>
  <c r="AH4" i="31"/>
  <c r="AG4" i="31"/>
  <c r="AF4" i="31"/>
  <c r="AE4" i="31"/>
  <c r="AD4" i="31"/>
  <c r="AC4" i="31"/>
  <c r="AB4" i="31"/>
  <c r="AA4" i="31"/>
  <c r="Z4" i="31"/>
  <c r="Y4" i="31"/>
  <c r="X4" i="31"/>
  <c r="W4" i="31"/>
  <c r="V4" i="31"/>
  <c r="U4" i="31"/>
  <c r="T4" i="31"/>
  <c r="S4" i="31"/>
  <c r="R4" i="31"/>
  <c r="Q4" i="31"/>
  <c r="P4" i="31"/>
  <c r="O4" i="31"/>
  <c r="AH3" i="31"/>
  <c r="AG3" i="31"/>
  <c r="AF3" i="31"/>
  <c r="AE3" i="31"/>
  <c r="AD3" i="31"/>
  <c r="AC3" i="31"/>
  <c r="AB3" i="31"/>
  <c r="AA3" i="31"/>
  <c r="Z3" i="31"/>
  <c r="Y3" i="31"/>
  <c r="X3" i="31"/>
  <c r="W3" i="31"/>
  <c r="V3" i="31"/>
  <c r="U3" i="31"/>
  <c r="T3" i="31"/>
  <c r="S3" i="31"/>
  <c r="R3" i="31"/>
  <c r="Q3" i="31"/>
  <c r="P3" i="31"/>
  <c r="O3" i="31"/>
  <c r="AH2" i="31"/>
  <c r="AG2" i="31"/>
  <c r="AF2" i="31"/>
  <c r="AE2" i="31"/>
  <c r="AD2" i="31"/>
  <c r="AC2" i="31"/>
  <c r="AB2" i="31"/>
  <c r="AA2" i="31"/>
  <c r="Z2" i="31"/>
  <c r="Y2" i="31"/>
  <c r="X2" i="31"/>
  <c r="W2" i="31"/>
  <c r="V2" i="31"/>
  <c r="U2" i="31"/>
  <c r="T2" i="31"/>
  <c r="S2" i="31"/>
  <c r="R2" i="31"/>
  <c r="Q2" i="31"/>
  <c r="P2" i="31"/>
  <c r="O2" i="31"/>
  <c r="AH14" i="30"/>
  <c r="AG14" i="30"/>
  <c r="AF14" i="30"/>
  <c r="AE14" i="30"/>
  <c r="AD14" i="30"/>
  <c r="AC14" i="30"/>
  <c r="AB14" i="30"/>
  <c r="AA14" i="30"/>
  <c r="Z14" i="30"/>
  <c r="Y14" i="30"/>
  <c r="X14" i="30"/>
  <c r="W14" i="30"/>
  <c r="V14" i="30"/>
  <c r="U14" i="30"/>
  <c r="T14" i="30"/>
  <c r="S14" i="30"/>
  <c r="R14" i="30"/>
  <c r="Q14" i="30"/>
  <c r="P14" i="30"/>
  <c r="O14" i="30"/>
  <c r="AH13" i="30"/>
  <c r="AG13" i="30"/>
  <c r="AF13" i="30"/>
  <c r="AE13" i="30"/>
  <c r="AD13" i="30"/>
  <c r="AC13" i="30"/>
  <c r="AB13" i="30"/>
  <c r="AA13" i="30"/>
  <c r="Z13" i="30"/>
  <c r="Y13" i="30"/>
  <c r="X13" i="30"/>
  <c r="W13" i="30"/>
  <c r="V13" i="30"/>
  <c r="U13" i="30"/>
  <c r="T13" i="30"/>
  <c r="S13" i="30"/>
  <c r="R13" i="30"/>
  <c r="Q13" i="30"/>
  <c r="P13" i="30"/>
  <c r="O13" i="30"/>
  <c r="AH12" i="30"/>
  <c r="AG12" i="30"/>
  <c r="AF12" i="30"/>
  <c r="AE12" i="30"/>
  <c r="AD12" i="30"/>
  <c r="AC12" i="30"/>
  <c r="AB12" i="30"/>
  <c r="AA12" i="30"/>
  <c r="Z12" i="30"/>
  <c r="Y12" i="30"/>
  <c r="X12" i="30"/>
  <c r="W12" i="30"/>
  <c r="V12" i="30"/>
  <c r="U12" i="30"/>
  <c r="T12" i="30"/>
  <c r="S12" i="30"/>
  <c r="R12" i="30"/>
  <c r="Q12" i="30"/>
  <c r="P12" i="30"/>
  <c r="O12" i="30"/>
  <c r="AH11" i="30"/>
  <c r="AG11" i="30"/>
  <c r="AF11" i="30"/>
  <c r="AE11" i="30"/>
  <c r="AD11" i="30"/>
  <c r="AC11" i="30"/>
  <c r="AB11" i="30"/>
  <c r="AA11" i="30"/>
  <c r="Z11" i="30"/>
  <c r="Y11" i="30"/>
  <c r="X11" i="30"/>
  <c r="W11" i="30"/>
  <c r="V11" i="30"/>
  <c r="U11" i="30"/>
  <c r="T11" i="30"/>
  <c r="S11" i="30"/>
  <c r="R11" i="30"/>
  <c r="Q11" i="30"/>
  <c r="P11" i="30"/>
  <c r="O11" i="30"/>
  <c r="AH10" i="30"/>
  <c r="AG10" i="30"/>
  <c r="AF10" i="30"/>
  <c r="AE10" i="30"/>
  <c r="AD10" i="30"/>
  <c r="AC10" i="30"/>
  <c r="AB10" i="30"/>
  <c r="AA10" i="30"/>
  <c r="Z10" i="30"/>
  <c r="Y10" i="30"/>
  <c r="X10" i="30"/>
  <c r="W10" i="30"/>
  <c r="V10" i="30"/>
  <c r="U10" i="30"/>
  <c r="T10" i="30"/>
  <c r="S10" i="30"/>
  <c r="R10" i="30"/>
  <c r="Q10" i="30"/>
  <c r="P10" i="30"/>
  <c r="O10" i="30"/>
  <c r="AH9" i="30"/>
  <c r="AG9" i="30"/>
  <c r="AF9" i="30"/>
  <c r="AE9" i="30"/>
  <c r="AD9" i="30"/>
  <c r="AC9" i="30"/>
  <c r="AB9" i="30"/>
  <c r="AA9" i="30"/>
  <c r="Z9" i="30"/>
  <c r="Y9" i="30"/>
  <c r="X9" i="30"/>
  <c r="W9" i="30"/>
  <c r="V9" i="30"/>
  <c r="U9" i="30"/>
  <c r="T9" i="30"/>
  <c r="S9" i="30"/>
  <c r="R9" i="30"/>
  <c r="Q9" i="30"/>
  <c r="P9" i="30"/>
  <c r="O9" i="30"/>
  <c r="AH8" i="30"/>
  <c r="AG8" i="30"/>
  <c r="AF8" i="30"/>
  <c r="AE8" i="30"/>
  <c r="AD8" i="30"/>
  <c r="AC8" i="30"/>
  <c r="AB8" i="30"/>
  <c r="AA8" i="30"/>
  <c r="Z8" i="30"/>
  <c r="Y8" i="30"/>
  <c r="X8" i="30"/>
  <c r="W8" i="30"/>
  <c r="V8" i="30"/>
  <c r="U8" i="30"/>
  <c r="T8" i="30"/>
  <c r="S8" i="30"/>
  <c r="R8" i="30"/>
  <c r="Q8" i="30"/>
  <c r="P8" i="30"/>
  <c r="O8" i="30"/>
  <c r="AH7" i="30"/>
  <c r="AG7" i="30"/>
  <c r="AF7" i="30"/>
  <c r="AE7" i="30"/>
  <c r="AD7" i="30"/>
  <c r="AC7" i="30"/>
  <c r="AB7" i="30"/>
  <c r="AA7" i="30"/>
  <c r="Z7" i="30"/>
  <c r="Y7" i="30"/>
  <c r="X7" i="30"/>
  <c r="W7" i="30"/>
  <c r="V7" i="30"/>
  <c r="U7" i="30"/>
  <c r="T7" i="30"/>
  <c r="S7" i="30"/>
  <c r="R7" i="30"/>
  <c r="Q7" i="30"/>
  <c r="P7" i="30"/>
  <c r="O7" i="30"/>
  <c r="AH6" i="30"/>
  <c r="AG6" i="30"/>
  <c r="AF6" i="30"/>
  <c r="AE6" i="30"/>
  <c r="AD6" i="30"/>
  <c r="AC6" i="30"/>
  <c r="AB6" i="30"/>
  <c r="AA6" i="30"/>
  <c r="Z6" i="30"/>
  <c r="Y6" i="30"/>
  <c r="X6" i="30"/>
  <c r="W6" i="30"/>
  <c r="V6" i="30"/>
  <c r="U6" i="30"/>
  <c r="T6" i="30"/>
  <c r="S6" i="30"/>
  <c r="R6" i="30"/>
  <c r="Q6" i="30"/>
  <c r="P6" i="30"/>
  <c r="O6" i="30"/>
  <c r="AH5" i="30"/>
  <c r="AG5" i="30"/>
  <c r="AF5" i="30"/>
  <c r="AE5" i="30"/>
  <c r="AD5" i="30"/>
  <c r="AC5" i="30"/>
  <c r="AB5" i="30"/>
  <c r="AA5" i="30"/>
  <c r="Z5" i="30"/>
  <c r="Y5" i="30"/>
  <c r="X5" i="30"/>
  <c r="W5" i="30"/>
  <c r="V5" i="30"/>
  <c r="U5" i="30"/>
  <c r="T5" i="30"/>
  <c r="S5" i="30"/>
  <c r="R5" i="30"/>
  <c r="Q5" i="30"/>
  <c r="P5" i="30"/>
  <c r="O5" i="30"/>
  <c r="AH4" i="30"/>
  <c r="AG4" i="30"/>
  <c r="AF4" i="30"/>
  <c r="AE4" i="30"/>
  <c r="AD4" i="30"/>
  <c r="AC4" i="30"/>
  <c r="AB4" i="30"/>
  <c r="AA4" i="30"/>
  <c r="Z4" i="30"/>
  <c r="Y4" i="30"/>
  <c r="X4" i="30"/>
  <c r="W4" i="30"/>
  <c r="V4" i="30"/>
  <c r="U4" i="30"/>
  <c r="T4" i="30"/>
  <c r="S4" i="30"/>
  <c r="R4" i="30"/>
  <c r="Q4" i="30"/>
  <c r="P4" i="30"/>
  <c r="O4" i="30"/>
  <c r="AH3" i="30"/>
  <c r="AG3" i="30"/>
  <c r="AF3" i="30"/>
  <c r="AE3" i="30"/>
  <c r="AD3" i="30"/>
  <c r="AC3" i="30"/>
  <c r="AB3" i="30"/>
  <c r="AA3" i="30"/>
  <c r="Z3" i="30"/>
  <c r="Y3" i="30"/>
  <c r="X3" i="30"/>
  <c r="W3" i="30"/>
  <c r="V3" i="30"/>
  <c r="U3" i="30"/>
  <c r="T3" i="30"/>
  <c r="S3" i="30"/>
  <c r="R3" i="30"/>
  <c r="Q3" i="30"/>
  <c r="P3" i="30"/>
  <c r="O3" i="30"/>
  <c r="AH2" i="30"/>
  <c r="AG2" i="30"/>
  <c r="AF2" i="30"/>
  <c r="AE2" i="30"/>
  <c r="AD2" i="30"/>
  <c r="AC2" i="30"/>
  <c r="AB2" i="30"/>
  <c r="AA2" i="30"/>
  <c r="Z2" i="30"/>
  <c r="Y2" i="30"/>
  <c r="X2" i="30"/>
  <c r="W2" i="30"/>
  <c r="V2" i="30"/>
  <c r="U2" i="30"/>
  <c r="T2" i="30"/>
  <c r="S2" i="30"/>
  <c r="R2" i="30"/>
  <c r="Q2" i="30"/>
  <c r="P2" i="30"/>
  <c r="O2" i="30"/>
  <c r="G10" i="23"/>
  <c r="F17" i="23"/>
  <c r="F61" i="23"/>
  <c r="B16" i="19"/>
  <c r="B18" i="27"/>
  <c r="B12" i="27"/>
  <c r="C5" i="10"/>
  <c r="C6" i="10"/>
  <c r="C7" i="10"/>
  <c r="C8" i="10"/>
  <c r="C9" i="10"/>
  <c r="C12" i="10"/>
  <c r="C13" i="10"/>
  <c r="C15" i="10"/>
  <c r="C16" i="10"/>
  <c r="C20" i="10"/>
  <c r="C21" i="10"/>
  <c r="C22" i="10"/>
  <c r="B5" i="10"/>
  <c r="B6" i="10"/>
  <c r="B7" i="10"/>
  <c r="B8" i="10"/>
  <c r="B9" i="10"/>
  <c r="B12" i="10"/>
  <c r="B13" i="10"/>
  <c r="B15" i="10"/>
  <c r="B16" i="10"/>
  <c r="B20" i="10"/>
  <c r="B21" i="10"/>
  <c r="B22" i="10"/>
  <c r="B2" i="10"/>
  <c r="C2" i="10"/>
  <c r="D39" i="21"/>
  <c r="B7" i="21"/>
  <c r="C39" i="21"/>
  <c r="E39" i="21"/>
  <c r="F19" i="23"/>
  <c r="F18" i="23"/>
  <c r="F16" i="23"/>
  <c r="B23" i="21"/>
  <c r="B22" i="21"/>
  <c r="B21" i="21"/>
  <c r="B20" i="21"/>
  <c r="B19" i="21"/>
  <c r="B18" i="21"/>
  <c r="B17" i="21"/>
  <c r="B16" i="21"/>
  <c r="B15" i="21"/>
  <c r="B14" i="21"/>
  <c r="B13" i="21"/>
  <c r="B12" i="21"/>
  <c r="B11" i="21"/>
  <c r="D28" i="21"/>
  <c r="C28" i="21"/>
  <c r="F97" i="23"/>
  <c r="C25" i="24"/>
  <c r="D25" i="24"/>
  <c r="E25" i="24"/>
  <c r="F25" i="24"/>
  <c r="G25" i="24"/>
  <c r="H25" i="24"/>
  <c r="I25" i="24"/>
  <c r="J25" i="24"/>
  <c r="K25" i="24"/>
  <c r="L25" i="24"/>
  <c r="C19" i="24"/>
  <c r="D19" i="24"/>
  <c r="E19" i="24"/>
  <c r="F19" i="24"/>
  <c r="G19" i="24"/>
  <c r="H19" i="24"/>
  <c r="I19" i="24"/>
  <c r="J19" i="24"/>
  <c r="K19" i="24"/>
  <c r="L19" i="24"/>
  <c r="O19" i="23"/>
  <c r="I18" i="23"/>
  <c r="K17" i="23"/>
  <c r="M16" i="23"/>
  <c r="B14" i="24"/>
  <c r="B13" i="24"/>
  <c r="B12" i="24"/>
  <c r="M8" i="24"/>
  <c r="C7" i="24"/>
  <c r="B7" i="24"/>
  <c r="I131" i="23"/>
  <c r="J131" i="23"/>
  <c r="K131" i="23"/>
  <c r="L131" i="23"/>
  <c r="M131" i="23"/>
  <c r="N131" i="23"/>
  <c r="O131" i="23"/>
  <c r="P131" i="23"/>
  <c r="Q131" i="23"/>
  <c r="H131" i="23"/>
  <c r="I119" i="23"/>
  <c r="J119" i="23"/>
  <c r="K119" i="23"/>
  <c r="L119" i="23"/>
  <c r="M119" i="23"/>
  <c r="N119" i="23"/>
  <c r="O119" i="23"/>
  <c r="P119" i="23"/>
  <c r="Q119" i="23"/>
  <c r="H119" i="23"/>
  <c r="H113" i="23"/>
  <c r="I113" i="23"/>
  <c r="J113" i="23"/>
  <c r="K113" i="23"/>
  <c r="L113" i="23"/>
  <c r="M113" i="23"/>
  <c r="N113" i="23"/>
  <c r="O113" i="23"/>
  <c r="P113" i="23"/>
  <c r="Q113" i="23"/>
  <c r="G113" i="23"/>
  <c r="H95" i="23"/>
  <c r="I95" i="23"/>
  <c r="J95" i="23"/>
  <c r="K95" i="23"/>
  <c r="L95" i="23"/>
  <c r="M95" i="23"/>
  <c r="N95" i="23"/>
  <c r="O95" i="23"/>
  <c r="P95" i="23"/>
  <c r="Q95" i="23"/>
  <c r="H96" i="23"/>
  <c r="H97" i="23"/>
  <c r="I96" i="23"/>
  <c r="I97" i="23"/>
  <c r="J96" i="23"/>
  <c r="J97" i="23"/>
  <c r="K96" i="23"/>
  <c r="K97" i="23"/>
  <c r="L96" i="23"/>
  <c r="L97" i="23"/>
  <c r="M96" i="23"/>
  <c r="M97" i="23"/>
  <c r="N96" i="23"/>
  <c r="N97" i="23"/>
  <c r="O96" i="23"/>
  <c r="O97" i="23"/>
  <c r="P96" i="23"/>
  <c r="P97" i="23"/>
  <c r="Q96" i="23"/>
  <c r="Q97" i="23"/>
  <c r="H98" i="23"/>
  <c r="I98" i="23"/>
  <c r="J98" i="23"/>
  <c r="K98" i="23"/>
  <c r="L98" i="23"/>
  <c r="M98" i="23"/>
  <c r="N98" i="23"/>
  <c r="O98" i="23"/>
  <c r="P98" i="23"/>
  <c r="Q98" i="23"/>
  <c r="H99" i="23"/>
  <c r="I99" i="23"/>
  <c r="J99" i="23"/>
  <c r="K99" i="23"/>
  <c r="L99" i="23"/>
  <c r="M99" i="23"/>
  <c r="N99" i="23"/>
  <c r="O99" i="23"/>
  <c r="P99" i="23"/>
  <c r="Q99" i="23"/>
  <c r="H100" i="23"/>
  <c r="I100" i="23"/>
  <c r="J100" i="23"/>
  <c r="K100" i="23"/>
  <c r="L100" i="23"/>
  <c r="M100" i="23"/>
  <c r="N100" i="23"/>
  <c r="O100" i="23"/>
  <c r="P100" i="23"/>
  <c r="Q100" i="23"/>
  <c r="H104" i="23"/>
  <c r="I104" i="23"/>
  <c r="J104" i="23"/>
  <c r="K104" i="23"/>
  <c r="L104" i="23"/>
  <c r="M104" i="23"/>
  <c r="N104" i="23"/>
  <c r="O104" i="23"/>
  <c r="P104" i="23"/>
  <c r="Q104" i="23"/>
  <c r="G104" i="23"/>
  <c r="G100" i="23"/>
  <c r="G99" i="23"/>
  <c r="G98" i="23"/>
  <c r="G96" i="23"/>
  <c r="G97" i="23"/>
  <c r="G95" i="23"/>
  <c r="J86" i="23"/>
  <c r="K86" i="23"/>
  <c r="L86" i="23"/>
  <c r="M86" i="23"/>
  <c r="N86" i="23"/>
  <c r="O86" i="23"/>
  <c r="P86" i="23"/>
  <c r="Q86" i="23"/>
  <c r="J88" i="23"/>
  <c r="K88" i="23"/>
  <c r="L88" i="23"/>
  <c r="M88" i="23"/>
  <c r="N88" i="23"/>
  <c r="O88" i="23"/>
  <c r="P88" i="23"/>
  <c r="Q88" i="23"/>
  <c r="J89" i="23"/>
  <c r="K89" i="23"/>
  <c r="L89" i="23"/>
  <c r="M89" i="23"/>
  <c r="N89" i="23"/>
  <c r="O89" i="23"/>
  <c r="P89" i="23"/>
  <c r="Q89" i="23"/>
  <c r="I86" i="23"/>
  <c r="I88" i="23"/>
  <c r="I89" i="23"/>
  <c r="H86" i="23"/>
  <c r="H88" i="23"/>
  <c r="H89" i="23"/>
  <c r="G89" i="23"/>
  <c r="G88" i="23"/>
  <c r="G86" i="23"/>
  <c r="F82" i="23"/>
  <c r="L82" i="23"/>
  <c r="J60" i="23"/>
  <c r="M60" i="23"/>
  <c r="P60" i="23"/>
  <c r="K60" i="23"/>
  <c r="N60" i="23"/>
  <c r="Q60" i="23"/>
  <c r="J61" i="23"/>
  <c r="M61" i="23"/>
  <c r="K61" i="23"/>
  <c r="F7" i="24"/>
  <c r="J42" i="23"/>
  <c r="K42" i="23"/>
  <c r="L42" i="23"/>
  <c r="M42" i="23"/>
  <c r="N42" i="23"/>
  <c r="O42" i="23"/>
  <c r="P42" i="23"/>
  <c r="Q42" i="23"/>
  <c r="J44" i="23"/>
  <c r="K44" i="23"/>
  <c r="L44" i="23"/>
  <c r="M44" i="23"/>
  <c r="N44" i="23"/>
  <c r="O44" i="23"/>
  <c r="P44" i="23"/>
  <c r="Q44" i="23"/>
  <c r="J45" i="23"/>
  <c r="K45" i="23"/>
  <c r="L45" i="23"/>
  <c r="M45" i="23"/>
  <c r="N45" i="23"/>
  <c r="O45" i="23"/>
  <c r="P45" i="23"/>
  <c r="Q45" i="23"/>
  <c r="J46" i="23"/>
  <c r="K46" i="23"/>
  <c r="L46" i="23"/>
  <c r="M46" i="23"/>
  <c r="N46" i="23"/>
  <c r="O46" i="23"/>
  <c r="P46" i="23"/>
  <c r="Q46" i="23"/>
  <c r="H42" i="23"/>
  <c r="I42" i="23"/>
  <c r="H44" i="23"/>
  <c r="I44" i="23"/>
  <c r="H45" i="23"/>
  <c r="I45" i="23"/>
  <c r="H46" i="23"/>
  <c r="I46" i="23"/>
  <c r="G46" i="23"/>
  <c r="G45" i="23"/>
  <c r="G44" i="23"/>
  <c r="G42" i="23"/>
  <c r="J33" i="23"/>
  <c r="K33" i="23"/>
  <c r="L33" i="23"/>
  <c r="M33" i="23"/>
  <c r="N33" i="23"/>
  <c r="O33" i="23"/>
  <c r="P33" i="23"/>
  <c r="Q33" i="23"/>
  <c r="J35" i="23"/>
  <c r="K35" i="23"/>
  <c r="L35" i="23"/>
  <c r="M35" i="23"/>
  <c r="N35" i="23"/>
  <c r="O35" i="23"/>
  <c r="P35" i="23"/>
  <c r="Q35" i="23"/>
  <c r="H35" i="23"/>
  <c r="I35" i="23"/>
  <c r="G35" i="23"/>
  <c r="H33" i="23"/>
  <c r="I33" i="23"/>
  <c r="G33" i="23"/>
  <c r="H30" i="23"/>
  <c r="I30" i="23"/>
  <c r="J30" i="23"/>
  <c r="K30" i="23"/>
  <c r="L30" i="23"/>
  <c r="M30" i="23"/>
  <c r="N30" i="23"/>
  <c r="O30" i="23"/>
  <c r="P30" i="23"/>
  <c r="Q30" i="23"/>
  <c r="H31" i="23"/>
  <c r="I31" i="23"/>
  <c r="J31" i="23"/>
  <c r="K31" i="23"/>
  <c r="L31" i="23"/>
  <c r="M31" i="23"/>
  <c r="N31" i="23"/>
  <c r="O31" i="23"/>
  <c r="P31" i="23"/>
  <c r="Q31" i="23"/>
  <c r="G31" i="23"/>
  <c r="G30" i="23"/>
  <c r="H27" i="23"/>
  <c r="I27" i="23"/>
  <c r="J27" i="23"/>
  <c r="K27" i="23"/>
  <c r="L27" i="23"/>
  <c r="M27" i="23"/>
  <c r="N27" i="23"/>
  <c r="O27" i="23"/>
  <c r="P27" i="23"/>
  <c r="Q27" i="23"/>
  <c r="G27" i="23"/>
  <c r="H24" i="23"/>
  <c r="I24" i="23"/>
  <c r="J24" i="23"/>
  <c r="K24" i="23"/>
  <c r="L24" i="23"/>
  <c r="M24" i="23"/>
  <c r="N24" i="23"/>
  <c r="O24" i="23"/>
  <c r="P24" i="23"/>
  <c r="Q24" i="23"/>
  <c r="G24" i="23"/>
  <c r="H21" i="23"/>
  <c r="C8" i="24"/>
  <c r="I21" i="23"/>
  <c r="D8" i="24"/>
  <c r="J21" i="23"/>
  <c r="E8" i="24"/>
  <c r="K21" i="23"/>
  <c r="F8" i="24"/>
  <c r="L21" i="23"/>
  <c r="G8" i="24"/>
  <c r="M21" i="23"/>
  <c r="H8" i="24"/>
  <c r="N21" i="23"/>
  <c r="I8" i="24"/>
  <c r="O21" i="23"/>
  <c r="J8" i="24"/>
  <c r="P21" i="23"/>
  <c r="K8" i="24"/>
  <c r="Q21" i="23"/>
  <c r="L8" i="24"/>
  <c r="G21" i="23"/>
  <c r="B8" i="24"/>
  <c r="H10" i="23"/>
  <c r="I10" i="23"/>
  <c r="J10" i="23"/>
  <c r="K10" i="23"/>
  <c r="L10" i="23"/>
  <c r="M10" i="23"/>
  <c r="N10" i="23"/>
  <c r="O10" i="23"/>
  <c r="P10" i="23"/>
  <c r="Q10" i="23"/>
  <c r="H7" i="23"/>
  <c r="I7" i="23"/>
  <c r="J7" i="23"/>
  <c r="K7" i="23"/>
  <c r="L7" i="23"/>
  <c r="M7" i="23"/>
  <c r="N7" i="23"/>
  <c r="O7" i="23"/>
  <c r="P7" i="23"/>
  <c r="Q7" i="23"/>
  <c r="G7" i="23"/>
  <c r="H4" i="23"/>
  <c r="I4" i="23"/>
  <c r="J4" i="23"/>
  <c r="K4" i="23"/>
  <c r="L4" i="23"/>
  <c r="M4" i="23"/>
  <c r="N4" i="23"/>
  <c r="O4" i="23"/>
  <c r="P4" i="23"/>
  <c r="Q4" i="23"/>
  <c r="G4" i="23"/>
  <c r="I91" i="23"/>
  <c r="B26" i="24"/>
  <c r="N61" i="23"/>
  <c r="I7" i="24"/>
  <c r="Q17" i="23"/>
  <c r="J17" i="23"/>
  <c r="N82" i="23"/>
  <c r="K82" i="23"/>
  <c r="J82" i="23"/>
  <c r="G16" i="23"/>
  <c r="I17" i="23"/>
  <c r="N19" i="23"/>
  <c r="L16" i="23"/>
  <c r="M19" i="23"/>
  <c r="K16" i="23"/>
  <c r="P18" i="23"/>
  <c r="O18" i="23"/>
  <c r="H18" i="23"/>
  <c r="P61" i="23"/>
  <c r="K7" i="24"/>
  <c r="K20" i="24"/>
  <c r="K26" i="24"/>
  <c r="M3" i="10"/>
  <c r="M17" i="10"/>
  <c r="H7" i="24"/>
  <c r="H20" i="24"/>
  <c r="H26" i="24"/>
  <c r="J3" i="10"/>
  <c r="J17" i="10"/>
  <c r="E7" i="24"/>
  <c r="E20" i="24"/>
  <c r="E26" i="24"/>
  <c r="G3" i="10"/>
  <c r="G17" i="10"/>
  <c r="Q61" i="23"/>
  <c r="L7" i="24"/>
  <c r="L20" i="24"/>
  <c r="L26" i="24"/>
  <c r="N3" i="10"/>
  <c r="N17" i="10"/>
  <c r="Q82" i="23"/>
  <c r="G17" i="23"/>
  <c r="L19" i="23"/>
  <c r="N18" i="23"/>
  <c r="P17" i="23"/>
  <c r="H17" i="23"/>
  <c r="J16" i="23"/>
  <c r="P82" i="23"/>
  <c r="G18" i="23"/>
  <c r="K19" i="23"/>
  <c r="M18" i="23"/>
  <c r="O17" i="23"/>
  <c r="Q16" i="23"/>
  <c r="I16" i="23"/>
  <c r="H82" i="23"/>
  <c r="O82" i="23"/>
  <c r="G19" i="23"/>
  <c r="J19" i="23"/>
  <c r="L18" i="23"/>
  <c r="N17" i="23"/>
  <c r="P16" i="23"/>
  <c r="H16" i="23"/>
  <c r="Q19" i="23"/>
  <c r="I19" i="23"/>
  <c r="K18" i="23"/>
  <c r="M17" i="23"/>
  <c r="O16" i="23"/>
  <c r="M82" i="23"/>
  <c r="P19" i="23"/>
  <c r="H19" i="23"/>
  <c r="J18" i="23"/>
  <c r="L17" i="23"/>
  <c r="N16" i="23"/>
  <c r="I82" i="23"/>
  <c r="Q18" i="23"/>
  <c r="F20" i="24"/>
  <c r="F26" i="24"/>
  <c r="H3" i="10"/>
  <c r="H17" i="10"/>
  <c r="D3" i="10"/>
  <c r="C20" i="24"/>
  <c r="C26" i="24"/>
  <c r="E3" i="10"/>
  <c r="E17" i="10"/>
  <c r="I20" i="24"/>
  <c r="I26" i="24"/>
  <c r="K3" i="10"/>
  <c r="K17" i="10"/>
  <c r="D17" i="10"/>
  <c r="C17" i="10"/>
  <c r="B17" i="10"/>
  <c r="C3" i="10"/>
  <c r="B3" i="10"/>
  <c r="F103" i="23"/>
  <c r="F102" i="23"/>
  <c r="F101" i="23"/>
  <c r="F66" i="23"/>
  <c r="F26" i="23"/>
  <c r="F12" i="23"/>
  <c r="F6" i="23"/>
  <c r="F9" i="23"/>
  <c r="F126" i="23"/>
  <c r="F129" i="23"/>
  <c r="F127" i="23"/>
  <c r="Q94" i="23"/>
  <c r="F94" i="23"/>
  <c r="Q93" i="23"/>
  <c r="F93" i="23"/>
  <c r="Q92" i="23"/>
  <c r="F92" i="23"/>
  <c r="Q91" i="23"/>
  <c r="F91" i="23"/>
  <c r="I94" i="23"/>
  <c r="I93" i="23"/>
  <c r="I92" i="23"/>
  <c r="F90" i="23"/>
  <c r="J9" i="23"/>
  <c r="K9" i="23"/>
  <c r="L9" i="23"/>
  <c r="I9" i="23"/>
  <c r="Q9" i="23"/>
  <c r="M9" i="23"/>
  <c r="G9" i="23"/>
  <c r="P9" i="23"/>
  <c r="N9" i="23"/>
  <c r="O9" i="23"/>
  <c r="H9" i="23"/>
  <c r="I6" i="23"/>
  <c r="Q6" i="23"/>
  <c r="J6" i="23"/>
  <c r="H6" i="23"/>
  <c r="G6" i="23"/>
  <c r="K6" i="23"/>
  <c r="P6" i="23"/>
  <c r="L6" i="23"/>
  <c r="O6" i="23"/>
  <c r="M6" i="23"/>
  <c r="N6" i="23"/>
  <c r="I26" i="23"/>
  <c r="Q26" i="23"/>
  <c r="J26" i="23"/>
  <c r="K26" i="23"/>
  <c r="P26" i="23"/>
  <c r="L26" i="23"/>
  <c r="H26" i="23"/>
  <c r="M26" i="23"/>
  <c r="G26" i="23"/>
  <c r="N26" i="23"/>
  <c r="O26" i="23"/>
  <c r="Q66" i="23"/>
  <c r="J66" i="23"/>
  <c r="K66" i="23"/>
  <c r="L66" i="23"/>
  <c r="I66" i="23"/>
  <c r="M66" i="23"/>
  <c r="N66" i="23"/>
  <c r="O66" i="23"/>
  <c r="P66" i="23"/>
  <c r="M12" i="23"/>
  <c r="N12" i="23"/>
  <c r="O12" i="23"/>
  <c r="L12" i="23"/>
  <c r="H12" i="23"/>
  <c r="P12" i="23"/>
  <c r="K12" i="23"/>
  <c r="I12" i="23"/>
  <c r="Q12" i="23"/>
  <c r="J12" i="23"/>
  <c r="G12" i="23"/>
  <c r="N90" i="23"/>
  <c r="O90" i="23"/>
  <c r="P90" i="23"/>
  <c r="M90" i="23"/>
  <c r="Q90" i="23"/>
  <c r="J90" i="23"/>
  <c r="I90" i="23"/>
  <c r="K90" i="23"/>
  <c r="L90" i="23"/>
  <c r="M101" i="23"/>
  <c r="N101" i="23"/>
  <c r="O101" i="23"/>
  <c r="H101" i="23"/>
  <c r="P101" i="23"/>
  <c r="I101" i="23"/>
  <c r="Q101" i="23"/>
  <c r="J101" i="23"/>
  <c r="K101" i="23"/>
  <c r="G101" i="23"/>
  <c r="L101" i="23"/>
  <c r="K102" i="23"/>
  <c r="L102" i="23"/>
  <c r="M102" i="23"/>
  <c r="N102" i="23"/>
  <c r="J102" i="23"/>
  <c r="O102" i="23"/>
  <c r="H102" i="23"/>
  <c r="P102" i="23"/>
  <c r="G102" i="23"/>
  <c r="I102" i="23"/>
  <c r="Q102" i="23"/>
  <c r="I103" i="23"/>
  <c r="Q103" i="23"/>
  <c r="J103" i="23"/>
  <c r="K103" i="23"/>
  <c r="L103" i="23"/>
  <c r="P103" i="23"/>
  <c r="M103" i="23"/>
  <c r="G103" i="23"/>
  <c r="N103" i="23"/>
  <c r="O103" i="23"/>
  <c r="H103" i="23"/>
  <c r="F79" i="23"/>
  <c r="I79" i="23"/>
  <c r="F81" i="23"/>
  <c r="F83" i="23"/>
  <c r="F84" i="23"/>
  <c r="F78" i="23"/>
  <c r="I78" i="23"/>
  <c r="F77" i="23"/>
  <c r="F117" i="23"/>
  <c r="F67" i="23"/>
  <c r="F68" i="23"/>
  <c r="F54" i="23"/>
  <c r="F55" i="23"/>
  <c r="F56" i="23"/>
  <c r="F57" i="23"/>
  <c r="F58" i="23"/>
  <c r="F59" i="23"/>
  <c r="F60" i="23"/>
  <c r="I60" i="23"/>
  <c r="L60" i="23"/>
  <c r="O60" i="23"/>
  <c r="F53" i="23"/>
  <c r="F114" i="23"/>
  <c r="F112" i="23"/>
  <c r="F47" i="23"/>
  <c r="F34" i="23"/>
  <c r="J1" i="23"/>
  <c r="I32" i="23"/>
  <c r="C2" i="24"/>
  <c r="D2" i="24"/>
  <c r="E2" i="24"/>
  <c r="F2" i="24"/>
  <c r="G2" i="24"/>
  <c r="H2" i="24"/>
  <c r="I2" i="24"/>
  <c r="J2" i="24"/>
  <c r="K2" i="24"/>
  <c r="L2" i="24"/>
  <c r="J11" i="23"/>
  <c r="I11" i="23"/>
  <c r="H11" i="23"/>
  <c r="G11" i="23"/>
  <c r="H8" i="23"/>
  <c r="G8" i="23"/>
  <c r="N56" i="23"/>
  <c r="P56" i="23"/>
  <c r="O56" i="23"/>
  <c r="M56" i="23"/>
  <c r="Q56" i="23"/>
  <c r="J56" i="23"/>
  <c r="I56" i="23"/>
  <c r="K56" i="23"/>
  <c r="L56" i="23"/>
  <c r="M7" i="24"/>
  <c r="M20" i="24"/>
  <c r="M26" i="24"/>
  <c r="I61" i="23"/>
  <c r="Q68" i="23"/>
  <c r="J68" i="23"/>
  <c r="I68" i="23"/>
  <c r="K68" i="23"/>
  <c r="L68" i="23"/>
  <c r="P68" i="23"/>
  <c r="M68" i="23"/>
  <c r="N68" i="23"/>
  <c r="O68" i="23"/>
  <c r="Q67" i="23"/>
  <c r="K67" i="23"/>
  <c r="I67" i="23"/>
  <c r="J67" i="23"/>
  <c r="P67" i="23"/>
  <c r="L67" i="23"/>
  <c r="M67" i="23"/>
  <c r="N67" i="23"/>
  <c r="O67" i="23"/>
  <c r="N59" i="23"/>
  <c r="O59" i="23"/>
  <c r="I59" i="23"/>
  <c r="P59" i="23"/>
  <c r="Q59" i="23"/>
  <c r="M59" i="23"/>
  <c r="J59" i="23"/>
  <c r="K59" i="23"/>
  <c r="L59" i="23"/>
  <c r="M117" i="23"/>
  <c r="N117" i="23"/>
  <c r="L117" i="23"/>
  <c r="O117" i="23"/>
  <c r="P117" i="23"/>
  <c r="I117" i="23"/>
  <c r="Q117" i="23"/>
  <c r="J117" i="23"/>
  <c r="K117" i="23"/>
  <c r="H117" i="23"/>
  <c r="F36" i="23"/>
  <c r="K34" i="23"/>
  <c r="L34" i="23"/>
  <c r="M34" i="23"/>
  <c r="J34" i="23"/>
  <c r="N34" i="23"/>
  <c r="O34" i="23"/>
  <c r="P34" i="23"/>
  <c r="I34" i="23"/>
  <c r="Q34" i="23"/>
  <c r="N58" i="23"/>
  <c r="P58" i="23"/>
  <c r="I58" i="23"/>
  <c r="O58" i="23"/>
  <c r="M58" i="23"/>
  <c r="Q58" i="23"/>
  <c r="J58" i="23"/>
  <c r="K58" i="23"/>
  <c r="L58" i="23"/>
  <c r="G77" i="23"/>
  <c r="I77" i="23"/>
  <c r="H112" i="23"/>
  <c r="P112" i="23"/>
  <c r="G112" i="23"/>
  <c r="I112" i="23"/>
  <c r="Q112" i="23"/>
  <c r="J112" i="23"/>
  <c r="K112" i="23"/>
  <c r="L112" i="23"/>
  <c r="M112" i="23"/>
  <c r="N112" i="23"/>
  <c r="O112" i="23"/>
  <c r="L84" i="23"/>
  <c r="N84" i="23"/>
  <c r="M84" i="23"/>
  <c r="O84" i="23"/>
  <c r="K84" i="23"/>
  <c r="P84" i="23"/>
  <c r="Q84" i="23"/>
  <c r="J84" i="23"/>
  <c r="I84" i="23"/>
  <c r="L114" i="23"/>
  <c r="M114" i="23"/>
  <c r="N114" i="23"/>
  <c r="O114" i="23"/>
  <c r="H114" i="23"/>
  <c r="P114" i="23"/>
  <c r="I114" i="23"/>
  <c r="Q114" i="23"/>
  <c r="J114" i="23"/>
  <c r="G114" i="23"/>
  <c r="K114" i="23"/>
  <c r="N55" i="23"/>
  <c r="O55" i="23"/>
  <c r="P55" i="23"/>
  <c r="Q55" i="23"/>
  <c r="J55" i="23"/>
  <c r="K55" i="23"/>
  <c r="I55" i="23"/>
  <c r="L55" i="23"/>
  <c r="M55" i="23"/>
  <c r="L83" i="23"/>
  <c r="M83" i="23"/>
  <c r="N83" i="23"/>
  <c r="K83" i="23"/>
  <c r="I83" i="23"/>
  <c r="O83" i="23"/>
  <c r="P83" i="23"/>
  <c r="Q83" i="23"/>
  <c r="J83" i="23"/>
  <c r="P47" i="23"/>
  <c r="I47" i="23"/>
  <c r="Q47" i="23"/>
  <c r="J47" i="23"/>
  <c r="O47" i="23"/>
  <c r="M4" i="24"/>
  <c r="K47" i="23"/>
  <c r="L47" i="23"/>
  <c r="M47" i="23"/>
  <c r="N47" i="23"/>
  <c r="N57" i="23"/>
  <c r="O57" i="23"/>
  <c r="P57" i="23"/>
  <c r="Q57" i="23"/>
  <c r="I57" i="23"/>
  <c r="M57" i="23"/>
  <c r="J57" i="23"/>
  <c r="K57" i="23"/>
  <c r="L57" i="23"/>
  <c r="N53" i="23"/>
  <c r="O53" i="23"/>
  <c r="P53" i="23"/>
  <c r="M53" i="23"/>
  <c r="I53" i="23"/>
  <c r="Q53" i="23"/>
  <c r="J53" i="23"/>
  <c r="K53" i="23"/>
  <c r="L53" i="23"/>
  <c r="N54" i="23"/>
  <c r="P54" i="23"/>
  <c r="O54" i="23"/>
  <c r="M5" i="24"/>
  <c r="Q54" i="23"/>
  <c r="M54" i="23"/>
  <c r="J54" i="23"/>
  <c r="K54" i="23"/>
  <c r="F5" i="24"/>
  <c r="L54" i="23"/>
  <c r="G5" i="24"/>
  <c r="I54" i="23"/>
  <c r="L81" i="23"/>
  <c r="K81" i="23"/>
  <c r="M81" i="23"/>
  <c r="I81" i="23"/>
  <c r="N81" i="23"/>
  <c r="O81" i="23"/>
  <c r="P81" i="23"/>
  <c r="Q81" i="23"/>
  <c r="J81" i="23"/>
  <c r="B4" i="24"/>
  <c r="C4" i="24"/>
  <c r="F62" i="23"/>
  <c r="K1" i="23"/>
  <c r="J94" i="23"/>
  <c r="J93" i="23"/>
  <c r="J92" i="23"/>
  <c r="J91" i="23"/>
  <c r="J32" i="23"/>
  <c r="AH14" i="22"/>
  <c r="AG14" i="22"/>
  <c r="AF14" i="22"/>
  <c r="AE14" i="22"/>
  <c r="AD14" i="22"/>
  <c r="AC14" i="22"/>
  <c r="AB14" i="22"/>
  <c r="AA14" i="22"/>
  <c r="Z14" i="22"/>
  <c r="Y14" i="22"/>
  <c r="X14" i="22"/>
  <c r="W14" i="22"/>
  <c r="V14" i="22"/>
  <c r="U14" i="22"/>
  <c r="T14" i="22"/>
  <c r="S14" i="22"/>
  <c r="R14" i="22"/>
  <c r="Q14" i="22"/>
  <c r="P14" i="22"/>
  <c r="O14" i="22"/>
  <c r="AH13" i="22"/>
  <c r="AG13" i="22"/>
  <c r="AF13" i="22"/>
  <c r="AE13" i="22"/>
  <c r="AD13" i="22"/>
  <c r="AC13" i="22"/>
  <c r="AB13" i="22"/>
  <c r="AA13" i="22"/>
  <c r="Z13" i="22"/>
  <c r="Y13" i="22"/>
  <c r="X13" i="22"/>
  <c r="W13" i="22"/>
  <c r="V13" i="22"/>
  <c r="U13" i="22"/>
  <c r="T13" i="22"/>
  <c r="S13" i="22"/>
  <c r="R13" i="22"/>
  <c r="Q13" i="22"/>
  <c r="P13" i="22"/>
  <c r="O13" i="22"/>
  <c r="AH12" i="22"/>
  <c r="AG12" i="22"/>
  <c r="AF12" i="22"/>
  <c r="AE12" i="22"/>
  <c r="AD12" i="22"/>
  <c r="AC12" i="22"/>
  <c r="AB12" i="22"/>
  <c r="AA12" i="22"/>
  <c r="Z12" i="22"/>
  <c r="Y12" i="22"/>
  <c r="X12" i="22"/>
  <c r="W12" i="22"/>
  <c r="V12" i="22"/>
  <c r="U12" i="22"/>
  <c r="T12" i="22"/>
  <c r="S12" i="22"/>
  <c r="R12" i="22"/>
  <c r="Q12" i="22"/>
  <c r="P12" i="22"/>
  <c r="O12" i="22"/>
  <c r="AH11" i="22"/>
  <c r="AG11" i="22"/>
  <c r="AF11" i="22"/>
  <c r="AE11" i="22"/>
  <c r="AD11" i="22"/>
  <c r="AC11" i="22"/>
  <c r="AB11" i="22"/>
  <c r="AA11" i="22"/>
  <c r="Z11" i="22"/>
  <c r="Y11" i="22"/>
  <c r="X11" i="22"/>
  <c r="W11" i="22"/>
  <c r="V11" i="22"/>
  <c r="U11" i="22"/>
  <c r="T11" i="22"/>
  <c r="S11" i="22"/>
  <c r="R11" i="22"/>
  <c r="Q11" i="22"/>
  <c r="P11" i="22"/>
  <c r="O11" i="22"/>
  <c r="AH10" i="22"/>
  <c r="AG10" i="22"/>
  <c r="AF10" i="22"/>
  <c r="AE10" i="22"/>
  <c r="AD10" i="22"/>
  <c r="AC10" i="22"/>
  <c r="AB10" i="22"/>
  <c r="AA10" i="22"/>
  <c r="Z10" i="22"/>
  <c r="Y10" i="22"/>
  <c r="X10" i="22"/>
  <c r="W10" i="22"/>
  <c r="V10" i="22"/>
  <c r="U10" i="22"/>
  <c r="T10" i="22"/>
  <c r="S10" i="22"/>
  <c r="R10" i="22"/>
  <c r="Q10" i="22"/>
  <c r="P10" i="22"/>
  <c r="O10" i="22"/>
  <c r="AH9" i="22"/>
  <c r="AG9" i="22"/>
  <c r="AF9" i="22"/>
  <c r="AE9" i="22"/>
  <c r="AD9" i="22"/>
  <c r="AC9" i="22"/>
  <c r="AB9" i="22"/>
  <c r="AA9" i="22"/>
  <c r="Z9" i="22"/>
  <c r="Y9" i="22"/>
  <c r="X9" i="22"/>
  <c r="W9" i="22"/>
  <c r="V9" i="22"/>
  <c r="U9" i="22"/>
  <c r="T9" i="22"/>
  <c r="S9" i="22"/>
  <c r="R9" i="22"/>
  <c r="Q9" i="22"/>
  <c r="P9" i="22"/>
  <c r="O9" i="22"/>
  <c r="AH8" i="22"/>
  <c r="AG8" i="22"/>
  <c r="AF8" i="22"/>
  <c r="AE8" i="22"/>
  <c r="AD8" i="22"/>
  <c r="AC8" i="22"/>
  <c r="AB8" i="22"/>
  <c r="AA8" i="22"/>
  <c r="Z8" i="22"/>
  <c r="Y8" i="22"/>
  <c r="X8" i="22"/>
  <c r="W8" i="22"/>
  <c r="V8" i="22"/>
  <c r="U8" i="22"/>
  <c r="T8" i="22"/>
  <c r="S8" i="22"/>
  <c r="R8" i="22"/>
  <c r="Q8" i="22"/>
  <c r="P8" i="22"/>
  <c r="O8" i="22"/>
  <c r="AH7" i="22"/>
  <c r="AG7" i="22"/>
  <c r="AF7" i="22"/>
  <c r="AE7" i="22"/>
  <c r="AD7" i="22"/>
  <c r="AC7" i="22"/>
  <c r="AB7" i="22"/>
  <c r="AA7" i="22"/>
  <c r="Z7" i="22"/>
  <c r="Y7" i="22"/>
  <c r="X7" i="22"/>
  <c r="W7" i="22"/>
  <c r="V7" i="22"/>
  <c r="U7" i="22"/>
  <c r="T7" i="22"/>
  <c r="S7" i="22"/>
  <c r="R7" i="22"/>
  <c r="Q7" i="22"/>
  <c r="P7" i="22"/>
  <c r="O7" i="22"/>
  <c r="AH6" i="22"/>
  <c r="AG6" i="22"/>
  <c r="AF6" i="22"/>
  <c r="AE6" i="22"/>
  <c r="AD6" i="22"/>
  <c r="AC6" i="22"/>
  <c r="AB6" i="22"/>
  <c r="AA6" i="22"/>
  <c r="Z6" i="22"/>
  <c r="Y6" i="22"/>
  <c r="X6" i="22"/>
  <c r="W6" i="22"/>
  <c r="V6" i="22"/>
  <c r="U6" i="22"/>
  <c r="T6" i="22"/>
  <c r="S6" i="22"/>
  <c r="R6" i="22"/>
  <c r="Q6" i="22"/>
  <c r="P6" i="22"/>
  <c r="O6" i="22"/>
  <c r="AH5" i="22"/>
  <c r="AG5" i="22"/>
  <c r="AF5" i="22"/>
  <c r="AE5" i="22"/>
  <c r="AD5" i="22"/>
  <c r="AC5" i="22"/>
  <c r="AB5" i="22"/>
  <c r="AA5" i="22"/>
  <c r="Z5" i="22"/>
  <c r="Y5" i="22"/>
  <c r="X5" i="22"/>
  <c r="W5" i="22"/>
  <c r="V5" i="22"/>
  <c r="U5" i="22"/>
  <c r="T5" i="22"/>
  <c r="S5" i="22"/>
  <c r="R5" i="22"/>
  <c r="Q5" i="22"/>
  <c r="P5" i="22"/>
  <c r="O5" i="22"/>
  <c r="AH4" i="22"/>
  <c r="AG4" i="22"/>
  <c r="AF4" i="22"/>
  <c r="AE4" i="22"/>
  <c r="AD4" i="22"/>
  <c r="AC4" i="22"/>
  <c r="AB4" i="22"/>
  <c r="AA4" i="22"/>
  <c r="Z4" i="22"/>
  <c r="Y4" i="22"/>
  <c r="X4" i="22"/>
  <c r="W4" i="22"/>
  <c r="V4" i="22"/>
  <c r="U4" i="22"/>
  <c r="T4" i="22"/>
  <c r="S4" i="22"/>
  <c r="R4" i="22"/>
  <c r="Q4" i="22"/>
  <c r="P4" i="22"/>
  <c r="O4" i="22"/>
  <c r="AH3" i="22"/>
  <c r="AG3" i="22"/>
  <c r="AF3" i="22"/>
  <c r="AE3" i="22"/>
  <c r="AD3" i="22"/>
  <c r="AC3" i="22"/>
  <c r="AB3" i="22"/>
  <c r="AA3" i="22"/>
  <c r="Z3" i="22"/>
  <c r="Y3" i="22"/>
  <c r="X3" i="22"/>
  <c r="W3" i="22"/>
  <c r="V3" i="22"/>
  <c r="U3" i="22"/>
  <c r="T3" i="22"/>
  <c r="S3" i="22"/>
  <c r="R3" i="22"/>
  <c r="Q3" i="22"/>
  <c r="P3" i="22"/>
  <c r="O3" i="22"/>
  <c r="AH2" i="22"/>
  <c r="AG2" i="22"/>
  <c r="AF2" i="22"/>
  <c r="AE2" i="22"/>
  <c r="AD2" i="22"/>
  <c r="AC2" i="22"/>
  <c r="AB2" i="22"/>
  <c r="AA2" i="22"/>
  <c r="Z2" i="22"/>
  <c r="Y2" i="22"/>
  <c r="X2" i="22"/>
  <c r="W2" i="22"/>
  <c r="V2" i="22"/>
  <c r="U2" i="22"/>
  <c r="T2" i="22"/>
  <c r="S2" i="22"/>
  <c r="R2" i="22"/>
  <c r="Q2" i="22"/>
  <c r="P2" i="22"/>
  <c r="O2" i="22"/>
  <c r="D4" i="24"/>
  <c r="B5" i="24"/>
  <c r="W3" i="10"/>
  <c r="W17" i="10"/>
  <c r="AE3" i="10"/>
  <c r="AE17" i="10"/>
  <c r="AD3" i="10"/>
  <c r="AD17" i="10"/>
  <c r="P3" i="10"/>
  <c r="P17" i="10"/>
  <c r="X3" i="10"/>
  <c r="X17" i="10"/>
  <c r="AF3" i="10"/>
  <c r="AF17" i="10"/>
  <c r="V3" i="10"/>
  <c r="V17" i="10"/>
  <c r="Q3" i="10"/>
  <c r="Q17" i="10"/>
  <c r="Y3" i="10"/>
  <c r="Y17" i="10"/>
  <c r="AG3" i="10"/>
  <c r="AG17" i="10"/>
  <c r="R3" i="10"/>
  <c r="R17" i="10"/>
  <c r="Z3" i="10"/>
  <c r="Z17" i="10"/>
  <c r="AH3" i="10"/>
  <c r="AH17" i="10"/>
  <c r="S3" i="10"/>
  <c r="S17" i="10"/>
  <c r="AA3" i="10"/>
  <c r="AA17" i="10"/>
  <c r="AC3" i="10"/>
  <c r="AC17" i="10"/>
  <c r="T3" i="10"/>
  <c r="T17" i="10"/>
  <c r="AB3" i="10"/>
  <c r="AB17" i="10"/>
  <c r="U3" i="10"/>
  <c r="U17" i="10"/>
  <c r="O3" i="10"/>
  <c r="O17" i="10"/>
  <c r="C5" i="24"/>
  <c r="K5" i="24"/>
  <c r="D5" i="24"/>
  <c r="L4" i="24"/>
  <c r="K4" i="24"/>
  <c r="H5" i="24"/>
  <c r="L62" i="23"/>
  <c r="G62" i="23"/>
  <c r="M62" i="23"/>
  <c r="N62" i="23"/>
  <c r="O62" i="23"/>
  <c r="I62" i="23"/>
  <c r="P62" i="23"/>
  <c r="Q62" i="23"/>
  <c r="J62" i="23"/>
  <c r="H62" i="23"/>
  <c r="K62" i="23"/>
  <c r="J5" i="24"/>
  <c r="I5" i="24"/>
  <c r="K32" i="23"/>
  <c r="E4" i="24"/>
  <c r="K36" i="23"/>
  <c r="I36" i="23"/>
  <c r="L36" i="23"/>
  <c r="H36" i="23"/>
  <c r="C6" i="24"/>
  <c r="C21" i="24"/>
  <c r="C27" i="24"/>
  <c r="E4" i="10"/>
  <c r="M36" i="23"/>
  <c r="N36" i="23"/>
  <c r="G36" i="23"/>
  <c r="B6" i="24"/>
  <c r="O36" i="23"/>
  <c r="P36" i="23"/>
  <c r="Q36" i="23"/>
  <c r="L6" i="24"/>
  <c r="J36" i="23"/>
  <c r="L61" i="23"/>
  <c r="D7" i="24"/>
  <c r="D20" i="24"/>
  <c r="D26" i="24"/>
  <c r="F3" i="10"/>
  <c r="F17" i="10"/>
  <c r="E5" i="24"/>
  <c r="L5" i="24"/>
  <c r="M6" i="24"/>
  <c r="M22" i="24"/>
  <c r="M28" i="24"/>
  <c r="L1" i="23"/>
  <c r="K94" i="23"/>
  <c r="K93" i="23"/>
  <c r="K92" i="23"/>
  <c r="K91" i="23"/>
  <c r="B22" i="24"/>
  <c r="B28" i="24"/>
  <c r="B21" i="24"/>
  <c r="D6" i="24"/>
  <c r="D21" i="24"/>
  <c r="D27" i="24"/>
  <c r="F4" i="10"/>
  <c r="Z10" i="10"/>
  <c r="Z18" i="10"/>
  <c r="Q10" i="10"/>
  <c r="Q18" i="10"/>
  <c r="Y10" i="10"/>
  <c r="Y18" i="10"/>
  <c r="AH10" i="10"/>
  <c r="AH18" i="10"/>
  <c r="W11" i="10"/>
  <c r="W19" i="10"/>
  <c r="AE11" i="10"/>
  <c r="AE19" i="10"/>
  <c r="T14" i="10"/>
  <c r="AB14" i="10"/>
  <c r="W10" i="10"/>
  <c r="W18" i="10"/>
  <c r="U11" i="10"/>
  <c r="U19" i="10"/>
  <c r="S14" i="10"/>
  <c r="R10" i="10"/>
  <c r="R18" i="10"/>
  <c r="AA10" i="10"/>
  <c r="AA18" i="10"/>
  <c r="P11" i="10"/>
  <c r="P19" i="10"/>
  <c r="X11" i="10"/>
  <c r="X19" i="10"/>
  <c r="AF11" i="10"/>
  <c r="AF19" i="10"/>
  <c r="U14" i="10"/>
  <c r="AC14" i="10"/>
  <c r="AF10" i="10"/>
  <c r="AF18" i="10"/>
  <c r="R14" i="10"/>
  <c r="V11" i="10"/>
  <c r="V19" i="10"/>
  <c r="S10" i="10"/>
  <c r="S18" i="10"/>
  <c r="AB10" i="10"/>
  <c r="AB18" i="10"/>
  <c r="Q11" i="10"/>
  <c r="Q19" i="10"/>
  <c r="Y11" i="10"/>
  <c r="Y19" i="10"/>
  <c r="AG11" i="10"/>
  <c r="AG19" i="10"/>
  <c r="V14" i="10"/>
  <c r="AD14" i="10"/>
  <c r="O14" i="10"/>
  <c r="AH14" i="10"/>
  <c r="T10" i="10"/>
  <c r="T18" i="10"/>
  <c r="AC10" i="10"/>
  <c r="AC18" i="10"/>
  <c r="R11" i="10"/>
  <c r="R19" i="10"/>
  <c r="Z11" i="10"/>
  <c r="Z19" i="10"/>
  <c r="AH11" i="10"/>
  <c r="AH19" i="10"/>
  <c r="W14" i="10"/>
  <c r="AE14" i="10"/>
  <c r="O11" i="10"/>
  <c r="O19" i="10"/>
  <c r="X10" i="10"/>
  <c r="X18" i="10"/>
  <c r="U10" i="10"/>
  <c r="U18" i="10"/>
  <c r="AD10" i="10"/>
  <c r="AD18" i="10"/>
  <c r="S11" i="10"/>
  <c r="S19" i="10"/>
  <c r="AA11" i="10"/>
  <c r="AA19" i="10"/>
  <c r="P14" i="10"/>
  <c r="X14" i="10"/>
  <c r="AF14" i="10"/>
  <c r="O10" i="10"/>
  <c r="O18" i="10"/>
  <c r="Z14" i="10"/>
  <c r="P10" i="10"/>
  <c r="P18" i="10"/>
  <c r="AD11" i="10"/>
  <c r="AD19" i="10"/>
  <c r="V10" i="10"/>
  <c r="V18" i="10"/>
  <c r="AE10" i="10"/>
  <c r="AE18" i="10"/>
  <c r="T11" i="10"/>
  <c r="T19" i="10"/>
  <c r="AB11" i="10"/>
  <c r="AB19" i="10"/>
  <c r="Q14" i="10"/>
  <c r="Y14" i="10"/>
  <c r="AG14" i="10"/>
  <c r="AC11" i="10"/>
  <c r="AC19" i="10"/>
  <c r="AG10" i="10"/>
  <c r="AG18" i="10"/>
  <c r="AA14" i="10"/>
  <c r="D10" i="10"/>
  <c r="D14" i="10"/>
  <c r="C14" i="10"/>
  <c r="B14" i="10"/>
  <c r="D11" i="10"/>
  <c r="F6" i="24"/>
  <c r="F21" i="24"/>
  <c r="F27" i="24"/>
  <c r="H4" i="10"/>
  <c r="E6" i="24"/>
  <c r="E21" i="24"/>
  <c r="E27" i="24"/>
  <c r="G4" i="10"/>
  <c r="M21" i="24"/>
  <c r="M27" i="24"/>
  <c r="L21" i="24"/>
  <c r="L27" i="24"/>
  <c r="N4" i="10"/>
  <c r="L22" i="24"/>
  <c r="L28" i="24"/>
  <c r="G7" i="24"/>
  <c r="G20" i="24"/>
  <c r="G26" i="24"/>
  <c r="I3" i="10"/>
  <c r="I17" i="10"/>
  <c r="O61" i="23"/>
  <c r="J7" i="24"/>
  <c r="J20" i="24"/>
  <c r="J26" i="24"/>
  <c r="L3" i="10"/>
  <c r="L17" i="10"/>
  <c r="C22" i="24"/>
  <c r="C28" i="24"/>
  <c r="L32" i="23"/>
  <c r="F4" i="24"/>
  <c r="B27" i="24"/>
  <c r="D4" i="10"/>
  <c r="C4" i="10"/>
  <c r="B4" i="10"/>
  <c r="M1" i="23"/>
  <c r="L94" i="23"/>
  <c r="L93" i="23"/>
  <c r="L92" i="23"/>
  <c r="L91" i="23"/>
  <c r="E38" i="21"/>
  <c r="E28" i="21"/>
  <c r="A43" i="21"/>
  <c r="G6" i="24"/>
  <c r="G21" i="24"/>
  <c r="G27" i="24"/>
  <c r="I4" i="10"/>
  <c r="D19" i="10"/>
  <c r="C19" i="10"/>
  <c r="B19" i="10"/>
  <c r="C11" i="10"/>
  <c r="B11" i="10"/>
  <c r="D18" i="10"/>
  <c r="C18" i="10"/>
  <c r="B18" i="10"/>
  <c r="C10" i="10"/>
  <c r="B10" i="10"/>
  <c r="D22" i="24"/>
  <c r="D28" i="24"/>
  <c r="T4" i="10"/>
  <c r="AB4" i="10"/>
  <c r="U4" i="10"/>
  <c r="AC4" i="10"/>
  <c r="Z4" i="10"/>
  <c r="V4" i="10"/>
  <c r="AD4" i="10"/>
  <c r="AH4" i="10"/>
  <c r="AA4" i="10"/>
  <c r="W4" i="10"/>
  <c r="AE4" i="10"/>
  <c r="R4" i="10"/>
  <c r="P4" i="10"/>
  <c r="X4" i="10"/>
  <c r="AF4" i="10"/>
  <c r="Q4" i="10"/>
  <c r="Y4" i="10"/>
  <c r="AG4" i="10"/>
  <c r="O4" i="10"/>
  <c r="S4" i="10"/>
  <c r="N14" i="10"/>
  <c r="N11" i="10"/>
  <c r="N19" i="10"/>
  <c r="N10" i="10"/>
  <c r="N18" i="10"/>
  <c r="F14" i="10"/>
  <c r="F11" i="10"/>
  <c r="F19" i="10"/>
  <c r="F10" i="10"/>
  <c r="F18" i="10"/>
  <c r="E14" i="10"/>
  <c r="E10" i="10"/>
  <c r="E18" i="10"/>
  <c r="E11" i="10"/>
  <c r="E19" i="10"/>
  <c r="F22" i="24"/>
  <c r="F28" i="24"/>
  <c r="E22" i="24"/>
  <c r="E28" i="24"/>
  <c r="M32" i="23"/>
  <c r="G4" i="24"/>
  <c r="G22" i="24"/>
  <c r="G28" i="24"/>
  <c r="N1" i="23"/>
  <c r="M92" i="23"/>
  <c r="M94" i="23"/>
  <c r="M93" i="23"/>
  <c r="M91" i="23"/>
  <c r="B9" i="19"/>
  <c r="B10" i="19"/>
  <c r="B11" i="19"/>
  <c r="F40" i="16"/>
  <c r="E40" i="16"/>
  <c r="F39" i="16"/>
  <c r="E39" i="16"/>
  <c r="F38" i="16"/>
  <c r="E38" i="16"/>
  <c r="F37" i="16"/>
  <c r="E37" i="16"/>
  <c r="D37" i="16"/>
  <c r="F36" i="16"/>
  <c r="E36" i="16"/>
  <c r="F35" i="16"/>
  <c r="E35" i="16"/>
  <c r="F31" i="16"/>
  <c r="D31" i="16"/>
  <c r="E31" i="16"/>
  <c r="E30" i="16"/>
  <c r="E29" i="16"/>
  <c r="F28" i="16"/>
  <c r="E28" i="16"/>
  <c r="F27" i="16"/>
  <c r="E27" i="16"/>
  <c r="D27" i="16"/>
  <c r="F26" i="16"/>
  <c r="E26" i="16"/>
  <c r="B5" i="19"/>
  <c r="F25" i="16"/>
  <c r="E25" i="16"/>
  <c r="F24" i="16"/>
  <c r="D24" i="16"/>
  <c r="E24" i="16"/>
  <c r="E15" i="16"/>
  <c r="E14" i="16"/>
  <c r="E13" i="16"/>
  <c r="F12" i="16"/>
  <c r="E12" i="16"/>
  <c r="F11" i="16"/>
  <c r="D11" i="16"/>
  <c r="E11" i="16"/>
  <c r="E10" i="16"/>
  <c r="F9" i="16"/>
  <c r="E9" i="16"/>
  <c r="E8" i="16"/>
  <c r="E7" i="16"/>
  <c r="H6" i="24"/>
  <c r="H21" i="24"/>
  <c r="H27" i="24"/>
  <c r="J4" i="10"/>
  <c r="G11" i="10"/>
  <c r="G19" i="10"/>
  <c r="G14" i="10"/>
  <c r="G10" i="10"/>
  <c r="G18" i="10"/>
  <c r="H11" i="10"/>
  <c r="H19" i="10"/>
  <c r="H14" i="10"/>
  <c r="H10" i="10"/>
  <c r="H18" i="10"/>
  <c r="I10" i="10"/>
  <c r="I18" i="10"/>
  <c r="I11" i="10"/>
  <c r="I19" i="10"/>
  <c r="I14" i="10"/>
  <c r="N32" i="23"/>
  <c r="H4" i="24"/>
  <c r="H22" i="24"/>
  <c r="H28" i="24"/>
  <c r="O1" i="23"/>
  <c r="N91" i="23"/>
  <c r="N93" i="23"/>
  <c r="N92" i="23"/>
  <c r="N94" i="23"/>
  <c r="I6" i="24"/>
  <c r="I21" i="24"/>
  <c r="I27" i="24"/>
  <c r="K4" i="10"/>
  <c r="F21" i="16"/>
  <c r="D40" i="16"/>
  <c r="D38" i="16"/>
  <c r="D26" i="16"/>
  <c r="B2" i="19"/>
  <c r="D28" i="16"/>
  <c r="B3" i="19"/>
  <c r="D36" i="16"/>
  <c r="B4" i="19"/>
  <c r="D9" i="16"/>
  <c r="D39" i="16"/>
  <c r="E32" i="16"/>
  <c r="F41" i="16"/>
  <c r="E21" i="16"/>
  <c r="E33" i="16"/>
  <c r="F32" i="16"/>
  <c r="F33" i="16"/>
  <c r="E41" i="16"/>
  <c r="D12" i="16"/>
  <c r="D25" i="16"/>
  <c r="D35" i="16"/>
  <c r="B6" i="19"/>
  <c r="J10" i="10"/>
  <c r="J18" i="10"/>
  <c r="J11" i="10"/>
  <c r="J19" i="10"/>
  <c r="J14" i="10"/>
  <c r="I4" i="24"/>
  <c r="I22" i="24"/>
  <c r="I28" i="24"/>
  <c r="O32" i="23"/>
  <c r="J4" i="24"/>
  <c r="O92" i="23"/>
  <c r="O94" i="23"/>
  <c r="O93" i="23"/>
  <c r="O91" i="23"/>
  <c r="P1" i="23"/>
  <c r="D32" i="16"/>
  <c r="D21" i="16"/>
  <c r="D33" i="16"/>
  <c r="F43" i="16"/>
  <c r="D41" i="16"/>
  <c r="D43" i="16"/>
  <c r="B18" i="19"/>
  <c r="B17" i="19"/>
  <c r="B23" i="19"/>
  <c r="C23" i="19"/>
  <c r="D23" i="19"/>
  <c r="E23" i="19"/>
  <c r="F23" i="19"/>
  <c r="E43" i="16"/>
  <c r="B24" i="19"/>
  <c r="C24" i="19"/>
  <c r="D24" i="19"/>
  <c r="E24" i="19"/>
  <c r="F24" i="19"/>
  <c r="B22" i="19"/>
  <c r="J6" i="24"/>
  <c r="J21" i="24"/>
  <c r="J27" i="24"/>
  <c r="L4" i="10"/>
  <c r="C22" i="19"/>
  <c r="D22" i="19"/>
  <c r="K14" i="10"/>
  <c r="K10" i="10"/>
  <c r="K18" i="10"/>
  <c r="K11" i="10"/>
  <c r="K19" i="10"/>
  <c r="J22" i="24"/>
  <c r="J28" i="24"/>
  <c r="E22" i="19"/>
  <c r="F22" i="19"/>
  <c r="Q1" i="23"/>
  <c r="P93" i="23"/>
  <c r="P92" i="23"/>
  <c r="P91" i="23"/>
  <c r="P94" i="23"/>
  <c r="K6" i="24"/>
  <c r="L14" i="10"/>
  <c r="L10" i="10"/>
  <c r="L18" i="10"/>
  <c r="L11" i="10"/>
  <c r="L19" i="10"/>
  <c r="K21" i="24"/>
  <c r="K27" i="24"/>
  <c r="M4" i="10"/>
  <c r="K22" i="24"/>
  <c r="K28" i="24"/>
  <c r="M14" i="10"/>
  <c r="M10" i="10"/>
  <c r="M18" i="10"/>
  <c r="M11" i="10"/>
  <c r="M1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tc={A89F4B47-D0F7-4943-811E-7BB798616A2E}</author>
  </authors>
  <commentList>
    <comment ref="A77" authorId="0" shapeId="0" xr:uid="{A89F4B47-D0F7-4943-811E-7BB798616A2E}">
      <text>
        <t xml:space="preserve">[Threaded comment]
Your version of Excel allows you to read this threaded comment; however, any edits to it will get removed if the file is opened in a newer version of Excel. Learn more: https://go.microsoft.com/fwlink/?linkid=870924
Comment:
    @Jared Connoy, can you please confirm these values are correct and add a reference to the file they came from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He</author>
  </authors>
  <commentList>
    <comment ref="A10" authorId="0" shapeId="0" xr:uid="{5F9E938B-42DD-4F74-943D-BE766940E491}">
      <text>
        <r>
          <rPr>
            <b/>
            <sz val="9"/>
            <color indexed="81"/>
            <rFont val="Tahoma"/>
            <family val="2"/>
          </rPr>
          <t>Emily He:</t>
        </r>
        <r>
          <rPr>
            <sz val="9"/>
            <color indexed="81"/>
            <rFont val="Tahoma"/>
            <family val="2"/>
          </rPr>
          <t xml:space="preserve">
near completely phased out</t>
        </r>
      </text>
    </comment>
    <comment ref="A11" authorId="0" shapeId="0" xr:uid="{90301D2F-95F8-4DB8-833A-70490219D3E0}">
      <text>
        <r>
          <rPr>
            <b/>
            <sz val="9"/>
            <color indexed="81"/>
            <rFont val="Tahoma"/>
            <family val="2"/>
          </rPr>
          <t>Emily He:</t>
        </r>
        <r>
          <rPr>
            <sz val="9"/>
            <color indexed="81"/>
            <rFont val="Tahoma"/>
            <family val="2"/>
          </rPr>
          <t xml:space="preserve">
phased out in 2014</t>
        </r>
      </text>
    </comment>
    <comment ref="A13" authorId="0" shapeId="0" xr:uid="{A9131F95-6DD8-435B-8BB8-D888C412F0B2}">
      <text>
        <r>
          <rPr>
            <b/>
            <sz val="9"/>
            <color indexed="81"/>
            <rFont val="Tahoma"/>
            <family val="2"/>
          </rPr>
          <t>Emily He:</t>
        </r>
        <r>
          <rPr>
            <sz val="9"/>
            <color indexed="81"/>
            <rFont val="Tahoma"/>
            <family val="2"/>
          </rPr>
          <t xml:space="preserve">
near completely phased out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tc={6E855954-2ECC-4795-A825-AB1D622F457D}</author>
  </authors>
  <commentList>
    <comment ref="Q91" authorId="0" shapeId="0" xr:uid="{6E855954-2ECC-4795-A825-AB1D622F457D}">
      <text>
        <t>[Threaded comment]
Your version of Excel allows you to read this threaded comment; however, any edits to it will get removed if the file is opened in a newer version of Excel. Learn more: https://go.microsoft.com/fwlink/?linkid=870924
Comment:
    price from 2030 onwards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tc={7DD21791-37D0-4115-8C48-9B172DFF62A8}</author>
    <author>tc={2EE6499A-9FF5-46D2-851B-1BB91A8BF775}</author>
  </authors>
  <commentList>
    <comment ref="F30" authorId="0" shapeId="0" xr:uid="{7DD21791-37D0-4115-8C48-9B172DFF62A8}">
      <text>
        <t>[Threaded comment]
Your version of Excel allows you to read this threaded comment; however, any edits to it will get removed if the file is opened in a newer version of Excel. Learn more: https://go.microsoft.com/fwlink/?linkid=870924
Comment:
    @Eyab Al-Aini could you take a look at this</t>
      </text>
    </comment>
    <comment ref="C71" authorId="1" shapeId="0" xr:uid="{2EE6499A-9FF5-46D2-851B-1BB91A8BF775}">
      <text>
        <t>[Threaded comment]
Your version of Excel allows you to read this threaded comment; however, any edits to it will get removed if the file is opened in a newer version of Excel. Learn more: https://go.microsoft.com/fwlink/?linkid=870924
Comment:
    @Eyab Al-Aini could you take a look at this too</t>
      </text>
    </comment>
  </commentList>
</comments>
</file>

<file path=xl/sharedStrings.xml><?xml version="1.0" encoding="utf-8"?>
<sst xmlns="http://schemas.openxmlformats.org/spreadsheetml/2006/main" count="6512" uniqueCount="1908">
  <si>
    <t>BS BAU Subsidy for Thermal Fuels per Energy Unit Produced</t>
  </si>
  <si>
    <t>BS BAU Subsidy per Unit Electricity Output</t>
  </si>
  <si>
    <t>BS BAU Subsidy per Unit Electricity Capacity Built</t>
  </si>
  <si>
    <t>Source:</t>
  </si>
  <si>
    <t>Canada fossil fuel subsidies</t>
  </si>
  <si>
    <t>Environmental Defense</t>
  </si>
  <si>
    <t>Paying polluters" Federal Financial Support to Oil and Gas in 2020</t>
  </si>
  <si>
    <t>https://environmentaldefence.ca/wp-content/uploads/2021/04/Federal-FossilFuelSubsidies-April-2021.pdf</t>
  </si>
  <si>
    <t>Policy alternatives</t>
  </si>
  <si>
    <t>A critical look at BC’s new tax breaks and subsidies for LNG</t>
  </si>
  <si>
    <t>https://www.policyalternatives.ca/sites/default/files/uploads/publications/BC%20Office/2019/05/CCPA_BC%20Critiquing%20the%20LNG%20Canada%20agreement_FINAL_190506.pdf</t>
  </si>
  <si>
    <t>IISD</t>
  </si>
  <si>
    <t>Blocking Ambition: Fossil fuel subsidies in Alberta, British Columbia, Saskatchewan, and Newfoundland and Labrador</t>
  </si>
  <si>
    <t>https://www.iisd.org/system/files/2022-02/blocking-ambition-fossil-fuel-subsidies-canadian-provinces.pdf</t>
  </si>
  <si>
    <t>Canada's Federal Fossil Fuel Subsidies in 2020</t>
  </si>
  <si>
    <t>https://www.iisd.org/publications/canadas-federal-fossil-fuel-subsidies-2020</t>
  </si>
  <si>
    <t>Unpacking Canada’s Fossil Fuel Subsidies</t>
  </si>
  <si>
    <t xml:space="preserve">https://www.iisd.org/articles/unpacking-canadas-fossil-fuel-subsidies-faq </t>
  </si>
  <si>
    <t>The (Public) Cost of Pollution: Ontario's fossil fuel subsidies</t>
  </si>
  <si>
    <t>https://www.iisd.org/publications/public-cost-pollution</t>
  </si>
  <si>
    <t>Equiterre</t>
  </si>
  <si>
    <t>NOUVEAU RAPPORT : SUBVENTIONS AUX HYDROCARBURES AU QUÉBEC</t>
  </si>
  <si>
    <t>https://www.equiterre.org/publication/nouveau-rapport-subventions-aux-hydrocarbures-au-quebec</t>
  </si>
  <si>
    <t>Pembina Institute</t>
  </si>
  <si>
    <t>Diesel Subsidies — Simplified Part I</t>
  </si>
  <si>
    <t>https://www.pembina.org/reports/diesel-subsidies-simplified-2021-06.pdf</t>
  </si>
  <si>
    <t>OECD Library</t>
  </si>
  <si>
    <t>Canada - Table 2</t>
  </si>
  <si>
    <t>https://www.oecd-ilibrary.org/sites/5a3efe65-en/1/3/10/index.html?itemId=/content/publication/5a3efe65-en&amp;_csp_=2ffa7a733148fec42dccf926d7619e1c&amp;itemIGO=oecd&amp;itemContentType=book</t>
  </si>
  <si>
    <t>Canada fossil fuel primary energy quantities</t>
  </si>
  <si>
    <t>National Energy Board</t>
  </si>
  <si>
    <t>Canada's Energy Future 2021</t>
  </si>
  <si>
    <t>https://apps.cer-rec.gc.ca/ftrppndc/dflt.aspx?GoCTemplateCulture=en-CA</t>
  </si>
  <si>
    <t>Table "Primary Energy Demand"</t>
  </si>
  <si>
    <t>RE Subsidy Programs by Province</t>
  </si>
  <si>
    <t>See "RE subsidy programs" tab</t>
  </si>
  <si>
    <t>Electricity Generation by Province/Territory</t>
  </si>
  <si>
    <t>Table "Electricity Generation"</t>
  </si>
  <si>
    <t>Notes</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</si>
  <si>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</si>
  <si>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</si>
  <si>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</si>
  <si>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</si>
  <si>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We calculate a generation-weighted average of provincial and territorial subsidy rates for</t>
  </si>
  <si>
    <t>RE generation, but we choose not to use it in the output tables for this variable.  See the</t>
  </si>
  <si>
    <t>"RE Calculations" tab for details.</t>
  </si>
  <si>
    <t>Public financing for coal, oil, and gas projects is excluded as this is for export projects and we are concerned about subsidies for energy used within Canada.</t>
  </si>
  <si>
    <t>2020 primary energy demand totals are used to normalize subsidy dollars as the subsidies are applied to the</t>
  </si>
  <si>
    <t>amount of energy produced in 2020, rather than the ratcheted down quantities (in the case of fossil fuels)</t>
  </si>
  <si>
    <t>Conversion factors</t>
  </si>
  <si>
    <t>2020 USD per 2013 USD</t>
  </si>
  <si>
    <t>2020 CAD per USD</t>
  </si>
  <si>
    <t>BTU per Petajoule</t>
  </si>
  <si>
    <t xml:space="preserve">Need to do for CAN update: </t>
  </si>
  <si>
    <t>convert to 2012USD</t>
  </si>
  <si>
    <r>
      <t>National subsidies (</t>
    </r>
    <r>
      <rPr>
        <b/>
        <sz val="10"/>
        <color indexed="62"/>
        <rFont val="Arial"/>
        <family val="2"/>
      </rPr>
      <t xml:space="preserve">million </t>
    </r>
    <r>
      <rPr>
        <b/>
        <sz val="10"/>
        <color rgb="FF4F81BD"/>
        <rFont val="Arial"/>
        <family val="2"/>
      </rPr>
      <t>USD  - except where otherwise indicated)</t>
    </r>
  </si>
  <si>
    <t>incorporated into new tab</t>
  </si>
  <si>
    <t>no longer relevant</t>
  </si>
  <si>
    <t>Subsidy</t>
  </si>
  <si>
    <t>Subsidy type</t>
  </si>
  <si>
    <t>Targeted energy source</t>
  </si>
  <si>
    <t xml:space="preserve">Estimated annual amount, million USD </t>
  </si>
  <si>
    <t>2013 estimate</t>
  </si>
  <si>
    <t>2014 estimate</t>
  </si>
  <si>
    <t>Stage:</t>
  </si>
  <si>
    <t>Source</t>
  </si>
  <si>
    <t>Tax expenditure</t>
  </si>
  <si>
    <t>National</t>
  </si>
  <si>
    <t>Canadian Development Expense: 30% deductible on a declining-balance basis, can be accumulated in a Cumulative CDE pool</t>
  </si>
  <si>
    <t>Tax deductions for development expense, including accelerated depreciation</t>
  </si>
  <si>
    <t>Oil</t>
  </si>
  <si>
    <t>Not available</t>
  </si>
  <si>
    <t>Field Development</t>
  </si>
  <si>
    <t>Sawyer &amp; Stiebert, 2010 updated with CAPP 2015 Statistical Handbook for Canada's Upstream Petroleum Industry &amp; 2015 Mining-specific Tax Provisions</t>
  </si>
  <si>
    <t>Gas</t>
  </si>
  <si>
    <t>Atlantic Investment Tax Credit (AITC): 10% (2013) and 5% (2014) tax credit on energy investments, especially offshore oil and gas</t>
  </si>
  <si>
    <t>Tax deductions for development expense, including accelerated depreciation; Tax deductions for development expense, including accelerated depreciation; Tax deductions, including accelerated depreciation, for earned depletion allowances, for operation of mature and non-conventional fields and purchase of certain field operation equipment</t>
  </si>
  <si>
    <t>Oil &amp; Gas</t>
  </si>
  <si>
    <t>Gaining Access, Exploration &amp; Appraisal of a Field; Field Development; Extraction from a field</t>
  </si>
  <si>
    <t>Finance Candada, 2015; See also NRCAN</t>
  </si>
  <si>
    <t>Canadian Exploration Expense</t>
  </si>
  <si>
    <t>Tax deductions for exploration expense, including accelerated depreciation</t>
  </si>
  <si>
    <t>Gaining Access, Exploration &amp; Appraisal of a Field</t>
  </si>
  <si>
    <t>[2015-03-01 News Release]
For expenses incurred after February 2015, the costs associated with undertaking environmental studies and community consultations that are required in order to obtain an exploration permit or licence will be eligible for CEE treatment.</t>
  </si>
  <si>
    <t>Accelarated capital cost allowance (ACCA) for tar-sands projects and accelerated write-offs for some intangible tar-sands costs</t>
  </si>
  <si>
    <t>Tax deductions for development expense, including accelerated depreciation; Tax deductions fore development expense, including accelerated depreciation; Tax deductions, including accelerated depreciation, for earned depletion allowances, for operation of mature and non-conventional fields and purchase of certain field operation equipment</t>
  </si>
  <si>
    <t>Based on CESD, 2012 estimate of CAD 300/year, times the corresponding year's percentage based on NRCAN phase out schedule, which can be found here: https://www.nrcan.gc.ca/mining-materials/taxation/mining-taxation-regime/8892#lnk5</t>
  </si>
  <si>
    <t>Budget 2007 proposed to phase out the accelerated Capital Cost Allowance (ACCA) for oil sands projects—both mining and in-situ operations. The regular 25% CCA rate will remain in place.
2011: 90%
2012: 80%
2013: 60%
2014: 30%
After 2014: 0%</t>
  </si>
  <si>
    <t>Flow-through share deductions</t>
  </si>
  <si>
    <t>Tax deductions for development expense, including accelerated depreciation; Tax deductions for development expense, including accelerated depreciation; Tax deductions, including accelerated depreciation, for earned depletion allowances, for operation of m</t>
  </si>
  <si>
    <t>Oil, Gas &amp; Coal</t>
  </si>
  <si>
    <t>OECD, 2015</t>
  </si>
  <si>
    <t>Canadian Oil and Gas Property Expense (COGPE): 10% deduction for the cost of acquiring an oil or gas well; an interest or right to explore, drill, or extract oil or natural gas; or a qualifying interest or right in oil or gas production (excl. Crown royalties)</t>
  </si>
  <si>
    <t>Relief on property taxes</t>
  </si>
  <si>
    <t>Duty exemption for offshore exploration equipment imports</t>
  </si>
  <si>
    <t>Gaining Access, Exploration &amp; Appraisal</t>
  </si>
  <si>
    <t>ODI&amp;OCI, 2014</t>
  </si>
  <si>
    <t>Foreign resource expense (FRE) and foreign exploration and development expense (FEDE): 30% deduction for exploration costs overseas</t>
  </si>
  <si>
    <t>Tax deductions for exploration expense, including accelerated depreciation; Tax deductions for development expense, including accelerated depreciation</t>
  </si>
  <si>
    <t>Gaining Access, Exploration &amp; Appraisal; Field Development</t>
  </si>
  <si>
    <t>Exploration limited partnerships: proceeds taxed as capital gains at just 50% the rate of regular income</t>
  </si>
  <si>
    <t>Introduction of ACCA for Liquified natural gas (LNG) assets</t>
  </si>
  <si>
    <t>n.a.</t>
  </si>
  <si>
    <t>Addition to CEE of the following expenses: environmental studies and community consultations that are required in order to obtain an exploration permit or licence</t>
  </si>
  <si>
    <t>Total (National)</t>
  </si>
  <si>
    <t>Sub-national</t>
  </si>
  <si>
    <t>Alberta Crown Royalty Reductions (Alta.)</t>
  </si>
  <si>
    <t>Relief on royalties and production taxes on field output</t>
  </si>
  <si>
    <t>Extraction from a Field</t>
  </si>
  <si>
    <t>Deep Drilling Credit (unspecified, likely BC)</t>
  </si>
  <si>
    <t>Mining Exploration Tax Credit (BC)</t>
  </si>
  <si>
    <t>Coal</t>
  </si>
  <si>
    <t>Road and Pipeline Infrastructure Credit (BC)</t>
  </si>
  <si>
    <t>This is a relief on royalties to promote the construction of roads, pipelines, and associated facilities in relation to oil and gas extraction (upstream)</t>
  </si>
  <si>
    <t>Fuel Tax Exemption for Transmitting Waste Gas (BC)</t>
  </si>
  <si>
    <t>Tax deductions, including accelerated depreciation, for operation of certain plants and purchase of certain equipment</t>
  </si>
  <si>
    <t>Plant Operation</t>
  </si>
  <si>
    <t>Sales Tax Exemption for Exploration Equipment (Like MB + BC)</t>
  </si>
  <si>
    <t>&lt; 1</t>
  </si>
  <si>
    <t>Summer Drilling Credit (BC)</t>
  </si>
  <si>
    <t>Saskatchewan Petroleum Research Incentive</t>
  </si>
  <si>
    <t>Total (Sub-national)</t>
  </si>
  <si>
    <t>Total (Combined)</t>
  </si>
  <si>
    <t>Direct spending</t>
  </si>
  <si>
    <t>Energy Alberta CCS projects (Carbon Trunk Line + Shell Quest)</t>
  </si>
  <si>
    <t>Government grants for plant construction</t>
  </si>
  <si>
    <t>Plant Planning &amp; Construction</t>
  </si>
  <si>
    <t>Energy Alberta, 2015</t>
  </si>
  <si>
    <t>Boundary Dam CCS (Federal share in form of grants)</t>
  </si>
  <si>
    <t>Investment by SOEs in plant operation and modernization nationally</t>
  </si>
  <si>
    <t>SaskPower Annual Report - 2011</t>
  </si>
  <si>
    <t>Petroleum Technology Research Centre (Federal + Saskatchewan)</t>
  </si>
  <si>
    <t>Government-funded R&amp;D for field development and operation</t>
  </si>
  <si>
    <t>Field Development; Extraction from a Field</t>
  </si>
  <si>
    <t>Heartlands Oil and Gas Road Rehabilitation (BC)</t>
  </si>
  <si>
    <t>Government spending on field-related infrastructure (ports, roads, rail, pipelines, waste management) and provision of this infrastructure at below-market rates</t>
  </si>
  <si>
    <t>Orphan Well Abandonment</t>
  </si>
  <si>
    <t>Field Decommissioning</t>
  </si>
  <si>
    <t>Government spending on field decommissioning and severance packages to former employees</t>
  </si>
  <si>
    <t>Oil and Gas R&amp;D Funding (Newfoundland and Labrador)</t>
  </si>
  <si>
    <t>Total direct spending</t>
  </si>
  <si>
    <t>Total National Subsidies</t>
  </si>
  <si>
    <t>Jurisdiction</t>
  </si>
  <si>
    <t>2013 US$, millions</t>
  </si>
  <si>
    <t>Annual subsidy - 2020 CAD$, millions - after 2030</t>
  </si>
  <si>
    <t>Assumption</t>
  </si>
  <si>
    <t>Program Based</t>
  </si>
  <si>
    <t>Canadian Emissions Reduction Innovation Network</t>
  </si>
  <si>
    <t>Infrastructure spending for emissions reductions</t>
  </si>
  <si>
    <t>The program supports targeted infrastructure investments at existing
facilities or sites and aims to accelerate the development, validation
and deployment of technologies that reduce oil and gas sector
emissions.</t>
  </si>
  <si>
    <t>Canada Emergency Wage Subsidy (COVID support
program)</t>
  </si>
  <si>
    <t>Wage subsidy</t>
  </si>
  <si>
    <t>The total amount of the federal wage subsidy claimed by oil and gas
companies remains unknown, as the federal government has provided
no transparency on the recipients. Imperial Oil alone claimed $120
million (while issuing $320 million in dividends).29 In June 2020, CAPP
estimated the total at $300 million.</t>
  </si>
  <si>
    <t>Only applied in 2020</t>
  </si>
  <si>
    <t>Clean Growth Program</t>
  </si>
  <si>
    <t>R&amp;D Demonstration Projects  for emissions reductions</t>
  </si>
  <si>
    <t>The Clean Growth Program supports clean technology research and
development and demonstration projects in three Canadian sectors: oil
and gas, mining and forestry. In past years, much of this support has
targeted the oil and gas sector. Annual ammount is an average from two reports.</t>
  </si>
  <si>
    <t>Entire 1.6M is applied to O&amp;G</t>
  </si>
  <si>
    <t>https://www.iisd.org/system/files/publications/canada-fossil-fuel-subsidies-2020-en.pdf</t>
  </si>
  <si>
    <t>Electric Vehicle and Alternative Fuel Infrastructure Deployment Initiative</t>
  </si>
  <si>
    <t>Infrastructure spending</t>
  </si>
  <si>
    <t xml:space="preserve">The funds listed here went to natural gas refuelling stations, rather
than electric vehicle infrastructure. Over the past two years, the
amount dedicated to natural gas was $19.5 million. </t>
  </si>
  <si>
    <t>Emissions Reduction Fund (COVID support program)</t>
  </si>
  <si>
    <t>Emissions reductions</t>
  </si>
  <si>
    <t>This funding provides up to $675 million to eligible onshore oil and
gas companies and $75 million to offshore oil and gas companies.
The purpose is to reduce methane and other emissions. Funds will be
provided over two years. This fund includes both repayable funding
and grants, and it is not yet clear what the final breakdown will be</t>
  </si>
  <si>
    <t>750M is split evenly between 2020 and 2021</t>
  </si>
  <si>
    <t>Energy Innovation Program</t>
  </si>
  <si>
    <t>R&amp;D for emissions reductions</t>
  </si>
  <si>
    <t>Funding streams under this program support the development of “clean” oil and gas technologies. Annual ammount is an average from two reports.</t>
  </si>
  <si>
    <t>Reclamation of orphan and inactive wells (COVID support program)</t>
  </si>
  <si>
    <t>Project funding</t>
  </si>
  <si>
    <t xml:space="preserve">Funding for provinces to pay for the closure and reclamation of
orphan and inactive wells. </t>
  </si>
  <si>
    <t>Strategic Innovation Fund</t>
  </si>
  <si>
    <t>R&amp;D funding</t>
  </si>
  <si>
    <t>These funds are for the Clean Resource Innovation Network (CRIN) to
commercialize clean technology for the oil and gas sector, to help the
oil and gas sector grow, create jobs and reduce its greenhouse gas
emissions. $100 million over four years</t>
  </si>
  <si>
    <t>Sustainable Development Technology Canada</t>
  </si>
  <si>
    <t>Supporting Canadian companies who are leading in the development
of clean technologies. The funds here went to projects in the oil and
gas sector. Annual ammount is an average from two reports.</t>
  </si>
  <si>
    <t>Accelerated capital cost allowance – LNG, eligible liquefaction equipment</t>
  </si>
  <si>
    <t>Not avail</t>
  </si>
  <si>
    <t>This measure is set to expire in 2025</t>
  </si>
  <si>
    <t>Accelerated capital cost allowance – LNG, related buildings</t>
  </si>
  <si>
    <t>Accelerated Investment Incentive</t>
  </si>
  <si>
    <t>Allows companies to immediately write off the full
costs of new machinery and equipment. It amounted
to $3.28 billion in 2020/21 for multiple sectors but the
oil and gas portion cannot be specified.36</t>
  </si>
  <si>
    <t xml:space="preserve">Flow-through shares are an authorized tax shelter
arrangement that allows a corporation to transfer
certain unused tax deductions to equity investors.
As of 2020, Finance Canada now provides
disaggregated data on tax expenditures related to
flow-through shares for the fossil fuel sector. </t>
  </si>
  <si>
    <t>Tariff exemptions</t>
  </si>
  <si>
    <t xml:space="preserve">There is no current government inventory on tariff
exemptions that benefit the oil and gas sector.
In 2019, the government announced a tariff
exemption on imported steel to support the LNG
sector in British Columbia.38
Another tariff exemption is for mobile offshore
drilling units for offshore oil and gas exploration. </t>
  </si>
  <si>
    <t>Carbon Pricing exemptions</t>
  </si>
  <si>
    <t xml:space="preserve">Under the Greenhouse Gas Pollution Pricing Act’s
Output-Based Pricing System for industrial emissions,
methane leaks from oil and gas facilities are not
priced. In addition, 80-90% of the oil and gas sector’s
emissions are not priced. </t>
  </si>
  <si>
    <t>Low Carbon Economy Fund</t>
  </si>
  <si>
    <t xml:space="preserve">Includes CAD 40 million to Titanium Corporation for technology to remediate oil sands tailings and CAD 22.3 million to Canadian Natural for technology at the Athabasca Oil Sands Project </t>
  </si>
  <si>
    <t>Annual ammount is equal to that from 2019/20 FY</t>
  </si>
  <si>
    <t>Investing in Canada Plan</t>
  </si>
  <si>
    <t xml:space="preserve">Several investments from this initiative have gone to fossil fuel projects in the past few years, including from the Green Infrastructure Fund and the Arctic Energy Fund. This includes upgrades of diesel-based power plants (Infrastructure Canada, 2019a). In addition, up to CAD 83.6 million was earmarked for the Peace Region Electricity Supply Project in BC </t>
  </si>
  <si>
    <t>Annual ammount is equal to that from 2019/20 FY. Payments end in 2028 because it is a 12 year plan started in 2016 (https://www.infrastructure.gc.ca/plan/about-invest-apropos-eng.html)</t>
  </si>
  <si>
    <t>Western Economic Diversification Canada</t>
  </si>
  <si>
    <t>Several investments have gone toward improved technology in the oil and gas sector</t>
  </si>
  <si>
    <t>Diesel fuel for remote communities</t>
  </si>
  <si>
    <t>Indigenous Natural Resource Partnerships</t>
  </si>
  <si>
    <t>BC and AB</t>
  </si>
  <si>
    <t xml:space="preserve">Efforts to increase Indigenous economic participation in oil and gasrelated infrastructure projects in Alberta and BC. </t>
  </si>
  <si>
    <t>Indigenous Services Canada</t>
  </si>
  <si>
    <t>ON</t>
  </si>
  <si>
    <t>Diesel subsidy</t>
  </si>
  <si>
    <t>Funding for a diesel generating station in Nibinamik First Nation</t>
  </si>
  <si>
    <t>Oil and Gas Industry Recovery Assistance Fund (COVID support program)</t>
  </si>
  <si>
    <t>NL</t>
  </si>
  <si>
    <t>Support for Newfoundland &amp; Labrador’s offshore oil industry. 320M in total, not sure when the rest will be granted</t>
  </si>
  <si>
    <t>Annual spending is equal to the average from 2020/21. Funding occurs until 320M is reached.</t>
  </si>
  <si>
    <t>https://www.saltwire.com/atlantic-canada/news/funding-announced-for-26-offshore-supply-and-service-projects-in-newfoundland-and-labrador-100661896/</t>
  </si>
  <si>
    <t>https://www.cbc.ca/news/canada/newfoundland-labrador/hibernia-funding-announcement-1.5852903</t>
  </si>
  <si>
    <t>RCMP</t>
  </si>
  <si>
    <t>BC</t>
  </si>
  <si>
    <t>The cost of policing the Coastal GasLink pipeline conflict in northern
B.C. between January 2019 and March 2020.32 The cost of policing
other fossil fuel infrastructure projects is unknown.</t>
  </si>
  <si>
    <t>Underestimate, annual police costs are likely equal if not greater due to increased resistance against fossil fuels</t>
  </si>
  <si>
    <t>Deep Well Royalty Credit</t>
  </si>
  <si>
    <t>Road, Pipeline, Clean Growth Infrastructure Royalty and other infrastructure programs</t>
  </si>
  <si>
    <t>Other royalty reductions</t>
  </si>
  <si>
    <t>https://www.iisd.org/articles/unpacking-canadas-fossil-fuel-subsidies-faq</t>
  </si>
  <si>
    <t>Marginal and ultramarginal credit</t>
  </si>
  <si>
    <t>Decrease in natural gas levy</t>
  </si>
  <si>
    <t>Coalbed Methane Royalty Program</t>
  </si>
  <si>
    <t>NG Royalty Rediction</t>
  </si>
  <si>
    <t>Discovery Oil Royalty Holiday</t>
  </si>
  <si>
    <t>PST exemption for residential fuels</t>
  </si>
  <si>
    <t>PST exemption for nonresidential electricity</t>
  </si>
  <si>
    <t>Mining exploration tax credit</t>
  </si>
  <si>
    <t>Fuel tax and carbon tax exemption for farmers</t>
  </si>
  <si>
    <t>No racheting up of carbon pricing is accounted for because there is no differentiating between fuel tax and CT.</t>
  </si>
  <si>
    <t>Motor fuel tax exemption for alternative fuels</t>
  </si>
  <si>
    <t>Motor fuel tax exemption for international flights (jet fuel)</t>
  </si>
  <si>
    <t>Fuel tax exemption for transmitting waste gas</t>
  </si>
  <si>
    <t>Mineral tax framework</t>
  </si>
  <si>
    <t>Carbon tax exemptions</t>
  </si>
  <si>
    <t>Commericial greenhouse carbon tax relief</t>
  </si>
  <si>
    <t>PST exemption for production machinery and equipment</t>
  </si>
  <si>
    <t>Crown royalty reduction - NG Deep Drilling Program</t>
  </si>
  <si>
    <t>AB</t>
  </si>
  <si>
    <t>Crown royalty reduction - Shale gas</t>
  </si>
  <si>
    <t>Crown royalty reduction - Horizontal oil</t>
  </si>
  <si>
    <t>Crown royalty reduction - Incremental ethane extraction program</t>
  </si>
  <si>
    <t>Crown royalty reduction - Enhanced oil recovery program</t>
  </si>
  <si>
    <t>Crown royalty reduction - proprietary waiver</t>
  </si>
  <si>
    <t>Crown royalty reduction - horizontal gas</t>
  </si>
  <si>
    <t>Crown royalty reduction - otherwise flared solution gas</t>
  </si>
  <si>
    <t>Crown royalty reduction - coalbed methane</t>
  </si>
  <si>
    <t>Crown royalty reduction - other</t>
  </si>
  <si>
    <t>Petrochemicals Diversification Program</t>
  </si>
  <si>
    <t>Inter Pipeline Heartland Petrochemical Complex</t>
  </si>
  <si>
    <t>Canada Kuwait Petrochemical Corporation facilities</t>
  </si>
  <si>
    <t>Alberta Tax Exempt Fuel Use Program</t>
  </si>
  <si>
    <t>Also includes annual average from another source</t>
  </si>
  <si>
    <t>Alberta Farm Fuel Benefit</t>
  </si>
  <si>
    <t>Reduced rate for locomotive fuel</t>
  </si>
  <si>
    <t>Tax relief for petroleum producers</t>
  </si>
  <si>
    <t>SK</t>
  </si>
  <si>
    <t>Saskatchewan Petroleum Innovation Incentive</t>
  </si>
  <si>
    <t>Oil and Gas Processing Investment Initiative</t>
  </si>
  <si>
    <t>Waterflood Development Program</t>
  </si>
  <si>
    <t>Drilling incentives</t>
  </si>
  <si>
    <t>High Water-Cut Oil Well Program</t>
  </si>
  <si>
    <t>Oil Infrastructure Investment Program</t>
  </si>
  <si>
    <t>Associated Natural Gas Royalty Moratorium</t>
  </si>
  <si>
    <t>Annual subsidy is equal to 2021 subsidy</t>
  </si>
  <si>
    <t>Fuel tax exemption for farm activity</t>
  </si>
  <si>
    <t>PST exemption for NG</t>
  </si>
  <si>
    <t>PST exemption for electricity</t>
  </si>
  <si>
    <t>Fuel tax exemption for heating fuels</t>
  </si>
  <si>
    <t>Regulatory relief for Saskatchewan oil and gas producers</t>
  </si>
  <si>
    <t>Fuel tax exemption for primary producers</t>
  </si>
  <si>
    <t>Saskatchewan mineral exploration tax credit</t>
  </si>
  <si>
    <t>PST and fuel tax exemption for enhanced oil recovery</t>
  </si>
  <si>
    <t>Fuel tax exemption - farming</t>
  </si>
  <si>
    <t>Fuel tax exemption - vessels</t>
  </si>
  <si>
    <t>Fuel tax exemption - electricity generation</t>
  </si>
  <si>
    <t>Fuel tax exemption - municipalities</t>
  </si>
  <si>
    <t>Fuel tax exemption - other</t>
  </si>
  <si>
    <t>Carbon tax exemption - electricity</t>
  </si>
  <si>
    <t>Carbon tax exemption - agriculture, forestry, marine</t>
  </si>
  <si>
    <t>Carbon tax exemption -municipalities</t>
  </si>
  <si>
    <t>Carbon tax exemption -other, including offshore oil exploration</t>
  </si>
  <si>
    <t>Reduced tax for aviation fuel</t>
  </si>
  <si>
    <t>Tax exemption for coloured fuels used in agriculture</t>
  </si>
  <si>
    <t>Tax exemption for coloured fuels - other</t>
  </si>
  <si>
    <t xml:space="preserve">Fuel tax exemptions and reductions </t>
  </si>
  <si>
    <t>QC</t>
  </si>
  <si>
    <t>Reduced Rate for Railway Diesel</t>
  </si>
  <si>
    <t>https://www.iisd.org/system/files/publications/public-cost-of-pollution.pdf</t>
  </si>
  <si>
    <t xml:space="preserve">Refund for Auxiliary Power Take-Off Equipment </t>
  </si>
  <si>
    <t>Tax Exemption for Methanol and Natural Gas</t>
  </si>
  <si>
    <t>Reduced Rate for Propane</t>
  </si>
  <si>
    <t>Refund for Tax-Exempt Use in Unlicensed Equipment</t>
  </si>
  <si>
    <t>Green Fund</t>
  </si>
  <si>
    <t>https://www.equiterre.org/sites/fichiers/sommaire_iisd_final_en.pdf</t>
  </si>
  <si>
    <t>Direct transfers</t>
  </si>
  <si>
    <t>LNG Canada Load interconnection project</t>
  </si>
  <si>
    <t>Funding for Geoscience B.C.</t>
  </si>
  <si>
    <t>Natural gas road and infrastructure programs</t>
  </si>
  <si>
    <t>Electrification of O&amp;G sector</t>
  </si>
  <si>
    <t>CleanBC Programs: building efficiency measures, Industrial Incentive Program, Industry Fund</t>
  </si>
  <si>
    <t>LNG Canada - discounted electricity prices</t>
  </si>
  <si>
    <t>Through BC Hydro, LNG Canada’s facility will pay the much
lower industrial rate for electricity used in production. The value of this subsidy is between $32 million and $59 million per year.</t>
  </si>
  <si>
    <t>LNG Canada - exemptions from increases in the BC carbon tax</t>
  </si>
  <si>
    <t>Any BC carbon tax above $30 per tonne of CO2
 will be rebated for approved facilities that meet a greenhouse gas intensity benchmark. As the tax will be $50 per tonne by the time the facility opens, this tax break is
worth $62 million per year.</t>
  </si>
  <si>
    <t>LNG Canada - deferral of provincial sales tax on sonstruction</t>
  </si>
  <si>
    <t>This measure is essentially an interest-free
loan that does not have to be repaid for more than two decades. On an annual basis, this
break is worth $17–21 million.</t>
  </si>
  <si>
    <t>Deferring and postponing pipeline and orphan well liability levies for oil and gas companies</t>
  </si>
  <si>
    <t>Orphan well cleanup: Dormant Sites Reclamation Program, Orphan Sites Reclamation Program, and Legacy Sites Reclamation Program</t>
  </si>
  <si>
    <t>Various direct transfer projects</t>
  </si>
  <si>
    <t>510.5M is the amout of investment made in 2020 alone. Assumption is that annual totals will be equal to this, with the exemption of 113+16M which were COVID related</t>
  </si>
  <si>
    <t>Economic Recovery Rebate for SaskPower customers</t>
  </si>
  <si>
    <t>Petroleum Technology Research Centre</t>
  </si>
  <si>
    <t>Support for Indigenous participation in pipeline projects</t>
  </si>
  <si>
    <t>Suspension of penalties for oil and gas companies who breach environmental obligations</t>
  </si>
  <si>
    <t>Tune-Up Assistance Program</t>
  </si>
  <si>
    <t>Accelerated Site Closure Program</t>
  </si>
  <si>
    <t>Home heating rebate program</t>
  </si>
  <si>
    <t>Petroleum Exploration Enhancement Program</t>
  </si>
  <si>
    <t>Innovation and Business Development Fund and related support</t>
  </si>
  <si>
    <t>Oil and Gas Corporation of Newfoundland and Labrador</t>
  </si>
  <si>
    <t>Support for North Atlantic refinery</t>
  </si>
  <si>
    <t>Allocations for oil and gas industry</t>
  </si>
  <si>
    <t>Additional funding to Terra Nova Project</t>
  </si>
  <si>
    <t>Changes to Terra Nova royalty structure</t>
  </si>
  <si>
    <t>Select Report Version: Canada’s Energy Future 2021</t>
  </si>
  <si>
    <t>Select Appendices: Primary Energy Demand</t>
  </si>
  <si>
    <t>Select Case: Evolving Policies</t>
  </si>
  <si>
    <t>Select Region: Canada</t>
  </si>
  <si>
    <t>Primary Demand</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</si>
  <si>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</si>
  <si>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</si>
  <si>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</si>
  <si>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</si>
  <si>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</si>
  <si>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</si>
  <si>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</si>
  <si>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</si>
  <si>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</si>
  <si>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</si>
  <si>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</si>
  <si>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</si>
  <si>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</si>
  <si>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</si>
  <si>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</si>
  <si>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</si>
  <si>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</si>
  <si>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</si>
  <si>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</si>
  <si>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</si>
  <si>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</si>
  <si>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</si>
  <si>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</si>
  <si>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</si>
  <si>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</si>
  <si>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</si>
  <si>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</si>
  <si>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</si>
  <si>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</si>
  <si>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</si>
  <si>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</si>
  <si>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</si>
  <si>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</si>
  <si>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</si>
  <si>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</si>
  <si>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</si>
  <si>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</si>
  <si>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</si>
  <si>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</si>
  <si>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</si>
  <si>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</si>
  <si>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</si>
  <si>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</si>
  <si>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</si>
  <si>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</si>
  <si>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</si>
  <si>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</si>
  <si>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Total</t>
  </si>
  <si>
    <t>Natural Gas</t>
  </si>
  <si>
    <t>RPP</t>
  </si>
  <si>
    <t>Coal, Coke and Coke Oven Gas</t>
  </si>
  <si>
    <t>Hydro</t>
  </si>
  <si>
    <t>Nuclear</t>
  </si>
  <si>
    <t>Other Renewables and Landfill Gas</t>
  </si>
  <si>
    <t>Electric Generation</t>
  </si>
  <si>
    <t>Less Electricity Secondary Demand</t>
  </si>
  <si>
    <t>Calculations - Non-Electricity Energy</t>
  </si>
  <si>
    <t>Subsidy total (CAD)</t>
  </si>
  <si>
    <t>After 2030</t>
  </si>
  <si>
    <t>Primary Energy by Fuel, 2020 (PJ)</t>
  </si>
  <si>
    <t>coal</t>
  </si>
  <si>
    <t>natural gas</t>
  </si>
  <si>
    <t>petroleum</t>
  </si>
  <si>
    <t>Subsidy Amount by Fuel (Million CAD)</t>
  </si>
  <si>
    <t>We assign subsidies that apply to more than one fuel in proportion to the</t>
  </si>
  <si>
    <t>quantity of that fuel used.</t>
  </si>
  <si>
    <t>Subsidy Amount per Unit Fuel ($/BTU)</t>
  </si>
  <si>
    <t>Select Report Version: Canada’s Energy Future 2016</t>
  </si>
  <si>
    <t>Select Case: Reference</t>
  </si>
  <si>
    <t>Electric and Steam Generation</t>
  </si>
  <si>
    <t>Less Electricity and Steam Secondary Demand</t>
  </si>
  <si>
    <t>Subsidy Totals, 2013 (Million USD)</t>
  </si>
  <si>
    <t>Primary Energy by Fuel, 2013 (PJ)</t>
  </si>
  <si>
    <t>Subsidy Amount by Fuel (Million USD)</t>
  </si>
  <si>
    <t>Subsidy Amount per Unit Fuel</t>
  </si>
  <si>
    <t>M 2013 USD / PJ</t>
  </si>
  <si>
    <t>2013 USD / PJ</t>
  </si>
  <si>
    <t>2015 USD / PJ</t>
  </si>
  <si>
    <t>2015 CAD / PJ</t>
  </si>
  <si>
    <t>2015 CAD / BTU</t>
  </si>
  <si>
    <t>In Canada, RE subsidy programs exist at the provincial level.</t>
  </si>
  <si>
    <t>No federal-level subsidies exist.</t>
  </si>
  <si>
    <t>An overview is available at the following link, while the official program pages or guides are available at the links in the table below.</t>
  </si>
  <si>
    <t>http://sunmetrix.com/solar-tax-credits-incentives-and-solar-rebates-in-canada/</t>
  </si>
  <si>
    <t>Province/Territory</t>
  </si>
  <si>
    <t>Program</t>
  </si>
  <si>
    <t>Applies to</t>
  </si>
  <si>
    <t>Payment</t>
  </si>
  <si>
    <t>Program End Date</t>
  </si>
  <si>
    <t>Details</t>
  </si>
  <si>
    <t>Alberta</t>
  </si>
  <si>
    <t>Alberta Residential &amp; Commercial Solar Program</t>
  </si>
  <si>
    <t>solar PV eqpt.</t>
  </si>
  <si>
    <t>$0.75/watt</t>
  </si>
  <si>
    <t>https://www.efficiencyalberta.ca/solar/</t>
  </si>
  <si>
    <t>On-Farm Solar Photovoltaics Program</t>
  </si>
  <si>
    <t>$0.75/watt or $0.56/watt</t>
  </si>
  <si>
    <t>http://www.growingforward.alberta.ca/Programs/index.htm?contentId=ON_FARM_SOLAR_PRG&amp;useSecondary=true</t>
  </si>
  <si>
    <t>Alberta Municipal Solar Program (AMSP)</t>
  </si>
  <si>
    <t>$0.55-0.90/watt</t>
  </si>
  <si>
    <t>http://www.mccac.ca/programs/AMSP</t>
  </si>
  <si>
    <t>British Columbia</t>
  </si>
  <si>
    <t>PST (Sales Tax) Exemption</t>
  </si>
  <si>
    <t>5% of equipment cost</t>
  </si>
  <si>
    <t>none found</t>
  </si>
  <si>
    <t>https://www2.gov.bc.ca/assets/gov/taxes/sales-taxes/publications/pst-203-energy-conservation-ice-fund-tax.pdf</t>
  </si>
  <si>
    <t>Manitoba</t>
  </si>
  <si>
    <t>Solar Energy Program</t>
  </si>
  <si>
    <t>$1/watt</t>
  </si>
  <si>
    <t>https://www.hydro.mb.ca/environment/solar.shtml</t>
  </si>
  <si>
    <t>New Brunswick</t>
  </si>
  <si>
    <t>Energy Smart Commercial Buildings Retrofit Program</t>
  </si>
  <si>
    <t>building rennovation, including distributed RE</t>
  </si>
  <si>
    <t>Up to $75k/bldg</t>
  </si>
  <si>
    <t>https://www.nbpower.com/media/688103/2-program-guide-vs-56-november-14-2016.pdf</t>
  </si>
  <si>
    <t>Newfoundland and Labrador</t>
  </si>
  <si>
    <t>none</t>
  </si>
  <si>
    <t>Northwest Territories</t>
  </si>
  <si>
    <t>Community Renewable Energy Program</t>
  </si>
  <si>
    <t>specific RE projects, selected by application</t>
  </si>
  <si>
    <t>Up to $25k/system, no wattage formula</t>
  </si>
  <si>
    <t>http://aea.nt.ca/files/download/16f4554461d5720</t>
  </si>
  <si>
    <t>Nova Scotia</t>
  </si>
  <si>
    <t>Nunavut</t>
  </si>
  <si>
    <t>Ontario</t>
  </si>
  <si>
    <t>FIT (Feed-in Tariff) Program</t>
  </si>
  <si>
    <t>&lt;500kW RE systems, selected by application</t>
  </si>
  <si>
    <t>$165-311/MWh, see http://www.ieso.ca/-/media/files/ieso/document-library/fit/2017-fit-price-schedule.pdf?la=en</t>
  </si>
  <si>
    <t>https://www.canada.ca/en/revenue-agency/services/tax/businesses/other-topics-businesses/ontario-s-fit-microfit-programs.html</t>
  </si>
  <si>
    <t>Micro-FIT Program</t>
  </si>
  <si>
    <t>&lt;10kW RE systems, selected by application</t>
  </si>
  <si>
    <t>http://www.ieso.ca/get-involved/microfit/news-overview</t>
  </si>
  <si>
    <t>Prince Edward Island</t>
  </si>
  <si>
    <t>Quebec</t>
  </si>
  <si>
    <t>Heating with Green Power</t>
  </si>
  <si>
    <t>home air and water heater replacement</t>
  </si>
  <si>
    <t>Up to $1275/home</t>
  </si>
  <si>
    <t>http://www4.gouv.qc.ca/en/Portail/citoyens/programme-service/Pages/Info.aspx?sqctype=sujet&amp;sqcid=2934</t>
  </si>
  <si>
    <t>RenoVert Tax Credit</t>
  </si>
  <si>
    <t>building rennovation, including solar panels</t>
  </si>
  <si>
    <t>Up to $10k/bldg</t>
  </si>
  <si>
    <t>https://www.revenuquebec.ca/en/citizens/tax-credits/renovert-tax-credit/</t>
  </si>
  <si>
    <t>Saskatchewan</t>
  </si>
  <si>
    <t>Solar or Wind-powered Water Pump Grant for Farms</t>
  </si>
  <si>
    <t>solar or wind-powered water pumps</t>
  </si>
  <si>
    <t>Up to $500</t>
  </si>
  <si>
    <t>http://www.saskpower.com/efficiency-programs-and-tips/business-programs-and-offers/solar-or-wind-powered-water-pump-grant/</t>
  </si>
  <si>
    <t>Small Power Producers Program</t>
  </si>
  <si>
    <t>&lt;100kW</t>
  </si>
  <si>
    <t>10.82¢/kWh</t>
  </si>
  <si>
    <t>closed, limit reached</t>
  </si>
  <si>
    <t>http://www.saskpower.com/efficiency-programs-and-tips/generate-your-own-power/self-generation-programs/small-power-producers-program/</t>
  </si>
  <si>
    <t>Net Metering Rebate</t>
  </si>
  <si>
    <t>RE and flare gas projects</t>
  </si>
  <si>
    <t>Up to $20k</t>
  </si>
  <si>
    <t>http://www.saskpower.com/efficiency-programs-and-tips/generate-your-own-power/self-generation-programs/net-metering-program/</t>
  </si>
  <si>
    <t>Yukon</t>
  </si>
  <si>
    <t>Micro-Generation Program</t>
  </si>
  <si>
    <t>RE systems &lt;5kw, or up to 50kW w/ preapproval</t>
  </si>
  <si>
    <t>$0.21 or 0.30/kWh depending on displaced energy type</t>
  </si>
  <si>
    <t>http://www.energy.gov.yk.ca/microgeneration.html</t>
  </si>
  <si>
    <t>Rural Electrification and Telecommunications Program</t>
  </si>
  <si>
    <t>elec distribution infrastructure in rural areas</t>
  </si>
  <si>
    <t>Up to 25% of land and improvement costs</t>
  </si>
  <si>
    <t>http://www.community.gov.yk.ca/property/retp_guide.html</t>
  </si>
  <si>
    <t>Good Energy Residential Incentives Program</t>
  </si>
  <si>
    <t>small-scale residential RE systems</t>
  </si>
  <si>
    <t>$800/kW, up to $5000</t>
  </si>
  <si>
    <t>http://goodenergyyukon.ca/energy-systems</t>
  </si>
  <si>
    <t>Select Appendices: Electricity Generation</t>
  </si>
  <si>
    <t>Select Type: Primary Fuel</t>
  </si>
  <si>
    <t>Canada</t>
  </si>
  <si>
    <t>Hydro / Wave / Tidal</t>
  </si>
  <si>
    <t>Wind</t>
  </si>
  <si>
    <t>Biomass / Geothermal</t>
  </si>
  <si>
    <t>Solar</t>
  </si>
  <si>
    <t>Uranium</t>
  </si>
  <si>
    <t>Coal &amp; Coke</t>
  </si>
  <si>
    <t>Assumptions</t>
  </si>
  <si>
    <t>Programs that pay a rate per watt for RE power are assumed to be paying for Solar PV.</t>
  </si>
  <si>
    <t>Solar PV capacity factor</t>
  </si>
  <si>
    <t>(see bldgs/DSCF for source and details)</t>
  </si>
  <si>
    <t>Payments for capital are spread over</t>
  </si>
  <si>
    <t>years of generation</t>
  </si>
  <si>
    <t>Programs that pay for something other than RE systems (like building retrofits, even if they could include RE systems) are disregarded.</t>
  </si>
  <si>
    <t>Programs with end dates in 2020 or earlier are disregarded.</t>
  </si>
  <si>
    <t>Capital Costs of Solar PV - 2020 (USD 2020$/MW)</t>
  </si>
  <si>
    <t>from US EPA BAU Subsidies sheet</t>
  </si>
  <si>
    <t>Incentive levels are weighted by electricity generation in each province/territory.</t>
  </si>
  <si>
    <t>Total Solar Generation by Province/Territory, 2020 (GWh)</t>
  </si>
  <si>
    <t>BRITISH COLUMBIA</t>
  </si>
  <si>
    <t>ALBERTA</t>
  </si>
  <si>
    <t>SASKATCHEWAN</t>
  </si>
  <si>
    <t>MANITOBA</t>
  </si>
  <si>
    <t>ONTARIO</t>
  </si>
  <si>
    <t>QUEBEC</t>
  </si>
  <si>
    <t>NEW BRUNSWICK</t>
  </si>
  <si>
    <t>NOVA SCOTIA</t>
  </si>
  <si>
    <t>NEWFOUNDLAND AND LABRADOR</t>
  </si>
  <si>
    <t>PRINCE EDWARD ISLAND</t>
  </si>
  <si>
    <t>YUKON</t>
  </si>
  <si>
    <t>NORTHWEST TERRITORIES</t>
  </si>
  <si>
    <t>NUNAVUT</t>
  </si>
  <si>
    <t>Payment Description</t>
  </si>
  <si>
    <t>$/MW</t>
  </si>
  <si>
    <t>Hours</t>
  </si>
  <si>
    <t>$/MWh</t>
  </si>
  <si>
    <t>5% of eqpt cost</t>
  </si>
  <si>
    <t>none qualifies</t>
  </si>
  <si>
    <t>$0.21 or 0.30/kWh</t>
  </si>
  <si>
    <t>50% of total project costs</t>
  </si>
  <si>
    <t>Generation-weighted average</t>
  </si>
  <si>
    <t>We don't trust this value due to the high variance in payment rates by province, as well as</t>
  </si>
  <si>
    <t>the fact that many of these provincial programs are aimed at small, distributed systems, while</t>
  </si>
  <si>
    <t>this variable is looking for subsidy rates that apply to everyone, but particularly the big utilities</t>
  </si>
  <si>
    <t>that produce the most power.</t>
  </si>
  <si>
    <t>Accordingly, we choose not to use these data and use a subsidy rate of zero.</t>
  </si>
  <si>
    <t>We leave these data in place so it is easy to revisit this decision later.</t>
  </si>
  <si>
    <t>Electricity generation in Canada 2020</t>
  </si>
  <si>
    <t xml:space="preserve">grouped as 1 category, divided value into 2 </t>
  </si>
  <si>
    <t xml:space="preserve">source </t>
  </si>
  <si>
    <t xml:space="preserve">Type </t>
  </si>
  <si>
    <t xml:space="preserve">Amount (TWH) </t>
  </si>
  <si>
    <t>Sum of subsidies for 2020 (USD)</t>
  </si>
  <si>
    <t>$/TWH</t>
  </si>
  <si>
    <t>electricity</t>
  </si>
  <si>
    <t>hard coal</t>
  </si>
  <si>
    <t>nuclear</t>
  </si>
  <si>
    <t>hydro</t>
  </si>
  <si>
    <t>wind</t>
  </si>
  <si>
    <t>solar</t>
  </si>
  <si>
    <t>biomass</t>
  </si>
  <si>
    <t>petroleum gasoline</t>
  </si>
  <si>
    <t>petroleum diesel</t>
  </si>
  <si>
    <t>biofuel gasoline</t>
  </si>
  <si>
    <t>biofuel diesel</t>
  </si>
  <si>
    <t xml:space="preserve">jet fuel </t>
  </si>
  <si>
    <t>heat</t>
  </si>
  <si>
    <t>geothermal</t>
  </si>
  <si>
    <t>lignite</t>
  </si>
  <si>
    <t>crude oil</t>
  </si>
  <si>
    <t>heavy fuel oil</t>
  </si>
  <si>
    <t>LPG propane or butane</t>
  </si>
  <si>
    <t>municipal solid waste</t>
  </si>
  <si>
    <t>Data from energy policy tracker</t>
  </si>
  <si>
    <t>link</t>
  </si>
  <si>
    <t>hydrogen</t>
  </si>
  <si>
    <t>Category</t>
  </si>
  <si>
    <t>Policy name</t>
  </si>
  <si>
    <t>Sector</t>
  </si>
  <si>
    <t>Energy Type</t>
  </si>
  <si>
    <t>Mechanism</t>
  </si>
  <si>
    <t>Value committed, millions of USD</t>
  </si>
  <si>
    <t>Date of announcement</t>
  </si>
  <si>
    <t>Clean conditional</t>
  </si>
  <si>
    <t>BC Hydro’s Electrification Plan</t>
  </si>
  <si>
    <t>Power generation</t>
  </si>
  <si>
    <t>Budget or off-budget transfer ...</t>
  </si>
  <si>
    <t>28/09/2021</t>
  </si>
  <si>
    <t>Fossil unconditional</t>
  </si>
  <si>
    <t>Loan guarantee for a First Nations minority stake investment in a natural gas-fired generating facil...</t>
  </si>
  <si>
    <t>Gas and gas products</t>
  </si>
  <si>
    <t>Nain Remote Micro Grid FEED Study</t>
  </si>
  <si>
    <t>Multiple energy types</t>
  </si>
  <si>
    <t>19/05/2021</t>
  </si>
  <si>
    <t>Clean unconditional</t>
  </si>
  <si>
    <t>Federal budget 2021: Powering farms with clean energy</t>
  </si>
  <si>
    <t>Multiple renewable</t>
  </si>
  <si>
    <t>19/04/2021</t>
  </si>
  <si>
    <t>Federal budget 2021: Clean electricity in remote and Indigenous communities</t>
  </si>
  <si>
    <t>Federal budget 2021: Federal procurement of clean electricity</t>
  </si>
  <si>
    <t>Fossil conditional</t>
  </si>
  <si>
    <t>Investment in power grid renewal and distribution capacity</t>
  </si>
  <si>
    <t>Multiple fossil</t>
  </si>
  <si>
    <t>13/04/2021</t>
  </si>
  <si>
    <t>Amendments to Electricity Act – Shared Solar Program</t>
  </si>
  <si>
    <t>Unquantified</t>
  </si>
  <si>
    <t>Clarke Lake Geothermal Development Project</t>
  </si>
  <si>
    <t>Other renewable</t>
  </si>
  <si>
    <t>Geothermal Exploration in the Yukon</t>
  </si>
  <si>
    <t>Yukon Budget 2020-21: Renewable energy</t>
  </si>
  <si>
    <t>Updated Public Utilities Act Regulation for renewable energy</t>
  </si>
  <si>
    <t>New or extended regulation (IT...</t>
  </si>
  <si>
    <t>Agreement for Apuiat windfarm (200 MW)</t>
  </si>
  <si>
    <t>Government procurement (DT)</t>
  </si>
  <si>
    <t>Indigenous Off-Diesel Initiative – Phase 2 funding</t>
  </si>
  <si>
    <t>22/12/2020</t>
  </si>
  <si>
    <t>Measures to sustain Lower Churchill Projects (hydroelectricity)</t>
  </si>
  <si>
    <t>Other hybrid support measures</t>
  </si>
  <si>
    <t>17/12/2020</t>
  </si>
  <si>
    <t>A Healthy Environment and a Healthy Economy (2020 Climate Plan): Clean power projects for rural, rem...</t>
  </si>
  <si>
    <t>A Healthy Environment and a Healthy Economy (2020 Climate Plan): Smart renewable energy and grid mod...</t>
  </si>
  <si>
    <t>Other energy</t>
  </si>
  <si>
    <t>Strategic interties/electricity transmission infrastructure assessment investment (Fall Economic Sta...</t>
  </si>
  <si>
    <t>30/11/2020</t>
  </si>
  <si>
    <t>Support for small modular nuclear reactors via Terrestrial Energy</t>
  </si>
  <si>
    <t>15/10/2020</t>
  </si>
  <si>
    <t>Energy efficiency measures through the Energy Affordability Program for households</t>
  </si>
  <si>
    <t>Uncategorized</t>
  </si>
  <si>
    <t>13/10/2020</t>
  </si>
  <si>
    <t>Clean power and electricity investment through Canada Infrastructure Bank</t>
  </si>
  <si>
    <t>Support for clean energy projects in Northwest Territories</t>
  </si>
  <si>
    <t>22/09/2020</t>
  </si>
  <si>
    <t>Support for clean energy projects in Yukon</t>
  </si>
  <si>
    <t>Funding for Canada’s Tidal Power Industry</t>
  </si>
  <si>
    <t>Smart Grid technology investment in London Hydro</t>
  </si>
  <si>
    <t>23/07/2020</t>
  </si>
  <si>
    <t>Purchase of natural gas power plants</t>
  </si>
  <si>
    <t>Equity injection or nationalis...</t>
  </si>
  <si>
    <t>29/04/2020</t>
  </si>
  <si>
    <t>Relief on electricity bills by BC Hydro</t>
  </si>
  <si>
    <t>Regulatory rollback or non-gov...</t>
  </si>
  <si>
    <t>Scope</t>
  </si>
  <si>
    <t>Fuels</t>
  </si>
  <si>
    <t>Annual Spread (# of years)</t>
  </si>
  <si>
    <t>Start Year</t>
  </si>
  <si>
    <t>End Year</t>
  </si>
  <si>
    <t>Notes (red = not relevant to this file)</t>
  </si>
  <si>
    <t>Country</t>
  </si>
  <si>
    <t>Policy Category</t>
  </si>
  <si>
    <t>Name of policy</t>
  </si>
  <si>
    <t>Stage</t>
  </si>
  <si>
    <t>Legislation and Endorsing Agency</t>
  </si>
  <si>
    <t>Objectives</t>
  </si>
  <si>
    <t>Date of entry info force</t>
  </si>
  <si>
    <t>Currency</t>
  </si>
  <si>
    <t>Value committed</t>
  </si>
  <si>
    <t>Value committed, USD</t>
  </si>
  <si>
    <t>Value disbursed</t>
  </si>
  <si>
    <t>Value disbursed, USD</t>
  </si>
  <si>
    <t>Background</t>
  </si>
  <si>
    <t>Links to sources</t>
  </si>
  <si>
    <t>Archived Links to sources</t>
  </si>
  <si>
    <t>fossil conditional</t>
  </si>
  <si>
    <t>Building Ontario‚Äôs Highways Program</t>
  </si>
  <si>
    <t>Mobility</t>
  </si>
  <si>
    <t>oil and oil products</t>
  </si>
  <si>
    <t>energy use (all energy types, consumption in transport, household use, buildings etc)</t>
  </si>
  <si>
    <t>budget or off-budget transfer (DT)</t>
  </si>
  <si>
    <t>Government of Ontario</t>
  </si>
  <si>
    <t>improve transportation access and encourage economic growth</t>
  </si>
  <si>
    <t>CAD</t>
  </si>
  <si>
    <t>To build, expand and repair Ontario‚Äôs highways and bridges, create jobs and spur economic growth, the government has invested approximately $2.6 billion in funding for 2021‚Äì22 in support of the Ontario Highways Program, which features more than 580 construction, expansion and rehabilitation projects. As part of the Highways Program, the government has committed funding to build and advance the Bradford Bypass and Highway 413.</t>
  </si>
  <si>
    <t>2021 Ontario Economic Outlook and Fiscal Review: Build Ontario | Backgrounder: Building Ontario , https://budget.ontario.ca/2021/fallstatement/build.html</t>
  </si>
  <si>
    <t>clean unconditional</t>
  </si>
  <si>
    <t>Qu√©bec joins the Beyond Oil and Gas Coalition</t>
  </si>
  <si>
    <t>Resources</t>
  </si>
  <si>
    <t>oil and gas</t>
  </si>
  <si>
    <t>exploration or production or processing or storage or transportation</t>
  </si>
  <si>
    <t>new or extended regulation (IT)</t>
  </si>
  <si>
    <t>Government of Qu√©bec</t>
  </si>
  <si>
    <t xml:space="preserve">reduce fossil fuel production </t>
  </si>
  <si>
    <t>This initiative by Denmark and Costa Rica is initially aimed at mobilizing national and subnational governments that have adopted concrete measures to restrict oil and gas production on their territory.</t>
  </si>
  <si>
    <t>United Nations Climate Conference in Glasgow - Qu√©bec joins the Beyond Oil and Gas Coalition: Government of Qu√©bec (quebec.ca) , https://www.quebec.ca/nouvelles/actualites/details/conference-des-nations-unies-sur-le-climat-de-glasgow-le-quebec-rallie-la-beyond-oil-and-gas-coalition-35883</t>
  </si>
  <si>
    <t>clean conditional</t>
  </si>
  <si>
    <t>Legislation to Address Climate Crisis, Guide Province to Cleaner, Sustainable Future</t>
  </si>
  <si>
    <t>electricity storage or transmission or distribution</t>
  </si>
  <si>
    <t>Government of Nova Scotia</t>
  </si>
  <si>
    <t>reduce emissions, increase renewable energy</t>
  </si>
  <si>
    <t>21/10/2021</t>
  </si>
  <si>
    <t>Phase out coal-fired electricity generation in the Province by the year 2030</t>
  </si>
  <si>
    <t>Nova Scotia Legislature - Bill 57 - Environmental Goals and Climate Change Reduction Act - RA (nslegislature.ca) , https://nslegislature.ca/legc/bills/64th_1st/3rd_read/b057.htm</t>
  </si>
  <si>
    <t>multiple renewable</t>
  </si>
  <si>
    <t>several energy stages</t>
  </si>
  <si>
    <t>Nova Scotia is committing to reduce emissions to at least 53 per cent below the levels that were emitted in 2005 by 2030 and achieve net zero by 2050. Goal of 80 per cent of Nova Scotia‚Äôs energy to be supplied by renewable energy by 2030</t>
  </si>
  <si>
    <t>fossil unconditional</t>
  </si>
  <si>
    <t>Amendments to Oil and Gas Activities Act</t>
  </si>
  <si>
    <t>Government of British Columbia</t>
  </si>
  <si>
    <t>support timely restoration of well sites by allowing firms to address technical and issues and minimize environmental disturbance</t>
  </si>
  <si>
    <t>21/11/2021</t>
  </si>
  <si>
    <t>Amendments to the OGAA will provide the Oil and Gas Commission with enabling powers to exempt oil and gas development permit holders from requirements of the Dormancy and Shutdown Regulation (DSR) in circumstances that merit it and to impose conditions on the exemptions.</t>
  </si>
  <si>
    <t>Introduction of miscellaneous bill | BC Gov News (Nov 7 2021) , https://news.gov.bc.ca/releases/2021AG0150-001921</t>
  </si>
  <si>
    <t>Provincial (ON)</t>
  </si>
  <si>
    <t>gas and gas products</t>
  </si>
  <si>
    <t>electricity generation</t>
  </si>
  <si>
    <t>equity injection or nationalisation (Hybrid)</t>
  </si>
  <si>
    <t>Ontario Power Generation</t>
  </si>
  <si>
    <t xml:space="preserve">Securing power plant ownership under the provincial crown corporation in order to provide electricity </t>
  </si>
  <si>
    <t>Ontario Power Generation (a for-profit business entity owned by the province of Ontario) finalized a deal to purchase three natural gas assets from TC Energy. OPG generates around 50% of the electricity used in Ontario. These natural gas power plants were already in use by the province and represent a transfer of assets. This purchase deal was developed pre-COVID-19 but is included here. The current Ontario government previously canceled hundreds of renewable energy projects and declined an offer from neighboring Quebec to purchase hydropower.</t>
  </si>
  <si>
    <t>https://www.opg.com/media_release/opg-subsidiary-atura-power-finalizes-acquisition-of-natural-gas-assets/ Accessed 11 May 2020</t>
  </si>
  <si>
    <t>Investment in Dehk‚Äô√® Frank Channel Bridge replacement</t>
  </si>
  <si>
    <t>Government of Canada</t>
  </si>
  <si>
    <t>support northern transportation infrastructure such as ports, airports, all-season roads, and bridges.</t>
  </si>
  <si>
    <t>13/08/2021</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</si>
  <si>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 "</t>
  </si>
  <si>
    <t>Government of Canada and Northwest Territories invest $50 million in Dehk‚Äô√® Frank Channel Bridge replacement | Government of Northwest Territories (Oct 20,2021) , https://www.gov.nt.ca/en/newsroom/government-canada-and-northwest-territories-invest-50-million-dehke-frank-channel-bridge</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</si>
  <si>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t>
  </si>
  <si>
    <t>Refusal of GNL Quebec liquefied natural gas project</t>
  </si>
  <si>
    <t>Government of Quebec</t>
  </si>
  <si>
    <t>Ensure industrial activity is in line with environmental objectives</t>
  </si>
  <si>
    <t>21/07/2021</t>
  </si>
  <si>
    <t>The Government of Quebec opted to not authorize the construction of a CAD 14 billion liquefied natural gas plant in Saguenay, led by GNL Qu√©bec. The decision was made primarily on environmental grounds, after widespread opposition to the project and the results of consultations through the province's public consultation process (Bureau d'audiences publiques sur l'environnement).</t>
  </si>
  <si>
    <t xml:space="preserve">https://www.quebec.ca/nouvelles/actualites/details/le-gouvernement-du-quebec-nautorise-pas-le-projet-de-liquefaction-de-gaz-naturel-energie-saguenay-33572
, https://www.cbc.ca/news/canada/montreal/lng-quebec-saguenay-1.6111248 Accessed 5 August 2021. </t>
  </si>
  <si>
    <t>Expansion of Innovative and Renewable Energy Initiative</t>
  </si>
  <si>
    <t>Government of Yukon</t>
  </si>
  <si>
    <t>Support clean electricity</t>
  </si>
  <si>
    <t>27/07/2021</t>
  </si>
  <si>
    <t>The Government of Yukon is extending and expanding the Innovative and Renewable Energy Initiative with changes that will make the fund more accessible and reduce the territory‚Äôs reliance on fossil fuels. The initiative will also receive $1 million in additional annual funding, bringing the total to $2.5 million per year, to support more small-scale First Nation and community-led renewable electricity and heat generation projects.</t>
  </si>
  <si>
    <t>https://yukon.ca/en/news/innovative-and-renewable-energy-initiative-expanded-support-more-community-projects Accessed 5 August 2021</t>
  </si>
  <si>
    <t>Investment in Alaska Highway and other northern highways</t>
  </si>
  <si>
    <t>Building modern, reliable public infrastructure and employing local jobs</t>
  </si>
  <si>
    <t>29/07/2021</t>
  </si>
  <si>
    <t>Transport Canada announced strategic upgrades valued at CAD 135 million that will be made to the Klondike Highway corridor between Whitehorse and Dawson City, including reconstructing 110 km of the Highway between Carmacks and Stewart Crossing; and adding innovative technologies for the smart use of transportation networks, including an Intelligent Transportation System. Public Services and Procurement Canada announced contract worth CAD 39.6 million to Peter‚Äôs Bros. Construction Ltd., Penticton, British Columbia, to upgrade the road surface at two different areas of the Alaska Highway around Fort Nelson, British Columbia.</t>
  </si>
  <si>
    <t>https://www.canada.ca/en/public-services-procurement/news/2021/07/government-of-canada-awards-contract-to-improve-the-alaska-highway.html
, https://www.canada.ca/en/transport-canada/news/2021/07/government-of-canada-invests-in-transportation-infrastructure-in-whitehorse.html Accessed 2 August 2021</t>
  </si>
  <si>
    <t>Airport recovery and support funding for Winnipeg, Edmonton, Vancouver and various regional airports</t>
  </si>
  <si>
    <t>Support airport COVID-19 recovery and support regional economic activity</t>
  </si>
  <si>
    <t>31/07/2021</t>
  </si>
  <si>
    <t>The Government of Canada is investing funds into airports in Winnipeg, Windsor, Edmonton, St John, Vancouver, Sudbury, Sault St Marie, and various regional airports in British Columbia and Manitoba. Funding is disbursed through the Airport Critical Infrastructure Program, the Airport Relief Fund, the Regional Airport Transportation Initiative, and the Remote Air Services Program (via various agencies). Funding is generally intended to support air transportation recovery from COVID-19, including to maintain jobs.</t>
  </si>
  <si>
    <t>https://www.canada.ca/en/transport-canada/news/2021/07/government-of-canada-supporting-the-winnipeg-richardson-international-airport-with-new-funding.html
, https://www.canada.ca/en/economic-development-southern-ontario/news/2021/07/windsor-international-airport-to-receive-more-than-1-million-from-feddev-ontario-to-maintain-regional-connectivity-and-jobs.html
, https://www.canada.ca/en/transport-canada/news/2021/07/government-of-canada-supporting-the-edmonton-international-airport-with-new-funding.html
, https://www.canada.ca/en/western-economic-diversification/news/2021/07/eleven-regional-airports-in-british-columbia-receiving-up-to-117-million-to-maintain-regional-connectivity-and-jobs.html
, https://www.canada.ca/en/atlantic-canada-opportunities/news/2021/07/saint-john-airport-is-receiving-3800000-from-federal-government-to-maintain-regional-connectivity-and-jobs.html
, https://www.newswire.ca/news-releases/government-of-canada-supporting-the-vancouver-international-airport-with-new-funding-862561817.html
, https://www.canada.ca/en/fednor/news/2021/07/sudbury-airport-development-corporation-is-receiving-35m-from-federal-government-to-maintain-regional-connectivity-and-jobs.html
, https://www.canada.ca/en/fednor/news/2021/07/sault-ste-marie-airport-corporation-is-receiving-more-than-215m-from-federal-government-to-maintain-regional-connectivity-and-jobs.html
, https://www.canada.ca/en/transport-canada/news/2021/07/government-of-canada-providing-additional-funding-to-support-essential-air-services-for-remote-communities-in-manitoba.html Accessed 2 August 2021</t>
  </si>
  <si>
    <t>Federal EV investments during #EVWeekInCanada</t>
  </si>
  <si>
    <t>multiple energy types</t>
  </si>
  <si>
    <t>Support EV adoption</t>
  </si>
  <si>
    <t>During Electric Vehicle Week in Canada (#EVWeekinCanada), various investments were made in EV infrastructure.</t>
  </si>
  <si>
    <t>https://www.canada.ca/en/natural-resources-canada/news/2021/07/evweekincanada-highlights-zero-emission-vehicle-investments-across-the-country.html Accessed 2 August 2021</t>
  </si>
  <si>
    <t xml:space="preserve">Nova Scotia </t>
  </si>
  <si>
    <t>Electrification of Halifax Public Transit &amp;#8211; Nova Scotia Portion</t>
  </si>
  <si>
    <t>Lower emissions</t>
  </si>
  <si>
    <t>15/07/2021</t>
  </si>
  <si>
    <t>The Government of Canada and the Government of Nova Scotia are investing a combined $112 million into the expansion of the Ragged Lake Transit Centre and the electrification of the Halifax transit fleet. The Government of Canada is committing $44.8 million through the Public Transit Infrastructure Stream and the Government of Nova Scotia is committing $37.3 million. The remaining funds will be provided by the Halifax Regional Municipality. The project includes a deep energy retrofit, the addition of renewable solar energy and storage capacity, and purchases of 60 electric buses.</t>
  </si>
  <si>
    <t xml:space="preserve">https://www.canada.ca/en/office-infrastructure/news/2021/07/investing-in-greener-public-transit-infrastructure-in-halifax.html
, https://novascotia.ca/news/release/?id=20210715001 Accessed 2 August 2021. </t>
  </si>
  <si>
    <t>Transmission Line Construction in the Northwest Territories</t>
  </si>
  <si>
    <t>Multiple sectors</t>
  </si>
  <si>
    <t>Increase energy reliability</t>
  </si>
  <si>
    <t>16/07/2021</t>
  </si>
  <si>
    <t>The Government of Canada and the Government of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litres and reduce greenhouse gas emissions by 2.75 kilotonnes.</t>
  </si>
  <si>
    <t xml:space="preserve">https://www.canada.ca/en/office-infrastructure/news/2021/07/canada-and-the-northwest-territories-invest-in-more-reliable-and-efficient-energy-generation-in-fort-providence-and-kakisa.html Accessed 2 August 2021. </t>
  </si>
  <si>
    <t>The Government of Canada and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liters and reduce greenhouse gas emissions by 2.75 kilotons.</t>
  </si>
  <si>
    <t xml:space="preserve">New Brunswick </t>
  </si>
  <si>
    <t>New Brunswick Electric Vehicle Incentive Program</t>
  </si>
  <si>
    <t>Government of New Brunswick</t>
  </si>
  <si>
    <t xml:space="preserve">The Government of New Brunswick has launched its Electric Vehicle Incentive Program which provides rebates to people who purchase or lease new qualifying electric vehicles or plug-in hybrid vehicles. Consumers can receive rebates from $1,000 up to $5,000 from the province's $1.95 million in funding through its provincial Climate Change Fund. </t>
  </si>
  <si>
    <t>https://www2.gnb.ca/content/gnb/en/news/news_release.2021.07.0522.html Accessed 2 August 2021</t>
  </si>
  <si>
    <t>Public Transit Investment in Surrey-Langley SkyTrain</t>
  </si>
  <si>
    <t>Accessible and sustainable mobility</t>
  </si>
  <si>
    <t>The Government of Canada is contributing 40 per cent of eligible costs toward the Surrey Langley SkyTrain extension project, up to $1.3 billion. The Government of British Columbia and other partners are funding the remaining project costs of up to $2.54 billion. The specific provincial portion is as of yet unclear.</t>
  </si>
  <si>
    <t>",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2 August 2021.</t>
  </si>
  <si>
    <t xml:space="preserve">Mobility </t>
  </si>
  <si>
    <t>The Government of Canada is contributing 40 per cent of eligible costs toward the Surrey Langley SkyTrain extension project, up to $1.3 billion. The Government of British Columbia and other partners are funding the remaining project costs of up to $2.54 billion.</t>
  </si>
  <si>
    <t xml:space="preserve">",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August 2 2021. </t>
  </si>
  <si>
    <t>Renewables</t>
  </si>
  <si>
    <t>Canada Infrastructure Bank</t>
  </si>
  <si>
    <t>Create good jobs, build stronger communities, and make economy more sustainable and resilient</t>
  </si>
  <si>
    <t>Through the Canada Infrastructure Bank (CIB) Growth Plan, CAD 2.5 billion has been allocated for clean power to support renewable generation and storage and to transmit clean electricity between provinces, territories, and regions, including to northern and Indigenous communities. This spending, as with other CIB packages, has an emphasis on public-private partnerships. It is estimated CIB Growth Plan Measures together will create approximately 60,000 jobs across the country.</t>
  </si>
  <si>
    <t>https://cib-bic.ca/en/the-canada-infrastructure-bank-announces-a-plan-to-create-jobs-and-grow-the-economy/ Accessed 5 October 2020</t>
  </si>
  <si>
    <t>Additional funding &amp;#8211; Electric Arc Furnace Steelmaking Investment into Algoma Steel</t>
  </si>
  <si>
    <t>Other sector</t>
  </si>
  <si>
    <t>The Government of Canada has committed $420 million to support Algoma Steel's transition to electric arc furnace (EAF) steelmaking. The transformation would reduce the company's GHG emissions by 70% and position it to be the "greenest" producer of flat-rolled steel in Canada. The Canada Infrastructure Bank committed $220 million, with the remaining $200 million coming from the Innovation Science and Economic Development Canada‚Äôs Strategic Innovation Fund (SIF) through the Net Zero Accelerator.</t>
  </si>
  <si>
    <t>https://www.newswire.ca/news-releases/government-of-canada-endorses-algoma-steel-s-transformation-plan-for-green-steel-875175226.html Accessed August 10 2021</t>
  </si>
  <si>
    <t>A Healthy Environment and a Healthy Economy (2020 Climate Plan): Smart renewable energy and grid modernization projects</t>
  </si>
  <si>
    <t>Enable clean power and clean grids</t>
  </si>
  <si>
    <t>Under the new federal climate plan, ""A Healthy Environment and a Health Economy"", Canada has pledged to invest an additional $964 million over four years to advance smart renewable energy and grid modernization projects to enable the clean grid of the future. This includes support to increase renewable power generation capacity such as wind and solar, and the deployment of grid modernization technologies such as power storage. This work will support the electrification of the broader economy and help jurisdictions minimize the role of fossil fuel-fired electricity generation in their electricity systems.</t>
  </si>
  <si>
    <t>https://www.canada.ca/content/dam/eccc/documents/pdf/climate-change/climate-plan/healthy_environment_healthy_economy_plan.pdf</t>
  </si>
  <si>
    <t>Phase 2 of Natural Gas Expansion Program &amp;#8211; Ontario</t>
  </si>
  <si>
    <t>Lower energy costs and increase accessibility for Ontarians</t>
  </si>
  <si>
    <t>The Ontario Government is beginning phase 2 of their Natural Gas Expansion Program. They are investing $234 million to expand natural gas accessibility and lower energy costs for rural, northern, and Indigenous communities, primarily through increased distribution.</t>
  </si>
  <si>
    <t xml:space="preserve">https://news.ontario.ca/en/backgrounder/1000297/ontario-brings-natural-gas-to-43-communities-with-phase-2-of-the-natural-gas-expansion-program
, https://news.ontario.ca/en/release/1000298/ontario-expands-access-to-natural-gas-in-rural-northern-and-indigenous-communities Accessed 22 June 2021. </t>
  </si>
  <si>
    <t>Alberta Net-Zero Hydrogen Production Investment</t>
  </si>
  <si>
    <t>Lower emissions and provide opportunities for economic development</t>
  </si>
  <si>
    <t xml:space="preserve">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 The Alberta government is contributing $15 million through its  Technology Innovation and Emissions Reduction (TIER) system. </t>
  </si>
  <si>
    <t xml:space="preserve">https://www.canada.ca/en/innovation-science-economic-development/news/2021/06/government-collaboration-supporting-the-future-of-albertas-clean-hydrogen-sector.html Accessed 12 June 2021. </t>
  </si>
  <si>
    <t>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t>
  </si>
  <si>
    <t xml:space="preserve">https://www.canada.ca/en/innovation-science-economic-development/news/2021/06/government-collaboration-supporting-the-future-of-albertas-clean-hydrogen-sector.html Accessed 17 June 2021. </t>
  </si>
  <si>
    <t>other energy</t>
  </si>
  <si>
    <t>Alberta Zero-Emissions Truck Electrification Collaboration (AZETEC) Project &amp;#8211; Emissions Reduction Alberta</t>
  </si>
  <si>
    <t>Emissions Reduction Alberta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</si>
  <si>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https://eralberta.ca/projects/details/alberta-zero-emissions-truck-electrification-collaboration-azetec/ Accessed 8 June 2021. </t>
  </si>
  <si>
    <t>Alberta Zero-Emissions Truck Electrification Collaboration (AZETEC) Project</t>
  </si>
  <si>
    <t>The Government of Canada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</si>
  <si>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https://www.canada.ca/en/natural-resources-canada/news/2021/06/canada-invests-in-hydrogen-fueling-station-for-commercial-fleet-in-alberta.html Accessed 11 June 2021. </t>
  </si>
  <si>
    <t>High-Efficiency Woodstoves in Nunatsiavut‚Äôs Diesel Communities</t>
  </si>
  <si>
    <t>Buildings</t>
  </si>
  <si>
    <t>biofuels and waste</t>
  </si>
  <si>
    <t>Reduce diesel consumption</t>
  </si>
  <si>
    <t>The Clean Energy for Rural and Remote Communities (CERRC) program invested funding into the installation of 240 high-efficiency woodstoves into Nunatsiavut communities. The purpose is to increase energy efficiency, reduce diesel use, and lower greenhouse gas emissions.</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</si>
  <si>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</si>
  <si>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Provincial (NL)</t>
  </si>
  <si>
    <t xml:space="preserve">10 years? </t>
  </si>
  <si>
    <t>?</t>
  </si>
  <si>
    <t>Unsure on timeline of funding</t>
  </si>
  <si>
    <t>Newfoundland</t>
  </si>
  <si>
    <t>Waived Royalties for Terra Nova Oilfield</t>
  </si>
  <si>
    <t>Government of Newfoundland and Labrador</t>
  </si>
  <si>
    <t>Support the province's oil and gas sector</t>
  </si>
  <si>
    <t>16/06/2021</t>
  </si>
  <si>
    <t>The Newfoundland and Labrador Government has changed the Terra Nova project's royalty structure valued at over $300 million. The government stated it was doing this in support of the workers and economic gain associated with the project within the province's oil and gas sector.</t>
  </si>
  <si>
    <t>https://www.gov.nl.ca/releases/2021/exec/0616n06/ Accessed 22 June 2021.</t>
  </si>
  <si>
    <t>Nunatsiavut Firewood Supply Chain Network</t>
  </si>
  <si>
    <t>19/06/2021</t>
  </si>
  <si>
    <t xml:space="preserve">The Clean Energy for Rural and Remote Communities (CERRC) program invested funding into the Nunatsiavut Firewood Supply Chain Network. This pilot project provides affordable firewood to the residents of Nunatsiavut as an alternative fuel source to diesel. </t>
  </si>
  <si>
    <t xml:space="preserve">https://www.canada.ca/en/natural-resources-canada/news/2021/05/canada-invests-in-indigenous-clean-energy-projects-in-northern-newfoundland-and-labrador.html Accessed 11 June 2021. </t>
  </si>
  <si>
    <t>Green Municipal Fund Investment in Energy Efficiency in PEI and Nova Scotia</t>
  </si>
  <si>
    <t>energy efficiency</t>
  </si>
  <si>
    <t>Lower emissions and increase resiliency of communities</t>
  </si>
  <si>
    <t xml:space="preserve">The Government of Canada is investing $14.1 million through the FCM's Green Municipal Fund into communities in PEI and Nova Scotia. The funds will be used towards PACE Maritimes to finance energy efficiency, renewable energy, and energy storage. </t>
  </si>
  <si>
    <t xml:space="preserve">https://www.canada.ca/en/natural-resources-canada/news/2021/05/canada-and-fcm-invest-in-energy-efficiency-in-prince-edward-island-and-nova-scotia.html Accessed June 11 2021. </t>
  </si>
  <si>
    <t>Partnership to develop industrial roadmap for Low-Carbon Concrete Production</t>
  </si>
  <si>
    <t>Provide Canadian industry with guidance on technologies, tools and policies needed to reach net‚Äëzero carbon concrete by 2050</t>
  </si>
  <si>
    <t>31/05/2021</t>
  </si>
  <si>
    <t xml:space="preserve">The Government of Canada has partnered with Canada's cement sector to support the development and implementation of a "Roadmap to Net-Zero-Carbon Concrete". This work will provide Canadian cement and concrete industry with the technologies, tools, and policy needed to achieve net-zero carbon concrete by 2050. </t>
  </si>
  <si>
    <t>https://www.canada.ca/en/innovation-science-economic-development/news/2021/05/government-of-canada-and-cement-association-of-canada-announce-partnership-to-advance-global-leadership-in-low-carbon-concrete-production.html
, https://www.ic.gc.ca/eic/site/icgc.nsf/eng/07730.html Accessed 11 June 2021</t>
  </si>
  <si>
    <t>Weight allowance increase and incentive for low-carbon commercial vehicles</t>
  </si>
  <si>
    <t>Incentivize low-carbon commercial transport</t>
  </si>
  <si>
    <t>14/05/2021</t>
  </si>
  <si>
    <t>The B.C. government is expanding weight allowances for low-carbon commercial vehicles. B.C. is offering a 1,500 kg allowance to electrically powered, full-sized commercial vehicles and a 1,000 kg allowance to hydrogen-powered vehicles. To further support broad adoption, the government will make increases to maximum gross combination vehicle weight, up to 65,000 kg and 64,500 kg respectively. This is consistent with allowances already made for liquified natural gas (LNG) and compressed natural gas (CNG) fuelled trucks and buses. This move is intended to support the Province‚Äôs CleanBC goal of ensuring an increased portion of vehicles on B.C. roads are powered by electricity, hydrogen and renewables. To track how many vehicles use extra weight, initially allowances will be available through letters of authorization. Following a 90-day notice period, CNG, LNG and LNG/diesel bi-fuelled vehicles will also be required to obtain letters of authorization.</t>
  </si>
  <si>
    <t xml:space="preserve">https://news.gov.bc.ca/releases/2021TRAN0035-000920 Accessed 20 May 2021. </t>
  </si>
  <si>
    <t>Airport Relief Fund</t>
  </si>
  <si>
    <t xml:space="preserve">Financial relief to Canada's airports </t>
  </si>
  <si>
    <t>The Airport Relief Fund is a new contribution funding program to provide $64.8 million in financial relief to Canada‚Äôs airports that are struggling with the financial impact of reduced air travel due to the COVID‚Äë19 pandemic. The Airport Relief Fund will provide immediate financial assistance to targeted eligible airports to help maintain operations and mitigate the risk of airport insolvency.</t>
  </si>
  <si>
    <t xml:space="preserve">https://www.canada.ca/en/transport-canada/news/2021/05/airport-relief-fund.html Accessed 20 May 2021. </t>
  </si>
  <si>
    <t>Enhancement of the Airports Capital Assistance Program</t>
  </si>
  <si>
    <t>Provide financial assistance to regional airports for safety-related capital infrastructure projects</t>
  </si>
  <si>
    <t>The existing Airports Capital Assistance Program is receiving a one-time top-up funding of $186 million over two years ($93 million in 2021-2022, and $93 million in 2022-2023). This financial support is directed at Canada‚Äôs smaller airports and is intended for safety improvements. Eligibility for ACAP has also been temporarily expanded over the next two years to allow National Airport System airports with less than one million annual passengers in 2019.</t>
  </si>
  <si>
    <t>https://www.canada.ca/en/transport-canada/news/2021/05/enhancement-of-the-airports-capital-assistance-program.html</t>
  </si>
  <si>
    <t>Airport Critical Infrastructure Program</t>
  </si>
  <si>
    <t>Help Canada‚Äôs larger airports make critical investments in safety, security or connectivity to mass transit.</t>
  </si>
  <si>
    <t>"The Airport Critical Infrastructure Program (ACIP) is a new contribution funding program to help Canada‚Äôs larger airports make critical investments in safety, security or connectivity to mass transit. With $489.6 million available over five years, the Program is intended to help eligible airports mitigate the financial impact of the COVID-19 pandemic. Funding may be provided to owners and/or operators of the following types of airports:
- National Airport System (NAS) airports with annual passenger volumes of over 525,000 passengers (as of December 2019)
- Non-NAS Airports with annual passenger volumes of over 525,000 passengers (as of December 2019)
Eligible projects include:
- Safety-related projects (e.g., runway and lighting rehabilitation)
- Infrastructure projects for the purposes of operational efficiency and/or to enhance security at airports
- Improvements to mass transit connections at airports"</t>
  </si>
  <si>
    <t>https://www.canada.ca/en/transport-canada/news/2021/05/airport-critical-infrastructure-program.html</t>
  </si>
  <si>
    <t>Financial agreement with Sunwing</t>
  </si>
  <si>
    <t>loan (Hybrid)</t>
  </si>
  <si>
    <t>Support aviation sector</t>
  </si>
  <si>
    <t>The government's financial support to Sunwing airlines is being provided under the Large Employer Emergency Financing Facility (LEEFF). The funding comes with number of conditions, including refunds to air travellers and climate risk disclosure as required by the LEEFF program. Companies must agree to sustain their domestic operations, make reasonable commercial efforts to minimize the loss of jobs, and demonstrate a clear plan to return to financial stability. They must also agree to place restrictions on executive compensation, dividends, and share buybacks.</t>
  </si>
  <si>
    <t>https://www.newswire.ca/news-releases/leeff-loan-to-sunwing-airlines-protects-canadian-jobs-870625246.html
, https://www.ceefc-cfuec.ca/approved-loans/</t>
  </si>
  <si>
    <t>British Columbia Bus Acquisition Program</t>
  </si>
  <si>
    <t>Provide support for school buses</t>
  </si>
  <si>
    <t>The Ministry of Education‚Äôs Bus Acquisition program provided $13 million for 31 school districts to buy a total of 101 new buses, including 18 electric buses. As a new initiative launched by the Ministry of Education and Ministry of Energy, Mines and Low Carbon Innovation in April 2020, this is the first time school districts in B.C. have been able to purchase electric buses through funding from both ministries. School districts that buy electric buses also have access to provincial funding for charging station infrastructure.</t>
  </si>
  <si>
    <t xml:space="preserve">https://news.gov.bc.ca/releases/2021EDUC0031-000848 Accessed 11 May 2021. </t>
  </si>
  <si>
    <t>Federal budget 2021: Regional Air Transportation Initiative</t>
  </si>
  <si>
    <t>multiple fossil</t>
  </si>
  <si>
    <t>Support regional air transportation, especially in rural and remote areas</t>
  </si>
  <si>
    <t>In Budget 2021, the Government of Canada is launching the Regional Air Transportation Initiative (RATI), an initiative worth $206 million, including $41.2 million for Atlantic Canada, which aims to support regional air transportation ecosystems, particularly in the development and implementation of improved services. The initiative will be implemented by Canada's Regional Development Agencies; some funds are repayable. This funding aims to support access to rural and remote areas. The funds are distributed as follows:
Atlantic provinces: $41.2 million
Quebec: $59.2 million
Southern Ontario: $24.2 million
Northern Ontario: $24.2 million
Northern Canada: $2.6 million
Western provinces: $54.6 million</t>
  </si>
  <si>
    <t xml:space="preserve">https://www.budget.gc.ca/2021/home-accueil-en.html
, https://www.canada.ca/en/atlantic-canada-opportunities/campaigns/covid19/ratifaq.html Accessed 11 May 2021. </t>
  </si>
  <si>
    <t>Quebec Infrastructure Plan: Aviation and airport investments</t>
  </si>
  <si>
    <t>Improve infrastructure</t>
  </si>
  <si>
    <t>25/03/2021</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</si>
  <si>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marine, rail, airports and other transport. The plan does not specify what portion of funds are allocated to each measure. The amounts calculated here reflects funding announced to date, for regional airports.</t>
  </si>
  <si>
    <t>https://www.tresor.gouv.qc.ca/fileadmin/PDF/budget_depenses/21-22/6-Quebec_Infrastructure_Plan.pdf
, https://www.quebec.ca/nouvelles/actualites/details/investissements-routiers-et-aeroportuaires-2021-2023-pres-de-132-m-pour-maintenir-et-developper-les-infrastructures-de-transport-et-contribuer-a-la-relance-economique-de-la-region-du-nord-du-quebec-30898
, https://www.quebec.ca/nouvelles/actualites/details/investissements-aeroportuaires-2021-2023-plus-de-59-m-pour-maintenir-et-developper-les-infrastructures-de-transport-et-contribuer-a-la-relance-economique-de-la-region-du-nunavik-30895 Accessed 3 May 2021</t>
  </si>
  <si>
    <t>Financial agreement with Air Transat</t>
  </si>
  <si>
    <t>29/05/2021</t>
  </si>
  <si>
    <t>The government's financial support to Air Transat is being provided under the Large Employer Emergency Financing Facility (LEEFF). The funding comes with number of conditions, including refunds to air travellers (of which CAD 310 million will be used) and climate risk disclosure as required by the LEEFF program. Transat has said that $390 million will go to business support.</t>
  </si>
  <si>
    <t xml:space="preserve">https://www.cbc.ca/news/politics/travel-company-transat-at-reaches-700m-aid-deal-with-ottawa-1.6006792 Accessed 3 May 2021. </t>
  </si>
  <si>
    <t>Saskatchewan budget 2021: Community Airport Partnership (CAP) program</t>
  </si>
  <si>
    <t>Government of Saskatchewan</t>
  </si>
  <si>
    <t>Provide improvements to 19 community airports</t>
  </si>
  <si>
    <t>The Government of Saskatchewan is investing $1.5 million in the Community Airport Partnership (CAP) program as part of Budget 2021-22.  This funding will provide improvements to 19 community airports around the province.  The CAP helps municipal airports offset the costs of rehabilitation, construction and infrastructure improvements by providing cost-shared grants, up to a maximum of $275,000. 
In 2020, the Government of Saskatchewan more than doubled its funding for the CAP program to $1.5 million.  A portion of the 2021-22 investment, $650,000, comes from the $2 billion stimulus package announced in mid-2020.  The Ministry of Highways will be investing $300 million from that stimulus fund over several years into projects like resurfacing of runways, improvements for pilot assists at airports and several other highways specific projects.</t>
  </si>
  <si>
    <t xml:space="preserve">https://www.saskatchewan.ca/government/news-and-media/2021/april/29/government-invests-15-million-in-community-airports-to-support-economic-recovery Accessed 3 May 2021. </t>
  </si>
  <si>
    <t>Saskatchewan budget 2021: new Annual Fee On Electric Vehicles</t>
  </si>
  <si>
    <t>Improve the fair application of Saskatchewan's taxes</t>
  </si>
  <si>
    <t>20/04/2021</t>
  </si>
  <si>
    <t>Owners of electric passenger vehicles registered in Saskatchewan will begin paying a new annual road-use fee of $150, effective October 1, 2021.  This is an amendment under The Fuel Tax Act, 2000. The government's rationale is that registered EV owners are not contributing to highway maintenance through the provincial fuel tax. The move has been criticized for providing a disincentive to EV adoption, particularly given lack of other incentives in the province.</t>
  </si>
  <si>
    <t xml:space="preserve">https://www.saskatchewan.ca/government/news-and-media/2021/april/20/new-annual-fee-of-$150-on-electric-vehicles Access 26 April 2021. </t>
  </si>
  <si>
    <t>British Columbia budget 2021: Transit infrastructure and Broadway Subway</t>
  </si>
  <si>
    <t>Make transit more accessible</t>
  </si>
  <si>
    <t>21/04/2021</t>
  </si>
  <si>
    <t>Provincial transportation investments in fiscal year 2021-22 include CAD 337 million for the Broadway Subway, and CAD 136 million for transit infrastructure. Additional investments in transportation reliability and safety improvements are not represented here.</t>
  </si>
  <si>
    <t xml:space="preserve">https://www.bcbudget.gov.bc.ca/2021/pdf/2021_Budget%20and%20Fiscal%20Plan.pdf Accessed 26 April 2021. </t>
  </si>
  <si>
    <t>British Columbia budget 2021: Highway corridor rehabilitation and road improvements</t>
  </si>
  <si>
    <t>Improve road infrastructure</t>
  </si>
  <si>
    <t>Provincial transportation investments in fiscal year 2021-22 include CAD 314 million for highway corridor rehabilitation, CAD 162 million for side road improvements, CAD 225 million for the Pattullo Bridge replacement, and CAD 267 million for the Highway 1 work. Additional investments in transportation reliability and safety improvements are not represented here.</t>
  </si>
  <si>
    <t>British Columbia budget 2021: Free transit for youth</t>
  </si>
  <si>
    <t>The Province is allocating $26 million to help families get around more affordably by making transit free for children aged 12 and under. This includes investments from the 2020/21 federal-provincial Safe Restart Agreement for transit and new Budget 2021 funding.</t>
  </si>
  <si>
    <t>British Columbia budget 2021: Energy efficient buildings and communities</t>
  </si>
  <si>
    <t>Reduce energy use</t>
  </si>
  <si>
    <t>Budget 2021 provides $57 million in operating funding to support energy efficient buildings and communities. This includes $34 million to reduce diesel consumption for electric generation in remote communities, including Indigenous communities, and $11 million to develop and fund a new program for local governments to plan for building compact, energy efficient communities. The budget also provides $12 million in capital funding to support school districts under the Carbon Neutral Capital Program.</t>
  </si>
  <si>
    <t>British Columbia budget 2021: CleanBC Industry and Centre for Innovation and Clean Energy investments in clean tech</t>
  </si>
  <si>
    <t>Develop clean tech</t>
  </si>
  <si>
    <t>$96 million for the CleanBC Program for Industry to reduce emissions, further expand British Columbia‚Äôs clean tech sector and support global competitiveness in the clean economy. $60 million to support the Centre for Innovation and Clean Energy and for cleantech investments to expand partnership opportunities with the federal government. BC is also introducing new program funding of $173 million in 2023/24 for the CleanBC Program for Industry in alignment with the planned carbon price increase. Capture in this line item is the allocation for 2021/22, at $120 million.</t>
  </si>
  <si>
    <t>A Healthy Environment and a Healthy Economy (2020 Climate Plan): Clean power projects for rural, remote and Indigenous communities</t>
  </si>
  <si>
    <t>Transition remote communities from diesel towards renewable energy</t>
  </si>
  <si>
    <t xml:space="preserve">Under the new federal climate plan, "A Healthy Environment and a Health Economy", Canada has pledged to invest an additional $300 million over five years to advance the Government‚Äôs commitment to ensure that rural, remote and Indigenous communities that currently rely on diesel have the opportunity to be powered by clean, reliable energy by 2030. </t>
  </si>
  <si>
    <t>Building energy efficiency</t>
  </si>
  <si>
    <t>Second phase of Community Efficiency Financing initiative</t>
  </si>
  <si>
    <t>Help homeowners cut their energy bills and emissions and keep the local economy moving</t>
  </si>
  <si>
    <t>30/06/2020</t>
  </si>
  <si>
    <t>Second phase of the new Community Efficiency Financing initiative funded by the Government of Canada and delivered by the Federation of Canadian Municipalities (FCM). The $300-million Community Efficiency Financing initiative helps municipalities and their partners implement innovative local financing programs that help homeowners cut their greenhouse gas emissions and make homes more comfortable and affordable. Bottom-up approach to local program design, offering applicants the opportunity to study and design programs tailored to local priorities and contexts. These programs for low-rise residential properties may build on approaches such as Property Assessed Clean Energy (PACE) and utility on-bill financing.</t>
  </si>
  <si>
    <t>https://www.canada.ca/en/office-infrastructure/news/2020/06/new-initiative-to-help-homeowners-cut-their-energy-bills-and-emissions-and-keep-the-local-economy-moving.html Accessed 10  July 2020</t>
  </si>
  <si>
    <t>British Columbia budget 2021: Go Electric program additional investments for zero-emissions vehicles</t>
  </si>
  <si>
    <t>Transition to cleaner transportation</t>
  </si>
  <si>
    <t>$94 million in the Go Electric program, which provides rebates for purchases of zero-emissions vehicles, charging stations and supports the commercialization of heavy-duty vehicles.</t>
  </si>
  <si>
    <t>Financial agreement with Air Canada</t>
  </si>
  <si>
    <t>The government's financial support to Air Canada is being provided under the Large Employer Emergency Financing Facility (LEEFF). The Canada Enterprise Emergency Funding Corporation (CEEFC) has committed to provide $4 billion in repayable loans and an equity investment in Air Canada of $500 million in newly-issued Class B Voting Shares at a 15 per cent discount to their recent trading price. CEEFC will also receive warrants on Air Canada stock in an amount equal to 10 per cent of the loan commitments. The funding comes with number of conditions, including refunds to air travellers (CEEFC will provide additional loan financing of up to $1.4 billion for Air Canada to provide these refunds), and climate risk disclosure as required by the LEEFF program.</t>
  </si>
  <si>
    <t xml:space="preserve">https://www.canada.ca/en/department-finance/news/2021/04/details-of-financial-support-to-air-canada.html Accessed 14 April 2021. </t>
  </si>
  <si>
    <t>Federal budget 2021: Support for the aerospace sector</t>
  </si>
  <si>
    <t>Prepare the aerospace sector for recovery</t>
  </si>
  <si>
    <t>Budget 2021 proposes to provide $250 million over three years, on a cash basis, starting in 2021-22, for the regional development agencies to deliver an Aerospace Regional Recovery Initiative, which would support small and medium-sized firms in improving productivity, strengthening commercialization, and greening their operations and products. This is in addition to $1.75 billion in support over seven years under the Strategic Innovation Fund, which would be targeted toward aerospace in recognition of the longer-lasting impacts to this sector following COVID19.</t>
  </si>
  <si>
    <t xml:space="preserve">https://www.budget.gc.ca/2021/home-accueil-en.html Accessed April 26 2021. </t>
  </si>
  <si>
    <t>Provincial (SK)</t>
  </si>
  <si>
    <t>Various</t>
  </si>
  <si>
    <t>in SK namely gas, coal and coke, and hydro</t>
  </si>
  <si>
    <t>To make power more affordable for Saskatchewan residents</t>
  </si>
  <si>
    <t>This rebate will provide all SaskPower customers a 10 per cent rebate on their power bills.  This rebate, known as the Saskatchewan Economic Recovery Rebate, will run from December 1, 2020 to the end of November 2021.
The rebate will apply to the ‚Äúelectrical charges‚Äù section of customers‚Äô bills, which includes the basic monthly charge, energy charge and demand charge.  It does not apply to GST, PST, municipal surcharge, Federal Carbon Tax or other charges such as connect fees or late payment charges. Saskatchewan's electricity mix is almost entirely from fossil fuels.</t>
  </si>
  <si>
    <t>https://www.saskatchewan.ca/government/news-and-media/2020/december/01/ten-per-cent-economic-recovery-rebate-now-in-effect-for-all-saskpower-customers Accessed 10 December 2020</t>
  </si>
  <si>
    <t>Provincial (BC)</t>
  </si>
  <si>
    <t>BC Hydro‚Äôs Electrification Plan</t>
  </si>
  <si>
    <t>affordable access to clean electricity</t>
  </si>
  <si>
    <t xml:space="preserve">BC Hydro plans to invest more than CAD 260 million to implement the plan over the next five years, including nearly CAD 190 million to promote fuel switching in homes and buildings, vehicles and industry, and more than CAD 50 million to attract new industries to B.C. that are looking for clean power to run their businesses and reduce their carbon footprint. The plan also includes programs to reduce the time required to get customers connected to BC Hydro‚Äôs grid. </t>
  </si>
  <si>
    <t>https://news.gov.bc.ca/releases/2021PREM0059-001861 (Oct 20)</t>
  </si>
  <si>
    <t>Federal budget 2021: Tax measures for zero-emission technologies and clean energy technologies</t>
  </si>
  <si>
    <t>Incent clean tech deployment</t>
  </si>
  <si>
    <t>- Budget 2021 proposes to reduce‚Äîby 50 per cent‚Äîthe general corporate and small business income tax rates for businesses that manufacture zero emission technologies. The reductions would go into effect on January 1, 2022, and would be gradually phased out starting January 1, 2029 and eliminated by January 1, 2032. The Department of Finance Canada will regularly review new technologies that might be eligible. It is estimated that this measure will reduce federal revenues by $45 million over five years, starting in 2021-22.
- Budget 2021 proposes to expand the list of eligible equipment to include equipment used in pumped hydroelectric energy storage, renewable fuel production, hydrogen production by electrolysis of water, and hydrogen refueling. Certain existing restrictions related to investments in watercurrent, wave and tidal energy, active solar heating, and geothermal energy technologies would also be removed. Budget 2021 proposes to update the eligibility criteria such that certain fossil-fuelled and low efficiency waste-fuelled electrical generation equipment will no longer be eligible after 2024. It is estimated that these measures will reduce federal revenues by $142 million over five years starting in 2021-22.</t>
  </si>
  <si>
    <t xml:space="preserve">https://www.budget.gc.ca/2021/home-accueil-en.html Accessed 26 April 2021. </t>
  </si>
  <si>
    <t>Federal budget 2021: Investments in &amp;#8220;clean tech&amp;#8221;</t>
  </si>
  <si>
    <t>"- Budget 2021 proposes to make up to $1 billion available on a cash basis, over five years, starting in 2021-22, to help draw in private sector investment for clean tech projects.
- Budget 2021 also proposes to provide $21.3 million over five years, starting in 2021-22, and $4.3 million per year ongoing, to Global Affairs Canada for the continuation of the International Business Development Strategy for Clean Technology.
- The government will, in partnership with the Government of British Columbia, provide up to $35 million to help establish the Centre for Innovation and Clean Energy to advance the scale-up and commercialization of clean technologies in B.C. and across Canada.
The definition of ""clean tech"" is unclear and so this measure is classified as ""other energy""."</t>
  </si>
  <si>
    <t>Federal budget 2021: Critical battery minerals investments</t>
  </si>
  <si>
    <t>Develop battery technology and supply chains</t>
  </si>
  <si>
    <t>- $9.6 million over three years, starting in 2021-22, to create a Critical Battery Minerals Centre of Excellence at Natural Resources Canada
- $36.8 million over three years, starting in 2021-22, with $10.9 million in remaining amortization, to Natural Resources Canada, for federal research and development to advance critical battery mineral processing and refining expertise.</t>
  </si>
  <si>
    <t>https://www.budget.gc.ca/2021/home-accueil-en.html Accessed April 26 2021</t>
  </si>
  <si>
    <t xml:space="preserve">National </t>
  </si>
  <si>
    <t>Infrastructure Canada project funding for renewable green energy projects since January 2020</t>
  </si>
  <si>
    <t>Infrastructure Canada</t>
  </si>
  <si>
    <t>Funding infrastructure projects for Canadians</t>
  </si>
  <si>
    <t xml:space="preserve">Through the Investing in Canada plan (developed prior to COVID-19), the Government of Canada is investing over $180 billion over 12 years in infrastructure projects across Canada. This line item reflects federal investments made in renewable energy projects (classified by government as "Green Energy") since the start of the pandemic. </t>
  </si>
  <si>
    <t xml:space="preserve">https://open.canada.ca/data/en/dataset/beee0771-dab9-4be8-9b80-f8e8b3fdfd9d Last accessed 30 June 2021. </t>
  </si>
  <si>
    <t>Federal budget 2021: Improving government capacity on low-carbon fuels</t>
  </si>
  <si>
    <t>Incent adoption of low-carbon fuels</t>
  </si>
  <si>
    <t>Budget 2021 proposes a number of measures aimed at strengthening government capacity to develop, carry out, and enforce provisions related to low-carbon fuels (including biofuels and hydrogen). These include:
-  $67.4 million over seven years, starting in 2021-22, with $5.6 million in remaining amortization and $10.7 million ongoing, for Measurement Canada to ensure that commercial transactions of low-carbon fuels are measured accurately just as they are for conventional fuels.
- To support the long-term development of low-emission marine and aviation fuels, Budget 2021 proposes to provide $227.9 million over eight years, starting in 2023-24, to the Treasury Board Secretariat to implement a Low-Carbon Fuel Procurement Program within the Greening Government Fund.</t>
  </si>
  <si>
    <t>https://www.budget.gc.ca/2021/home-accueil-en.html Accessed 26 April 2021</t>
  </si>
  <si>
    <t>Federal budget 2021: Improving government regulations for energy efficiency and mitigation policies</t>
  </si>
  <si>
    <t>Strengthen environmental regulations and government capacity on climate change</t>
  </si>
  <si>
    <t>Budget 2021 proposes a number of measures aimed at strengthening government capacity to develop, carry out, and enforce climate mitigation regulations. These include:
- To implement and administer the Clean Fuel Standard, Budget 2021 proposes to provide $67.2 million over seven years, starting in 2021-22, with $0.05 million in remaining amortization, to Environment and Climate Change Canada.
- $104.6 million over five years, starting in 2021‚Äì22, with $2.8 million in remaining amortization, to Environment and Climate Change Canada to strengthen greenhouse gas emissions regulations for light- and heavy-duty vehicles and off-road residential equipment, establish national methane regulations for large landfills, and undertake additional actions to reduce and better use waste at these sites.
- $56.1 million over five years, starting in 2021-22, with $16.3 million in remaining amortization and $13 million per year ongoing, to Measurement Canada to develop and implement, in coordination with international partners such as the United States, a set of codes and standards for retail ZEV charging and fueling stations.
- $94.4 million over five years, starting in 2021-22, to Environment and Climate Change Canada to increase domestic and international capacity and action to address climate change, enhance clean tech policy capacity, including in support of the Clean Growth Hub, and to fund reporting requirements under the Canadian Net-Zero Emissions Accountability Act.
- $25.6 million over five years, starting in 2021-22, and $5.8 million per year ongoing to Statistics Canada, and $1.9 million over five years, starting in 2021-22, and $0.3 million per year ongoing to Environment and Climate Change Canada to create a Census of the Environment to help monitor environmental trends and better inform decision making.
- Consultations will be launched regarding a Border Carbon Adjustment
- The government will also publish a green bond framework in the coming months in advance of issuing its inaugural federal green bond in 2021-22, with an issuance target of $5 billion, subject to market conditions
- Additional measures are being taken for climate risk disclosure, including requiring Crown corporations to disclose climate risk.
- Proposal to change how the Climate Action Incentive is paid to taxpayers through quarterly cheques instead of annual refundable credit; increased payments directly to farmers in backstop jurisdictions (Alberta, Saskatchewan, Manitoba, and Ontario), beginning in 2021-22 ‚Äî estimated pay out to farmers will be $100 million in the first year.</t>
  </si>
  <si>
    <t>https://www.budget.gc.ca/2021/home-accueil-en.html Accessed 27 April 2021</t>
  </si>
  <si>
    <t>Federal budget 2021: Research and development of CCUS technologies</t>
  </si>
  <si>
    <t>Natural Resources Canada</t>
  </si>
  <si>
    <t>Expand carbon capture, utilization and storage</t>
  </si>
  <si>
    <t xml:space="preserve">Budget 2021 proposes to provide $319 million over seven years, starting in 2021-22, with $1.5 million in remaining amortization, to Natural Resources Canada to support research, development, and demonstrations that would improve the commercial viability of carbon capture, utilization, and storage technologies. As it is not clear what portion of this measure will go to the fossil fuel sector or industries using fossil fuels compared to direct air capture, this measure is classified as "other energy." </t>
  </si>
  <si>
    <t>Federal budget 2021: CCUS tax credit</t>
  </si>
  <si>
    <t>Budget 2021 proposes to introduce an investment tax credit for capital invested in CCUS projects with the goal of reducing emissions by at least 15 megatonnes of CO2 annually. This measure will come into effect in 2022. Although the measure is intended to exclude Enhanced Oil Recovery projects, the government will carry out a 90-day consultation period with stakeholders including oil sands. The credit will also support hydrogen production, and the government has committed to similar measures for green hydrogen. As it is not clear what portion of this measure will go to the fossil fuel sector, this measure is classified as "other energy."</t>
  </si>
  <si>
    <t>Federal budget 2021: Interest-free loan program for home retrofits</t>
  </si>
  <si>
    <t>Improve energy efficiency</t>
  </si>
  <si>
    <t xml:space="preserve">$4.4 billion on a cash basis ($778.7 million on an accrual basis over five years, with $414.1 million in future years) to the Canada Mortgage and Housing Corporation to help homeowners complete deep home retrofits through interest-free loans worth up to $40,000. Includes a dedicated stream for low-income homeowners and rentals including not-for-profits and low-income housing. </t>
  </si>
  <si>
    <t>Quebec Infrastructure Plan: Public transit investments</t>
  </si>
  <si>
    <t xml:space="preserve">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895.2 million has been set aside for public transit. This includes an unspecified number of funds related to the Quebec Plan for a Green Economy, so this entry has been left as unquantified to avoid possible double-counting. </t>
  </si>
  <si>
    <t xml:space="preserve">https://www.tresor.gouv.qc.ca/fileadmin/PDF/budget_depenses/21-22/6-Quebec_Infrastructure_Plan.pdf Accessed April 20 2021. </t>
  </si>
  <si>
    <t>Quebec Infrastructure Plan: Road investments</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</si>
  <si>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the road network in 2021-22. This includes reserved lanes for public transit.</t>
  </si>
  <si>
    <t xml:space="preserve">https://www.tresor.gouv.qc.ca/fileadmin/PDF/budget_depenses/21-22/6-Quebec_Infrastructure_Plan.pdf Accessed 20 April 2021. </t>
  </si>
  <si>
    <t>FCM Green Municipal Fund &amp;#8211; Community Buildings Retrofit initiative</t>
  </si>
  <si>
    <t>Funded by a $167-million federal investment in FCM‚Äôs Green Municipal Fund, the new initiative supports Canadian municipalities, big and small, and not-for-profit organizations in undertaking retrofits and other upgrades to lower emissions by improving energy performance, lowering operating costs and extending the life of community assets. The Community Buildings Retrofit initiative will provide grants and loans to fund a portion of each project and expects to disburse the full funding envelope over the next six years. This new initiative is part of a $950-million federal investment in the Green Municipal Fund designed to scale up energy efficiency and lower emissions across Canada. It is complemented by new measures in Canada‚Äôs strengthened climate plan.</t>
  </si>
  <si>
    <t xml:space="preserve">https://www.canada.ca/en/natural-resources-canada/news/2021/04/canada-and-fcm-combat-climate-change-by-investing-in-retrofits-for-community-buildings.html Accessed 20 April 2021. </t>
  </si>
  <si>
    <t>Regional airport support for Dease Lake Airport</t>
  </si>
  <si>
    <t xml:space="preserve">Improve essential air access </t>
  </si>
  <si>
    <t>15/04/2021</t>
  </si>
  <si>
    <t>$9 million in StrongerBC economic recovery funding for airport upgrades. The StrongerBC funding will support improvements, such as safety upgrades to enable medevac services, runway repaving and lighting improvements.</t>
  </si>
  <si>
    <t xml:space="preserve">https://news.gov.bc.ca/releases/2021EMLI0032-000713 Accessed 20 April 2021. </t>
  </si>
  <si>
    <t>Toll rate freeze for Highways 412, 418 and 407</t>
  </si>
  <si>
    <t>Provide financial relief for people in Durham</t>
  </si>
  <si>
    <t xml:space="preserve">Extension of a toll rate freeze: Toll rates for Highways 412 and 418 will be temporarily frozen at their current levels until May 31, 2023. Toll rates for the provincially-owned Highway 407 remain temporarily frozen until May 31, 2021 and will increase based on the Consumer Price Index on June 1, 2021. </t>
  </si>
  <si>
    <t>https://news.ontario.ca/en/release/61137/ontario-extends-toll-rate-freeze-on-highways-412-and-418</t>
  </si>
  <si>
    <t>Provincial (AB)</t>
  </si>
  <si>
    <t>Loan guarantee for a First Nations minority stake investment in a natural gas-fired generating facility</t>
  </si>
  <si>
    <t>Government of Alberta</t>
  </si>
  <si>
    <t>Increasing the ability for Indigenous groups to invest in Alberta</t>
  </si>
  <si>
    <t>The Alberta Indigenous Opportunities Corporation (AIOC) announced its first commitment: a loan guarantee to a consortium of six Alberta First Nations to enable their participation in the Cascade Power Project (Cascade). Cascade is a 900MW combined cycle natural gas fired power plant located near Edson, AB.</t>
  </si>
  <si>
    <t>https://www.theaioc.com/about/news/alberta-indigenous-opportunities-corporation-announces-first-participation-in-cascade-power-project/
, https://www.globenewswire.com/news-release/2020/09/09/2091232/0/en/Alberta-Indigenous-Opportunities-Corporation-Announces-First-Participation-in-Cascade-Power-Project.html
, https://www.cbc.ca/news/canada/edmonton/alberta-first-nations-power-plant-1.5717692 Accessed 21 September 2020</t>
  </si>
  <si>
    <t>Investment in community-led Indigenous clean energy projects in British Columbia</t>
  </si>
  <si>
    <t>Displace fossil fuels in remote communities</t>
  </si>
  <si>
    <t>For nine community-led clean energy projects across British Columbia that will build capacity and support rural and remote communities reducing their reliance on fossil fuel for heat and power. All nine projects were funded through Natural Resources Canada's Clean Energy for Rural and Remote Communities program, part of the Investing in Canada plan.</t>
  </si>
  <si>
    <t xml:space="preserve">https://www.canada.ca/en/natural-resources-canada/news/2021/04/canada-invests-in-nine-community-led-indigenous-clean-energy-projects-across-british-columbia.html Accessed 20 April 2021. </t>
  </si>
  <si>
    <t>Investment in the R√©seau express m√©tropolitain at the Montr√©al-Trudeau International Airport</t>
  </si>
  <si>
    <t>Reduce traffic congestion and improve accessibility and connectivity to the airport</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</si>
  <si>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provincial portion.</t>
  </si>
  <si>
    <t xml:space="preserve">https://www.canada.ca/en/transport-canada/news/2021/04/the-governments-of-canada-and-quebec-announce-a-major-investment-in-the-reseau-express-metropolitain-at-the-montreal-trudeau-international-airport.html Accessed 20 April 2021. </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</si>
  <si>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federal portions, from Transport Canada and the Canada Infrastructure Bank.</t>
  </si>
  <si>
    <t>Amendments to Electricity Act &amp;#8211; Shared Solar Program</t>
  </si>
  <si>
    <t>Encourage solar energy</t>
  </si>
  <si>
    <t>"The new Shared Solar Program will reduce barriers to solar adoption for communities and businesses. It will also allow those renting an apartment to adopt solar energy through a shared ownership or subscription model. Details of the program will be determined in consultation with communities and stakeholders, to respond to local concerns and needs.
Under the new program, municipalities, First Nation bands, co-ops, and not-for-profits can create community solar gardens which can help reduce energy poverty and directly benefit communities.
Amendments will also allow non-residential customers to scale up their solar installations while still benefiting from the program. A new project cap will be determined through stakeholder engagement."</t>
  </si>
  <si>
    <t xml:space="preserve">https://novascotia.ca/news/release/?id=20210407004 Accessed 13 April 2021. </t>
  </si>
  <si>
    <t>Saskatchewan Budget 2021: Associated Natural Gas Royalty Moratorium</t>
  </si>
  <si>
    <t>Support oil and gas sector</t>
  </si>
  <si>
    <t>The Saskatchewan Growth Plan committed to introducing a moratorium on associated natural gas royalties. With the 2021-22 Budget, the Province is meeting this commitment by implementing a royalty rate of 0 per cent for a period of five years on all natural gas produced in association with oil. This will provide oil producers with approximately $3.8 million in annual royalty relief. This initiative is part of Saskatchewan‚Äôs Methane Action Plan. The royalty moratorium begins April 1, 2021 and will remain in place for five years, with a sunset date of March 31, 2026.</t>
  </si>
  <si>
    <t xml:space="preserve">https://www.saskatchewan.ca/government/budget-planning-and-reporting/budget-2021-22 Accessed 12 April 2021. </t>
  </si>
  <si>
    <t>Saskatchewan Budget 2021: Highway and road infrastructure</t>
  </si>
  <si>
    <t>Strategic infrastructure investments</t>
  </si>
  <si>
    <t xml:space="preserve">Investments for 2021-22 for highways capital and partnerships, as part of the Saskatchewan Capital Plan. CAD 300 million in highways stimulus funds will be invested over the next two years to stimulate Saskatchewan‚Äôs economic recovery. </t>
  </si>
  <si>
    <t xml:space="preserve">https://www.saskatchewan.ca/government/budget-planning-and-reporting/budget-2021-22 Accessed 13 April 2021. </t>
  </si>
  <si>
    <t>Manitoba Budget 2021: Highway, airport and road investments</t>
  </si>
  <si>
    <t>Government of Manitoba</t>
  </si>
  <si>
    <t>Investments for 2021-22 for  highways, road and airport runway infrastructure as part of Manitoba's strategic infrastructure investments. Does not include investments under the Manitoba Restart Capital program.</t>
  </si>
  <si>
    <t xml:space="preserve">https://www.gov.mb.ca/asset_library/en/budget2021/budget2021.pdf Accessed 13 April 2021. </t>
  </si>
  <si>
    <t>Inter-city and BC North transit support &amp;#8211; one-time investment</t>
  </si>
  <si>
    <t>Provide support for essential transport services</t>
  </si>
  <si>
    <t>30/03/2021</t>
  </si>
  <si>
    <t>Twenty inter-city bus operators are approved to receive funding to help them stay open and provide essential transportation services to British Columbians. The Province has issued a one-time investment of $6.2 million to a number of inter-city bus operators to support operations between April 1, 2021, and March 31, 2022. The bus operators and airports will use the funds to pay for operating costs, like maintenance expenses for buses, air terminals and runways. The funds will also go toward payroll, rent and other overhead costs to keep these services operating.
A one-year extension to the BC Bus North service has also been granted, meaning people who live and work in northern British Columbia can continue to rely on inter-city bus service. First announced in September 2019, Western Economic Diversification Canada and the Province have extended support to fund the northern inter-city service for another 12 months. In total, over $1.6 million in one-time funding will support the BC Bus North operating costs until March 31, 2022.</t>
  </si>
  <si>
    <t>https://news.gov.bc.ca/releases/2021TRAN0045-000576
, https://news.gov.bc.ca/releases/2021TRAN0023-000577 Accessed 6 April 2021</t>
  </si>
  <si>
    <t>Regional airport support &amp;#8211; one-time investment</t>
  </si>
  <si>
    <t>55 regional airports are approved to receive funding to help them stay open and provide essential transportation services to British Columbians. The Province has issued a one-time investment of CAD 16.5 million for regional airports to support operations between April 1, 2021, and March 31, 2022. The airports will use the funds to pay for operating costs, like maintenance expenses for buses, air terminals and runways. The funds will also go toward payroll, rent and other overhead costs to keep these services operating.</t>
  </si>
  <si>
    <t xml:space="preserve">https://news.gov.bc.ca/releases/2021TRAN0023-000577 Accessed April 6 2021. </t>
  </si>
  <si>
    <t>Nova Scotia Budget 2021-22: Active transportation and public transit</t>
  </si>
  <si>
    <t>Build infrastructure</t>
  </si>
  <si>
    <t>23/03/2021</t>
  </si>
  <si>
    <t>Nova Scotia announced more than $80 million to fight climate change and create jobs by growing the green economy. Of this, CAD 7.6 million is for active transportation and public transit investments.</t>
  </si>
  <si>
    <t>https://novascotia.ca/budget/ Accessed 6 April 2020</t>
  </si>
  <si>
    <t>Nova Scotia Budget 2021-22: Highway and road infrastructure 5-year plan</t>
  </si>
  <si>
    <t xml:space="preserve">Nova Scotia's Capital Plan 2021-22 includes $467 million in investments in highway and road infrastructure for the next  year, as part of the Department of Transportation and Active Transit‚Äôs Five-year Highway Improvement Plan. </t>
  </si>
  <si>
    <t>https://beta.novascotia.ca/sites/default/files/documents/1-2632/capital-plan-2021-22-en.pdf Accessed April 6 2021.</t>
  </si>
  <si>
    <t>Nova Scotia Budget 2021-22: Rebates for energy efficiency and electric vehicles, and green infrastructure</t>
  </si>
  <si>
    <t>Support low-carbon energy transition</t>
  </si>
  <si>
    <t xml:space="preserve">Nova Scotia announced more than $80 million to fight climate change and create jobs by growing the green economy. This includes: CAD 19 million in rebates to support low-income families in making their homes more comfortable and energy-efficient and help Nova Scotians buy clean, reliable electric vehicles; CAD 16.4 million this year for green infrastructure stream projects to help reduce GHG emissions while ensuring citizens are protected from higher fuel and electricity costs. </t>
  </si>
  <si>
    <t xml:space="preserve">https://novascotia.ca/budget/ Accessed 6 April 2021. </t>
  </si>
  <si>
    <t>Ontario Budget 2021-22: Ontario Vehicle Innovation Network</t>
  </si>
  <si>
    <t>Support vehicle manufacturing</t>
  </si>
  <si>
    <t>24/03/2021</t>
  </si>
  <si>
    <t>Ontario is investing CAD $56.4 million over the next four years to create the Ontario Vehicle Innovation Network (OVIN). The OVIN will build on successful elements of the Autonomous Vehicle Innovation Network (AVIN), accelerating the development of next generation electric, connected and autonomous vehicle and mobility technologies, as well as supporting Ontario‚Äôs role as the manufacturing hub of Canada.</t>
  </si>
  <si>
    <t>https://budget.ontario.ca/2021/pdf/2021-ontario-budget-en.pdf Accessed 31 March 2021</t>
  </si>
  <si>
    <t>Ontario Budget 2021-22: Highway and road infrastructure</t>
  </si>
  <si>
    <t>This line item represents funding for 2021-22 only. In total, Ontario confirmed more than $21 billion over 10 years to support the planning and/or construction of highway expansion and rehabilitation projects across the province.</t>
  </si>
  <si>
    <t xml:space="preserve">https://budget.ontario.ca/2021/pdf/2021-ontario-budget-en.pdf
, https://budget.ontario.ca/2021/brief.html#section-5 Accessed 31 March 2021. </t>
  </si>
  <si>
    <t xml:space="preserve">Ontario </t>
  </si>
  <si>
    <t>Ontario Budget 2021-22: public transit investments</t>
  </si>
  <si>
    <t>Build crucial transit infrastructure</t>
  </si>
  <si>
    <t>This line item represents funding for 2021-22 only. In total, Ontario confirmed CAD 61.6 billion over 10 years for public transit, to continue to deliver on the government‚Äôs commitment towards priority projects such as: a) the four priority subway projects in the Greater Toronto Area (GTA), the largest subway expansion in Canadian history, that will expand the subway system by 50 per cent, b) the updated Hamilton LRT project, c) the GO Rail Expansion program, and d) the Kitchener GO Rail Expansion project.</t>
  </si>
  <si>
    <t>https://budget.ontario.ca/2021/pdf/2021-ontario-budget-en.pdf
, https://budget.ontario.ca/2021/brief.html#section-5, Accessed 30 March 2021</t>
  </si>
  <si>
    <t>British Columbia sectoral greenhouse gas targets for 2030</t>
  </si>
  <si>
    <t xml:space="preserve">Set clearer GHG targets </t>
  </si>
  <si>
    <t>26/03/2021</t>
  </si>
  <si>
    <t>Sectoral GHG targets have been established for 2030 in transportation, industry, oil and gas, and buildings and communities ‚Äì expressed as a range of five percentage points. British Columbia is the first province in Canada to set sectoral targets covering emissions across the economy. As part of legislated requirements, government will review the targets by 2025, with options to expand the number of sectors included and narrow the percentage ranges.</t>
  </si>
  <si>
    <t xml:space="preserve">https://news.gov.bc.ca/releases/2021ENV0022-000561 Accessed 29 March 2021. </t>
  </si>
  <si>
    <t>Upgraded incentives for electric vehicles on Prince Edward Island</t>
  </si>
  <si>
    <t>Government of Prince Edward Island</t>
  </si>
  <si>
    <t>Incent EV adoption</t>
  </si>
  <si>
    <t>18/03/2021</t>
  </si>
  <si>
    <t>The Government of Prince Edward Island will offer $5,000 to Islanders who purchase a new or used EV (as of March 2021 this is the most generous EV incentive in Canada). Government will also offer a free Level 2 charger to people who purchase an EV and $2,500 to those who buy a plug-in hybrid. Islanders will be responsible for all installation costs associated with charging infrastructure. Islanders who buy a new, fully electric vehicle may be eligible for up to $10,000 off the purchase price with the Federal Government rebate of $5,000 and the PEI Universal EV Incentive combined. In April 2021, it was announced that anyone who purchases an eligible electric vehicle (EV) can receive the Universal Electric Vehicle Incentive retroactive to April 1, 2021.</t>
  </si>
  <si>
    <t>", https://www.princeedwardisland.ca/en/news/province-provide-incentives-islanders-buy-electric-vehicles
, https://www.princeedwardisland.ca/en/news/islanders-can-now-receive-universal-electric-vehicle-incentive" accessed May 3, 2021</t>
  </si>
  <si>
    <t>Essential upgrades for regional airports in British Columbia</t>
  </si>
  <si>
    <t>Enhance local airport infrastructure</t>
  </si>
  <si>
    <t>The Province is helping communities bring crucial improvements to regional airports with a boost in funding as part of B.C.‚Äôs COVID-19 economic recovery plan and B.C. Air Access Program grants. The CAD $9.28 million will enhance local airport infrastructure with initiatives like upgraded taxi lanes, new airside paving and green building projects. This is classified as "fossil conditional" because of the green building aspect.</t>
  </si>
  <si>
    <t>", https://news.gov.bc.ca/files/BG_RegionalAirports.pdf
, https://news.gov.bc.ca/releases/2021TRAN0039-000492" Accessed March 22, 2021</t>
  </si>
  <si>
    <t>Agreement with the Government of Saskatchewan to support essential air access to remote communities</t>
  </si>
  <si>
    <t>Ensuring essential access to remote communities</t>
  </si>
  <si>
    <t>17/03/2021</t>
  </si>
  <si>
    <t>The Government of Canada is contributing up to $1,592,000 for air services to remote communities. Under this agreement, the Government of Saskatchewan will allocate funding to air operators to ensure the continued supply of food, medical supplies, and other essential goods and services to these communities.</t>
  </si>
  <si>
    <t xml:space="preserve">https://www.canada.ca/en/transport-canada/news/2021/03/government-of-canada-announces-agreement-with-government-of-saskatchewan-to-support-essential-air-access-to-remote-communities.html Accessed 22 March 2021. </t>
  </si>
  <si>
    <t>Regional (North)</t>
  </si>
  <si>
    <t>2021/2022</t>
  </si>
  <si>
    <t>2024/2025</t>
  </si>
  <si>
    <t>Seperate line for hydro project</t>
  </si>
  <si>
    <t>Develop clean electricity in remote communities</t>
  </si>
  <si>
    <t>- Budget 2021 also proposes to invest $36 million over three years, starting in 2021-22, through the Strategic Partnerships Initiative, to build capacity for local, economically-sustainable clean energy projects in First Nations, Inuit, and M√©tis communities and support economic development opportunities
- Budget 2021 proposes to invest $40.4 million over three years, starting in 2021-22, to support feasibility and planning of hydroelectricity and grid interconnection projects in the North.</t>
  </si>
  <si>
    <t>EV manufacturing</t>
  </si>
  <si>
    <t>Lion Electric electric vehicle investment</t>
  </si>
  <si>
    <t>Support EV manufacturing</t>
  </si>
  <si>
    <t>15/03/2021</t>
  </si>
  <si>
    <t>Lion Electric (Lion), a company that manufactures all-electric trucks and buses, has announced construction of a Quebec-based battery manufacturing plant. The federal government has announced an investment of CAD $50 million, and an additional CAD $50 million has been announced from Quebec. Total investment equates to around $185 million CAD by Lion. The investment is provided as a loan, and it has been reported that around $30 million will be forgivable pending certain conditions achieved by the company, such as ensuring jobs are kept in Quebec.</t>
  </si>
  <si>
    <t xml:space="preserve">", https://www.cbc.ca/news/canada/montreal/trudeau-legault-electric-vehicle-announcement-1.5949998
, https://www.newswire.ca/news-releases/lion-electric-announces-the-construction-of-its-battery-manufacturing-plant-and-innovation-center-in-quebec-826634300.html" Accessed 16 March 2021. </t>
  </si>
  <si>
    <t>Yukon Resource Gateway Project</t>
  </si>
  <si>
    <t xml:space="preserve">The Yukon Resource Gateway Project will provide much needed upgrades to existing transportation infrastructure in two key areas of high mineral potential and active mining. These areas include the Dawson Range and Nahanni Range and includes the upgrade of over 650 kilometres of local road systems and infrastructure providing access to significant areas of mineralization. The Government of Canada is investing over $247 million towards the Yukon Resource Gateway Project through the National Infrastructure Component of the New Building Canada Fund, and the Government of Yukon is investing over $112 million. </t>
  </si>
  <si>
    <t xml:space="preserve">https://www.canada.ca/en/office-infrastructure/news/2021/03/canada-and-the-yukon-invest-in-improved-transportation-infrastructure-for-the-territory.html Accessed 15 March 2021. </t>
  </si>
  <si>
    <t xml:space="preserve">Various </t>
  </si>
  <si>
    <t>Replace and improve aging transmission and distribution infrastructure.</t>
  </si>
  <si>
    <t>The Government of Saskatchewan, through SaskBuilds and Procurement, has approved a $50 million capital stimulus grant to SaskPower to protect system reliability and build distribution capacity.  The Power Grid Renewal Grant will enable SaskPower to invest a record $272 million during the 2021-22 fiscal year to replace and improve its aging transmission and distribution infrastructure. According to the Canada Energy Regulator, about 83% of electricity in Saskatchewan is produced from fossil fuels.</t>
  </si>
  <si>
    <t>https://www.saskatchewan.ca/government/news-and-media/2021/april/13/government-of-saskatchewan-announces-50-million-power-grid-renewal-grant-to-protect-system-reliabili
, https://www.cer-rec.gc.ca/en/data-analysis/energy-markets/provincial-territorial-energy-profiles/provincial-territorial-energy-profiles-saskatchewan.html#:~:text=About%2083%25%20of%20electricity%20in,primarily%20hydroelectricity%20(Figure%203 Accessed 20 April 2021.</t>
  </si>
  <si>
    <t>PEI Budget 2020-21: Energy efficiency</t>
  </si>
  <si>
    <t>Support climate action</t>
  </si>
  <si>
    <t>29/04/2021</t>
  </si>
  <si>
    <t>PEI's budget sets aside $5.6 million to support and expand the heat pump rebate program through efficiencyPEI. Additional small investments were made in EV rebate programs and a rural transit system pilot project. In April 2021, the existing monetary limits of $5,000 and $10,000 for the lifetime of a property on efficiency programs were removed. There is no maximum for each property and every homeowner is eligible for these programs.</t>
  </si>
  <si>
    <t>", https://www.princeedwardisland.ca/en/news/islanders-can-now-receive-universal-electric-vehicle-incentive
, https://www.princeedwardisland.ca/sites/default/files/publications/2021_2022_estimates_of_revenue_and_expenditures.pdf" Accessed 3 May 2021</t>
  </si>
  <si>
    <t>Yukon Budget 2020-21: Bridges and highways</t>
  </si>
  <si>
    <t>Support aviation and tourism industry</t>
  </si>
  <si>
    <t>For bridges and highways as part of the capital budget. An additional $15 million is for Resource Gateway projects.</t>
  </si>
  <si>
    <t>", https://yukon.ca/en/news/budget-makes-life-more-affordable-historic-investments-yukon-families-infrastructure-and-renewable-energy
, https://yukon.ca/sites/yukon.ca/files/fin/fin-2021-22-budget.pdf
, https://yukon.ca/sites/yukon.ca/files/fin/fin-2021-22-budget-highlights.pdf" Accessed 15 March 2021</t>
  </si>
  <si>
    <t>Yukon Budget 2020-21: Aviation industry relief</t>
  </si>
  <si>
    <t>$10 million for aviation industry relief, including for remote and Indigenous communities. $16.5 million for airports and aerodromes.</t>
  </si>
  <si>
    <t>Yukon Budget 2020-21: Energy efficiency and retrofits</t>
  </si>
  <si>
    <t>Yukon's Budget 2020-21 sets aside $50 million to implement its climate plan, "Our Clean Future", including $14.4 million for green infrastructure and government retrofits, $3.5 million for other community retrofits, $6.1 million for energy rebates, and $1.2 million for First Nations residential retrofits.</t>
  </si>
  <si>
    <t>https://yukon.ca/en/news/budget-makes-life-more-affordable-historic-investments-yukon-families-infrastructure-and-renewable-energy
, https://yukon.ca/sites/yukon.ca/files/fin/fin-2021-22-budget.pdf
, https://yukon.ca/sites/yukon.ca/files/fin/fin-2021-22-budget-highlights.pdf
Accessed 15 March 2021</t>
  </si>
  <si>
    <t>Grants for energy efficiency projects and methane emissions reduction</t>
  </si>
  <si>
    <t>Alberta Innovates</t>
  </si>
  <si>
    <t>Create jobs</t>
  </si>
  <si>
    <t>27/10/2021</t>
  </si>
  <si>
    <t>The funding, being delivered by Alberta Innovates, will be given to technologies that help reduce methane emissions and improve industrial energy efficiency. Alberta Innovates invests in research, innovation and entrepreneurship to drive provincial economic growth and diversity.</t>
  </si>
  <si>
    <t>https://www.alberta.ca/release.cfm?xID=745642FF8ABED-9314-3005-E8D65AF4E905EAB2 Accessed 3 November 2020</t>
  </si>
  <si>
    <t>Yukon Budget 2020-21: Clean transportation rebates and charging stations</t>
  </si>
  <si>
    <t>Yukon's Budget 2020-21 sets aside $50 million to implement its climate plan, "Our Clean Future", including $1.1 million for clean transport programs and $500,000 for EV charging stations.</t>
  </si>
  <si>
    <t xml:space="preserve">https://yukon.ca/en/news/budget-makes-life-more-affordable-historic-investments-yukon-families-infrastructure-and-renewable-energy
, https://yukon.ca/sites/yukon.ca/files/fin/fin-2021-22-budget.pdf
, https://yukon.ca/sites/yukon.ca/files/fin/fin-2021-22-budget-highlights.pdf
Accessed 15 March 2021. </t>
  </si>
  <si>
    <t>Rebate program for new and used ZEVs</t>
  </si>
  <si>
    <t>Support ZEVs</t>
  </si>
  <si>
    <t>24/02/2021</t>
  </si>
  <si>
    <t>A rebate program for new and used electric vehicles, plug-in hybrids and e-bikes. Rebates will be $3,000 per new vehicle and $2,000 for used vehicles, with $500 for e-bikes. This will be in addition to the $5,000 federal rebate available for new electric vehicles.</t>
  </si>
  <si>
    <t xml:space="preserve">https://novascotia.ca/news/release/?id=20210224001 Accessed 1 March 2021. </t>
  </si>
  <si>
    <t>HomeWarming and the Affordable Multi-Family Housing energy efficiency programs</t>
  </si>
  <si>
    <t>Support energy efficiency</t>
  </si>
  <si>
    <t>$9.5 million, which will come from the Green Fund, is to go into the HomeWarming and the Affordable Multi-Family Housing energy efficiency programs. This will help 1,200 more low-income Nova Scotians make their homes more comfortable and protect their family budgets.</t>
  </si>
  <si>
    <t>https://novascotia.ca/news/release/?id=20210224001 Accessed 3 March 2021.</t>
  </si>
  <si>
    <t>Alberta Budget 2021: Capital plan and recovery plan spending for road infrastructure</t>
  </si>
  <si>
    <t>Create jobs and economic activity through infrastructure projects</t>
  </si>
  <si>
    <t>25/02/2021</t>
  </si>
  <si>
    <t>Alberta's Capital Plan, announced in Budget 2021, includes CAD 1.5 billion over three years to maintain Alberta‚Äôs inventory of existing road and bridge infrastructure, and CAD 2.4 billion over the next three years for projects that expand Alberta‚Äôs road network.</t>
  </si>
  <si>
    <t xml:space="preserve">https://open.alberta.ca/dataset/6f47f49d-d79e-4298-9450-08a61a6c57b2/resource/ec1d42ee-ecca-48a9-b450-6b18352b58d3/download/budget-2021-fiscal-plan-2021-24.pdf Accessed 3 March 2021. </t>
  </si>
  <si>
    <t>Geothermal</t>
  </si>
  <si>
    <t>other renewable</t>
  </si>
  <si>
    <t>Invigorate local economies, drive job creation and curb pollution</t>
  </si>
  <si>
    <t>Nearly $40.5 million in federal investments for the Clarke Lake Geothermal Development Project, a wholly owned and Indigenous-led project that will develop one of the first commercially viable geothermal electricity production facilities in Canada. The Clarke Lake geothermal facility is expected to produce between seven and 15 megawatts of clean electricity from a consistently available resource, which is equivalent to powering up to 14,000 households. Natural Resources Canada (NRCan) previously contributed $1 million for the resource assessment of this project and contributed an additional $38.5 million from the Emerging Renewables Power Program. Western Economic Diversification Canada contributed $2 million to fully assess the geothermal resource‚Äôs ability to produce power, as well as develop an Indigenous Employment and Training Strategy. Indigenous Services Canada contributed $250,000 toward the project through their Community Opportunity Readiness Program.</t>
  </si>
  <si>
    <t>https://www.canada.ca/en/natural-resources-canada/news/2021/03/canada-invests-in-cutting-edge-indigenous-geothermal-electricity-production-facility.html Accessed 15 March 2021</t>
  </si>
  <si>
    <t>Alberta Budget 2021: Geothermal Resource Development and the Mineral Strategy, including mapping of targeted public geoscience information in Alberta</t>
  </si>
  <si>
    <t>Map geoscience data in Alberta</t>
  </si>
  <si>
    <t>Funding for Geothermal Resource Development and the Mineral Strategy, including mapping of targeted public geoscience information in Alberta. Characterized as support to the energy sector, but included within an overarching goal of "maximizing value from hydrocarbons." As a result it is listed as "other energy" since it is unclear who will be the recipients of funding.</t>
  </si>
  <si>
    <t xml:space="preserve">https://open.alberta.ca/dataset/6f47f49d-d79e-4298-9450-08a61a6c57b2/resource/ec1d42ee-ecca-48a9-b450-6b18352b58d3/download/budget-2021-fiscal-plan-2021-24.pdf Accessed 5 March 2021. </t>
  </si>
  <si>
    <t>One-time rebates to all registered vehicle owners</t>
  </si>
  <si>
    <t>Dividends from public insurance company</t>
  </si>
  <si>
    <t>26/02/2021</t>
  </si>
  <si>
    <t xml:space="preserve">SGI will pass on roughly $350 million in earnings to the people of Saskatchewan by issuing one-time rebates to all registered vehicle owners, and also improving injury benefits for its most seriously injured customers. The provincial government has approved the one-time rebate of $285 million. The amount each customer receives will vary, and it will be calculated based on a proportion of vehicle premiums paid in the previous three years. Details are still being finalized, but it‚Äôs expected the average rebate will work out to approximately $285 per vehicle or approximately 26 per cent of an average annual premium in Saskatchewan.
The Auto Fund, which all Saskatchewan vehicle owners pay into via their insurance premiums, maintains the Rate Stabilization Reserve (RSR). Maintaining a healthy balance in the RSR protects customers against sudden rate fluctuations due to unexpected cost pressures. </t>
  </si>
  <si>
    <t xml:space="preserve">https://www.saskatchewan.ca/government/news-and-media/2021/february/26/sgi-to-issue-rebates-to-customers-average-payment-of-285-per-vehicle Accessed 2 March 2021. </t>
  </si>
  <si>
    <t>Extension of natural gas network in Estrie</t>
  </si>
  <si>
    <t>Support local economy</t>
  </si>
  <si>
    <t>23/02/2021</t>
  </si>
  <si>
    <t>An investment to extend the natural gas distribution network to Richmond, in the Estrie region of Quebec. The project will be undertaken by Energir.</t>
  </si>
  <si>
    <t xml:space="preserve">https://www.quebec.ca/nouvelles/actualites/details/prolongement-du-reseau-de-distribution-de-gaz-naturel-quebec-investit-106-m-dans-un-projet-de-develo/ Accessed March 2 2021. </t>
  </si>
  <si>
    <t>Enable renewable energy deployment</t>
  </si>
  <si>
    <t>The Government of Yukon has approved amendments to the Rate Policy Directive to support utility-led demand-side management programs, renewable electricity planning and development, and provide direction that will minimize impacts on electricity rates during times of reduced renewable electricity availability.</t>
  </si>
  <si>
    <t xml:space="preserve">https://yukon.ca/en/news/updated-public-utilities-act-regulation-supports-our-clean-future-strategy Accessed 24 February 2021. </t>
  </si>
  <si>
    <t>Sustainable Development Technology Canada investments for clean energy</t>
  </si>
  <si>
    <t>Support cleantech deployment</t>
  </si>
  <si>
    <t>This measure includes SDTC funding announced in February 2021 to Edgehog Advanced Technologies Inc., Intellinox Technologies. Inc, Hydrostor Inc, and QD Solar Inc.</t>
  </si>
  <si>
    <t xml:space="preserve">https://www.sdtc.ca/en/investing-in-innovators-how-cleantech-entrepreneurs-are-leading-the-way-to-net-zero/ Accessed 24 February 2021. </t>
  </si>
  <si>
    <t>Sustainable Development Technology Canada investments for fossil fuel-based energy</t>
  </si>
  <si>
    <t>This measure includes SDTC funding announced in February 2021 to Carbon Cap Inc, Challenger Technical Service Ltd., Novamera Inc, AdvEn Industries Inc., and Westgen Technologies Inc.</t>
  </si>
  <si>
    <t>Public transit infrastructure funding and permanent funding announcement (2021-2029)</t>
  </si>
  <si>
    <t>Support public transit</t>
  </si>
  <si>
    <t>The government announced CAD 5.9 billion over five years, that can be accessed starting in 2021, in public transit funding for: a) major public transit projects, including planning funding, b) switching public transit systems to cleaner electrical power, including supporting the use of zero-emission vehicles, c) active transportation projects, including by building walkways and paths for cycling, walking, scooters, e-bikes, and wheelchairs, d) transit solutions for Canadians living in rural and remote areas.
This measure also establishes the creation of a permanent public transit fund of CAD 3 billion per year, beginning in 2026-27 (total announced: CAD 9 billion).
This measure is focused on infrastructure investments, not operational funding.</t>
  </si>
  <si>
    <t xml:space="preserve">https://www.canada.ca/en/office-infrastructure/news/2021/02/a-plan-to-permanently-fund-public-transit-and-support-economic-recovery.html Accessed 15 February 2021. </t>
  </si>
  <si>
    <t>government procurement (DT)</t>
  </si>
  <si>
    <t>Hydro Quebec</t>
  </si>
  <si>
    <t>Providing renewable energy</t>
  </si>
  <si>
    <t>The agreement is for the signing of a 30-year contract for the purchase of electricity to be produced by the Apuiat wind farm. The contract between Hydro-Qu√©bec Production and Parc √©olien Apuiat S.E.C., a company comprising the Innu communities and Boralex, provides for electricity to be purchased at a cost of approximately 6¬¢/kWh. Apuiat is now the wind farm offering the most competitive cost per kilowatt-hour of all wind farms under contract in Qu√©bec.</t>
  </si>
  <si>
    <t>https://www.quebec.ca/nouvelles/actualites/details/partenariat-historique-avec-la-nation-innue-le-quebec-va-de-lavant-avec-limportant-projet-eolien-apu/ Accessed 10 February 2021.</t>
  </si>
  <si>
    <t>Agreement with the Government of Manitoba to support essential air access to remote communities</t>
  </si>
  <si>
    <t>The Government of Canada is contributing up to $12,031,000 for the province to allocate to air operators to address losses from the period of July 1 to Dec. 31, 2020. The agreement will maintain scheduled transportation service to 21 remote communities that rely on air service as the only year-round mode of transportation to ensure the continued supply of food, medical supplies and other essential goods and services.</t>
  </si>
  <si>
    <t>https://news.gov.mb.ca/news/index.html?item=50539&amp;posted=2021-02-01 Accessed 5 February 2021</t>
  </si>
  <si>
    <t>Increase in rebate for EV charging infrastructure for municipalities and businesses</t>
  </si>
  <si>
    <t>Promote electric vehicles</t>
  </si>
  <si>
    <t>The Go Electric Fleets program offers rebates for the purchase and installation of level 2 and direct-current fast-charging stations for fleets of one or more EVs. For a limited time, eligible businesses purchasing and installing level 2 charging stations can access a higher rebate of up to $4,000 per station, representing an increase from 50% to 75% of basic rates. Those purchasing EVs for a fleet are eligible for the same $3,000 point-of-purchase vehicle rebates as the general public in B.C.</t>
  </si>
  <si>
    <t>https://news.gov.bc.ca/releases/2021PREM0006-000153 Accessed 5 February 2021</t>
  </si>
  <si>
    <t>New CleanBC industrial electrification rates</t>
  </si>
  <si>
    <t>Lowering the costs of connecting to the electricity grid to help industries, public transportation agencies and neighbourhood energy systems reduce greenhouse gas emissions</t>
  </si>
  <si>
    <t>28/01/2021</t>
  </si>
  <si>
    <t>BC Hydro will provide new CleanBC industrial electrification rates that will offer a discount on BC Hydro‚Äôs standard industrial rates to:
- new clean industries setting up or expanding operations in B.C., including hydrogen and biofuels;
- eligible existing customers that install new equipment that uses electricity rather than fossil fuels; and
- eligible new customers that can demonstrate they could have used fossil fuels rather than electricity to power their facilities.</t>
  </si>
  <si>
    <t>Commercial, industrial, and agricultural energy efficiency programs in Manitoba</t>
  </si>
  <si>
    <t>Environment and Climate Change Canada</t>
  </si>
  <si>
    <t>Reduce natural-gas use and greenhouse gas emissions</t>
  </si>
  <si>
    <t>29/01/2021</t>
  </si>
  <si>
    <t>$32.3 million from the Low Carbon Economy Leadership Fund to support natural-gas programs offered by Efficiency Manitoba, a new Crown corporation established by the Government of Manitoba. The commercial, industrial, and agricultural programs include rebates and incentives to support energy savings from reducing natural-gas use through mechanical upgrades of space or process heating systems; building-envelope renovation improvements; and upgrades or equipment for new buildings that achieve greater energy savings.</t>
  </si>
  <si>
    <t>https://www.canada.ca/en/environment-climate-change/news/2021/01/government-of-canada-announces-support-for-manitoba-energy-efficiency-programs.html</t>
  </si>
  <si>
    <t>Support for North Atlantic Refinery</t>
  </si>
  <si>
    <t>Keep the refinery in warm idle mode while the owner continues to search for a buyer or investor</t>
  </si>
  <si>
    <t>15/01/2021</t>
  </si>
  <si>
    <t>The $16.6 million funding agreement between the Provincial Government and North Atlantic Refining Limited Partnership will specifically support 75 per cent of eligible labour costs of refinery employees and 50 per cent of eligible non-labour costs in Newfoundland and Labrador associated with the refinery warm idle and restart preparation related activities while the refinery remains offline. The support is in the form of a non-repayable contribution over a seven-month period ending on June 30, 2021 or until the refinery is restarted or resold.</t>
  </si>
  <si>
    <t>https://www.gov.nl.ca/releases/2021/exec/0115n13/ Accessed 31 January 2021</t>
  </si>
  <si>
    <t>Agreement with the Government of Canada to support essential air access to remote communities</t>
  </si>
  <si>
    <t>21/01/2021</t>
  </si>
  <si>
    <t>The Government of Ontario is investing $14.2 million to operate remote airports in 2020/21, including an additional $4 million this year to ensure continued safe operations during the pandemic. Under this agreement, the Government of Ontario will allocate funding to air operators to ensure the continued supply of food, medical supplies, and other essential goods and services to these communities.</t>
  </si>
  <si>
    <t xml:space="preserve">https://www.canada.ca/en/transport-canada/news/2021/01/government-of-canada-announces-agreement-with-government-of-ontario-to-support-essential-air-access-to-remote-communities.html Accessed 31 January 2021 </t>
  </si>
  <si>
    <t>Agreement with the Government of Ontario to support essential air access to remote communities</t>
  </si>
  <si>
    <t>The Government of Canada is contributing up to $11,134,000 for air services to remote communities to cover the period of July 1 to December 31, 2020. Under this agreement, the Government of Ontario will allocate funding to air operators to ensure the continued supply of food, medical supplies, and other essential goods and services to these communities. The Government of Ontario is investing $14.2 million to operate remote airports in 2020/21, including an additional $4 million this year to ensure continued safe operations during the pandemic.</t>
  </si>
  <si>
    <t>https://www.canada.ca/en/transport-canada/news/2021/01/government-of-canada-announces-agreement-with-government-of-ontario-to-support-essential-air-access-to-remote-communities.html Accessed 31 January 2021</t>
  </si>
  <si>
    <t>Approval (Environmental Assessment Decisions) of three offshore exploration drilling projects</t>
  </si>
  <si>
    <t>Impact Assessment Agency of Canada</t>
  </si>
  <si>
    <t>Growing the economy and creating good jobs for Canadians.</t>
  </si>
  <si>
    <t>The proposed BHP Canada Exploration Drilling Project, Central Ridge Exploration Drilling Project and West Flemish Pass Exploration Drilling Project can proceed. The projects will allow the proponents to determine the presence, nature, and quantities of the potential hydrocarbon resources within their explorations licences located approximately 350 to 375 kilometres offshore east of St. John's, Newfoundland and Labrador.</t>
  </si>
  <si>
    <t>https://www.canada.ca/en/impact-assessment-agency/news/2021/01/the-government-of-canada-announces-environmental-assessment-decisions-for-three-offshore-exploration-drilling-projects.html Accessed 21 January 2021.</t>
  </si>
  <si>
    <t>Electric Vehicle Grid Integration Pilot Project in Nova Scotia</t>
  </si>
  <si>
    <t>To help Nova Scotia Power establish cost-effective energy solutions for an electric vehicle (EV) smart grid‚Äìintegrated system. Federal funding for this project was provided through Natural Resources Canada‚Äôs Green Infrastructure ‚Äì Electric Vehicle Infrastructure Demonstration program.</t>
  </si>
  <si>
    <t xml:space="preserve">https://www.canada.ca/en/natural-resources-canada/news/2021/01/canada-invests-in-electric-vehicle-grid-integration-pilot-project-in-nova-scotia.html Accessed 21 January 2021. </t>
  </si>
  <si>
    <t>Doubling of CleanBC rebates for commercial EVs</t>
  </si>
  <si>
    <t>13/01/2021</t>
  </si>
  <si>
    <t>The Specialty-Use Vehicle Incentive (SUVI) program is receiving $31 million in funding through StrongerBC, the Province‚Äôs economic recovery plan, to double the maximum rebates for medium and heavy-duty vehicles available for B.C. businesses, local and regional governments, public sector organizations and non-profit organizations in their adoption of specialty-use zero-emission vehicles. Organizations in B.C. can also access $11 million in support for piloting unique or large deployments of medium- and heavy-duty or very large electric vehicles (EVs), such as domestic air, marine or rail transportation through the Commercial Vehicle Pilot program.</t>
  </si>
  <si>
    <t>https://news.gov.bc.ca/releases/2021EMLI0002-000037 Accessed 21 January 2021</t>
  </si>
  <si>
    <t>Doubling of home energy retrofit rebates through CleanBC Better Homes Program</t>
  </si>
  <si>
    <t>Promote retrofits</t>
  </si>
  <si>
    <t>Select residential rebates to switch to high-efficiency heating equipment, while saving energy and reducing greenhouse gases, have increased as follows until June 30, 2021:
- double the rebate from $3,000 to $6,000 when switching from a fossil fuel heating system to a high-efficiency heat pump;
- double the rebate from $1,000 to $2,000 when switching from a fossil fuel water heater to a heat pump water heater;
- double the rebate from $500 to $1,000 for an electrical service upgrade when switching from a fossil fuel heating system to a heat pump; and
a $3,000 rebate on an interest-free loan when switching from a fossil fuel heating system to a high-efficiency heat pump and accessing the CleanBC low-interest financing program.</t>
  </si>
  <si>
    <t>https://news.gov.bc.ca/releases/2020EMLI0068-002140 Accessed 12 Jan 2021</t>
  </si>
  <si>
    <t>Green Municipal Fund 2019-20 funding</t>
  </si>
  <si>
    <t>Help Canadian municipalities switch to innovative and sustainable practices</t>
  </si>
  <si>
    <t>In 2019-2020, the Green Municipal Fund (GMF) approved CAD 92 million in funding for capital projects, and close to CAD 6.6 million in plans, studies and pilot projects through its existing fund. GMF Signature Projects funded municipal projects that fall outside the scope of GMF‚Äôs funding offers, approving more than CAD 12 million in loans and over CAD 2 million in grants. GMF also announced the creation of three new innovative offerings:
‚Ä¢ Community Efficiency Financing (CEF) ‚Äì empowering low-rise residential property owners to invest in energy efficiency and renewable energy upgrades
‚Ä¢ Sustainable Affordable Housing (SAH) ‚Äì enabling energy efficient retrofit programs and new builds in the affordable
housing sector
‚Ä¢ Low Carbon Cities Canada (LC3) ‚Äì in partnership with six organizations and spearheaded by The Atmospheric Fund
(TAF), LC3 supports unique projects in seven major Canadian cities</t>
  </si>
  <si>
    <t>https://annualreport.greenmunicipalfund.ca/themes/sassquatch/assets/green-municipal-fund-annual-report-2019-2020.pdf Accessed February 1, 2021</t>
  </si>
  <si>
    <t>Provincial (YK)</t>
  </si>
  <si>
    <t xml:space="preserve">Renewables </t>
  </si>
  <si>
    <t>Yukon's Budget 2020-21 sets aside $50 million to implement its climate plan, "Our Clean Future", including $16 million for community-based renewable energy projects across the territory, and $10 million to advance the Atlin hydro expansion project in partnership with the Taku River Tlingit First Nation to increase renewable energy in the territory, and $1.5 million for the Innovative Renewable Energy Initiative.</t>
  </si>
  <si>
    <t>https://yukon.ca/en/news/budget-makes-life-more-affordable-historic-investments-yukon-families-infrastructure-and-renewable-energy
, https://yukon.ca/sites/yukon.ca/files/fin/fin-2021-22-budget.pdf
, https://yukon.ca/sites/yukon.ca/files/fin/fin-2021-22-budget-highlights.pdf Accessed 15 March 2021</t>
  </si>
  <si>
    <t>other hybrid support measures</t>
  </si>
  <si>
    <t>Ensure that the Lower Churchill Projects are financially sustainable</t>
  </si>
  <si>
    <t>Measures announced to support the Lower Churchill Projects hydroelectricity infrastructure include:
- Delaying debt and financing payments associated with the Lower Churchill Projects: The Government of Canada has temporarily waived certain financial obligations faced by the provincial Crown corporation Nalcor Energy, to help reduce immediate financial pressures on Newfoundland and Labrador.
- Moving forward on a process for a renewed financial structure for the Lower Churchill Projects: The Government of Canada and the Government of Newfoundland and Labrador will continue to work together on options to ensure a financially sustainable long-term solution for Lower Churchill Projects, and identify opportunities to support electrification efforts in Newfoundland and Labrador.
- Collaborating to study other clean energy projects: The Government of Canada will work with provinces to identify opportunities to support the Clean Power Roadmap for Atlantic Canada, including the Atlantic Loop.
- Appointing a Senior Executive Advisor on the Lower Churchill Projects in Newfoundland and Labrador and electrification in the Atlantic region: In this role, Serge Dupont will help support, and develop recommendations on, the financial restructuring of the Lower Churchill Projects, and make progress on major electrification priorities to advance the Atlantic Loop.</t>
  </si>
  <si>
    <t>https://www.gov.nl.ca/releases/2020/exec/1217n02/</t>
  </si>
  <si>
    <t>New 2025 emissions reduction target for British Columbia</t>
  </si>
  <si>
    <t>uncategorized</t>
  </si>
  <si>
    <t>Keep BC on track to reducing carbon pollution</t>
  </si>
  <si>
    <t>16/12/2020</t>
  </si>
  <si>
    <t>The new emission target requires greenhouse gases in B.C. to be 16% below 2007 levels by 2025. It provides a benchmark on the road to B.C.‚Äôs legislated emission targets for 2030, 2040 and 2050 of 40%, 60% and 80% below 2007 levels, respectively. The Province will also set sectoral targets, which will be established before March 31, 2021, and will develop legislation to ensure B.C. reaches net-zero emissions by 2050.</t>
  </si>
  <si>
    <t>https://news.gov.bc.ca/releases/2020ENV0061-002075</t>
  </si>
  <si>
    <t>Hydrogen Strategy for Canada</t>
  </si>
  <si>
    <t>Advance the hydrogen economy</t>
  </si>
  <si>
    <t>The Hydrogen Strategy for Canada seeks to position Canada as a global hydrogen leader. The Strategy is underpinned by a federal investment of $1.5 billion in a Low-carbon and Zero-emissions Fuels Fund to increase the production and use of low-carbon fuels, including hydrogen. The Strategy is  designed to spur investment and partnerships to establish Canada as a global supplier of hydrogen, and to increase domestic production, and build a new hydrogen supply for domestic use as well as exports.</t>
  </si>
  <si>
    <t>https://www.canada.ca/en/natural-resources-canada/news/2020/12/minister-oregan-launches-hydrogen-strategy-for-canada.html</t>
  </si>
  <si>
    <t>SMR Action Plan</t>
  </si>
  <si>
    <t>Advance the safe and responsible development and deployment of SMRs</t>
  </si>
  <si>
    <t>18/12/2020</t>
  </si>
  <si>
    <t>Canada's 2020 strengthened climate plan highlights Small Modular Reactors as a potential tool to reduce emissions. The SMR Action Plan provides concrete actions for the Government of Canada to:
- ensure robust policy, regulatory and legislative frameworks are in place to protect people and the environment;
- accelerate innovation;
- continue meaningful engagement with Indigenous communities and all Canadians; and
- develop international partnerships and open up new markets.</t>
  </si>
  <si>
    <t>https://www.canada.ca/en/natural-resources-canada/news/2020/12/canada-outlines-next-steps-for-progress-on-small-modular-reactor-technology.html</t>
  </si>
  <si>
    <t>A Healthy Environment and a Healthy Economy (2020 Climate Plan):  Strategic Innovation Fund ‚Äì Net Zero Accelerator program</t>
  </si>
  <si>
    <t>Rapidly expedite decarbonization projects with large emitters, scaleup clean technology and accelerate Canada‚Äôs industrial transformation across all sectors</t>
  </si>
  <si>
    <t>Under the new federal climate plan, ""A Healthy Environment and a Health Economy"", Canada has pledged to invest $1.5 billion in a Clean Fuels Fund to increase the production and use of low-carbon fuels (e.g., hydrogen, biocrude, renewable natural gas and diesel, cellulosic ethanol)
in a manner that complements federal carbon pollution pricing, regulatory efforts and other federal programming. Funding will be offered to successful applicants through conditionally repayable contribution agreements of up to 30 percent of the total eligible project costs, to a maximum of $150 million, per project.
The eligibility of clean fuel types supported under this part of the program will depend on the fuel‚Äôs life cycle carbon intensity. The Program defines an eligible clean fuel as follows:
-        Carbon intensity of eligible liquid clean fuels must be equal to or below 50 gCO2e/MJ.
-        Carbon intensity of eligible gaseous clean fuels must be equal to or below 36 gCO2e/MJ.
Updated August 2021 to account for SIF disbursements to more specific projects that are recorded elsewhere in EPT.</t>
  </si>
  <si>
    <t>https://www.canada.ca/content/dam/eccc/documents/pdf/climate-change/climate-plan/healthy_environment_healthy_economy_plan.pdf
, https://www.nrcan.gc.ca/sites/nrcan/files/energy/clean/CFP%20Applicant's%20Guide.pdf
, https://nrcan.canada.ca/climate-change/canadas-green-future/clean-fuels-fund/23734
, https://www.canada.ca/en/natural-resources-canada/news/2021/06/minister-oregan-launches-call-for-proposals-under-15-billion-clean-fuels-fund-to-grow-clean-fuels-market-across-canada.html
, https://nrcan.canada.ca/climate-change/canadas-green-future/clean-fuels-fund/23734  Accessed 30 June 2021</t>
  </si>
  <si>
    <t>A Healthy Environment and a Healthy Economy (2020 Climate Plan): Additional policies</t>
  </si>
  <si>
    <t>Reduce greenhouse gas emissions</t>
  </si>
  <si>
    <t>"The new federal climate plan, ""A Healthy Environment and a Health Economy"",  includes many uncosted or regulatory measures in addition to costed measures listed elsewhere in the Energy Policy Tracker for bulidings, energy and transportation. These include, inter alia:
- efforts to build out supply chains for building materials and EVs
- commitment to conduct first ever national infrastruture investment review
- promise for permanent funding for public transit
- national active transportation strategy
- achieve net-zero electricity generation before 2050 and pursue strategic interties for transmission
- border carbon adjustments
- improved oil and gas methane targets
However, the plan has little detail on implementation of just transition initiatives and does not address managed phase out of fossil fuel production.
- reduce fertilizer-related emissions by 30% and invest in agriculture cleantech
- nature-based solutions
- addressing landfill emissions through improved regulations
- applying a "climate lens" to government decision-making for a whole-of-government approach</t>
  </si>
  <si>
    <t>https://www.policynote.ca/new-climate-plan/</t>
  </si>
  <si>
    <t>A Healthy Environment and a Healthy Economy (2020 Climate Plan): Carbon price increase</t>
  </si>
  <si>
    <t>Price pollution</t>
  </si>
  <si>
    <t>Under the new federal climate plan, "A Healthy Environment and a Health Economy", Canada is proposing to increase the carbon price by $15 per year, starting in 2023, rising to $170 per tonne of carbon pollution in 2030. Going forward, the federal carbon price will continue to be revenue neutral, and the Government will continue to return all fuel charge proceeds back to Canadian families and their communities, ensuring that the majority of households receive more in payments than they face in costs. These payments will move from annual to quarterly payments starting as early as 2022.</t>
  </si>
  <si>
    <t>A Healthy Environment and a Healthy Economy (2020 Climate Plan): Sustainable Development Technology Canada top-up</t>
  </si>
  <si>
    <t xml:space="preserve">Support startups and scale-up companies to enable pre-commercial clean technologies </t>
  </si>
  <si>
    <t>Under the new federal climate plan, ""A Healthy Environment and a Health Economy"", Canada will continue support to Sustainable Development Technology Canada (SDTC) with an additional $750 million over five years, to support startups and to scale-up companies to enable pre-commercial clean technologies to successfully demonstrate feasibility as well as to support early commercialization efforts.
SDTC provides support to multiple sectors, including energy and transportation. As it is not yet clear how funding will be spent and what portion will represent energy-spending, this measure is not quantified in the Energy Policy Tracker.</t>
  </si>
  <si>
    <t>Investment in Svante Inc. Carbon Capture Technology</t>
  </si>
  <si>
    <t>Support carbon capture and storage development</t>
  </si>
  <si>
    <t>The Government of Canada has invested $25 million into Svante Inc. to support the development of its carbon capture technology. Svante Inc. says the new technology can prevent significant carbon dioxide emissions from industrial sites, including cement and blue hydrogen plants.</t>
  </si>
  <si>
    <t>https://www.canada.ca/en/innovation-science-economic-development/news/2021/07/government-makes-major-investment-inone-of-canadas-leading-clean-technology-firms.html Accessed 2 August 2021</t>
  </si>
  <si>
    <t>Infrastructure (bikelanes, sidewalks, pathways)</t>
  </si>
  <si>
    <t>British Columbia budget 2021: Additional active transportation investment, and electric bike PST exemption</t>
  </si>
  <si>
    <t>active transport</t>
  </si>
  <si>
    <t>$18 million to support active transportation infrastructure like bike lanes, sidewalks, and multi-use pathways. A PST exemption on electric bikes that will save British Columbians an estimated $7 million annually</t>
  </si>
  <si>
    <t>A Healthy Environment and a Healthy Economy (2020 Climate Plan): Incentives for Zero-Emission Vehicles program top-up</t>
  </si>
  <si>
    <t>Increase uptake of electric vehicles</t>
  </si>
  <si>
    <t>Under the new federal climate plan, ""A Healthy Environment and a Health Economy"", Canada has pledged to invest an additional $287 million over two years, starting in 2020-21, to continue the Incentives for Zero-Emission Vehicles (iZEV) program until March 2022. The program provides a rebate of up to $5,000 on a light-duty zero-emission vehicle.
The Government has also pledged to work with the United States on consumer availability of EVs, align Canada's Light Duty Vehicle regulations with stringent performance standards post-2025, and work on supply side policies for adoption of EVs. As of December 2020, no zero-emissions mandate has yet been implemented.
This measure is categorized as "clean conditional" given Canada's electricity mix still includes fossil fuels.</t>
  </si>
  <si>
    <t>A Healthy Environment and a Healthy Economy (2020 Climate Plan): Low-carbon and Zero-emissions Fuels Fund</t>
  </si>
  <si>
    <t>Increase the production and use of low-carbon fuels</t>
  </si>
  <si>
    <t>Under the new federal climate plan, ""A Healthy Environment and a Health Economy"", Canada has pledged to invest $1.5 billion in a Low-carbon and Zero-emissions Fuels Fund to increase the production and use of low-carbon fuels (e.g., hydrogen, biocrude, renewable natural gas and diesel, cellulosic ethanol)
in a manner that complements federal carbon pollution pricing, regulatory efforts and other federal programming. It is as of yet unclear how funding will be spent, and whether funding for hydrogen will include fossil fuel-based hydrogen, so this entry has been categorized as ""Other Energy"".</t>
  </si>
  <si>
    <t>A Healthy Environment and a Healthy Economy (2020 Climate Plan): Green and inclusive community building retrofits and builds</t>
  </si>
  <si>
    <t>Support good jobs and local economic growth, contribute to climate objectives and serve disadvantaged populations</t>
  </si>
  <si>
    <t>Under the new federal climate plan, "A Healthy Environment and a Health Economy", Canada has pledged to invest $1.5 billion over three years for green and inclusive community buildings through retrofits, repairs, upgrades and new builds. They will require that at least 10% of this $1.5 billion in funding be allocated to projects serving First Nations, Inuit and M√©tis communities, including Indigenous populations in urban centres. This funding builds on previous announcements in 2020 from the Fall Economic Statement and through the Canada Infrastructure Bank.</t>
  </si>
  <si>
    <t xml:space="preserve">https://www.canada.ca/content/dam/eccc/documents/pdf/climate-change/climate-plan/healthy_environment_healthy_economy_plan.pdf Accessed 14 December 2020. </t>
  </si>
  <si>
    <t>Various (electricity)</t>
  </si>
  <si>
    <t>Strategic interties/electricity transmission infrastructure assessment investment (Fall Economic Statement)</t>
  </si>
  <si>
    <t>To inform and complement transmission projects by the Canada Infrastructure Bank</t>
  </si>
  <si>
    <t>To be provided in 2021-22 to help proponents of new electricity transmission infrastructure complete engineering assessments, community engagement, and environmental and regulatory studies. This work will help inform and complement the Canada Infrastructure Bank‚Äôs efforts to identify and address financial gaps in the projects.</t>
  </si>
  <si>
    <t xml:space="preserve">https://www.budget.gc.ca/fes-eea/2020/report-rapport/toc-tdm-en.html Accessed 10 December 2020. </t>
  </si>
  <si>
    <t>Grow the SMR industry</t>
  </si>
  <si>
    <t>The investment is being made to support Terrestrial Energy in commercializing its SMR technology. Canada has an SMR Roadmap, which outlines a long-term vision for the development and deployment of this technology.</t>
  </si>
  <si>
    <t>https://www.canada.ca/en/innovation-science-economic-development/news/2020/10/government-of-canada-invests-in-innovative-small-modular-reactor-technology.html Accessed 19 October 2020</t>
  </si>
  <si>
    <t>Zero-emissions vehicles infrastructure investment (Fall Economic Statement)</t>
  </si>
  <si>
    <t>To increase confidence that charging and refuelling stations are available</t>
  </si>
  <si>
    <t>Provided over 3 years to Natural Resources Canada, starting in 2021-22. These investments in infrastructure for zero-emission vehicles will help increase confidence that charging and refueling stations are available and conveniently located where and when they are needed.</t>
  </si>
  <si>
    <t>Residential retrofit and energy efficiency program investment (Fall Economic Statement)</t>
  </si>
  <si>
    <t>To help homeowners improve their home energy efficiency</t>
  </si>
  <si>
    <t xml:space="preserve">Provided over 7 years, starting in 2020-21, to Natural Resources Canada to help homeowners improve their home energy efficiency by providing up to 700,000 grants of up to $5,000 to help homeowners make energy-efficient improvements to their homes, up to one million free EnerGuide energy assessments, and support to recruit and train EnerGuide energy auditors to meet increased demand. Additional information on home energy efficiency grants will be provided in a future announcement, and eligibility for these grants will be retroactive to December 1, 2020. </t>
  </si>
  <si>
    <t>Capital investment in electric schoolbuses for 2021-2022</t>
  </si>
  <si>
    <t>Support capital infrastructure</t>
  </si>
  <si>
    <t>20/11/2020</t>
  </si>
  <si>
    <t>To purchase electric school buses.</t>
  </si>
  <si>
    <t xml:space="preserve">https://www.princeedwardisland.ca/sites/default/files/publications/capital_estimates_fall_2020_0.pdf
, https://www.princeedwardisland.ca/en/news/capital-budget-lays-foundation-prince-edward-island-become-net-zero Accessed 1 December 2020. </t>
  </si>
  <si>
    <t>Capital investment in active transportation for 2021-2022</t>
  </si>
  <si>
    <t>active transport (cycling or walking)</t>
  </si>
  <si>
    <t>To develop active transportation corridors along provincially-owned roads and pathways to encourage alternative transportation and healthier lifestyles.</t>
  </si>
  <si>
    <t>Greening Government Strategy</t>
  </si>
  <si>
    <t>Treasury Board</t>
  </si>
  <si>
    <t>Improve government operations</t>
  </si>
  <si>
    <t>26/11/2020</t>
  </si>
  <si>
    <t xml:space="preserve">This reflects the publication of the updated Greening Government Strategy. The Government of Canada has committed to reduce its own operational greenhouse gas (GHG) emissions to net zero by 2050. The new strategy includes, for the first time, commitments to achieve net-zero emissions from national safety and security (NSS) fleet, green procurement and employee commuting. </t>
  </si>
  <si>
    <t xml:space="preserve">https://www.canada.ca/en/treasury-board-secretariat/news/2020/11/the-government-of-canada-is-leading-by-example-on-combatting-climate-change.html Accessed 1 December 2020. </t>
  </si>
  <si>
    <t>Funding for EV chargers in Quebec and New Brunswick</t>
  </si>
  <si>
    <t>Encourage electric vehicle use</t>
  </si>
  <si>
    <t>24/11/2020</t>
  </si>
  <si>
    <t>For the installation of 100 electric vehicle (EV) fast chargers as part of the government‚Äôs commitment to build a national network of EV charging stations. Federal funding is provided through Natural Resources Canada‚Äôs Zero-Emission Vehicle Infrastructure Program.</t>
  </si>
  <si>
    <t>https://www.canada.ca/en/natural-resources-canada/news/2020/11/new-electric-vehicle-chargers-coming-to-quebec-and-new-brunswick.html Accessed 1 December 2020.</t>
  </si>
  <si>
    <t>Changes to Ontario fuel standards</t>
  </si>
  <si>
    <t>Improve fuel standards</t>
  </si>
  <si>
    <t>Ontario becomes the first province to require fuel suppliers to increase the amount of "renewable" content in regular-grade gasoline to 15 per cent. This change is expected to result in an annual reduction of up to one megatonne of greenhouse gas emissions in 2030. Notably, this final regulation is weaker than what was put forth in Ontario's climate plan, which stated "increasing the ethanol content of gasoline to 15% as early as 2025". The regulation also delays the compliance period for fuel suppliers in response to the pandemic. Most of the ethanol produced in Ontario is made from locally-grown corn rather than biomass waste -- and this announcement or the accompanying materials do not mention any safeguards that would make these ‚Äúadvanced: or ‚Äúsecond‚Äù or ‚Äúthird generation‚Äù biofuels, so this policy is classified as 'Other energy'.</t>
  </si>
  <si>
    <t>https://news.ontario.ca/en/release/59352/ontario-to-be-national-leader-and-require-cleaner-and-greener-gasoline-1
, https://www.ontario.ca/page/made-in-ontario-environment-plan Accessed 1 December 2020</t>
  </si>
  <si>
    <t>Investment for zero-emission school buses (Quebec)</t>
  </si>
  <si>
    <t>Electrify transportation</t>
  </si>
  <si>
    <t>Funding for the deployment of electric school buses under the Electric Schoolbus Deployment Support Program, under the Transport Electrification Action Plan 2015-2020 ("Plan d'action en √©lectrification des transports 2015-2020").</t>
  </si>
  <si>
    <t>https://www.newswire.ca/news-releases/18-m-supplementaires-pour-electrifier-les-autobus-scolaires-quebecois-896809309.html Accessed 23 November 2020.</t>
  </si>
  <si>
    <t>Investment in zero-emission school buses</t>
  </si>
  <si>
    <t>Support clean transportation</t>
  </si>
  <si>
    <t>Funding for the purchase of 12 new electric school buses.</t>
  </si>
  <si>
    <t>https://www.canada.ca/en/office-infrastructure/news/2020/11/big-yellow-school-buses-go-green-thanks-to-canada-and-prince-edward-island.html Accessed 18 November 2020.</t>
  </si>
  <si>
    <t>Investment in York EV chargers</t>
  </si>
  <si>
    <t>Support electric vehicle adoption</t>
  </si>
  <si>
    <t>Funding to help the Regional Municipality of York build 70 electric vehicle (EV) level 2 chargers</t>
  </si>
  <si>
    <t>https://www.canada.ca/en/natural-resources-canada/news/2020/11/new-electric-vehicle-chargers-coming-to-york-region.html Accessed 18 November 2020</t>
  </si>
  <si>
    <t>Investment in SWITCH EV blockchain technology</t>
  </si>
  <si>
    <t>Funding for a blockchain-based EV charging platform that will significantly reduce the cost of EV charging transactions and enhance grid efficiency. The federal funding for this project was provided through Natural Resources Canada‚Äôs Green Infrastructure ‚Äì Electric Vehicle Infrastructure Demonstration program.</t>
  </si>
  <si>
    <t>https://www.canada.ca/en/natural-resources-canada/news/2020/11/canada-invests-in-innovative-ev-charging-technology.html Accessed 18 November 2020</t>
  </si>
  <si>
    <t>Plan for a Green Economy &amp;#8211; Innovation</t>
  </si>
  <si>
    <t>16/11/2020</t>
  </si>
  <si>
    <t>Quebec's climate change and clean economy plan includes a number of implementation measures from 2021-2026 focused on energy and electrification. Of its CAD 6.7 billion five-year initial budget, CAD 401 million will be invested for new companies in strategic and innovative areas, though what programs are included in this amount are not fully clear. This entry includes CAD 213 million will target production and distribution of renewable natural gas, CAD 30 million will support bioenergy innovation, CAD 15 million will support green hydrogen initiatives, and CAD 59 million will be spent on innovative GHG-reduction technologies (sectors unspecified).</t>
  </si>
  <si>
    <t>https://www.quebec.ca/nouvelles/actualites/details/le-gouvernement-du-quebec-lance-le-plan-pour-une-economie-verte-2030-1/
, https://cdn-contenu.quebec.ca/cdn-contenu/adm/min/environnement/publications-adm/plan-economie-verte/plan-mise-oeuvre-2021-2026.pdf?1605539784 Accessed 18 November 2020</t>
  </si>
  <si>
    <t>Plan for a Green Economy &amp;#8211; Combining natural gas and electricity in heating</t>
  </si>
  <si>
    <t>Quebec's climate change and clean economy plan includes a number of implementation measures from 2021-2026 focused on energy and electrification. Of its CAD 6.7 billion five-year initial budget, CAD 125 million is reserved for building heating conversion from natural gas to dual energy (electricity and natural gas) based on recommendations from Hydro-Quebec and Energir.</t>
  </si>
  <si>
    <t>Plan for a Green Economy &amp;#8211; Residential, Institutional, and Commercial Buildings</t>
  </si>
  <si>
    <t>Quebec's climate change and clean economy plan includes a number of implementation measures from 2021-2026 focused on energy and electrification. Of its CAD 6.7 billion five-year initial budget, CAD 248 million will be invested in energy efficiency measures for residential, commercial, and institutional buildings, including the transition from use of fuel oil to electricity or renewables. CAD 75 million will go towards heat recovery and use. CAD 25 million will support off-grid communities to develop renewable energy projects and transition away from diesel.</t>
  </si>
  <si>
    <t>Plan for a Green Economy &amp;#8211; Industrial sector</t>
  </si>
  <si>
    <t>Quebec's climate change and clean economy plan includes a number of implementation measures from 2021-2026 focused on energy and electrification. Of its CAD 6.7 billion five-year initial budget, at least CAD 768 million will be invested to make the industrial sector greener and more competitive, but it is not yet clear if all of this will be for GHG emission reduction projects. This entry includes CAD 90 million for decarbonisation initiatives among the largest emitters, CAD 48 million for a Greenhouse Gas Challenge fund for niche industries, and CAD 2 million for bespoke assistance for large emitters, and CAD 579 million for industrial energy efficiency programs and bioenergy conversion of forest waste, including portions of existing programs EcoPerformance and Technoclimat.</t>
  </si>
  <si>
    <t>Plan for a Green Economy &amp;#8211; Transportation</t>
  </si>
  <si>
    <t>Quebec's climate change and clean economy plan includes a number of implementation measures from 2021-2026 focused on energy and electrification. Of its CAD 6.7 billion five-year initial budget, CAD 3.6 billion will be invested in transportation initiatives including public transit, electric vehicles, and electrification of heavy duty vehicles. In addition, CAD 50 million will support electric vehicle industry innovation, such as battery recycling. Quebec is also investing heavily in public transit through its Quebec Infrastructure Plan. However, environmental groups have pointed out the lack of a feebate system to accelerate the EV transition.</t>
  </si>
  <si>
    <t xml:space="preserve">https://www.quebec.ca/nouvelles/actualites/details/le-gouvernement-du-quebec-lance-le-plan-pour-une-economie-verte-2030-1/
, https://cdn-contenu.quebec.ca/cdn-contenu/adm/min/environnement/publications-adm/plan-economie-verte/plan-mise-oeuvre-2021-2026.pdf?1605539784
, https://www.equiterre.org/en/communique/quebecs-green-economy-plan-%E2%80%93-new-tool-to-fight-climate-change-doesnt-go-far-enough-for-th Accessed 16 November 2020. </t>
  </si>
  <si>
    <t>Increase the participation of Indigenous communities and organizations in oil and gas infrastructure development in BC and/or Alberta</t>
  </si>
  <si>
    <t>13/11/2020</t>
  </si>
  <si>
    <t>For Indigenous communities and organizations in British Columbia and Alberta to further increase their participation in economic opportunities related to oil and gas infrastructure development. This announcement extends the 2019‚Äì20 Indigenous Natural Resource Partnerships program</t>
  </si>
  <si>
    <t>https://www.canada.ca/en/natural-resources-canada/news/2020/11/government-of-canada-extends-funding-to-increase-indigenous-participation-in-oil-and-gas-infrastructure-development.html
, https://www.nrcan.gc.ca/our-natural-resources/indigenous-natural-resources/indigenous-natural-resource-partnerships/22197</t>
  </si>
  <si>
    <t>Low Carbon Economy Fund investment in Alberta</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</si>
  <si>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As of November 9, 2020, no breakdown of how the funding will be applied is available. CAD 100 million is provided through the Low Carbon Economy Fund.</t>
  </si>
  <si>
    <t xml:space="preserve">https://www.canada.ca/en/environment-climate-change/news/2020/11/government-of-canada-announces-over-100m-to-spur-job-creation-in-alberta-and-fight-climate-change.html Accessed 10 November 2020. </t>
  </si>
  <si>
    <t>New Emissions Reduction Alberta programs</t>
  </si>
  <si>
    <t>Emissions Reduction Alberta</t>
  </si>
  <si>
    <t>Reduce emissions and support COVID-19 recovery</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</si>
  <si>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The federal portion has been announced as up to CAD 100 million, so we calculate at least CAD 180 million for the provincial portion.</t>
  </si>
  <si>
    <t>https://www.alberta.ca/release.cfm?xID=756076A3D7F7D-9024-C817-4B35572EBB13A119 Accessed 10 November 2020</t>
  </si>
  <si>
    <t>Investment in aerospace manufacturing in Burlington</t>
  </si>
  <si>
    <t>FedDev Ontario</t>
  </si>
  <si>
    <t>Support growth in the aerospace sector</t>
  </si>
  <si>
    <t xml:space="preserve">To support the scale-up and growth of Formula Solutions Inc. (FSI), a composite manufacturer that specializes in Carbon Fibre Reinforced Plastic aerospace components. </t>
  </si>
  <si>
    <t xml:space="preserve">https://www.canada.ca/en/economic-development-southern-ontario/news/2020/11/government-of-canada-invests-in-scale-up-of-aerospace-manufacturer-in-burlington.html Accessed 10 November 2020. </t>
  </si>
  <si>
    <t>Additional support for essential air access to remote communities</t>
  </si>
  <si>
    <t>Government of Northwest Territories</t>
  </si>
  <si>
    <t>Ensure essential air access</t>
  </si>
  <si>
    <t>A new agreement with the federal government and the Government of the Northwest Territories to support essential air access to remote communities. The Government of Canada is contributing up to $17.1 million to ensure continuity of service for at least six months and up to 18 months if necessary. The Government of the Northwest Territories is also providing up to $3 million through this agreement.</t>
  </si>
  <si>
    <t>https://www.canada.ca/en/transport-canada/news/2020/11/government-of-canada-announces-agreement-with-the-government-of-the-northwest-territories-to-support-essential-air-access-to-remote-communities.html Accessed 10 November 2020</t>
  </si>
  <si>
    <t>Support for essential air access to remote communities</t>
  </si>
  <si>
    <t>Government of Nunavut</t>
  </si>
  <si>
    <t>A new agreement with the federal government and the Government of Nunavut to support essential air access to remote communities. The Government of Canada is contributing up to $17.1 million to ensure continuity of service for at least six months and up to 18 months if necessary. The Government of Nunavut is willing to commit an equal amount, up to $17.1 million, through a combination of monetary and in-kind contributions. The measure has not been quantified here as it is uncertain what portion will be in-kind.</t>
  </si>
  <si>
    <t>https://www.canada.ca/en/transport-canada/news/2020/11/government-of-canada-announces-agreement-with-the-government-of-nunavut-to-support-essential-air-access-to-remote-communities.html Accessed 10 November 2020</t>
  </si>
  <si>
    <t>Investment in Propulsion Qu√©bec for electric and smart transportation</t>
  </si>
  <si>
    <t>This investment will support the design and development of an electric propulsion system for a 40-ton mining truck, along with a battery solution technology and a fast-charging infrastructure adapted to mining operations. Funding is provided via the INNOV-R Program to Propulsion Qu√©bec, Quebec‚Äôs industrial cluster for electric and smart transportation, to help innovation in Canada‚Äôs mining industry. The Soci√©t√© du Plan Nord is also participating with a contribution of $100,000 under the Fonds d‚Äôinitiatives du Plan Nord. There is also a federal investment.</t>
  </si>
  <si>
    <t>https://www.canada.ca/en/natural-resources-canada/news/2020/11/ottawa-and-quebec-invest-in-clean-technology-for-quebecs-mining-industry.html Accessed 10 November 2020</t>
  </si>
  <si>
    <t>2022/2023</t>
  </si>
  <si>
    <t>2026/2027</t>
  </si>
  <si>
    <t>Procure clean electricity</t>
  </si>
  <si>
    <t>To support the Government of Canada‚Äôs commitment to power federal buildings with 100 per cent clean electricity by 2022, Budget 2021 proposes to provide $14.9 million over 4 years, starting in 2022-23, with $77.9 million in future years, to Public Services and Procurement Canada for a Federal Clean Electricity Fund to purchase renewable energy certificates for all federal government buildings.</t>
  </si>
  <si>
    <t>Legislation to pay for new or expanded transportation infrastructure by collecting user fees</t>
  </si>
  <si>
    <t>other energy type</t>
  </si>
  <si>
    <t>Leverage funding to build infrastructure</t>
  </si>
  <si>
    <t>The Financing Alberta‚Äôs Strategic Transportation (FAST) Act will enable Alberta‚Äôs government to pay for new or expanded transportation infrastructure by collecting user fees. The legislation explicitly forbids user fees on existing lanes and bridges. User fees will stop once the capital cost of the project is paid off. The first project under this legislation is proposed to be the construction of a new Highway 697 bridge over the Peace River.</t>
  </si>
  <si>
    <t>https://www.alberta.ca/release.cfm?xID=756179F89CF23-0B25-AE23-C5CD714CDB6691C8 Accessed 10 November 2020.</t>
  </si>
  <si>
    <t>Funding for transit for Manitoba municipalities</t>
  </si>
  <si>
    <t>Support municipalities to respond to COVID-19</t>
  </si>
  <si>
    <t>22/10/2020</t>
  </si>
  <si>
    <t>As part of the Safe Restart Agreement, Manitoba received CAD 33.4 million to be allocated for public transit in the five Manitoba municipalities with eligible public transit systems. This line item represents the provincial contribution.</t>
  </si>
  <si>
    <t>https://news.gov.mb.ca/news/index.html?item=49451&amp;posted=2020-10-22 Accessed 26 October 2020</t>
  </si>
  <si>
    <t xml:space="preserve">Hydrogen </t>
  </si>
  <si>
    <t>Also includes funding for reducing fuel CO2 intensity</t>
  </si>
  <si>
    <t>British Columbia budget 2021: Policy development for low-carbon fuels and hydrogen</t>
  </si>
  <si>
    <t>$10 million to further develop policy on reducing the carbon intensity of fuel and developing the hydrogen economy here in B.C.</t>
  </si>
  <si>
    <t>Highway 15 in Laval</t>
  </si>
  <si>
    <t>Maintain and develop infrastructure</t>
  </si>
  <si>
    <t>28/10/2020</t>
  </si>
  <si>
    <t>The Quebec government announced CAD 1.5 billion for construction on highway 15 in Laval and the Laurentides to improve traffic circulation, safety, and facilitate public transportation.</t>
  </si>
  <si>
    <t>https://www.quebec.ca/nouvelles/actualites/details/cest-le-temps-daller-de-lavant-avec-la-15-le-gouvernement-annonce-des-investissements-majeurs-de-plu/ Accessed 3 November 2020</t>
  </si>
  <si>
    <t>Bill 44: Responsible and effective governance to respond to the climate crisis and create prosperity</t>
  </si>
  <si>
    <t>Adoption of Bill 44, which will promote governance for climate action and electricification across Quebec. The law comes into force on November 1, 2020. The current Green Fund will be replaced by a new fund "Fonds d'√©lectrification et de changements climatiques (FECC)" for climate change and electrificaton projects. The previous fund had been criticized for funding fossil fuel projects. The Minister of Environment will now be responsible for coordinating government climate change action, including for the government's 2020 roadmap "Plan pour √©conomie verte 2030". The Act also introduces better accountability mechanisms and a climate change advisory committee, in addition to creating a new role for the Auditor General of Quebec to report on climate progress.</t>
  </si>
  <si>
    <t>https://www.quebec.ca/nouvelles/actualites/details/adoption-du-projet-de-loi-no-44-une-gouvernance-efficace-et-responsable-pour-repondre-a-lurgence-cli/ Accessed 26 October 2020</t>
  </si>
  <si>
    <t>Programme Technoclimat grant for greenhouse energy efficiency</t>
  </si>
  <si>
    <t>20/10/2020</t>
  </si>
  <si>
    <t>Funding for Sollum Technologies to advance energy efficient LED lighting solutions for greenhouse fruit and vegetable production</t>
  </si>
  <si>
    <t>http://www.fil-information.gouv.qc.ca/Pages/Article.aspx?Page=7&amp;idArticle=2810205299 Accessed 26 October</t>
  </si>
  <si>
    <t>Investment in roads in James Bay</t>
  </si>
  <si>
    <t>Provide transportation access</t>
  </si>
  <si>
    <t>21/10/2020</t>
  </si>
  <si>
    <t>Funding for new roadworks on the Baie-James corridor, a vital transportation link for northern Quebec.</t>
  </si>
  <si>
    <t>http://www.fil-information.gouv.qc.ca/Pages/Article.aspx?Page=5&amp;idArticle=2810210606 Accessed 26 October 2020</t>
  </si>
  <si>
    <t>Funding for energy transition of Aluminerie Alouette</t>
  </si>
  <si>
    <t>Support emissions reductions in heavy industry</t>
  </si>
  <si>
    <t>23/10/2020</t>
  </si>
  <si>
    <t>Funding from the Minist√®re de l'√ânergie et des Ressources naturelles (MERN) to Gaz M√©tro GNL, a subsidiary of √ânergir, for the implementation of liquefied natural gas (LNG) service at Aluminerie Alouette.</t>
  </si>
  <si>
    <t>http://www.fil-information.gouv.qc.ca/Pages/Article.aspx?Page=2&amp;idArticle=2810232141 Accessed 26 October 2020</t>
  </si>
  <si>
    <t>Funding for the conversion of the aluminum plant's anode baking furnaces from fuel oil to liquefied natural gas.</t>
  </si>
  <si>
    <t xml:space="preserve">http://www.fil-information.gouv.qc.ca/Pages/Article.aspx?Page=2&amp;idArticle=2810232141 Accessed 26 October 2020. </t>
  </si>
  <si>
    <t>tax or royalty or govt fee break (GRF)</t>
  </si>
  <si>
    <t xml:space="preserve">Reduce fiscal burdens for energy sector. </t>
  </si>
  <si>
    <t>19/10/2020</t>
  </si>
  <si>
    <t>A series of measures to reduce fiscal burdens for oil and gas companies, including elimination of the Well Drilling Equipment Tax, extending a 35% assessment reduction on shallow gas wells, lowering tax assessments for less productive wells, and a 3-year tax exemption for companies building new pipelines or drilling new wells.</t>
  </si>
  <si>
    <t xml:space="preserve">https://www.alberta.ca/release.cfm?xID=7450191EACDD1-D715-3078-59DF6480E106FC9E Accessed 26 October 2020 </t>
  </si>
  <si>
    <t>", https://www.cbc.ca/news/canada/calgary/oil-gas-drilling-incentive-taxes-tax-break-alberta-allard-wells-1.5768095#:~:text=McIntosh%2FCanadian%20Press)-,The%20provincial%20government%20announced%20a%20series%20of%20measures%20Monday%20aimed,wells%20and%20building%20new%20pipelines.
, https://calgaryherald.com/opinion/columnists/varcoe-ucp-strikes-compromise-in-oilpatch-assessment-issue-with-80m-break-for-industry"</t>
  </si>
  <si>
    <t>Lifting of Alberta oil production curtailment</t>
  </si>
  <si>
    <t>Maintain stability of Alberta's resource sector</t>
  </si>
  <si>
    <t>While the Alberta government will extend its regulatory authority to curtail oil production through December 2021, it will not set production limits due to 16 per cent of Alberta‚Äôs crude oil production remaining offline, down from 22 per cent at the start of the COVID-19 pandemic. At this time the Government of Alberta does not plan to resume production limits. Should forecasts show storage inventories approaching maximum capacity, government could put production limits back in place, giving industry 30 to 60 days of advance notice to enable companies to plan their production.</t>
  </si>
  <si>
    <t>https://www.alberta.ca/release.cfm?xID=7453839D1E00E-BF57-7D73-26FA912B970B113E Accessed 26 October 2020</t>
  </si>
  <si>
    <t>Building Transit Faster Act and Transit-Oriented Communities Act</t>
  </si>
  <si>
    <t>Expedite planning and construction of priority transit projects</t>
  </si>
  <si>
    <t>21/07/2020</t>
  </si>
  <si>
    <t>In July 2020, the Building Transit Faster Act became law, providing the province with the tools to expedite the planning, design and construction process of four priority transit projects in the GTA: the new Ontario Line, the three-stop Scarborough Subway Extension, the Eglinton Crosstown LRT West Extension and the Yonge North Subway Extension.
The Transit-Oriented Communities Act permits the Lieutenant Governor in Council to designate land as ‚Äútransit-oriented community land‚Äù to support expansion of transit.</t>
  </si>
  <si>
    <t>https://news.ontario.ca/en/release/58910/ontario-takes-steps-to-accelerate-the-building-of-key-infrastructure-projects Accessed 26 October 2020</t>
  </si>
  <si>
    <t>Investment in Clean Resource Innovation Network</t>
  </si>
  <si>
    <t xml:space="preserve">Support oil and gas sector to rebound, create good jobs for workers and reduce its carbon footprint. </t>
  </si>
  <si>
    <t>The investment will help the Clean Resource Innovation Network (CRIN) accelerate the development and adoption of innovative technologies and processes that seek to lower the oil and gas industry‚Äôs environmental impacts. Through this investment, CRIN aims to reduce the sector‚Äôs greenhouse gas emissions by 100 megatons by 2033.</t>
  </si>
  <si>
    <t>https://www.canada.ca/en/innovation-science-economic-development/news/2020/10/government-of-canada-invests-in-clean-technology-ecosystems.html Accessed 27 October 2020.</t>
  </si>
  <si>
    <t>Approval of NOVA Gas Transmission Ltd. 2021 System Expansion Project and NOVA Gas Transmission Ltd. North Corridor System Expansion Project</t>
  </si>
  <si>
    <t>Create jobs, support recovery in Alberta, and help phase out coal-powered electricity</t>
  </si>
  <si>
    <t>The Government of Canada has approved the NOVA Gas Transmission Ltd. (NGTL) 2021 System Expansion Project with 35 conditions, and amendments to the Canada Energy Regulator's conditions for approval related to caribou and Indigenous engagement. The $2.3-billion project has been touted for creating 2,920 jobs and giving natural gas producers better access to markets for their products.</t>
  </si>
  <si>
    <t>https://www.canada.ca/en/natural-resources-canada/news/2020/10/government-of-canada-approves-the-nova-gas-transmission-ltd-2021-system-expansion-project.html Accessed 11 May 2021.</t>
  </si>
  <si>
    <t>Renewable Natural Gas</t>
  </si>
  <si>
    <t>Funding for Lacombe Biorefinery</t>
  </si>
  <si>
    <t>Support job-creating emissions reduction programs</t>
  </si>
  <si>
    <t>Alberta‚Äôs government will provide CAD 10 million from the industry-funded Technology Innovation and Emissions Reduction fund through Emissions Reduction Alberta to build a CAD 45-million clean energy and organic fertilizer facility in Lacombe. The facility will have the capacity to generate enough renewable natural gas to heat more than 1,000 homes each year.</t>
  </si>
  <si>
    <t>https://eralberta.ca/projects/details/lacombe-biorefinery/ Accessed 19 October 2020</t>
  </si>
  <si>
    <t>Provide affordable energy</t>
  </si>
  <si>
    <t>Ontario introduced the Energy Affordability Program (EAP). Beginning the week of January 4, 2021, EAP will provide electricity saving measures to help participating households manage their electricity-use and lower their electricity costs by up to $1,000 per year; tailor energy-efficiency upgrades based on household income, home heating system, location, and an energy needs assessment; and, simplify access to new and updated electricity saving measures through a single program that replaces the Affordability Fund Trust and Home Assistance Program, which are ending in 2020.</t>
  </si>
  <si>
    <t>https://news.ontario.ca/en/release/58782/ontario-helps-keep-energy-costs-low-for-families-small-businesses-and-farmers Accessed 19 October 2020</t>
  </si>
  <si>
    <t>For clean Agricultural technology</t>
  </si>
  <si>
    <t>Help farms transition from diesel</t>
  </si>
  <si>
    <t>Funding for agriculture clean tech towards powering farms with clean energy and transition from diesel. Not counted here is also a commitment of $50 million for efficient grain dryers, which was added to the existing $165.5 million Ag Clean Tech program announced in the December 2020 climate plan.</t>
  </si>
  <si>
    <t>Provincial funding for battery electric vehicle production at Ford Canada&amp;#8217;s Oakville Assembly Complex</t>
  </si>
  <si>
    <t>Support jobs and economic development</t>
  </si>
  <si>
    <t>Provincial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</si>
  <si>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https://news.ontario.ca/en/release/58736/historic-ford-canada-investment-transforming-ontario-into-global-electric-vehicle-manufacturing-hub Accessed 13 October 2020</t>
  </si>
  <si>
    <t>Funding for battery electric vehicle production at Ford Canada&amp;#8217;s Oakville Assembly Complex</t>
  </si>
  <si>
    <t>Federal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</si>
  <si>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Budget 2020 allocations for oil and gas industry</t>
  </si>
  <si>
    <t>Support initiatives to develop the province's oil and gas industry</t>
  </si>
  <si>
    <t>30/09/2020</t>
  </si>
  <si>
    <t>Budget 2020 allocates CAD 26 million for exploration activities to systematically evaluate offshore basins and image prospects to capture global investment offshore Newfoundland and Labrador. It also allocates CAD 6 million to help supply-and-service companies in the oil and gas sector through the Innovation and Business Development Fund.</t>
  </si>
  <si>
    <t>https://www.gov.nl.ca/budget/2020/wp-content/uploads/sites/3/2020/09/Innovation-Industry-Development.pdf Accessed 5 October 2020</t>
  </si>
  <si>
    <t>Budget 2020 funding for highways and bridges</t>
  </si>
  <si>
    <t>Improve the transportation network</t>
  </si>
  <si>
    <t>Budget 2020 allocates CAD 165 million for provincial highways and bridges including CAD 39.8 million for the Trans Labrador Highway.</t>
  </si>
  <si>
    <t>https://www.gov.nl.ca/budget/2020/wp-content/uploads/sites/3/2020/09/Infrastructure.pdf Accessed 5 October 2020</t>
  </si>
  <si>
    <t>Zero-emission buses and charging infrastructure investment through Canada Infrastructure Bank</t>
  </si>
  <si>
    <t>Through the Canada Infrastructure Bank (CIB) Growth Plan, CAD 1.5 billion has been allocated to accelerate the adoption of zero-emission buses and charging infrastructure so Canadians can have cleaner commutes. This spending, as with other CIB packages, has an emphasis on public-private partnerships. It is estimated CIB Growth Plan Measures will create approximately 60,000 jobs across the country.</t>
  </si>
  <si>
    <t>Large-scale building retrofit investment through Canada Infrastructure Bank</t>
  </si>
  <si>
    <t>Through the Canada Infrastructure Bank (CIB) Growth Plan, CAD 2 billion has been allocated for large-scale building retrofits to increase energy efficiency  and help make communities more sustainable. This spending, as with other CIB packages, has an emphasis on public-private partnerships. It is estimated CIB Growth Plan Measures together will create approximately 60,000 jobs across the country.</t>
  </si>
  <si>
    <t>Funding for British Columbia hydrogen strategy</t>
  </si>
  <si>
    <t>CleanBC, Ministry of Energy, Mines, and Petroleum Resources</t>
  </si>
  <si>
    <t xml:space="preserve">Support for a more prosperous, balanced, and sustainable future. </t>
  </si>
  <si>
    <t>The Government of British Columbia has allocated $10 million to the construction and operation of 10 hydrogen fuelling stations in the province, as well as three years of support for the work of Hydrogen BC.</t>
  </si>
  <si>
    <t>https://news.gov.bc.ca/releases/2020EMPR0046-001696 Accessed 15 September 2020</t>
  </si>
  <si>
    <t>Investments from the Technology Innovation and Emissions Reduction (TIER) fund for carbon capture and storage and emissions reductions projects</t>
  </si>
  <si>
    <t>Support emissions reductions projects</t>
  </si>
  <si>
    <t>This line item includes funds from TIER that are clearly for fossil energy.
The Government of Alberta has announced that it will use up to CAD 750 million from its Technology Innovation and Emissions Reduction (TIER) fund, along with other funding, to support emissions reductions in key industries. TIER is a carbon pricing system, a fund paid into by large industrial facilities. This announcement will use all amounts currently in the TIER fund.
Announcements on September 22, 2020 included the following allocations: CAD 52 million for methane programs in the oil and gas sector and CAD 80 million for Alberta‚Äôs new Industrial Energy Efficiency and Carbon Capture Utilization and Storage (IEE CCUS) Grant Program. CAD 9.5 million was previously announced through Emissions Reduction Alberta to support several carbon capture, utilization and storage projects.
In February 2021, Alberta's Budget 2021 allocated $408 million from fiscal years 2021-2022 to 2023-24 (three years) for the IEE CCUS Grant Program. An additional $1 million is directed to an ESG Secretariat for the oil and gas sector. Additional funding was provided for the Canadian Energy Sector but the amount is not clear. Budget 2021 also allocated $27 million over three years for coal phase-out and worker transition.</t>
  </si>
  <si>
    <t xml:space="preserve">https://www.alberta.ca/release.cfm?xID=7329228BE88D1-0322-5F49-C6C11B795F47B4C0
, https://www.alberta.ca/release.cfm?xID=73318C6591C57-0E3B-1147-1811898B8A0131A5
, https://open.alberta.ca/dataset/6f47f49d-d79e-4298-9450-08a61a6c57b2/resource/ec1d42ee-ecca-48a9-b450-6b18352b58d3/download/budget-2021-fiscal-plan-2021-24.pdf Accessed 28 September 2020 and 5 March 2021. </t>
  </si>
  <si>
    <t xml:space="preserve">Provincial </t>
  </si>
  <si>
    <t>Renewable fuel</t>
  </si>
  <si>
    <t>FedDev Ontario investment in biodiesel</t>
  </si>
  <si>
    <t>Federal Economic Development Agency for Southern Ontario</t>
  </si>
  <si>
    <t>Encourage productivity and economic growth</t>
  </si>
  <si>
    <t>$10 million to support the scale-up and growth of two renewable fuel producers in the Ontario: FORGE Hydrocarbons and IGPC Ethanol Inc.</t>
  </si>
  <si>
    <t>https://www.canada.ca/en/economic-development-southern-ontario/news/2020/07/two-renewable-fuel-producers-scale-up-to-increase-productivity-and-economic-growth-in-rural-southwestern-ontario.html Accessed 17 August 2020</t>
  </si>
  <si>
    <t>Tidal</t>
  </si>
  <si>
    <t>Funding for Canada&amp;#8217;s Tidal Power Industry</t>
  </si>
  <si>
    <t xml:space="preserve">Support for a clean energy future. </t>
  </si>
  <si>
    <t xml:space="preserve">Funding for four tidal energy projects through NRCan's Energy Innovation, Clean Growth, and Emerging Renewables Power programs: $4 million to Nova Innovation to build a tidal turbine array using sub-sea tidal technology in Petit Passage in the Bay of Fundy. $1.58 million to the University of Manitoba, in partnership with SOAR ‚Äì Sustainable Oceans Applied Research, to advance research on river hydrokinetic and in-stream tidal energy technologies in the Canadian context. $2 million to Offshore Energy Research Association of Nova Scotia to research an environmental effects monitoring solution for the instream tidal energy industry in Canada, including fish and marine mammal interactions with tidal devices. $2 million to Fundy Ocean Research Centre for Energy to outline a plan to assess the encounter risk for fish with tidal devices and create a tool to support the regulatory authorization process for tidal energy projects. </t>
  </si>
  <si>
    <t>https://www.canada.ca/en/natural-resources-canada/news/2020/09/government-invests-in-canadas-tidal-power-industry.html Accessed 14 September 2020</t>
  </si>
  <si>
    <t>One-time support for Newfoundland and Labrador‚Äôs Offshore Energy Sector</t>
  </si>
  <si>
    <t>Support oil and gas industry</t>
  </si>
  <si>
    <t>25/09/2020</t>
  </si>
  <si>
    <t>CAD 320 million towards an agreement with the provincial government to support Newfoundland's offshore energy sector. The sector had been lobbying for financial assistance since the onset of COVID-19. Although Minister of Natural Resources Seamus O'Regan alluded to supporting a net-zero transition in his funding announcement, no strings appear to be attached to the funding to ensure it will be used explicitly for job creation or be tied to environmental outcomes.
The Government of Newfoundland and Labrador has also established an oil and gas industry recovery task force to decide how to use the funds, among other tasks.</t>
  </si>
  <si>
    <t>https://www.canada.ca/en/department-finance/news/2020/09/government-of-canada-supports-newfoundland-and-labradors-offshore-energy-sector-workers.html
, https://www.gov.nl.ca/releases/2020/exec/0925n03/ Accessed 28 September 2020</t>
  </si>
  <si>
    <t>Support for Indigenous Participation In Pipeline Projects</t>
  </si>
  <si>
    <t>Support Indigenous economic activity and oil and gas industry</t>
  </si>
  <si>
    <t>23/09/2020</t>
  </si>
  <si>
    <t xml:space="preserve">The Peacemaker Project, led by the First Peoples Pipeline, will receive a total of CAD 500,000 to further work on a proposed project to create a new energy corridor for western Canadian oil and gas to an export terminal near Churchill, Manitoba.  Project Reconciliation, delivered by the Indian Resource Council of Canada (IRC), will receive a total of CAD 500,000 to focus on promoting Indigenous participation and ownership in the Trans Mountain Pipeline and Expansion Project (TMX) and other major energy infrastructure projects. </t>
  </si>
  <si>
    <t>https://www.saskatchewan.ca/government/news-and-media/2020/september/23/indigenous-participation-in-pipeline Accessed 28 September 2020</t>
  </si>
  <si>
    <t>New offshore oil exploration initiative and establishment of oil and gas recovery task force</t>
  </si>
  <si>
    <t>Government of Newfoundland</t>
  </si>
  <si>
    <t>Support for offshore oil industry</t>
  </si>
  <si>
    <t>24/09/2020</t>
  </si>
  <si>
    <t>Establishment of a new offshore exploration initiative to provide companies with the incentive to drill more wells by funding a percentage of well costs beyond the first well drilled on a license. The Government of Newfoundland and Labrador has also established an oil and gas industry recovery task force.
Annually, the Canada-Newfoundland and Labrador Offshore Petroleum Board (C-NLOPB) issues calls for bids for exploration licenses in the province‚Äôs offshore. The sole criterion for selecting a winning bid is the total amount of money the bidder commits to spend on exploration of the parcel. The successful bidder is required to post a security deposit for 25 per cent of the work expenditure bid. If the bidder does not meet its work commitment, the security deposit is forfeit and the investment opportunity is lost. Under this new policy, forfeited security deposits can be reinvested into offshore exploration projects.</t>
  </si>
  <si>
    <t>https://www.gov.nl.ca/releases/2020/exec/0924n02/
, https://www.gov.nl.ca/releases/2020/exec/0925n03/
, https://www.gov.nl.ca/releases/2020/iet/1202n07/
Accessed 10 December 2020</t>
  </si>
  <si>
    <t>SDTC funding for cleantech projects for oil and gas industry</t>
  </si>
  <si>
    <t>Promote cleantech</t>
  </si>
  <si>
    <t>16/09/2020</t>
  </si>
  <si>
    <t>As part of a series of funding announcements for Sustainable Development Technology Canada, this includes CAD 3.4 million for a multilateral junction for shale oil and gas producers and CAD 3.4 million for sensing and monitoring technology for intelligent wellbores and pipelines.</t>
  </si>
  <si>
    <t>https://www.canada.ca/en/innovation-science-economic-development/news/2020/09/list-of-cleantech-projects-receiving-funding-from-sustainable-development-technology-canada-sdtc.html Accessed 21 September 2020</t>
  </si>
  <si>
    <t>SDTC funding for cleantech projects for energy efficiency and low-emissions vehicle cleantech projects</t>
  </si>
  <si>
    <t>As part of a series of funding announcements for Sustainable Development Technology Canada, this includes funding for several cleantech projects that support energy efficiency in water treatement, mining operations, and electric vehicles. (CAD 2.8 million to Pani Energy, CAD 5.6 million to Motion Metrics International Corp, CAD 1.4 million to Swirltex Inc., CAD 2.4 mmillion in Inmotive Inc., CAD 4 million to Soleco Energie Inc.)</t>
  </si>
  <si>
    <t>Funding for natural gas expansion in North Bay</t>
  </si>
  <si>
    <t>The Ontario government is providing up to CAD 8.67 million to expand natural gas to households and businesses in North Bay. Construction is underway on a new natural gas pipeline (27 km by Enbridge), funded by Ontario's Natural Gas Expansion Program.</t>
  </si>
  <si>
    <t>https://news.ontario.ca/en/release/58329/ontario-expands-natural-gas-to-more-communities-in-north-bay Accessed 21 September 2020</t>
  </si>
  <si>
    <t xml:space="preserve">British Columbia </t>
  </si>
  <si>
    <t>New CleanBC stimulus measures for active transportation</t>
  </si>
  <si>
    <t>Support active transportation</t>
  </si>
  <si>
    <t>17/09/2020</t>
  </si>
  <si>
    <t>As part of a suite of new stimulus measures announced under the CleanBC plan (the province's plan for clean energy and emissions reductions), over CAD 16 million for active transportation was announced.</t>
  </si>
  <si>
    <t>https://news.gov.bc.ca/files/StrongerBC_BCs-Economic-Recovery-Report.pdf Accessed 21 September 2020</t>
  </si>
  <si>
    <t>Funding for school energy efficiency and retrofits</t>
  </si>
  <si>
    <t>Environment &amp; Climate Change Canada</t>
  </si>
  <si>
    <t>Support for energy efficiency</t>
  </si>
  <si>
    <t>On June 25, 2019, the Minister of Environment and Climate Change announced the Municipalities, Universities, Schools and Hospitals (MUSH) Retrofit stream of the Climate Action Incentive Fund. The first round of funding, announced in September, includes approximately CAD 12 million for Saskatchewan and CAD 5 million for Manitoba.</t>
  </si>
  <si>
    <t>https://www.canada.ca/en/environment-climate-change/news/2020/09/canada-supports-energy-efficiency-projects-in-saskatchewan-schools.html
, https://www.canada.ca/en/environment-climate-change/news/2020/09/canada-supports-energy-efficiency-projects-in-manitoba-schools.html
, https://www.canada.ca/en/environment-climate-change/services/climate-change/carbon-pollution-pricing-proceeds-programming/climate-action-incentive-fund/municipalities-universities-schools-hospitals.html Accessed 21 September 2020</t>
  </si>
  <si>
    <t>Funding for research for electric and alternative fuel vehicles</t>
  </si>
  <si>
    <t>Support clean energy</t>
  </si>
  <si>
    <t>18/09/2020</t>
  </si>
  <si>
    <t>An investment of $1,716,469 to the CSA Group, a Toronto-based organization that develops standards to address emerging technologies and issues in the public and private sectors. The funding will support a project to research, develop, adapt and update codes and standards for electric and alternative fuel vehicles and infrastructure.</t>
  </si>
  <si>
    <t>https://www.canada.ca/en/natural-resources-canada/news/2020/09/investing-in-canadas-zero-emission-vehicle-sector.html Accessed 21 September 2020</t>
  </si>
  <si>
    <t>Provincial (NWT)</t>
  </si>
  <si>
    <t>Eight community-led clean energy projects in Northwest Territories from the Clean Energy for Rural and Remote Communities program. "This funding will support communities in their efforts to build a cleaner future and reduce their reliance on diesel fuel for heat and power while creating jobs."</t>
  </si>
  <si>
    <t>https://www.canada.ca/en/natural-resources-canada/news/2020/09/canada-invests-in-clean-energy-projects-in-the-northwest-territories.html Accessed 28 September 2020</t>
  </si>
  <si>
    <t>Territorial rebates for electric vehicles and home heating systems</t>
  </si>
  <si>
    <t>Support access to affordable and renewable energy</t>
  </si>
  <si>
    <t>14/09/2020</t>
  </si>
  <si>
    <t>The Government of Yukon released a strategy for climate change, energy and a green economy. The strategy includes 131 actions the Government of Yukon will take to address the impacts of climate change while building a green economy and ensuring Yukoners can access reliable, affordable and renewable energy over the next decade. Included in the strategy are a new suite of clean transportation rebates for low- and zero-emission vehicles, and an expansion of rebates for home heat pumps.</t>
  </si>
  <si>
    <t>https://yukon.ca/en/news/climate-change-energy-and-green-economy-strategy-yukon-announced
, https://yukon.ca/en/news/expanded-rebates-renewable-home-heating-now-available
, https://www.cbc.ca/news/canada/north/yukon-climate-green-energy-plan-final-1.5723936 Accessed 21 September 2020</t>
  </si>
  <si>
    <t>Transport Canada</t>
  </si>
  <si>
    <t>Support essential air access</t>
  </si>
  <si>
    <t>New measures to support essential air access to remote communities include seeking bilateral agreements with provinces and territories to ensure continuity of service for at least six months, and establishing a $75-million funding program for the federal contribution for the first six months and maintaining these essential services through an investment of up to $174 million over 18 months, if needed. Funding is done in partnership with contributions by provincial and territorial governments to ensure minimum levels of essential transportation services to remote communities, and ensure the continued supply of food, medical supplies, and other essential goods and services.</t>
  </si>
  <si>
    <t>https://www.canada.ca/en/transport-canada/news/2020/08/government-of-canada-announces-new-measures-to-support-essential-air-access-to-remote-communities.html Accessed 21 September 2020</t>
  </si>
  <si>
    <t>Creation of Invest Alberta</t>
  </si>
  <si>
    <t>Ministry of Jobs, Economy and Innovation</t>
  </si>
  <si>
    <t>Attract job creating investment, and telling institutional investors the truth about Alberta‚Äôs environmentally responsible energy sector</t>
  </si>
  <si>
    <t>Creation of Invest Alberta, a new provincial agency that will lead an aggressive worldwide campaign to attract job creating investment, while providing concierge service to prospective investors, and promoting Alberta‚Äôs energy sector. CAD 18 million initial budget for three years (CAD 6 million per year) but no sectoral breakdown available. Oil, gas, cleantech, petrochemicals, and aviation are all noted as key sectors for Invest Alberta's strategy. This is part of Alberta's Investment and Growth Strategy, which has a budget of CAD 75 million over three years for implementation.</t>
  </si>
  <si>
    <t>https://www.alberta.ca/assets/documents/alberta-recovery-plan.pdf
, https://www.alberta.ca/release.cfm?xID=732412285001E-D266-AB66-6185334C659ECC01 Accessed 21 September 2020</t>
  </si>
  <si>
    <t>Mostly for biomass heating projects</t>
  </si>
  <si>
    <t>Five community-led clean energy projects in Yukon from the Clean Energy for Rural and Remote Communities program. This funding will support communities in their efforts to build a cleaner future and reduce their reliance on diesel fuel for heat and power while creating jobs.</t>
  </si>
  <si>
    <t xml:space="preserve">https://www.canada.ca/en/natural-resources-canada/news/2020/09/government-invests-in-clean-energy-initiatives-in-yukon.html Accessed 28 September 2020 </t>
  </si>
  <si>
    <t>Provincial investment in Quebec Bioenergy</t>
  </si>
  <si>
    <t>Ministry of Forests, Wildlife and Parks</t>
  </si>
  <si>
    <t xml:space="preserve">$4.1 million Government of Quebec investment in CRB Innovations to convert forest residues to biofuels and bioplastics. $2.5 million from the Wood Innovation Program, managed by the Ministry of Forests, Wildlife and Parks, to support the Westbury company, and $1.575 million under the Technoclimat Program. </t>
  </si>
  <si>
    <t>https://www.canada.ca/en/natural-resources-canada/news/2020/09/canada-invests-in-bioenergy-in-quebec.html Accessed 19 September 2020</t>
  </si>
  <si>
    <t>Federal investment in Quebec Bioenergy</t>
  </si>
  <si>
    <t xml:space="preserve">$4.5 million federal government spending in CRB Innovations for second generation forest-based bioenergy, with the aim of energy efficiency and GHG reduction by converting forest residues to biofuels and bioplastics. Through Natural Resources Canada Clean Growth Program. </t>
  </si>
  <si>
    <t>https://www.canada.ca/en/natural-resources-canada/news/2020/09/canada-invests-in-bioenergy-in-quebec.html Accessed 14 September 2020</t>
  </si>
  <si>
    <t>Quebec Funding for Biocarbon Briquettes for Ferroalloy Production</t>
  </si>
  <si>
    <t>Quebec Ministry of Energy and Natural Resources</t>
  </si>
  <si>
    <t xml:space="preserve">Government of Quebec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</si>
  <si>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 Accessed 14 September 2020</t>
  </si>
  <si>
    <t>Federal Funding for Biocarbon Briquettes for Ferroalloy Production</t>
  </si>
  <si>
    <t xml:space="preserve">Federal government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</si>
  <si>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t>
  </si>
  <si>
    <t>Project is solar-based</t>
  </si>
  <si>
    <t>Supporting clean electricity investments</t>
  </si>
  <si>
    <t>To develop and deploy a smart microgrid in the West 5 net-zero energy community in London, Ontario. The microgrid will integrate monitoring, data management and communications, electric vehicle infrastructure, distributed energy resource management, solar power generation and batteries to reduce grid use.</t>
  </si>
  <si>
    <t>https://www.canada.ca/en/natural-resources-canada/news/2020/07/canada-invests-in-smart-grid-technology-for-london-net-zero-energy-community.html Accessed 1 August 2020</t>
  </si>
  <si>
    <t>Funding for green building technologies via Smart Sustainable Resilient Infrastructure Association</t>
  </si>
  <si>
    <t>Support SMEs to adopt clean tech</t>
  </si>
  <si>
    <t>To help Alberta‚Äôs construction and engineering industry by supporting small and medium-sized businesses adopt new products and technologies that improve the energy efficiency of buildings and reduce greenhouse gas emissions.</t>
  </si>
  <si>
    <t>https://www.canada.ca/en/western-economic-diversification/news/2020/09/government-of-canada-invests-in-albertas-construction-industry-to-help-strengthen-energy-efficiency-and-green-building-practices.html Accessed 7 September 2020</t>
  </si>
  <si>
    <t>Funding for South Baffin Energy Management Project</t>
  </si>
  <si>
    <t>Support innovative climate action</t>
  </si>
  <si>
    <t>20/08/2020</t>
  </si>
  <si>
    <t xml:space="preserve">This project will help improve energy efficiency and introduce renewable energy in 45 buildings owned by the Government of Nunavut in the six communities that make up the South Baffin region. The Government of Nunavut‚Äôs Department of Community and Government Services is contributing $8.6 million. The federal government has provided $18.3 million through the Low Carbon Economy Leadership Fund. </t>
  </si>
  <si>
    <t>https://www.canada.ca/en/environment-climate-change/news/2020/08/government-of-canada-partners-with-nunavut-for-renewable-and-energy-efficiency-projects.html Accessed 7 September 2020</t>
  </si>
  <si>
    <t>Innovative Clean Energy (ICE) Fund announcements &amp;#8211; September 2020</t>
  </si>
  <si>
    <t>Government of British Columbia - Innovative Clean Energy Fund</t>
  </si>
  <si>
    <t>Part of the government‚Äôs CleanBC plan, the ICE Fund supports the research, development and commercialization of clean energy technologies that aim to reduce B.C.‚Äôs emissions and create new economic opportunities for people. Funding includes innovations in fueling for heavy-duty hydrogen vehicles and renewable energy technology. Some projects received additional funding from partners including Sustainable Development Technology Canada (SDTC).</t>
  </si>
  <si>
    <t>https://news.gov.bc.ca/releases/2020EMPR0043-001634 Accessed 7 September 2020</t>
  </si>
  <si>
    <t>Funding for sustainable development projects in Bas-Saint-Laurent</t>
  </si>
  <si>
    <t>Funding for 3 sustainable development initiatives, including support for a new recycling facility, support for adoption of biomass energy, and electrification of transport.</t>
  </si>
  <si>
    <t>http://www.fil-information.gouv.qc.ca/Pages/Article.aspx?Page=6&amp;idArticle=2809016282 Accessed 7 September 2020</t>
  </si>
  <si>
    <t>Infrastructure Canada project funding for public transit since January 2020</t>
  </si>
  <si>
    <t>Through the Investing in Canada plan (developed prior to COVID-19), the Government of Canada is investing over $180 billion over 12 years in infrastructure projects across Canada. This line item reflects federal investments made in public transit since the start of the pandemic.</t>
  </si>
  <si>
    <t>https://open.canada.ca/data/en/dataset/beee0771-dab9-4be8-9b80-f8e8b3fdfd9d Last accessed 30 June 2021</t>
  </si>
  <si>
    <t>Infrastructure Canada project funding for active transportation since January 2020</t>
  </si>
  <si>
    <t>Through the Investing in Canada plan (developed prior to COVID-19), the Government of Canada is investing over $180 billion over 12 years in infrastructure projects across Canada. This line item reflects federal investments made in active transportation since the start of the pandemic.</t>
  </si>
  <si>
    <t>Funding for Algoma Steel‚Äôs climate action initiatives</t>
  </si>
  <si>
    <t>18/08/2020</t>
  </si>
  <si>
    <t xml:space="preserve">The integrated steel producer Algoma Steel will use the funding to improve both the tar-removal and light-oil-recovery areas of its coke-making plant in Sault Ste. Marie, Ontario. This project is funded through the Low Carbon Economy Fund. The coke-making process of steel production generates a variety of by-products including coke-oven gas, various tars, and light oil. By using updated equipment to capture and remove by-products suspended in coke-oven gas, a steel manufacturer can reduce its greenhouse gas emissions, reduce local air pollution, and re-use captured fuel. </t>
  </si>
  <si>
    <t>https://www.canada.ca/en/environment-climate-change/news/2020/08/government-of-canada-announces-support-for-algoma-steels-climate-action-initiatives.html Accessed 25 August 2020</t>
  </si>
  <si>
    <t xml:space="preserve">This project, funded through the Low Carbon Economy Fund, will help improve energy efficiency and introduce renewable energy in 45 buildings owned by the Government of Nunavut in the six communities that make up the South Baffin region. The South Baffin Energy Management Project will receive approximately $18.3 million through the Low Carbon Economy Leadership Fund. The Government of Nunavut‚Äôs Department of Community and Government Services is also contributing $8.6 million. </t>
  </si>
  <si>
    <t>https://www.canada.ca/en/environment-climate-change/news/2020/08/government-of-canada-partners-with-nunavut-for-renewable-and-energy-efficiency-projects.html Accessed 25 August 2020</t>
  </si>
  <si>
    <t>Funding to reduce emissions from Toronto&amp;#8217;s emergency response vehicles</t>
  </si>
  <si>
    <t>21/08/2020</t>
  </si>
  <si>
    <t>This investment, through the Low Carbon Economy Fund, will go toward installing solar panels on the roofs of 215 ambulances and more than 60 emergency paramedic response units, which will power and recharge critical on-board medical equipment. The funding will also help install a hybrid electric drivetrain system in more than 100 ambulances to save fuel and reduce emissions. This will allow the City of Toronto to reduce its greenhouse gas emissions by an amount equivalent to removing approximately 2,900 passenger cars off the road for one year.</t>
  </si>
  <si>
    <t>https://www.canada.ca/en/environment-climate-change/news/2020/08/government-of-canada-supports-innovative-climate-action-by-the-city-of-toronto.html Accessed 25 August 2020</t>
  </si>
  <si>
    <t>Alberta Budget 2021: Rail capacity assessment</t>
  </si>
  <si>
    <t>Develop resource corridors</t>
  </si>
  <si>
    <t xml:space="preserve">A rail capacity assessment to explore advancing resource corridors and expanding rail capacity. Categorized as "other energy" given potential for this measure to benefit the oil sector. </t>
  </si>
  <si>
    <t>Electric vehicle chargers in Oakville</t>
  </si>
  <si>
    <t>Encourage economic growth and climate action</t>
  </si>
  <si>
    <t>CAD 220,000 to add 44 electric vehicle (EV) chargers in Oakville to help establish a network of EV charging stations in high-traffic spaces. Funding for this project comes from Natural Resources Canada‚Äôs Zero-Emission Vehicle Infrastructure Program.</t>
  </si>
  <si>
    <t>https://www.canada.ca/en/natural-resources-canada/news/2020/08/new-electric-vehicle-chargers-coming-to-oakville.html Accessed 17 August 2020</t>
  </si>
  <si>
    <t>Canada Healthy Communities Initiative</t>
  </si>
  <si>
    <t>Encourage healthy recovery of Canadian communities from COVID-19</t>
  </si>
  <si>
    <t>14/08/2020</t>
  </si>
  <si>
    <t>The Canada Healthy Communities Initiative will provide up to 31 million in existing federal funding to support communities over the next 2 years as they respond to COVID-19. Two of the three priority areas support active and public transportation: "Creating safe and vibrant public spaces", for projects that create new or adapt existing public places, and "Improving mobility options", for projects that permit physical distancing through permanent or temporary changes that make it easier for people to walk, bike, access public and private transit, or meet with other people. It is not currently clear what portion of funds will be spent on green mobility measures.</t>
  </si>
  <si>
    <t>https://www.infrastructure.gc.ca/chci-iccs/index-eng.html Accessed 17 August 2020</t>
  </si>
  <si>
    <t>This investment will support the design and development of an electric propulsion system for a 40-ton mining truck, along with a battery solution technology and a fast-charging infrastructure adapted to mining operations. Funding is provided via the Clean Growth Program to Propulsion Qu√©bec, Quebec‚Äôs industrial cluster for electric and smart transportation, to help innovation in Canada‚Äôs mining industry. There is also a provincial investment.</t>
  </si>
  <si>
    <t>Ontario cost-share funding for Safe Restart Agreement transit allocation</t>
  </si>
  <si>
    <t>Up to CAD 2 billion will be shared equally between Ontario and the federal government, meaning that Ontario's contribution for transit could be up to CAD 1 billion. A total of CAD 660 million has been announced for the first round of funding.</t>
  </si>
  <si>
    <t>https://news.ontario.ca/opo/en/2020/08/ontario-providing-municipalities-with-up-to-16-billion-in-first-round-of-emergency-funding.html?utm_source=ondemand&amp;utm_medium=email&amp;utm_campaign=p Accessed 12 August 2020.
, https://news.ontario.ca/opo/en/2020/07/historic-agreement-delivers-up-to-4-billion-to-support-municipalities-and-transit.html Accessed 12 August 2020</t>
  </si>
  <si>
    <t>Additional funding for the CleanBC Specialty-Use Vehicle Incentive (SUVI) program</t>
  </si>
  <si>
    <t>Ensure electric vehicles are affordable</t>
  </si>
  <si>
    <t>British Columbia-based businesses and organizations can get rebates for electric vehicles through $2 million in additional funding for the CleanBC Specialty-Use Vehicle Incentive (SUVI) program. Eligible specialty-use vehicles include electric passenger buses, airport and port service vehicles, motorcycles, low-speed utility trucks, and heavy-duty transport trucks. Rebates range from $1,700 to $50,000 per vehicle and are available for businesses, local and regional governments, and non-profit organizations that are purchasing five or fewer vehicles.The SUVI program is part of the CleanBC plan.</t>
  </si>
  <si>
    <t>https://news.gov.bc.ca/releases/2020EMPR0035-001464</t>
  </si>
  <si>
    <t>Infrastructure Canada project funding for highways and roads since January 2020</t>
  </si>
  <si>
    <t xml:space="preserve">Through the Investing in Canada plan (developed prior to COVID-19), the Government of Canada is investing over $180 billion over 12 years in infrastructure projects across Canada. This line item reflects federal investments made in highways and roads since the start of the pandemic. </t>
  </si>
  <si>
    <t>Provincial support and rate caps for transit</t>
  </si>
  <si>
    <t>Supporting municipalities through COVID-19 impacts</t>
  </si>
  <si>
    <t>22/07/2020</t>
  </si>
  <si>
    <t xml:space="preserve">The Province earmarked up to $1 billion of additional spending targeted to address COVID-19 impacts and restart plans of local governments and public transit services, conditional on matching federal contributions under a 50/50 cost-sharing criteria. In British Columbia, the federal government has committed to provide to the Province up to $540 million, conditional on the Province matching federal contributions. Agreements for Safe Restart Agreement funding have been signed with TransLink ($644 million), BC Transit ($86 million) and BC Ferries ($308 million). The Province has also frozen fares: At BC Ferries, this means no fare increase this fiscal year ending March 31, 2021, and that future increases over the next three years will be limited to rate caps established prior to the pandemic. Any fare changes for BC Transit and Translink are capped at affordable levels through to BC Transit‚Äôs fiscal year end of March 31, 2024 and TransLink‚Äôs fiscal year end of December 31, 2024. </t>
  </si>
  <si>
    <t>https://news.gov.bc.ca/releases/2020PREM0038-001352
, https://news.gov.bc.ca/releases/2020TRAN0053-001810
, https://www.canada.ca/en/intergovernmental-affairs/news/2020/12/safe-restart-agreement-funding-supports-reliable-public-transportation-and-affordable-fares-in-british-columbia.html
Accessed 10 December 2020</t>
  </si>
  <si>
    <t>Natural Gas Challenge investment by Emissions Reduction Alberta</t>
  </si>
  <si>
    <t>Alberta government</t>
  </si>
  <si>
    <t>Incent investment in innovation for emissions reductions</t>
  </si>
  <si>
    <t>Alberta‚Äôs government is providing $58 million through Emissions Reduction Alberta to support the Natural Gas Challenge, which will fund technology and innovation opportunities in Alberta‚Äôs natural gas industry.  Government funds ERA through the Technology Innovation and Emissions Reduction (TIER) system. ERA‚Äôs funding model requires that every dollar committed to an initiative is matched or exceeded by additional investments.</t>
  </si>
  <si>
    <t>https://www.alberta.ca/release.cfm?xID=728627405CE2F-953D-C71A-39908B074E8213CE Accessed 21 July 2020</t>
  </si>
  <si>
    <t>Investment in natural gas infrastructure in northern Alberta</t>
  </si>
  <si>
    <t>At least CAD 16 million will support construction of 92 kilometres of six-inch high-pressure natural gas supply line from the NOVA Gas Transmission Ltd. Wolverine River Lateral pipeline northeast of Peace River north to La Crete.</t>
  </si>
  <si>
    <t>https://www.alberta.ca/release.cfm?xID=7280048B71C01-0C70-6182-7997E24568C33837 Accessed 20 July 2020</t>
  </si>
  <si>
    <t>national</t>
  </si>
  <si>
    <t>Broad Support for the Minerals and Metals Sector</t>
  </si>
  <si>
    <t>Supporting mining, minerals, and energy sectors</t>
  </si>
  <si>
    <t>29/07/2020</t>
  </si>
  <si>
    <t xml:space="preserve">The federal government will invest $98 million over five years to renew two flagship geoscience programs led by the Geological Survey of Canada: the Geo-mapping for Energy and Minerals program and the Targeted Geoscience Initiative. The Geo-mapping for Energy and Minerals program provides geoscientific knowledge of the untapped resources in Canada‚Äôs North and informs mineral resource opportunities in the context of a changing climate.
The Targeted Geoscience Initiative provides geological knowledge and innovative techniques to target deeply buried mineral deposits. Both initiatives will support oil and gas exploration, but it is not possible to quantify what portion of the CAD $98 million will go to this compared to other resources that might also play a role in the transition to a clean economy, or to resources unrelated to energy. For this reason this measure is classified here as "other energy" and no dollar total is included. </t>
  </si>
  <si>
    <t>https://www.canada.ca/en/natural-resources-canada/news/2020/07/canada-delivers-broad-support-for-the-minerals-and-metals-sector.html Accessed 1 August 2020</t>
  </si>
  <si>
    <t>Expanded eligibility in the Technology Innovation and Emissions Reduction (TIER) regulation</t>
  </si>
  <si>
    <t>Alberta Environment and Parks</t>
  </si>
  <si>
    <t>Protecting more industries from the federal carbon tax</t>
  </si>
  <si>
    <t>Expands eligibility for the Technology Innovation and Emissions Reduction (TIER) regulation which exempts industries and facilities from the federal carbon tax. TIER applies to large industrial emitters and opted-in facilities like small oil and gas operations, and will now include a wider range of sectors. This effectively lowers the carbon price paid by 90% and 450 million a year for oil and gas facilities and $300 million a year for other large industrial facilities.</t>
  </si>
  <si>
    <t>https://www.alberta.ca/release.cfm?xID=7292319CC5788-CEF2-8709-FAC1B7ED49C6FACD Accessed 1 August 2020</t>
  </si>
  <si>
    <t>$2 million in funding for the Government of Yukon to explore the potential of geothermal energy as a long-term source of renewable energy for communities currently powered by diesel.</t>
  </si>
  <si>
    <t xml:space="preserve">https://www.canada.ca/en/natural-resources-canada/news/2021/03/canada-invests-in-renewable-energy-with-geothermal-exploration-in-the-yukon.html Accessed 15 March 2021. </t>
  </si>
  <si>
    <t>Investment in clean technologies under Canada Economic Development for Quebec Regions</t>
  </si>
  <si>
    <t>Canada Economic Development for Quebec Regions (CED)</t>
  </si>
  <si>
    <t xml:space="preserve">Investment in 16 projects relating to the adoption and development of clean energy and energy efficiency technologies in Quebec. The wider policy announcement endorsed 30 projects total, with those not included here being for sustainable agriculture, waste reduction, or otherwise not directly related to energy or energy use. </t>
  </si>
  <si>
    <t>Investment in 30 projects relating to the adoption and development of clean technologies in Quebec.</t>
  </si>
  <si>
    <t>https://www.canada.ca/en/economic-development-quebec-regions/news/2020/07/investment-in-clean-technologies-for-a-sustainable-future.html Accessed 1 August 2020</t>
  </si>
  <si>
    <t>https://www.canada.ca/en/economic-development-quebec-regions/news/2020/07/backgrounder-investments-in-clean-technology.html Accessed 1 August 2020</t>
  </si>
  <si>
    <t>Support for transit for municipalities impacted by COVID-19 (part of the Safe Restart Agreement)</t>
  </si>
  <si>
    <t>Support municipalities impacted by COVID-19</t>
  </si>
  <si>
    <t>16/07/2020</t>
  </si>
  <si>
    <t>As part of the Safe Restart Agreement, the federal government announced more than $19 billion to help provinces and territories safely restart their economies and increase resiliency over six to eight months from July 2020 onwards. There are seven priority areas identified, including public transit, which the federal government is prepared to invest up to CAD 1.8 billion to match municipalities' investments. To access the funding, each province and territory will need to outline how they will invest these funds.</t>
  </si>
  <si>
    <t>https://pm.gc.ca/en/news/news-releases/2020/07/16/more-support-canadians-through-safe-restart-agreement Accessed 20  July 2020
, https://pm.gc.ca/en/news/backgrounders/2020/07/16/priorities-safely-restart-canadas-economy Accessed 20  July 2020
, https://www.canada.ca/en/office-infrastructure/news/2020/07/safe-restart-agreement-helps-canadian-communities-get-back-on-their-feet.html Accessed 20  July 2020</t>
  </si>
  <si>
    <t>https://www.cbc.ca/news/politics/safe-restart-federal-provinces-1.5652317 Accessed 20 July 2020</t>
  </si>
  <si>
    <t>Support for production and distribution of renewable natural gas</t>
  </si>
  <si>
    <t>Reduce GHG emissions in natural gas networks and support local industry</t>
  </si>
  <si>
    <t>The provincial government has earmarked CAD 70 million over three years for renewable natural gas (RNG) projects. The 2020 budget sets aside CAD 45 million for eight RNG production projects, including for construction and for connection of production sites to the natural gas distribution network. Terms and conditions for the allocation of the remaining $25 million will be announced at a later date.</t>
  </si>
  <si>
    <t>https://mern.gouv.qc.ca/gouvernement-quebec-attribue-70-m-soutenir-gaz-naturel-renouvelable-2020-07-07/ Accessed 15  July 2020</t>
  </si>
  <si>
    <t>Primary: reducing costs to the industry during COVID-19</t>
  </si>
  <si>
    <t>16/04/2020</t>
  </si>
  <si>
    <t>The British Columbia Oil and Gas Commission has deferred the annual Pipeline Liability Levy by 60 days, as well as postponing invoicing of the Orphan Liability Levy. The latter funds would normally cover the cost of orphan well cleanups.
It is currently unclear when companies will be invoiced for these measures. The BC Oil and Gas Commission has already anticipated a CAD 36 million deficit in its orphan reclamation fund.
This measure was announced the day prior to the federal government's announcement of CAD 1.7 billion for orphan wells clean up in British Columbia and Alberta.</t>
  </si>
  <si>
    <t>https://www.bcogc.ca/node/15935/download Accessed 11 May 2020</t>
  </si>
  <si>
    <t>https://web.archive.org/web/20200708191835/, https://thenarwhal.ca/b-c-suspends-oil-and-gas-company-payments-for-orphan-well-clean-up-worth-11-million-due-to-coronavirus/</t>
  </si>
  <si>
    <t>Highway and bridge investments as part of Ontario‚Äôs Action Plan: Responding to COVID-19</t>
  </si>
  <si>
    <t>Primary: create jobs and economic activity through infrastructure projects</t>
  </si>
  <si>
    <t>$2.6 billion to expand and repair Ontario‚Äôs highways and bridges. Part of Ontario‚Äôs Action Plan: Responding to COVID-19.</t>
  </si>
  <si>
    <t>https://news.ontario.ca/opo/en/2020/07/new-legislation-first-step-in-a-made-in-ontario-plan-for-growth-renewal-and-economic-recovery.html Accessed 10  July 2020</t>
  </si>
  <si>
    <t>Waiving of landing fees at Northwest Territories airports and additional fees for businesses operating at airports</t>
  </si>
  <si>
    <t>Providing relief to the aviation industry and ensuring critical flights during COVID-19</t>
  </si>
  <si>
    <t xml:space="preserve">All landing fees have been waived at airports in the Northwest Territories. The territory has also waived leases, licenses and concession fees for all businesses operating at Northwest Territories airports. </t>
  </si>
  <si>
    <t>https://www.gov.nt.ca/en/newsroom/gnwt-provides-funding-support-nwt-airlines Accessed 11 May 2020</t>
  </si>
  <si>
    <t>Low-interest financing for home energy retrofits</t>
  </si>
  <si>
    <t>Reduce emissions, energy use, and energy costs for homeowners.</t>
  </si>
  <si>
    <t>29/06/2020</t>
  </si>
  <si>
    <t xml:space="preserve">Budgetary transfer to support low-interest financing for more energy-efficient electric heat pumps to replace fossil fuel based ones. </t>
  </si>
  <si>
    <t>https://news.gov.bc.ca/releases/2020EMPR0025-001181 Accessed 10 July 2020</t>
  </si>
  <si>
    <t>Clean Technology for Alberta‚Äôs Natural Resources Sectors</t>
  </si>
  <si>
    <t>Support research &amp; development on the detection and mitigation of methane emissions from oil and gas in Alberta</t>
  </si>
  <si>
    <t>An investment of $6 million, as part of the Canadian Emissions Reduction Innovation Network (CERIN) initiative, to the Petroleum Technology Alliance of Canada (PTAC) and Canadian Gas Association (CGA), through their Natural Gas Innovation Fund, to support their work in the oil and gas sector. These investments will inform protocols and standards for the detection and mitigation of methane emissions that will become the benchmark for Canada and the world. Through strong industry collaboration these investments will help Canada better understand and reduce methane emissions.</t>
  </si>
  <si>
    <t>https://www.canada.ca/en/natural-resources-canada/news/2020/07/canada-invests-in-clean-technology-for-albertas-natural-resources-sectors.html Accessed 1 August 2020</t>
  </si>
  <si>
    <t>The Clean Energy for Rural and Remote Communities (CERRC) program invested funding into the Nain Remote Micro Grid FEED Study. The purpose of the study is to develop a microgrid incorporating wind generation, energy storage, smart meters, and a microgrid controller into existing generation grid running on diesel.</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</si>
  <si>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</si>
  <si>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Postponed deadline for companies to report greenhouse gas emissions data</t>
  </si>
  <si>
    <t>regulatory rollback or non-govt fee break or waiver (IT)</t>
  </si>
  <si>
    <t>Saskatchewan government</t>
  </si>
  <si>
    <t>Reducing burdens for industry during COVID-19</t>
  </si>
  <si>
    <t>Saskatchewan has suspended the requirement for companies to report greenhouse gas emissions data on time.</t>
  </si>
  <si>
    <t>https://www.saskatchewan.ca/government/health-care-administration-and-provider-resources/treatment-procedures-and-guidelines/emerging-public-health-issues/2019-novel-coronavirus/covid-19-information-for-businesses-and-workers Accessed 17 June 2020</t>
  </si>
  <si>
    <t>Deferral of environmental reporting programs and data reporting requirements</t>
  </si>
  <si>
    <t>14/04/2020</t>
  </si>
  <si>
    <t>Saskatchewan has deferred environmental monitoring programs and associated requirements for industry to report data under these same programs in cases where there is no  ‚Äúimminent risk‚Äù of impacting the environment. The province has also suspended the requirement for industrial and mining operations to report ‚Äúsampling and analysis‚Äù of environmental protection-related data.</t>
  </si>
  <si>
    <t xml:space="preserve">Saskatchewan has temporarily suspended enforcement of penalties for companies that have not reported on the condition and safety of oil and gas wells, as well as incidents such as fires and leaks.  Well operators are temporarily exempted from surveys to detect and fix leaks if the health and environmental risks are not imminent.  </t>
  </si>
  <si>
    <t>https://publications.saskatchewan.ca/#/products/104973 Accessed 17 June 2020</t>
  </si>
  <si>
    <t>Flexibility on enforcement for companies who breach environmental obligations</t>
  </si>
  <si>
    <t>Saskatchewan is taking into consideration the impacts of COVID-19 when companies breach environmental laws and obligations, including those related to greenhouse gas emissions.</t>
  </si>
  <si>
    <t>Suspension of pursuing penalties for companies who breach environmental obligations</t>
  </si>
  <si>
    <t>Quebec government</t>
  </si>
  <si>
    <t>Quebec is taking into consideration the impacts of COVID-19 when pursuing penalties for companies who breach environmental obligations.</t>
  </si>
  <si>
    <t>https://www.quebec.ca/en/environment-and-natural-resources/covid-19-environnement/prioritization-environmental-monitoring-covid-19/ Accessed 17 June 2020</t>
  </si>
  <si>
    <t>Fee deferrals for onshore petroleum drilling applications</t>
  </si>
  <si>
    <t>Onshore Petroleum Drilling Application Fee and Onshore Petroleum Geophysical Exploration Application Fee payment deadlines have been postponed to June 30, 2020.</t>
  </si>
  <si>
    <t>https://novascotia.ca/coronavirus/fees/ Accessed 17 June 2020</t>
  </si>
  <si>
    <t>Air pollution emission fee deferrals</t>
  </si>
  <si>
    <t>Industrial Air Emission Fee payment deadlines have been postponed to June 30, 2020.</t>
  </si>
  <si>
    <t>Funding for critical air services to Northern and remote communities</t>
  </si>
  <si>
    <t>The federal government originally provided up to $17.3 million to the governments of Yukon, Northwest Territories, and Nunavut to support critical air services to Northern and remote communities, in partnership with investments by the territorial governments, to ensure the continued supply of food, medical supplies, and other essential goods and services to remote and fly-in communities. In September 2020 under the Safe Restart Agreement, an additional CAD 41.41 million was provided to the territories in support for air carriers to ensure reliable air service to remote communities.</t>
  </si>
  <si>
    <t>https://www.canada.ca/en/department-finance/economic-response-plan.html#industry
, https://www.canada.ca/en/intergovernmental-affairs/news/2020/10/safe-restart-funding-top-ups-for-northwest-territories-yukon-and-nunavut.html Accessed 19 October 2020</t>
  </si>
  <si>
    <t>Stimulus to advance highway projects in Manitoba</t>
  </si>
  <si>
    <t>Manitoba government</t>
  </si>
  <si>
    <t>The economic stimulus package adds an additional $500 million above the $3-billion infrastructure investment in Budget 2020. Projects selected include pre-existing provincial and municipal priorities, and waste and water projects. The $500 million will be allocated over two years as follows:
‚Ä¢ $230 million earmarked for the provincial share of projects under the Investing in Canada Infrastructure Program (ICIP), a cost-sharing, application-based program with the federal government;
‚Ä¢ $150 million for asphalt highway resurfacing;
‚Ä¢ $50 million for the Water Services Board to address the significant backlog of water and sewer projects across Manitoba;
‚Ä¢ $65 million for major projects that will improve the safety of Manitoba‚Äôs highways; and
‚Ä¢ $5 million on municipal law enforcement priorities including local jails to alleviate pressure on the Winnipeg Remand Centre.
CAD 215 million is accounted for here as the remainder will be tracked as matched Infrastructure Canada spending."</t>
  </si>
  <si>
    <t>https://news.gov.mb.ca/news/index.html?item=48119&amp;posted=2020-05-12  , https://news.gov.mb.ca/news/index.html?item=48427&amp;posted=2020-06-10 Accessed 17 June 2020 and 31 January 2021</t>
  </si>
  <si>
    <t>Reduction in vehicle registration fees &amp;#8211; Manitoba</t>
  </si>
  <si>
    <t>Reduce costs for consumers</t>
  </si>
  <si>
    <t>Most Manitobans will benefit from a $15 decrease to the existing $154 vehicle registration fee as a first step to reverse a 30 percent increase in these fees in 2012 by the previous administration. The government has cited COVD-19 as a rationale for the program.</t>
  </si>
  <si>
    <t>https://news.gov.mb.ca/news/index.html?item=48119&amp;posted=2020-05-12 Accessed 17 June 2020</t>
  </si>
  <si>
    <t>Increased flexibility in environmental reporting</t>
  </si>
  <si>
    <t>25/04/2020</t>
  </si>
  <si>
    <t>Companies are able to contact the government in cases where they are not able to comply with normal environmental rules due to COVID-19. The government will consider reasons related to the pandemic when addressing non-compliance.</t>
  </si>
  <si>
    <t>https://www2.gov.bc.ca/gov/content/environment/natural-resource-stewardship/natural-resource-law-enforcement/environmental-compliance/compliance-covid-19 Accessed 17 June 2020</t>
  </si>
  <si>
    <t>Decrease in British Columbia natural gas levy</t>
  </si>
  <si>
    <t>British Columbia Oil and Gas Commission</t>
  </si>
  <si>
    <t>Reducing costs to industry to limit economic impact of COVID-19</t>
  </si>
  <si>
    <t>The provincial government has lowered the amount payable for levies that companies pay to produce natural gas (from $0.85 per 1,000 m3 of marketable gas produced, to $0.77). The government noted that this change was meant to compensate for an increase in the orphan well levy. The orphan well levy is also currently suspended.</t>
  </si>
  <si>
    <t>https://www.bcogc.ca/news/natural-gas-levy-rate-change-indb-2020-13/ Accessed 17 June 2020</t>
  </si>
  <si>
    <t>Temporary suspension of requirement for companies to report exceeding certain air quality guidelines in certain circumstances</t>
  </si>
  <si>
    <t>Reduce burdens for industries impacted by COVID-19</t>
  </si>
  <si>
    <t>31/03/2020</t>
  </si>
  <si>
    <t xml:space="preserve">Alberta suspended the requirement for companies to immediately notify the provincial government when they exceed certain air quality guidelines from March 31 to July 15 2020. Companies are required to report these instances on a monthly basis, and this does not apply to all air quality exceedances. </t>
  </si>
  <si>
    <t>http://web.archive.org/web/20200617161342/, https://open.alberta.ca/dataset/70c04728-f685-42db-8a48-a82652db19fc/resource/6fef0513-e14d-4f90-bb1c-218ba0194278/download/aep-amd-temporary-relief-policy-2020-03.pdf
, https://web.archive.org/web/20200704000544/, https://www.alberta.ca/release.cfm?xID=72670D5511C29-EB2E-3C4B-BAF86938580C3532</t>
  </si>
  <si>
    <t>Deadline extension for large, industrial greenhouse gas emitters to submit compliance reports and emissions reduction plans</t>
  </si>
  <si>
    <t>30/03/2020</t>
  </si>
  <si>
    <t>Citing COVID-19, Alberta has postponed the deadline for large, industrial greenhouse gas emitters to submit compliance reports and emissions reduction plans under the Technology Innovation and Emissions Reduction Regulation.</t>
  </si>
  <si>
    <t>https://open.alberta.ca/publications/ministerial-order-15-2020-environment-and-parks  Accessed 17 June 2020</t>
  </si>
  <si>
    <t>Reduction of environmental protections to prevent coal mining in the Foothills and Rockies</t>
  </si>
  <si>
    <t>Facilitate coal industry activity in Alberta</t>
  </si>
  <si>
    <t>15/05/2020</t>
  </si>
  <si>
    <t>The province of Alberta cancelled blanket environmental protections (in place since 1976), which makes it easier to pursue open-pit coal mine development in ecologically sensitive areas. This policy was reversed in February 2021.</t>
  </si>
  <si>
    <t>https://www.alberta.ca/coal-policy-guidelines.aspx#:~:text=Government%20is%20rescinding%20A%20Coal,%2C%20effective%20June%201%2C%202020.&amp;text=Former%20category%201%20lands%20will,lands%20or%20freehold%20mineral%20rights.
, https://inform.energy.gov.ab.ca/Documents/Published/IL-2020-23.pdf
, https://www.alberta.ca/release.cfm?xID=7723219A0121E-AE44-C247-C36E68DE88B98FB1
Accessed 26 February 2020</t>
  </si>
  <si>
    <t>Extension of fuel tax exemption permits</t>
  </si>
  <si>
    <t>Reducing costs for consumers, including industry, impacted by COVID-19</t>
  </si>
  <si>
    <t>The expiry date for Fuel Tax Exemption Permits, which allows permit holders to purchase tax-exempt marked gasoline and light fuel oil, which was set to expire on March 31, 2020 has been extended to June 30, 2020. Gasoline and carbon product retailers throughout the province are authorized to accept such permits and continue to sell marked diesel and light fuel oil exempt of gasoline and carbon tax to these permit holders up to and including June 30, 2020.</t>
  </si>
  <si>
    <t>https://www.gov.nl.ca/releases/2020/fin/0330n03/ Accessed 16 June 2020</t>
  </si>
  <si>
    <t>Delay of publication and implementation of the Clean Fuel Standard</t>
  </si>
  <si>
    <t>Allow adequate time for the development of regulations</t>
  </si>
  <si>
    <t>28/04/2020</t>
  </si>
  <si>
    <t>The Clean Fuel Standard will contribute to reducing Canada‚Äôs greenhouse gas emissions through the increased use of lower-carbon fuels, energy sources, and technologies. The standard, due to be published in spring 2020, has been delayed to fall. The implementation of regulations, originally slated for January 2020, has been broadened to 2020 (date unspecified). Although the standard will be weakend from the initial plan in the early years, it will be strengthened in the years following.</t>
  </si>
  <si>
    <t>https://www.canada.ca/en/environment-climate-change/services/managing-pollution/energy-production/fuel-regulations/clean-fuel-standard.html Accessed 16 June 2020</t>
  </si>
  <si>
    <t>https://globalnews.ca/news/7086877/coronavirus-clean-fuel-standards/ Accessed 16 June 2020</t>
  </si>
  <si>
    <t>Extension of deadline for pollution data reporting by industry</t>
  </si>
  <si>
    <t>The deadline for National Pollutant Release Inventory data by industry has been extended to July 31, 2020.</t>
  </si>
  <si>
    <t>http://web.archive.org/web/20200617153650/, https://www.canada.ca/en/services/environment/pollution-waste-management/national-pollutant-release-inventory.html</t>
  </si>
  <si>
    <t>Extension of deadline for greenhouse gas emissions reporting by industry</t>
  </si>
  <si>
    <t>The deadline for greenhouse gas emissions reporting by industry has been extended to July 31, 2020.</t>
  </si>
  <si>
    <t>https://www.canada.ca/en/environment-climate-change/services/climate-change/greenhouse-gas-emissions/facility-reporting/reporting.html Accessed 16 June 2020</t>
  </si>
  <si>
    <t>Streamlined review process for companies proposing exploratory oil and gas drilling off the coast of Newfoundland and Labrador</t>
  </si>
  <si>
    <t>Ensure the offshore oil and gas industry remains globally competitive</t>
  </si>
  <si>
    <t xml:space="preserve">A new regulation allowing companies proposing exploratory oil and gas drilling in Newfoundland and Labrador to bypass the usual federal impact assessment process. Companies would need to meet alternative environmental conditions. </t>
  </si>
  <si>
    <t>https://www.canada.ca/en/natural-resources-canada/news/2020/06/statement-by-the-minister-of-natural-resources-on-the-coming-into-force-of-a-regulation-to-improve-the-review-process-for-exploratory-drilling-in-t.html Accessed 16 June 2020</t>
  </si>
  <si>
    <t>Suspension of additional reporting requirements for oil, gas and coal companies</t>
  </si>
  <si>
    <t xml:space="preserve">The province of Alberta suspended environmental reporting requirements for oil, gas and coal companies including deadlines for oil and gas companies to demonstrate proper shut off of inactive wells; requirements for companies operating coal mines to submit annual reports (including key environmental data); requirements for oil and gas companies to report on the condition of wells. This was in place from March 31 to July 15, 2020, ending four weeks earlier than the period announced initially. In addition, over the same time period, the province suspended a broad section of requirements for oilsands companies to monitor environmental conditions, including reports on leaks, wetlands and wildlife and monitoring,  deaths of birds on tailings ponds,  as well as active checks on groundwater, soil, wildlife and tailings ponds, etc. </t>
  </si>
  <si>
    <t>https://open.alberta.ca/dataset/d0190561-7988-479f-a25b-d01c0c178b6c/resource/9477b36f-031a-444a-aef4-178453a7a03a/download/covid-energy-mo219-2020-reporting-deferrals.pdf Accessed 16 June 2020
, https://www.aer.ca/documents/news-releases/IndustryMeasures_Table.pdf Accessed 16 June 2020
, https://www.alberta.ca/release.cfm?xID=72670D5511C29-EB2E-3C4B-BAF86938580C3532 Accessed 16 June 2020</t>
  </si>
  <si>
    <t>Fixed electricity price for all time-of-use electricity customers</t>
  </si>
  <si>
    <t>Ontario government</t>
  </si>
  <si>
    <t>Reduce the economic burden for consumers during COVID-19</t>
  </si>
  <si>
    <t>30/05/2020</t>
  </si>
  <si>
    <t>Ontario has introduced a fixed electricity price, known as the COVID-19 Recovery Rate, of 12.8 cents per kWh, which will be automatically applied to all time-of-use customers 24 hours a day, 7 days a week. This follows previous announcements related to cost relief for electricity in Ontario for residential, farm, and small business consumers announced on March 24, 2020.</t>
  </si>
  <si>
    <t>https://news.ontario.ca/mndmf/en/2020/05/ontario-provides-consumers-with-greater-stability-and-predictability-with-their-electricity-bills.html Accessed 1 June 2020</t>
  </si>
  <si>
    <t>Cost relief for electricity for residential, farm and small business consumers</t>
  </si>
  <si>
    <t>24/03/2020</t>
  </si>
  <si>
    <t>25/03/2020</t>
  </si>
  <si>
    <t>Most of Ontario's electricity is low-carbon but some is natural gas. The Ontario government introduced cost-relief measures for electricity for select consumers and expanded eligibility to their Low-Income Energy Assistance Program while ensuring consumers were not cut off from electricity supplies. At least CAD 175 million has been disbursed so far.</t>
  </si>
  <si>
    <t>https://news.ontario.ca/opo/en/2020/05/ontario-extends-electricity-rate-relief-during-covid-19.html Accessed 1 June 2020
, https://news.ontario.ca/mndmf/en/2020/05/ontario-provides-consumers-with-greater-stability-and-predictability-with-their-electricity-bills.html Accessed 1 June 2020</t>
  </si>
  <si>
    <t>Funding for airlines in Northwest Territories</t>
  </si>
  <si>
    <t>On May 8, CAD 8.7 million in funding was announced by the territorial government to support Northwest Territories (NWT) passenger-based airlines who offer scheduled service during the COVID-19 pandemic. An additional CAD 2.9 million was announced in June and an additional CAD 3.021 million was announced in September.
Part of this support comes from a CAD 130 million allocation by the federal government on April 14, 2020 to assist the territories and northern businesses during the pandemic. The Government of NWT is providing this funding to NWT airlines to ensure that companies can continue to provide scheduled connections into communities, providing essential goods, like food and medical supplies. Additional support is expected to be announced.</t>
  </si>
  <si>
    <t>https://www.gov.nt.ca/en/newsroom/gnwt-provides-funding-support-nwt-airlines Accessed 11 May 2020
, https://www.gov.nt.ca/en/newsroom/gnwt-announces-over-29-million-new-funding-nwt-aviation-companies Accessed 11 May 2020</t>
  </si>
  <si>
    <t>https://www.gov.nt.ca/en/newsroom/gnwt-provides-funding-support-nwt-airlines
, https://www.gov.nt.ca/en/newsroom/gnwt-announces-over-29-million-new-funding-nwt-aviation-companies
, https://www.gov.nt.ca/en/newsroom/gnwt-allocates-more-20-million-new-funding-support-nwt-airlines Accessed 21 September 2020</t>
  </si>
  <si>
    <t>Indigenous Off-Diesel Initiative &amp;#8211; Phase 2 funding</t>
  </si>
  <si>
    <t>Prioritizing a transition away from diesel while supporting the advancement of reconciliation and self-determination</t>
  </si>
  <si>
    <t>14 projects in the Indigenous Off-Diesel Initiative (IODI) have moved to Phase 2 and received CAD 500,000 in funding to develop a community energy plan, identify and deliver training, and develop a detailed clean energy implementation plan. The IODI is a CAD 20-million Impact Canada Initiative aimed at generating new opportunities by reducing diesel reliance in remote Indigenous communities.  Each community receives hands-on support and up to $1.3 million in funding to develop an ambitious clean energy plan and break ground on their first clean energy projects.</t>
  </si>
  <si>
    <t>https://www.canada.ca/en/natural-resources-canada/news/2020/12/celebrating-indigenous-leadership-in-clean-energy.html Accessed January 4, 2021</t>
  </si>
  <si>
    <t>Rent relief for public land</t>
  </si>
  <si>
    <t>Reduce costs to industry during COVID-19</t>
  </si>
  <si>
    <t xml:space="preserve">Rent relief is available to all holders of existing recreational, residential, and commercial and mining surface dispositions on public land. Surface dispositions are usually leases, but there are a small number of other types of dispositions such as easements or licenses of occupation, that will also be eligible for relief. This measure does not apply to applications received after April 1, 2020. The measure covers mines, bulk fuel companies, trucking companies, and more. </t>
  </si>
  <si>
    <t>https://www.gov.nt.ca/en/newsroom/government-northwest-territories-offers-rent-relief-leaseholders Accessed 11 May 2020</t>
  </si>
  <si>
    <t>Large employer emergency financing facility (LEEFF) for major companies</t>
  </si>
  <si>
    <t>Government of Canada; Canada Development Investment Corporation</t>
  </si>
  <si>
    <t>Providing liquidity via loans of last-resort to industries impacted by COVID-19</t>
  </si>
  <si>
    <t xml:space="preserve">Under this program, the Government of Canada introduced some conditionality measures for access to funding. Companies must disclose climate risks according to the Financial Stability Board (FSB)'s Task Force on Climate-related Financial Disclosure (TCFD) and sustainability plans to qualify. Emergency loans of CAD 60 million or more will be provided in certain cases to large employers with revenues of over CAD 300 million per year. The objective is to prevent bankruptcies (government to be a lender of last resort). Companies must have significant operations or large numbers of employees in Canada. </t>
  </si>
  <si>
    <t>https://pm.gc.ca/en/news/news-releases/2020/05/11/prime-minister-announces-additional-support-businesses-help-save Accessed 11 May 2020
, https://www.cdev.gc.ca/leeff-factsheet/ Accessed 11 May 2020</t>
  </si>
  <si>
    <t>Expansion of eligibility for the Business Credit Availability Program (BCAP) for oil and gas companies and mid-sized companies; creation of Mid-Market Financing Program</t>
  </si>
  <si>
    <t>Business Development Canada; Export Development Canada</t>
  </si>
  <si>
    <t>Provide liquidity to oil and gas producers</t>
  </si>
  <si>
    <t>17/04/2020</t>
  </si>
  <si>
    <t>Alberta and the oil and gas sector lobbied for up to CAD 30 billion in liquidity for producers to manage impacts related to the pandemic. This federal measure ensures energy producers are included and prioritized in the Business Credit Availability Program that is provided through Business Development Canada and Export Development Canada. On May 11, the government announced it would expand the BCAP program to mid-sized companies with larger financing needs, including loans of up to CAD 60 million per company and loan guarantees of up to CAD 80 million.  On June 18th, the federal government announced the Mid-Market Guarantee and Financing Program as part of BCAP, which is intended to fund operational cashflow needs with support for sectors "particularly impacted by the COVID-19 pandemic and/or the recent decline in oil and gas prices," such as oil and gas by providing loans between CAD 12.5 million and CAD 60 million prior to September 30, 2020. 90% of financing for this program is provided by Business Development Canada.
As of July 8, 2020, total funding provided through BCAP for all sectors was at least CAD 81.25 billion, including CAD 40 billion through the Small and Medium-sized Enterprise Loan and Guarantee Program. No figures are currently available for the Mid-Market Guarantee and Financing Program.</t>
  </si>
  <si>
    <t>https://pm.gc.ca/en/news/news-releases/2020/04/17/prime-minister-announces-new-support-protect-canadian-jobs Accessed 24 Jun 2020
, https://pm.gc.ca/en/news/news-releases/2020/05/11/prime-minister-announces-additional-support-businesses-help-save Accessed 24 Jun 2020
, https://www.bdc.ca/en/about/mediaroom/news_releases/pages/bdc-deploys-new-program-intended-support-medium-sized-businesses-cashflow-needs-result-covid19.aspx Accessed 24 Jun 2020
, https://www.canada.ca/content/dam/fin/publications/efs-peb/homepage/EFS2020-eng.pdf Accessed 24 Jun 2020</t>
  </si>
  <si>
    <t>Utility bill payment deferral for electricity and natural gas for select consumers</t>
  </si>
  <si>
    <t>Bill 14, Utility Payment Deferral Program Act</t>
  </si>
  <si>
    <t>Reduce economic burdens for consumers during COVID-19</t>
  </si>
  <si>
    <t>18/03/2020</t>
  </si>
  <si>
    <t>Residential, farm and small commercial customers can defer bill payments for electricity and natural gas until June 18. Alberta is planning to pass the Utility Payment Deferral Program Act, which will allow electricity and natural gas providers to apply for loans either from the Balancing Pool or from the Government of Alberta. The bill will also outline repayment criteria for the deferred bill payments. The vast majority of electricity in Alberta is produced from fossil fuels (coal and natural gas).</t>
  </si>
  <si>
    <t>https://www.alberta.ca/release.cfm?xID=71267FC0607EA-012A-4274-FD41C86319D31165 Accessed 11 May 2020
, https://www.alberta.ca/release.cfm?xID=7128235BF78CD-DDC6-C14D-B1F6FF492D9C28CC Accessed 11 May 2020
, https://www.alberta.ca/utility-payment-deferral.aspx Accessed 11 May 2020</t>
  </si>
  <si>
    <t>Deferral of Global Adjustment charges for industrial and commercial electricity consumers</t>
  </si>
  <si>
    <t>Reducing costs for industry during COVID-19</t>
  </si>
  <si>
    <t>Defers a portion of Global Adjustment electricity charges for industrial and commercial electricity consumers that do not participate in Ontario's Regulated Price Plan. This change applies to over 50,000 companies and is estimated to prevent bill increases for Class B electricity consumers by at least 15%. Large industrial and commercial Class A consumers will receive the same percentage reduction. Global adjustment rates will be held in line with pre-COVID-19 levels. Ontario's electricity grid is mixed; only a portion of this change would represent deferrals for fossil fuel or nuclear-based energy. The government plans to recover deferred costs starting in January 2021 over a period of 12 months.</t>
  </si>
  <si>
    <t>https://news.ontario.ca/mndmf/en/2020/05/ontario-providing-support-for-industrial-and-commercial-electricity-consumers-during-covid-19.html Accessed 6 May 2020
, http://www.ieso.ca/en/Learn/Electricity-Pricing/What-is-Global-Adjustment Accessed 6 May 2020</t>
  </si>
  <si>
    <t>Funding for lost revenues for aviation businesses</t>
  </si>
  <si>
    <t>Yukon government</t>
  </si>
  <si>
    <t>Provide relief to the aviation industry and ensuring critical flights during COVID-19</t>
  </si>
  <si>
    <t>This measure consists of federal funding disbursed by Yukon to compensate for lost airline revenues related to COVID-19. The first instalment included CAD 1.1 million for Air North over three months to ensure critical routes are maintained, and the second instalment, announced in August 2020, included CAD 1.06 million over three months for Air North. Alkan Air will receive approximately CAD 140,000 in connection with the provision of medevac services from April to June 2020.</t>
  </si>
  <si>
    <t>https://yukon.ca/en/news/new-support-available-yukons-aviation-industry Accessed 5 August 2020
, https://web.archive.org/web/20200806161123/, https://yukon.ca/en/news/yukons-aviation-industry-continues-receive-support Accessed 5 August 2020</t>
  </si>
  <si>
    <t>Waiving of all airport landing, aircraft parking fees, loading fees and other commercial fees in Yukon</t>
  </si>
  <si>
    <t>Provide economic relief to the aviation sector and ensure critical air services are maintained</t>
  </si>
  <si>
    <t>14/01/2020</t>
  </si>
  <si>
    <t xml:space="preserve">On April 14, the Yukon Government waived all airport landing, aircraft parking fees, and loading fees. On May 5, the territory waived additional fees including land lease and license fees, building leases, aircraft fuel fees, etc. The fees are waived until the end of 2020. These changes were intended to support Yukon businesses and the tourism industry to incentivize carriers to stay in Yukon. Aviation was cited as "critical" for the territory, which is in northern Canada and has many remote communities. </t>
  </si>
  <si>
    <t>https://yukon.ca/en/news/aviation-fees-waived Accessed 4 May 2020
, https://yukon.ca/en/news/new-support-available-yukons-aviation-industry Accessed 4 May 2020</t>
  </si>
  <si>
    <t>Deferral of carbon tax and fuel tax payments</t>
  </si>
  <si>
    <t>Reduce economic impacts on consumers, including industry, during COVID-19</t>
  </si>
  <si>
    <t>Filing and payment due dates for the carbon tax, motor fuel tax, provincial sales tax, and tobacco tax have been extended to September 30, 2020.</t>
  </si>
  <si>
    <t>https://www2.gov.bc.ca/assets/gov/taxes/sales-taxes/publications/notice-2020-002-covid-19-sales-tax-changes.pdf Accessed 30 April 2020</t>
  </si>
  <si>
    <t>Delay in British Columbia carbon tax increase</t>
  </si>
  <si>
    <t>Reduce economic impacts to consumers during COVID-19</t>
  </si>
  <si>
    <t>The Province of British Columbia delayed implementation dates for changes to B.C.‚Äôs carbon tax. On 2 Sep 2020 it was announced that a scheduled increase in April 2020 from $40 to $45 per tonne of carbon dioxide equivalent (tCO2e) had been paused until at least October as part of the COVID-19 Action Plan. Upon review, the B.C. government has decided the carbon tax rate will remain at its current level of $40 per tCO2e until April 2021, when it will increase from $40 to $45 per tCO2e. The carbon tax will increase to $50 per tCO2e in April 2022.</t>
  </si>
  <si>
    <t>https://www2.gov.bc.ca/assets/gov/taxes/sales-taxes/publications/notice-2020-002-covid-19-sales-tax-changes.pdf Accessed 30 April 2020
, https://news.gov.bc.ca/releases/2020FIN0049-001647 Accessed 4 September 2020</t>
  </si>
  <si>
    <t>Address immediate liquidity and administrative challenges to help companies focus on employment and production</t>
  </si>
  <si>
    <t>This policy aims to assist Saskatchewan's oil and gas sector through three components: 1) deadline extensions on reporting until the sector returns to ""normal operations"", 2) mineral rights extension of one year, similar to measures enacted in Alberta, and 3) reduction of the Oil and Gas Administrative Levy by 50%.
The 2021-22 Provincial budget lists the total relief provided in fiscal year 2020-21 at CAD 26 million.</t>
  </si>
  <si>
    <t>https://www.saskatchewan.ca/government/news-and-media/2020/april/14/oil-industry-support
, https://publications.saskatchewan.ca/api/v1/products/112466/formats/126474/download Accessed 3 May 2021</t>
  </si>
  <si>
    <t>Creation of Emissions Reduction Fund with focus on methane</t>
  </si>
  <si>
    <t>reduced environmental damage</t>
  </si>
  <si>
    <t>"Reduce GHG emissions in the near-term while accelerating capital expenditures that would otherwise be delayed."</t>
  </si>
  <si>
    <t>This policy provides funding focused on jobs and environmental outcomes but ultimately represents increased support to fossil fuel companies. The intent is to assist the oil and gas industry to reduce methane emissions. There remains a lack of clarity around what portion of the funding will be provided as grants versus loans. The funds are intended to be provided over two years.</t>
  </si>
  <si>
    <t>https://pm.gc.ca/en/news/news-releases/2020/04/17/prime-minister-announces-new-support-protect-canadian-jobs Accessed 20 April 2020
, https://www.canada.ca/content/dam/fin/publications/efs-peb/homepage/EFS2020-eng.pdf Accessed 20 April 2020</t>
  </si>
  <si>
    <t>Orphan &amp;#038; inactive well clean-up investment</t>
  </si>
  <si>
    <t>Provide economic support to the oil and gas sector after impacts from COVID-19; retain and create jobs; address outstanding environmental liabilities.</t>
  </si>
  <si>
    <t>The Government of Alberta and the oil and gas sector lobbied heavily for orphan wells clean up assistance before COVID-19. This policy provides funding focused on jobs and environmental outcomes but the impacts will depend on still-pending details. A large portion of funds will go towards service companies. The majority of announced funding will go towards cleaning up inactive wells (however, inactive wells are owned by viable companies who have not cleaned up wells themselves). CAD 1 billion will be provided to Alberta, CAD 400 million to Saskatchewan, and CAD 120 million to British Columbia. In Alberta, notably, CAD 200 million of provided funding will be a loan to the Orphan Well Association, which is supposed to be funded by industry levies. In British Columbia, federal funding will support three programs: CAD 100 million for the newly created Dormant Sites Reclamation Program, CAD 15 million for the Orphan Sites Reclamation Program, and CAD 5 million for the Legacy Sites Reclamation Program.</t>
  </si>
  <si>
    <t>https://pm.gc.ca/en/news/news-releases/2020/04/17/prime-minister-announces-new-support-protect-canadian-jobs
, https://news.gov.bc.ca/releases/2020PREM0026-000871
, https://www.cbc.ca/news/canada/calgary/kenney-wells-remediation-money-ottawa-alberta-1.5543935
, https://news.gov.bc.ca/releases/2020EMPR0028-001294
, https://www.canada.ca/en/natural-resources-canada/news/2020/09/cleaning-up-dormant-oil-and-gas-wells-supporting-1200-jobs-in-bc9.html
, https://cgeng.ca/knowledge/bc-dormant-orphan-legacy-site-reclamation
, https://www.alberta.ca/release.cfm?xID=728244423007F-0F7A-C909-8382EE14AD7DA045
, https://www.saskatchewan.ca/government/news-and-media/2020/july/16/accelerated-site-closure-program
, https://www.alberta.ca/site-rehabilitation-program-apply-for-a-grant.aspx#how%20to%20apply
Accessed 21 September 2020</t>
  </si>
  <si>
    <t>Extension of consultation periods for Indigenous consultation on natural resource projects</t>
  </si>
  <si>
    <t>non-applicable (non-energy measure)</t>
  </si>
  <si>
    <t>Allow adequate time for consultation on resource projects with First Nations impacted by COVID-19</t>
  </si>
  <si>
    <t>20/04/2020</t>
  </si>
  <si>
    <t>This measure allows for the addition of up to 15 days on Indigenous consultation processes related to Crown land for natural resource projects.</t>
  </si>
  <si>
    <t>https://www.alberta.ca/release.cfm?xID=70126F8A7B955-9E01-297E-8444C592E6BF4812 Accessed 20 April 2020</t>
  </si>
  <si>
    <t>Waiving of rent for ground leases for 21 airport authorities</t>
  </si>
  <si>
    <t>"Help airports reduce cost pressures and preserve cash flow."</t>
  </si>
  <si>
    <t>Ground lease payments will allow airport authorities to preserve cash flow during COVID-19-related disruptions, consistent with similar actions that took place during SARS. Rents are normally based on revenues earned from operating the airports and related land owned by the government. This relief measure is intended to extend until December 2020.</t>
  </si>
  <si>
    <t>https://www.canada.ca/en/department-finance/news/2020/03/support-to-canadas-air-transportation-sector.html Accessed 2 April 2020
, https://www.pbo-dpb.gc.ca/web/default/files/Documents/LEG/LEG-2021-007-S/LEG-2021-007-S_en.pdf Accessed 2 April 2020</t>
  </si>
  <si>
    <t>Changes to Export Development Act removing cap on finance and some risk protections</t>
  </si>
  <si>
    <t>Export Development Act</t>
  </si>
  <si>
    <t>Accelerate and streamline ability of Export Development Canada to provide capital to businesses in response to COVID-19</t>
  </si>
  <si>
    <t xml:space="preserve">As an export credit agency, Export Development Canada facilitates export growth in Canada‚Äôs international industries and businesses. EDC had their mandate expanded to support domestic businesses in 2008, and also provides substantial support to domestic oil and gas companies and operations. Under the most recent changes, EDC's domestic mandate was further expanded, and limits on the liability that EDC can incur have increased from CAD 45 billion to CAD 90 billion until at least October 2020. Limits on EDC's Canada Account have also been increased from CAD 20 billion to CAD 75 billion until at least October 2020. These measures are highly likely to benefit the oil and gas industry as EDC provides on average nearly CAD 13.8 billion in support of oil and gas companies each year, more than five times the support categorized as 'cleantech'. Transparency on disbursements and individual transactions from EDC is low. </t>
  </si>
  <si>
    <t>https://laws-lois.justice.gc.ca/eng/AnnualStatutes/2020_5/page-1.html Accessed 2 April 2020</t>
  </si>
  <si>
    <t>http://priceofoil.org/2020/05/27/g20-still-digging/ Accessed 2 April 2020
, https://www.theglobeandmail.com/politics/article-ottawa-prepares-multibillion-dollar-bailout-of-oil-and-gas-sector/ Accessed 2 April 2020</t>
  </si>
  <si>
    <t>BC Hydro</t>
  </si>
  <si>
    <t>BC Hydro introduced deferrals for a portion of electricity bill payments for a variety of customers, including industry and coal mines. The change was originally introduced for March to May 2020. About 8% of BC Hydro's energy sources is natural gas or oil.</t>
  </si>
  <si>
    <t>https://archive.news.gov.bc.ca/releases/news_releases_2017-2021/2020PREM0018-000611.htm Accessed 2 April 2020</t>
  </si>
  <si>
    <t>Extensions for oil and gas tenures by one year</t>
  </si>
  <si>
    <t>"Providing increased certainty for industry by allowing additional time to raise capital and plan future activities"</t>
  </si>
  <si>
    <t>20/03/2020</t>
  </si>
  <si>
    <t>In response to COVID-19 and declining oil prices in early 2020, Alberta extended the term of mineral agreements expiring in 2020 by one year.</t>
  </si>
  <si>
    <t>https://www.alberta.ca/release.cfm?xID=69881BCC004DB-C3DC-DCD7-B62724AFB886EE9C Accessed 2 April 2020</t>
  </si>
  <si>
    <t>Funding the Alberta Energy Regulator for 6 months by covering industry levies</t>
  </si>
  <si>
    <t>Enhance immediate liquidity of oil and gas producers</t>
  </si>
  <si>
    <t>In response to COVID-19 and declining oil prices, the Alberta government opted to fund the oil and gas industry levy for the Alberta Energy Regulator for a period of six months.</t>
  </si>
  <si>
    <t>Temporary 90% reduction of the operating budget of Canadian Energy Centre</t>
  </si>
  <si>
    <t>other energy stage</t>
  </si>
  <si>
    <t>Reduce government spending during COVID-19.</t>
  </si>
  <si>
    <t xml:space="preserve">Alberta's energy "war room" reduced its operating budget by 90% for at least three months citing a reduced need for paid advertising campaigns during the pandemic, representing a reduction in support for oil and gas of CAD 6.7 million. </t>
  </si>
  <si>
    <t>https://www.alberta.ca/release.cfm?xID=69960C81518F5-A158-D43A-69D835B75C84FBFD Accessed 8 July 2020</t>
  </si>
  <si>
    <t>Suspension of certain environmental reporting requirements for the Environmental Protection and Enhancement Act (EPEA), the Water Act and the Public Lands Act</t>
  </si>
  <si>
    <t>Environmental Protection and Enhancement Act, Water Act, and the Public Lands Act</t>
  </si>
  <si>
    <t>Relieve hardship for industry to comply with routine reporting requirements during a health emergency</t>
  </si>
  <si>
    <t>Following similar rollbacks in the United States, Alberta suspended a number of environmental reporting requirements through ministerial orders, on the basis of industry facing hardship due to the COVID-19 outbreak if forced to comply with existing environmental rules.</t>
  </si>
  <si>
    <t>https://open.alberta.ca/dataset/2deef631-4dad-4b47-a20f-d31dd2cbe343/resource/366a722d-630c-4ce8-9ea5-3a22f3696bfb/download/aep-ministerial-order-15-2020.pdf Accessed 8 July 2020
, https://open.alberta.ca/dataset/904ee5c9-015e-4ea1-95e8-ba26f460b378/resource/9a7f721b-c065-405a-8ce0-fc36f46d5386/download/aep-ministerial-order-16-2020.pdf Accessed 8 July 2020
, https://open.alberta.ca/dataset/0cc78dea-655e-4a28-8128-5f0310399b74/resource/d26172b7-7109-418c-bfbe-e9b049076581/download/aep-ministerial-order-17-2020.pdf Accessed 8 July 2020</t>
  </si>
  <si>
    <t>https://thenarwhal.ca/alberta-suspends-19-oilsands-environmental-monitoring-requirements-coronavirus-concerns/ Accessed 8 July 2020</t>
  </si>
  <si>
    <t>Loan guarantee from the Alberta government for TC Energy&amp;#8217;s Keystone XL pipeline</t>
  </si>
  <si>
    <t>loan guarantee (Hybrid)</t>
  </si>
  <si>
    <t>"Increasing Alberta‚Äôs takeaway capacity and access to international markets"</t>
  </si>
  <si>
    <t>The Keystone XL pipeline was proposed in 2008. With this investment and project, the Albertan government anticipates material benefits (through taxes and royalties) to provincial government revenues and the wider Canadian economy, including jobs.</t>
  </si>
  <si>
    <t>https://www.alberta.ca/investing-in-keystone-xl-pipeline.aspx Accessed 8 July 2020</t>
  </si>
  <si>
    <t>Equity investment from the Alberta government for TC Energy&amp;#8217;s Keystone XL pipeline</t>
  </si>
  <si>
    <t>"Increase Alberta‚Äôs takeaway capacity and access to international markets"</t>
  </si>
  <si>
    <t>USD</t>
  </si>
  <si>
    <t>The Keystone XL pipeline was proposed in 2008. With this investment and project, the Albertan government anticipates material benefits to provincial government revenues (through royalties and taxes) and the wider Canadian economy, including jobs.</t>
  </si>
  <si>
    <t>Year</t>
  </si>
  <si>
    <t>hard coal ($/BTU)</t>
  </si>
  <si>
    <t>natural gas ($/BTU)</t>
  </si>
  <si>
    <t>biomass ($/BTU)</t>
  </si>
  <si>
    <t>petroleum gasoline ($/BTU)</t>
  </si>
  <si>
    <t>petroleum diesel ($/BTU)</t>
  </si>
  <si>
    <t>jet fuel ($/BTU)</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</si>
  <si>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</si>
  <si>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</si>
  <si>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</si>
  <si>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</si>
  <si>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</si>
  <si>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</si>
  <si>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</si>
  <si>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</si>
  <si>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</si>
  <si>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</si>
  <si>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</si>
  <si>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</si>
  <si>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</si>
  <si>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</si>
  <si>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crude oil ($/MWh)</t>
  </si>
  <si>
    <t>heavy or residual fuel oil ($/MWh)</t>
  </si>
  <si>
    <t>municipal solid waste ($/MWh)</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</si>
  <si>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</si>
  <si>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</si>
  <si>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</si>
  <si>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</si>
  <si>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</si>
  <si>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</si>
  <si>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</si>
  <si>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</si>
  <si>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</si>
  <si>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</si>
  <si>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</si>
  <si>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</si>
  <si>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</si>
  <si>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 xml:space="preserve">Update final CSV sheets with 3.3.1 format </t>
  </si>
  <si>
    <t xml:space="preserve">Identify relevant subsidy amounts from  Energy Policy Tracker (CSV file) </t>
  </si>
  <si>
    <t>https://www.energypolicytracker.org/country/canada/</t>
  </si>
  <si>
    <t xml:space="preserve">add columns for fuel assignment, annual spread, </t>
  </si>
  <si>
    <t>Eyab</t>
  </si>
  <si>
    <t xml:space="preserve">Check with Janetta / IISD contacts on budget 2022 additions that should be included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</si>
</sst>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 #,##0.00_-;_-* &quot;-&quot;??_-;_-@_-"/>
    <numFmt numFmtId="166" formatCode="0.000E+00"/>
  </numFmts>
  <fonts count="30"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i/>
      <sz val="11"/>
      <color theme="1"/>
      <name val="Calibri"/>
      <family val="2"/>
      <scheme val="minor"/>
    </font>
    <font>
      <sz val="12"/>
      <color theme="1"/>
      <name val="Calibri"/>
      <family val="2"/>
      <scheme val="minor"/>
    </font>
    <font>
      <b/>
      <sz val="10"/>
      <color rgb="FF4F81BD"/>
      <name val="Arial"/>
      <family val="2"/>
    </font>
    <font>
      <b/>
      <sz val="10"/>
      <color indexed="62"/>
      <name val="Arial"/>
      <family val="2"/>
    </font>
    <font>
      <sz val="10"/>
      <color indexed="8"/>
      <name val="Arial"/>
      <family val="2"/>
    </font>
    <font>
      <i/>
      <sz val="10"/>
      <color indexed="8"/>
      <name val="Arial"/>
      <family val="2"/>
    </font>
    <font>
      <sz val="10"/>
      <color theme="4"/>
      <name val="Arial"/>
      <family val="2"/>
    </font>
    <font>
      <sz val="10"/>
      <name val="Arial"/>
      <family val="2"/>
    </font>
    <font>
      <i/>
      <sz val="10"/>
      <color theme="4"/>
      <name val="Arial"/>
      <family val="2"/>
    </font>
    <font>
      <i/>
      <sz val="10"/>
      <name val="Arial"/>
      <family val="2"/>
    </font>
    <font>
      <b/>
      <sz val="10"/>
      <color theme="4"/>
      <name val="Arial"/>
      <family val="2"/>
    </font>
    <font>
      <sz val="11"/>
      <color rgb="FF000000"/>
      <name val="Calibri"/>
      <family val="2"/>
    </font>
    <font>
      <b/>
      <sz val="14"/>
      <color rgb="FF000000"/>
      <name val="Calibri"/>
      <family val="2"/>
    </font>
    <font>
      <b/>
      <sz val="16"/>
      <color rgb="FF000000"/>
      <name val="Calibri"/>
      <family val="2"/>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sz val="10"/>
      <color rgb="FFFF0000"/>
      <name val="Arial"/>
      <family val="2"/>
    </font>
    <font>
      <sz val="11"/>
      <name val="Calibri"/>
      <family val="2"/>
      <scheme val="minor"/>
    </font>
    <font>
      <sz val="9"/>
      <color rgb="FF000000"/>
      <name val="Fira Sans"/>
      <family val="2"/>
      <charset val="1"/>
    </font>
    <font>
      <b/>
      <sz val="9"/>
      <color rgb="FF000000"/>
      <name val="Fira Sans"/>
      <family val="2"/>
      <charset val="1"/>
    </font>
    <font>
      <sz val="11"/>
      <color rgb="FF444444"/>
      <name val="Calibri"/>
      <family val="2"/>
      <charset val="1"/>
    </font>
    <font>
      <sz val="12"/>
      <color rgb="FF000000"/>
      <name val="Calibri"/>
      <family val="2"/>
    </font>
    <font>
      <strike/>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E3E3E3"/>
        <bgColor indexed="64"/>
      </patternFill>
    </fill>
    <fill>
      <patternFill patternType="solid">
        <fgColor rgb="FFF3F3F3"/>
        <bgColor indexed="64"/>
      </patternFill>
    </fill>
    <fill>
      <patternFill patternType="solid">
        <fgColor rgb="FFE7E6E6"/>
        <bgColor indexed="64"/>
      </patternFill>
    </fill>
    <fill>
      <patternFill patternType="solid">
        <fgColor rgb="FFFFF2CC"/>
        <bgColor indexed="64"/>
      </patternFill>
    </fill>
    <fill>
      <patternFill patternType="solid">
        <fgColor rgb="FFF2F2F2"/>
        <bgColor indexed="64"/>
      </patternFill>
    </fill>
    <fill>
      <patternFill patternType="solid">
        <fgColor rgb="FFFFFFFF"/>
        <bgColor indexed="64"/>
      </patternFill>
    </fill>
    <fill>
      <patternFill patternType="solid">
        <fgColor theme="6"/>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1">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6" fillId="0" borderId="0"/>
    <xf numFmtId="165" fontId="6" fillId="0" borderId="0" applyFont="0" applyFill="0" applyBorder="0" applyAlignment="0" applyProtection="0"/>
    <xf numFmtId="0" fontId="16" fillId="0" borderId="0" applyBorder="0"/>
    <xf numFmtId="0" fontId="22" fillId="0" borderId="0" applyNumberFormat="0" applyFill="0" applyBorder="0" applyAlignment="0" applyProtection="0"/>
  </cellStyleXfs>
  <cellXfs count="158">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0" fontId="0" fillId="2" borderId="0" xfId="0" applyFill="1"/>
    <xf numFmtId="0" fontId="1" fillId="3" borderId="0" xfId="0" applyFont="1" applyFill="1"/>
    <xf numFmtId="0" fontId="5" fillId="0" borderId="0" xfId="0" applyFont="1"/>
    <xf numFmtId="11" fontId="0" fillId="0" borderId="0" xfId="0" applyNumberFormat="1"/>
    <xf numFmtId="0" fontId="7" fillId="0" borderId="0" xfId="7" applyFont="1" applyAlignment="1">
      <alignment horizontal="left" vertical="center"/>
    </xf>
    <xf numFmtId="0" fontId="9" fillId="0" borderId="0" xfId="7" applyFont="1"/>
    <xf numFmtId="0" fontId="11" fillId="0" borderId="0" xfId="7" applyFont="1"/>
    <xf numFmtId="0" fontId="12" fillId="0" borderId="0" xfId="7" applyFont="1"/>
    <xf numFmtId="1" fontId="9" fillId="0" borderId="0" xfId="7" applyNumberFormat="1" applyFont="1"/>
    <xf numFmtId="0" fontId="16" fillId="0" borderId="0" xfId="9"/>
    <xf numFmtId="0" fontId="17" fillId="0" borderId="0" xfId="9" applyFont="1"/>
    <xf numFmtId="0" fontId="18" fillId="0" borderId="0" xfId="9" applyFont="1"/>
    <xf numFmtId="164" fontId="0" fillId="0" borderId="0" xfId="0" applyNumberFormat="1"/>
    <xf numFmtId="1" fontId="0" fillId="0" borderId="0" xfId="0" applyNumberFormat="1"/>
    <xf numFmtId="0" fontId="0" fillId="0" borderId="0" xfId="0" applyAlignment="1">
      <alignment horizontal="right"/>
    </xf>
    <xf numFmtId="166" fontId="0" fillId="0" borderId="0" xfId="0" applyNumberFormat="1"/>
    <xf numFmtId="14" fontId="0" fillId="0" borderId="0" xfId="0" applyNumberFormat="1" applyAlignment="1">
      <alignment horizontal="left"/>
    </xf>
    <xf numFmtId="0" fontId="0" fillId="0" borderId="0" xfId="0" applyAlignment="1">
      <alignment wrapText="1"/>
    </xf>
    <xf numFmtId="0" fontId="1" fillId="3" borderId="0" xfId="0" applyFont="1" applyFill="1" applyAlignment="1">
      <alignment wrapText="1"/>
    </xf>
    <xf numFmtId="0" fontId="1" fillId="3" borderId="0" xfId="0" applyFont="1" applyFill="1" applyAlignment="1">
      <alignment horizontal="left"/>
    </xf>
    <xf numFmtId="0" fontId="0" fillId="3" borderId="0" xfId="0" applyFill="1"/>
    <xf numFmtId="0" fontId="9" fillId="0" borderId="5" xfId="7" applyFont="1" applyBorder="1" applyAlignment="1">
      <alignment horizontal="center" vertical="center" wrapText="1"/>
    </xf>
    <xf numFmtId="0" fontId="7" fillId="3" borderId="5" xfId="7" applyFont="1" applyFill="1" applyBorder="1" applyAlignment="1">
      <alignment horizontal="left" vertical="center"/>
    </xf>
    <xf numFmtId="0" fontId="11" fillId="0" borderId="5" xfId="7" applyFont="1" applyBorder="1" applyAlignment="1">
      <alignment vertical="center"/>
    </xf>
    <xf numFmtId="0" fontId="9" fillId="0" borderId="5" xfId="7" applyFont="1" applyBorder="1" applyAlignment="1">
      <alignment vertical="center"/>
    </xf>
    <xf numFmtId="0" fontId="10" fillId="0" borderId="5" xfId="7" applyFont="1" applyBorder="1" applyAlignment="1">
      <alignment vertical="center"/>
    </xf>
    <xf numFmtId="1" fontId="10" fillId="0" borderId="5" xfId="7" applyNumberFormat="1" applyFont="1" applyBorder="1" applyAlignment="1">
      <alignment vertical="center"/>
    </xf>
    <xf numFmtId="1" fontId="10" fillId="0" borderId="5" xfId="7" applyNumberFormat="1" applyFont="1" applyBorder="1" applyAlignment="1">
      <alignment horizontal="right" vertical="center"/>
    </xf>
    <xf numFmtId="1" fontId="9" fillId="0" borderId="5" xfId="7" applyNumberFormat="1" applyFont="1" applyBorder="1" applyAlignment="1">
      <alignment vertical="center"/>
    </xf>
    <xf numFmtId="0" fontId="10" fillId="0" borderId="5" xfId="7" applyFont="1" applyBorder="1" applyAlignment="1">
      <alignment horizontal="right" vertical="center"/>
    </xf>
    <xf numFmtId="1" fontId="9" fillId="4" borderId="5" xfId="7" applyNumberFormat="1" applyFont="1" applyFill="1" applyBorder="1" applyAlignment="1">
      <alignment vertical="center"/>
    </xf>
    <xf numFmtId="0" fontId="12" fillId="0" borderId="5" xfId="7" applyFont="1" applyBorder="1" applyAlignment="1">
      <alignment vertical="center"/>
    </xf>
    <xf numFmtId="1" fontId="11" fillId="0" borderId="5" xfId="7" applyNumberFormat="1" applyFont="1" applyBorder="1" applyAlignment="1">
      <alignment vertical="center"/>
    </xf>
    <xf numFmtId="1" fontId="13" fillId="0" borderId="5" xfId="7" applyNumberFormat="1" applyFont="1" applyBorder="1" applyAlignment="1">
      <alignment vertical="center"/>
    </xf>
    <xf numFmtId="0" fontId="12" fillId="0" borderId="5" xfId="7" applyFont="1" applyBorder="1" applyAlignment="1">
      <alignment vertical="center" wrapText="1"/>
    </xf>
    <xf numFmtId="0" fontId="12" fillId="0" borderId="5" xfId="7" applyFont="1" applyBorder="1"/>
    <xf numFmtId="1" fontId="12" fillId="4" borderId="5" xfId="7" applyNumberFormat="1" applyFont="1" applyFill="1" applyBorder="1"/>
    <xf numFmtId="1" fontId="14" fillId="0" borderId="5" xfId="7" applyNumberFormat="1" applyFont="1" applyBorder="1" applyAlignment="1">
      <alignment vertical="center"/>
    </xf>
    <xf numFmtId="1" fontId="12" fillId="0" borderId="5" xfId="7" applyNumberFormat="1" applyFont="1" applyBorder="1"/>
    <xf numFmtId="1" fontId="14" fillId="0" borderId="5" xfId="7" applyNumberFormat="1" applyFont="1" applyBorder="1" applyAlignment="1">
      <alignment vertical="center" wrapText="1"/>
    </xf>
    <xf numFmtId="0" fontId="11" fillId="0" borderId="5" xfId="7" applyFont="1" applyBorder="1" applyAlignment="1">
      <alignment vertical="center" wrapText="1"/>
    </xf>
    <xf numFmtId="1" fontId="11" fillId="0" borderId="5" xfId="7" applyNumberFormat="1" applyFont="1" applyBorder="1" applyAlignment="1">
      <alignment vertical="center" wrapText="1"/>
    </xf>
    <xf numFmtId="1" fontId="13" fillId="0" borderId="5" xfId="7" applyNumberFormat="1" applyFont="1" applyBorder="1" applyAlignment="1">
      <alignment vertical="center" wrapText="1"/>
    </xf>
    <xf numFmtId="0" fontId="9" fillId="0" borderId="5" xfId="7" applyFont="1" applyBorder="1" applyAlignment="1">
      <alignment vertical="center" wrapText="1"/>
    </xf>
    <xf numFmtId="0" fontId="10" fillId="0" borderId="5" xfId="7" applyFont="1" applyBorder="1" applyAlignment="1">
      <alignment vertical="center" wrapText="1"/>
    </xf>
    <xf numFmtId="0" fontId="15" fillId="3" borderId="5" xfId="7" applyFont="1" applyFill="1" applyBorder="1" applyAlignment="1">
      <alignment horizontal="left" vertical="center" wrapText="1"/>
    </xf>
    <xf numFmtId="1" fontId="9" fillId="0" borderId="5" xfId="7" applyNumberFormat="1" applyFont="1" applyBorder="1" applyAlignment="1">
      <alignment vertical="center" wrapText="1"/>
    </xf>
    <xf numFmtId="0" fontId="22" fillId="0" borderId="0" xfId="10"/>
    <xf numFmtId="0" fontId="0" fillId="0" borderId="0" xfId="0" applyAlignment="1">
      <alignment horizontal="center"/>
    </xf>
    <xf numFmtId="0" fontId="9" fillId="0" borderId="5" xfId="7"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2" borderId="0" xfId="0" applyFill="1" applyAlignment="1">
      <alignment horizontal="center" vertical="center"/>
    </xf>
    <xf numFmtId="0" fontId="9" fillId="0" borderId="0" xfId="7" applyFont="1" applyAlignment="1">
      <alignment horizontal="center" vertical="center"/>
    </xf>
    <xf numFmtId="0" fontId="9" fillId="2" borderId="5" xfId="7" applyFont="1" applyFill="1" applyBorder="1" applyAlignment="1">
      <alignment vertical="center"/>
    </xf>
    <xf numFmtId="1" fontId="10" fillId="2" borderId="5" xfId="7" applyNumberFormat="1" applyFont="1" applyFill="1" applyBorder="1" applyAlignment="1">
      <alignment vertical="center"/>
    </xf>
    <xf numFmtId="0" fontId="23" fillId="0" borderId="5" xfId="7" applyFont="1" applyBorder="1" applyAlignment="1">
      <alignment vertical="center"/>
    </xf>
    <xf numFmtId="0" fontId="9" fillId="0" borderId="0" xfId="7" applyFont="1" applyAlignment="1">
      <alignment vertical="center"/>
    </xf>
    <xf numFmtId="0" fontId="10" fillId="2" borderId="5" xfId="7" applyFont="1" applyFill="1" applyBorder="1" applyAlignment="1">
      <alignment horizontal="right" vertical="center"/>
    </xf>
    <xf numFmtId="1" fontId="9" fillId="2" borderId="5" xfId="7" applyNumberFormat="1" applyFont="1" applyFill="1" applyBorder="1" applyAlignment="1">
      <alignment vertical="center"/>
    </xf>
    <xf numFmtId="0" fontId="23" fillId="0" borderId="0" xfId="7" applyFont="1"/>
    <xf numFmtId="0" fontId="9" fillId="2" borderId="0" xfId="7" applyFont="1" applyFill="1"/>
    <xf numFmtId="0" fontId="1" fillId="0" borderId="0" xfId="0" applyFont="1" applyAlignment="1">
      <alignment vertical="center" wrapText="1"/>
    </xf>
    <xf numFmtId="2" fontId="0" fillId="0" borderId="0" xfId="0" applyNumberFormat="1"/>
    <xf numFmtId="0" fontId="7" fillId="5" borderId="5" xfId="7" applyFont="1" applyFill="1" applyBorder="1" applyAlignment="1">
      <alignment horizontal="left" vertical="center"/>
    </xf>
    <xf numFmtId="0" fontId="7" fillId="5" borderId="5" xfId="7" applyFont="1" applyFill="1" applyBorder="1" applyAlignment="1">
      <alignment horizontal="center" vertical="center"/>
    </xf>
    <xf numFmtId="0" fontId="7" fillId="5" borderId="0" xfId="7" applyFont="1" applyFill="1" applyAlignment="1">
      <alignment horizontal="center" vertical="center"/>
    </xf>
    <xf numFmtId="0" fontId="0" fillId="5" borderId="0" xfId="0" applyFill="1" applyAlignment="1">
      <alignment vertical="center"/>
    </xf>
    <xf numFmtId="0" fontId="19" fillId="0" borderId="0" xfId="0" applyFont="1" applyAlignment="1">
      <alignment horizontal="center" vertical="center"/>
    </xf>
    <xf numFmtId="0" fontId="11" fillId="0" borderId="0" xfId="7" applyFont="1" applyAlignment="1">
      <alignment vertical="center"/>
    </xf>
    <xf numFmtId="0" fontId="0" fillId="0" borderId="6" xfId="0" applyBorder="1"/>
    <xf numFmtId="0" fontId="0" fillId="0" borderId="7" xfId="0" applyBorder="1" applyAlignment="1">
      <alignment horizontal="left"/>
    </xf>
    <xf numFmtId="0" fontId="0" fillId="0" borderId="7" xfId="0" applyBorder="1"/>
    <xf numFmtId="0" fontId="22" fillId="0" borderId="8" xfId="10" applyBorder="1"/>
    <xf numFmtId="0" fontId="24" fillId="0" borderId="7" xfId="10" applyFont="1" applyBorder="1" applyAlignment="1">
      <alignment horizontal="left"/>
    </xf>
    <xf numFmtId="0" fontId="24" fillId="0" borderId="6" xfId="10" applyFont="1" applyBorder="1" applyAlignment="1">
      <alignment horizontal="left"/>
    </xf>
    <xf numFmtId="0" fontId="24" fillId="0" borderId="8" xfId="10" applyFont="1" applyBorder="1" applyAlignment="1">
      <alignment horizontal="left"/>
    </xf>
    <xf numFmtId="0" fontId="0" fillId="3" borderId="0" xfId="0" applyFill="1" applyAlignment="1">
      <alignment horizontal="center" vertical="center"/>
    </xf>
    <xf numFmtId="0" fontId="0" fillId="3" borderId="0" xfId="0" applyFill="1" applyAlignment="1">
      <alignment horizontal="center"/>
    </xf>
    <xf numFmtId="0" fontId="22" fillId="0" borderId="0" xfId="10" applyAlignment="1">
      <alignment vertical="center"/>
    </xf>
    <xf numFmtId="0" fontId="24" fillId="0" borderId="0" xfId="10" applyFont="1" applyBorder="1" applyAlignment="1">
      <alignment horizontal="left"/>
    </xf>
    <xf numFmtId="0" fontId="24" fillId="0" borderId="0" xfId="0" applyFont="1" applyAlignment="1">
      <alignment horizontal="center" vertical="center"/>
    </xf>
    <xf numFmtId="0" fontId="22" fillId="0" borderId="7" xfId="10" applyBorder="1" applyAlignment="1">
      <alignment horizontal="left"/>
    </xf>
    <xf numFmtId="1" fontId="10" fillId="0" borderId="5" xfId="7" applyNumberFormat="1" applyFont="1" applyBorder="1" applyAlignment="1">
      <alignment horizontal="center" vertical="center"/>
    </xf>
    <xf numFmtId="1" fontId="0" fillId="0" borderId="0" xfId="0" applyNumberFormat="1" applyAlignment="1">
      <alignment horizontal="center" vertical="center"/>
    </xf>
    <xf numFmtId="0" fontId="10" fillId="0" borderId="5" xfId="7" applyFont="1" applyBorder="1" applyAlignment="1">
      <alignment horizontal="center" vertical="center"/>
    </xf>
    <xf numFmtId="0" fontId="10" fillId="0" borderId="0" xfId="7" applyFont="1" applyAlignment="1">
      <alignment horizontal="center" vertical="center"/>
    </xf>
    <xf numFmtId="0" fontId="1" fillId="6" borderId="0" xfId="0" applyFont="1" applyFill="1"/>
    <xf numFmtId="0" fontId="24" fillId="0" borderId="0" xfId="0" applyFont="1" applyAlignment="1">
      <alignment vertical="center"/>
    </xf>
    <xf numFmtId="0" fontId="26" fillId="7" borderId="9" xfId="0" applyFont="1" applyFill="1" applyBorder="1" applyAlignment="1">
      <alignment wrapText="1"/>
    </xf>
    <xf numFmtId="0" fontId="25" fillId="8" borderId="9" xfId="0" applyFont="1" applyFill="1" applyBorder="1" applyAlignment="1">
      <alignment wrapText="1"/>
    </xf>
    <xf numFmtId="0" fontId="25" fillId="7" borderId="9" xfId="0" applyFont="1" applyFill="1" applyBorder="1" applyAlignment="1">
      <alignment wrapText="1"/>
    </xf>
    <xf numFmtId="0" fontId="27" fillId="0" borderId="0" xfId="0" applyFont="1"/>
    <xf numFmtId="0" fontId="1" fillId="0" borderId="10" xfId="0" applyFont="1" applyBorder="1"/>
    <xf numFmtId="0" fontId="0" fillId="0" borderId="11" xfId="0" applyBorder="1"/>
    <xf numFmtId="0" fontId="22" fillId="0" borderId="11" xfId="10" applyBorder="1"/>
    <xf numFmtId="0" fontId="0" fillId="9" borderId="0" xfId="0" applyFill="1"/>
    <xf numFmtId="0" fontId="26" fillId="7" borderId="9" xfId="0" applyFont="1" applyFill="1" applyBorder="1" applyAlignment="1">
      <alignment horizontal="center" wrapText="1"/>
    </xf>
    <xf numFmtId="0" fontId="25" fillId="8" borderId="9" xfId="0" applyFont="1" applyFill="1" applyBorder="1" applyAlignment="1">
      <alignment horizontal="center" wrapText="1"/>
    </xf>
    <xf numFmtId="14" fontId="25" fillId="7" borderId="9" xfId="0" applyNumberFormat="1" applyFont="1" applyFill="1" applyBorder="1" applyAlignment="1">
      <alignment horizontal="center" wrapText="1"/>
    </xf>
    <xf numFmtId="0" fontId="25" fillId="7" borderId="9" xfId="0" applyFont="1" applyFill="1" applyBorder="1" applyAlignment="1">
      <alignment horizontal="center" wrapText="1"/>
    </xf>
    <xf numFmtId="14" fontId="25" fillId="8" borderId="9" xfId="0" applyNumberFormat="1" applyFont="1" applyFill="1" applyBorder="1" applyAlignment="1">
      <alignment horizontal="center" wrapText="1"/>
    </xf>
    <xf numFmtId="0" fontId="0" fillId="0" borderId="11" xfId="0" applyBorder="1" applyAlignment="1">
      <alignment wrapText="1"/>
    </xf>
    <xf numFmtId="0" fontId="0" fillId="0" borderId="10" xfId="0" applyBorder="1" applyAlignment="1">
      <alignment wrapText="1"/>
    </xf>
    <xf numFmtId="0" fontId="22" fillId="0" borderId="0" xfId="10" applyAlignment="1">
      <alignment wrapText="1"/>
    </xf>
    <xf numFmtId="0" fontId="9" fillId="0" borderId="0" xfId="7" applyFont="1" applyBorder="1" applyAlignment="1">
      <alignment vertical="center"/>
    </xf>
    <xf numFmtId="0" fontId="9" fillId="0" borderId="0" xfId="7" applyFont="1" applyBorder="1" applyAlignment="1">
      <alignment horizontal="center" vertical="center"/>
    </xf>
    <xf numFmtId="0" fontId="10" fillId="0" borderId="0" xfId="7" applyFont="1" applyBorder="1" applyAlignment="1">
      <alignment horizontal="center"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xf>
    <xf numFmtId="0" fontId="0" fillId="3" borderId="0" xfId="0" applyFill="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28" fillId="0" borderId="0" xfId="0" applyFont="1" applyFill="1" applyBorder="1" applyAlignment="1"/>
    <xf numFmtId="14" fontId="28" fillId="0" borderId="0" xfId="0" applyNumberFormat="1" applyFont="1" applyFill="1" applyBorder="1" applyAlignment="1"/>
    <xf numFmtId="0" fontId="28" fillId="0" borderId="0" xfId="0" applyFont="1" applyFill="1" applyAlignment="1"/>
    <xf numFmtId="0" fontId="28" fillId="0" borderId="0" xfId="0" applyFont="1" applyFill="1" applyBorder="1" applyAlignment="1">
      <alignment wrapText="1"/>
    </xf>
    <xf numFmtId="0" fontId="28" fillId="0" borderId="0" xfId="0" quotePrefix="1" applyFont="1" applyFill="1" applyBorder="1" applyAlignment="1">
      <alignment wrapText="1"/>
    </xf>
    <xf numFmtId="11" fontId="28" fillId="0" borderId="0" xfId="0" applyNumberFormat="1" applyFont="1" applyFill="1" applyBorder="1" applyAlignment="1"/>
    <xf numFmtId="0" fontId="0" fillId="10" borderId="0" xfId="0" applyFill="1"/>
    <xf numFmtId="0" fontId="0" fillId="11" borderId="9" xfId="0" applyFill="1" applyBorder="1"/>
    <xf numFmtId="0" fontId="0" fillId="11" borderId="0" xfId="0" applyFill="1" applyBorder="1"/>
    <xf numFmtId="0" fontId="0" fillId="11" borderId="12" xfId="0" applyFill="1" applyBorder="1"/>
    <xf numFmtId="0" fontId="0" fillId="11" borderId="13" xfId="0" applyFill="1" applyBorder="1"/>
    <xf numFmtId="0" fontId="0" fillId="11" borderId="14" xfId="0" applyFill="1" applyBorder="1"/>
    <xf numFmtId="0" fontId="0" fillId="0" borderId="0" xfId="0" applyFill="1" applyBorder="1"/>
    <xf numFmtId="0" fontId="28" fillId="10" borderId="0" xfId="0" applyFont="1" applyFill="1" applyBorder="1" applyAlignment="1"/>
    <xf numFmtId="0" fontId="28" fillId="10" borderId="0" xfId="0" applyFont="1" applyFill="1" applyAlignment="1"/>
    <xf numFmtId="0" fontId="28" fillId="10" borderId="0" xfId="0" applyFont="1" applyFill="1" applyBorder="1" applyAlignment="1">
      <alignment wrapText="1"/>
    </xf>
    <xf numFmtId="0" fontId="28" fillId="10" borderId="0" xfId="0" quotePrefix="1" applyFont="1" applyFill="1" applyBorder="1" applyAlignment="1">
      <alignment wrapText="1"/>
    </xf>
    <xf numFmtId="0" fontId="22" fillId="10" borderId="0" xfId="10" applyFill="1" applyBorder="1" applyAlignment="1"/>
    <xf numFmtId="0" fontId="28" fillId="12" borderId="0" xfId="0" applyFont="1" applyFill="1" applyBorder="1" applyAlignment="1"/>
    <xf numFmtId="0" fontId="28" fillId="12" borderId="0" xfId="0" applyFont="1" applyFill="1" applyAlignment="1"/>
    <xf numFmtId="0" fontId="22" fillId="12" borderId="0" xfId="10" applyFill="1" applyBorder="1" applyAlignment="1"/>
    <xf numFmtId="0" fontId="0" fillId="12" borderId="0" xfId="0" applyFill="1"/>
    <xf numFmtId="0" fontId="28" fillId="12" borderId="0" xfId="0" applyFont="1" applyFill="1" applyBorder="1" applyAlignment="1">
      <alignment wrapText="1"/>
    </xf>
    <xf numFmtId="0" fontId="19" fillId="0" borderId="0" xfId="0" applyFont="1" applyFill="1" applyBorder="1"/>
    <xf numFmtId="0" fontId="28" fillId="10" borderId="0" xfId="0" applyFont="1" applyFill="1" applyBorder="1" applyAlignment="1">
      <alignment horizontal="center"/>
    </xf>
    <xf numFmtId="14" fontId="28" fillId="0" borderId="0" xfId="0" applyNumberFormat="1" applyFont="1" applyFill="1" applyBorder="1" applyAlignment="1">
      <alignment horizontal="center"/>
    </xf>
    <xf numFmtId="0" fontId="28" fillId="0" borderId="0" xfId="0" applyFont="1" applyFill="1" applyAlignment="1">
      <alignment horizontal="center"/>
    </xf>
    <xf numFmtId="0" fontId="28" fillId="0" borderId="0" xfId="0" applyFont="1" applyFill="1" applyBorder="1" applyAlignment="1">
      <alignment horizontal="center"/>
    </xf>
    <xf numFmtId="14" fontId="28" fillId="10" borderId="0" xfId="0" applyNumberFormat="1" applyFont="1" applyFill="1" applyBorder="1" applyAlignment="1">
      <alignment horizontal="center"/>
    </xf>
    <xf numFmtId="0" fontId="28" fillId="12" borderId="0" xfId="0" applyFont="1" applyFill="1" applyBorder="1" applyAlignment="1">
      <alignment horizontal="center"/>
    </xf>
    <xf numFmtId="0" fontId="28" fillId="10" borderId="0" xfId="0" applyFont="1" applyFill="1" applyAlignment="1">
      <alignment horizontal="center"/>
    </xf>
    <xf numFmtId="0" fontId="0" fillId="13" borderId="0" xfId="0" applyFill="1"/>
    <xf numFmtId="11" fontId="0" fillId="13" borderId="0" xfId="0" applyNumberFormat="1" applyFill="1"/>
    <xf numFmtId="0" fontId="19" fillId="2" borderId="0" xfId="0" applyFont="1" applyFill="1"/>
    <xf numFmtId="0" fontId="29" fillId="0" borderId="0" xfId="0" applyFont="1"/>
    <xf numFmtId="0" fontId="9" fillId="0" borderId="5" xfId="7" applyFont="1" applyBorder="1" applyAlignment="1">
      <alignment vertical="center"/>
    </xf>
    <xf numFmtId="0" fontId="9" fillId="0" borderId="5" xfId="7" applyFont="1" applyBorder="1" applyAlignment="1">
      <alignment horizontal="center" vertical="center" wrapText="1"/>
    </xf>
    <xf numFmtId="0" fontId="9" fillId="0" borderId="5" xfId="7" applyFont="1" applyBorder="1" applyAlignment="1">
      <alignment vertical="center" wrapText="1"/>
    </xf>
    <xf numFmtId="0" fontId="10" fillId="0" borderId="5" xfId="7" applyFont="1" applyBorder="1" applyAlignment="1">
      <alignment vertical="center"/>
    </xf>
  </cellXfs>
  <cellStyles count="11">
    <cellStyle name="Body: normal cell" xfId="4" xr:uid="{00000000-0005-0000-0000-000000000000}"/>
    <cellStyle name="Comma 2" xfId="8" xr:uid="{00000000-0005-0000-0000-000001000000}"/>
    <cellStyle name="Font: Calibri, 9pt regular" xfId="1" xr:uid="{00000000-0005-0000-0000-000002000000}"/>
    <cellStyle name="Footnotes: top row" xfId="6" xr:uid="{00000000-0005-0000-0000-000003000000}"/>
    <cellStyle name="Header: bottom row" xfId="2" xr:uid="{00000000-0005-0000-0000-000004000000}"/>
    <cellStyle name="Hyperlink" xfId="10" builtinId="8"/>
    <cellStyle name="Normal" xfId="0" builtinId="0"/>
    <cellStyle name="Normal 2" xfId="7" xr:uid="{00000000-0005-0000-0000-000006000000}"/>
    <cellStyle name="Normal 3" xfId="9" xr:uid="{00000000-0005-0000-0000-000007000000}"/>
    <cellStyle name="Parent row" xfId="5" xr:uid="{00000000-0005-0000-0000-000008000000}"/>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yab Al-Aini" id="{FECAE5EE-B198-4010-9F18-C7D6F7DA57D6}" userId="eyaba@pembina.org" providerId="PeoplePicker"/>
  <person displayName="Jared Connoy" id="{A96CB37E-8405-4756-8B9F-C83E9D755158}" userId="jaredc@pembina.org" providerId="PeoplePicker"/>
  <person displayName="Eyab Al-Aini" id="{6DE4E6D5-3C45-4B2D-BB60-33D3F9E6825D}" userId="S::eyaba@pembina.org::e48cb72f-8969-4f81-87bc-9db77bc6adc6" providerId="AD"/>
  <person displayName="Emily He" id="{F980529D-A94B-40BA-9E20-D01EA8B64290}" userId="S::emilyh@pembina.org::d99598e9-e9df-4ca9-bc8e-8ff29731f35c" providerId="AD"/>
  <person displayName="Jared Connoy" id="{135EFB8E-D09C-4739-BDE3-787F892FA7E1}" userId="S::jaredc@pembina.org::6d4d02eb-dc41-4ebe-9ebe-be46117bfd0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AFBD93-F9D3-4EEB-B295-6B535F0A7EC4}" name="Table15" displayName="Table15" ref="A8:AU15"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6DFDA2-89FC-47E6-BB2C-637105B92642}" name="Table4" displayName="Table4"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2F48C74-2DBF-473D-B520-6F41C14F97F6}" name="Table5" displayName="Table5"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5DE0267-3BF2-4458-A59E-4F6534E62084}" name="Table6" displayName="Table6"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3ADBF0F-CC05-43DA-82E1-D546E9F38386}" name="Table7" displayName="Table7"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E5DB54D-764C-446A-BD6A-E580DC71CBDC}" name="Table8" displayName="Table8"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699297-DA8F-4809-A912-65336CB4CEBB}" name="Table9" displayName="Table9"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3C9D930-C25F-4CC7-9C71-8EE9FE56FD2E}" name="Table10" displayName="Table10"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8EF90EA-D2EE-4D7C-9ACA-F3A1AF5CD37E}" name="Table11" displayName="Table11"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323170C-9687-4515-A3BF-C0C56B22C910}" name="Table12" displayName="Table12"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DE7D9A2-4786-40A9-9275-569181E59962}" name="Table13" displayName="Table13"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E2CAA1-55FE-4FC6-842C-B11A9B29ED36}" name="Table26" displayName="Table26" ref="A18:AU24"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22ED97B-618F-4F5B-BDBD-A5FE101FBC24}" name="Table14" displayName="Table14"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A60D23-0AF5-4D8E-A14A-34FCF9A66F4F}" name="Table37" displayName="Table37" ref="A27:AU2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K14" totalsRowShown="0">
  <tableColumns count="3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7:AK18" totalsRowShown="0">
  <tableColumns count="3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1:AK28" totalsRowShown="0">
  <tableColumns count="3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68BBEEF-DFE8-4BE0-90CB-FF2F96ABA3F1}" name="Table18" displayName="Table18"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DC3489-A8A3-4ADE-965B-7D9A674F94B2}" name="Table29" displayName="Table2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21B3EF-B29A-473D-BC6E-89B5BB12C0B5}" name="Table310" displayName="Table31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77" dT="2022-06-27T15:28:14.43" personId="{6DE4E6D5-3C45-4B2D-BB60-33D3F9E6825D}" id="{A89F4B47-D0F7-4943-811E-7BB798616A2E}">
    <text xml:space="preserve">@Jared Connoy, can you please confirm these values are correct and add a reference to the file they came from </text>
    <mentions>
      <mention mentionpersonId="{A96CB37E-8405-4756-8B9F-C83E9D755158}" mentionId="{F0DC9934-D0E6-48B6-B56E-9B25DF9468B2}" startIndex="0" length="1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Q91" dT="2022-02-15T19:06:30.68" personId="{F980529D-A94B-40BA-9E20-D01EA8B64290}" id="{6E855954-2ECC-4795-A825-AB1D622F457D}">
    <text>price from 2030 onwards</text>
  </threadedComment>
</ThreadedComments>
</file>

<file path=xl/threadedComments/threadedComment3.xml><?xml version="1.0" encoding="utf-8"?>
<ThreadedComments xmlns="http://schemas.microsoft.com/office/spreadsheetml/2018/threadedcomments" xmlns:x="http://schemas.openxmlformats.org/spreadsheetml/2006/main">
  <threadedComment ref="F30" dT="2022-05-13T19:53:25.82" personId="{135EFB8E-D09C-4739-BDE3-787F892FA7E1}" id="{7DD21791-37D0-4115-8C48-9B172DFF62A8}">
    <text>@Eyab Al-Aini could you take a look at this</text>
    <mentions>
      <mention mentionpersonId="{FECAE5EE-B198-4010-9F18-C7D6F7DA57D6}" mentionId="{5624E606-09AD-4703-9517-BD9DA83AF433}" startIndex="0" length="13"/>
    </mentions>
  </threadedComment>
  <threadedComment ref="C71" dT="2022-05-13T19:53:40.74" personId="{135EFB8E-D09C-4739-BDE3-787F892FA7E1}" id="{2EE6499A-9FF5-46D2-851B-1BB91A8BF775}">
    <text>@Eyab Al-Aini could you take a look at this too</text>
    <mentions>
      <mention mentionpersonId="{FECAE5EE-B198-4010-9F18-C7D6F7DA57D6}" mentionId="{39200BC1-3DA5-4425-8066-D909A87BBA52}" startIndex="0" length="13"/>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iisd.org/articles/unpacking-canadas-fossil-fuel-subsidies-faq"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hyperlink" Target="https://www.statista.com/statistics/248155/electricity-generation-in-canada-by-type/" TargetMode="External"/><Relationship Id="rId1" Type="http://schemas.openxmlformats.org/officeDocument/2006/relationships/hyperlink" Target="https://www.energypolicytracker.org/country/canad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anada.ca/en/natural-resources-canada/news/2021/03/canada-invests-in-cutting-edge-indigenous-geothermal-electricity-production-facility.html%20Accessed%2015%20March%202021" TargetMode="External"/><Relationship Id="rId13" Type="http://schemas.openxmlformats.org/officeDocument/2006/relationships/hyperlink" Target="https://www.canada.ca/en/economic-development-southern-ontario/news/2020/07/two-renewable-fuel-producers-scale-up-to-increase-productivity-and-economic-growth-in-rural-southwestern-ontario.html%20Accessed%2017%20August%202020" TargetMode="External"/><Relationship Id="rId18" Type="http://schemas.openxmlformats.org/officeDocument/2006/relationships/vmlDrawing" Target="../drawings/vmlDrawing4.vml"/><Relationship Id="rId3" Type="http://schemas.openxmlformats.org/officeDocument/2006/relationships/hyperlink" Target="https://www.canada.ca/content/dam/eccc/documents/pdf/climate-change/climate-plan/healthy_environment_healthy_economy_plan.pdf" TargetMode="External"/><Relationship Id="rId7" Type="http://schemas.openxmlformats.org/officeDocument/2006/relationships/hyperlink" Target="https://open.canada.ca/data/en/dataset/beee0771-dab9-4be8-9b80-f8e8b3fdfd9d%20Last%20accessed%2030%20June%202021." TargetMode="External"/><Relationship Id="rId12" Type="http://schemas.openxmlformats.org/officeDocument/2006/relationships/hyperlink" Target="https://news.gov.bc.ca/releases/2020EMPR0046-001696%20Accessed%2015%20September%202020" TargetMode="External"/><Relationship Id="rId17" Type="http://schemas.openxmlformats.org/officeDocument/2006/relationships/hyperlink" Target="https://www.canada.ca/en/natural-resources-canada/news/2020/07/canada-invests-in-smart-grid-technology-for-london-net-zero-energy-community.html%20Accessed%201%20August%202020" TargetMode="External"/><Relationship Id="rId2" Type="http://schemas.openxmlformats.org/officeDocument/2006/relationships/hyperlink" Target="https://www.opg.com/media_release/opg-subsidiary-atura-power-finalizes-acquisition-of-natural-gas-assets/%20Accessed%2011%20May%202020" TargetMode="External"/><Relationship Id="rId16" Type="http://schemas.openxmlformats.org/officeDocument/2006/relationships/hyperlink" Target="https://www.canada.ca/en/natural-resources-canada/news/2020/09/government-invests-in-clean-energy-initiatives-in-yukon.html%20Accessed%2028%20September%202020" TargetMode="External"/><Relationship Id="rId20" Type="http://schemas.microsoft.com/office/2017/10/relationships/threadedComment" Target="../threadedComments/threadedComment3.xml"/><Relationship Id="rId1" Type="http://schemas.openxmlformats.org/officeDocument/2006/relationships/hyperlink" Target="https://www.budget.gc.ca/2021/home-accueil-en.html%20Accessed%2026%20April%202021" TargetMode="External"/><Relationship Id="rId6" Type="http://schemas.openxmlformats.org/officeDocument/2006/relationships/hyperlink" Target="https://www.canada.ca/en/office-infrastructure/news/2020/06/new-initiative-to-help-homeowners-cut-their-energy-bills-and-emissions-and-keep-the-local-economy-moving.html%20Accessed%2010%20%20July%202020" TargetMode="External"/><Relationship Id="rId11" Type="http://schemas.openxmlformats.org/officeDocument/2006/relationships/hyperlink" Target="https://www.bcbudget.gov.bc.ca/2021/pdf/2021_Budget%20and%20Fiscal%20Plan.pdf%20Accessed%2026%20April%202021." TargetMode="External"/><Relationship Id="rId5" Type="http://schemas.openxmlformats.org/officeDocument/2006/relationships/hyperlink" Target="https://www.gov.nl.ca/releases/2021/exec/0616n06/%20Accessed%2022%20June%202021" TargetMode="External"/><Relationship Id="rId15" Type="http://schemas.openxmlformats.org/officeDocument/2006/relationships/hyperlink" Target="https://www.canada.ca/en/natural-resources-canada/news/2020/09/canada-invests-in-clean-energy-projects-in-the-northwest-territories.html%20Accessed%2028%20September%202020" TargetMode="External"/><Relationship Id="rId10" Type="http://schemas.openxmlformats.org/officeDocument/2006/relationships/hyperlink" Target="https://eralberta.ca/projects/details/lacombe-biorefinery/%20Accessed%2019%20October%202020" TargetMode="External"/><Relationship Id="rId19" Type="http://schemas.openxmlformats.org/officeDocument/2006/relationships/comments" Target="../comments4.xml"/><Relationship Id="rId4" Type="http://schemas.openxmlformats.org/officeDocument/2006/relationships/hyperlink" Target="https://cib-bic.ca/en/the-canada-infrastructure-bank-announces-a-plan-to-create-jobs-and-grow-the-economy/%20Accessed%205%20October%202020" TargetMode="External"/><Relationship Id="rId9" Type="http://schemas.openxmlformats.org/officeDocument/2006/relationships/hyperlink" Target="https://www.canada.ca/en/innovation-science-economic-development/news/2020/10/government-of-canada-invests-in-innovative-small-modular-reactor-technology.html%20Accessed%2019%20October%202020" TargetMode="External"/><Relationship Id="rId14" Type="http://schemas.openxmlformats.org/officeDocument/2006/relationships/hyperlink" Target="https://www.canada.ca/en/natural-resources-canada/news/2020/09/government-invests-in-canadas-tidal-power-industry.html%20Accessed%2014%20September%20202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iisd.org/system/files/2022-02/blocking-ambition-fossil-fuel-subsidies-canadian-provinces.pdf" TargetMode="External"/><Relationship Id="rId13" Type="http://schemas.openxmlformats.org/officeDocument/2006/relationships/vmlDrawing" Target="../drawings/vmlDrawing3.vml"/><Relationship Id="rId3" Type="http://schemas.openxmlformats.org/officeDocument/2006/relationships/hyperlink" Target="https://www.iisd.org/system/files/2022-02/blocking-ambition-fossil-fuel-subsidies-canadian-provinces.pdf" TargetMode="External"/><Relationship Id="rId7" Type="http://schemas.openxmlformats.org/officeDocument/2006/relationships/hyperlink" Target="https://www.iisd.org/system/files/2022-02/blocking-ambition-fossil-fuel-subsidies-canadian-provinces.pdf" TargetMode="External"/><Relationship Id="rId12" Type="http://schemas.openxmlformats.org/officeDocument/2006/relationships/printerSettings" Target="../printerSettings/printerSettings2.bin"/><Relationship Id="rId2" Type="http://schemas.openxmlformats.org/officeDocument/2006/relationships/hyperlink" Target="https://www.policyalternatives.ca/sites/default/files/uploads/publications/BC%20Office/2019/05/CCPA_BC%20Critiquing%20the%20LNG%20Canada%20agreement_FINAL_190506.pdf" TargetMode="External"/><Relationship Id="rId1" Type="http://schemas.openxmlformats.org/officeDocument/2006/relationships/hyperlink" Target="https://www.cbc.ca/news/canada/newfoundland-labrador/hibernia-funding-announcement-1.5852903" TargetMode="External"/><Relationship Id="rId6" Type="http://schemas.openxmlformats.org/officeDocument/2006/relationships/hyperlink" Target="https://www.iisd.org/system/files/2022-02/blocking-ambition-fossil-fuel-subsidies-canadian-provinces.pdf" TargetMode="External"/><Relationship Id="rId11" Type="http://schemas.openxmlformats.org/officeDocument/2006/relationships/hyperlink" Target="https://environmentaldefence.ca/wp-content/uploads/2021/04/Federal-FossilFuelSubsidies-April-2021.pdf" TargetMode="External"/><Relationship Id="rId5" Type="http://schemas.openxmlformats.org/officeDocument/2006/relationships/hyperlink" Target="https://www.iisd.org/system/files/2022-02/blocking-ambition-fossil-fuel-subsidies-canadian-provinces.pdf" TargetMode="External"/><Relationship Id="rId15" Type="http://schemas.microsoft.com/office/2017/10/relationships/threadedComment" Target="../threadedComments/threadedComment2.xml"/><Relationship Id="rId10" Type="http://schemas.openxmlformats.org/officeDocument/2006/relationships/hyperlink" Target="https://www.iisd.org/system/files/2022-02/blocking-ambition-fossil-fuel-subsidies-canadian-provinces.pdf" TargetMode="External"/><Relationship Id="rId4" Type="http://schemas.openxmlformats.org/officeDocument/2006/relationships/hyperlink" Target="https://www.iisd.org/system/files/2022-02/blocking-ambition-fossil-fuel-subsidies-canadian-provinces.pdf" TargetMode="External"/><Relationship Id="rId9" Type="http://schemas.openxmlformats.org/officeDocument/2006/relationships/hyperlink" Target="https://www.iisd.org/system/files/2022-02/blocking-ambition-fossil-fuel-subsidies-canadian-provinces.pdf" TargetMode="Externa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efficiencyalberta.ca/solar/" TargetMode="External"/><Relationship Id="rId1" Type="http://schemas.openxmlformats.org/officeDocument/2006/relationships/hyperlink" Target="http://sunmetrix.com/solar-tax-credits-incentives-and-solar-rebates-in-canada/" TargetMode="External"/></Relationships>
</file>

<file path=xl/worksheets/_rels/sheet9.xml.rels><?xml version="1.0" encoding="UTF-8" standalone="yes"?>
<Relationships xmlns="http://schemas.openxmlformats.org/package/2006/relationships"><Relationship Id="rId8" Type="http://schemas.openxmlformats.org/officeDocument/2006/relationships/table" Target="../tables/table14.xml"/><Relationship Id="rId13" Type="http://schemas.openxmlformats.org/officeDocument/2006/relationships/table" Target="../tables/table19.xml"/><Relationship Id="rId3" Type="http://schemas.openxmlformats.org/officeDocument/2006/relationships/table" Target="../tables/table9.xml"/><Relationship Id="rId7" Type="http://schemas.openxmlformats.org/officeDocument/2006/relationships/table" Target="../tables/table13.xml"/><Relationship Id="rId12" Type="http://schemas.openxmlformats.org/officeDocument/2006/relationships/table" Target="../tables/table18.xml"/><Relationship Id="rId2" Type="http://schemas.openxmlformats.org/officeDocument/2006/relationships/table" Target="../tables/table8.xml"/><Relationship Id="rId1" Type="http://schemas.openxmlformats.org/officeDocument/2006/relationships/table" Target="../tables/table7.xml"/><Relationship Id="rId6" Type="http://schemas.openxmlformats.org/officeDocument/2006/relationships/table" Target="../tables/table12.xml"/><Relationship Id="rId11" Type="http://schemas.openxmlformats.org/officeDocument/2006/relationships/table" Target="../tables/table17.xml"/><Relationship Id="rId5" Type="http://schemas.openxmlformats.org/officeDocument/2006/relationships/table" Target="../tables/table11.xml"/><Relationship Id="rId10" Type="http://schemas.openxmlformats.org/officeDocument/2006/relationships/table" Target="../tables/table16.xml"/><Relationship Id="rId4" Type="http://schemas.openxmlformats.org/officeDocument/2006/relationships/table" Target="../tables/table10.xml"/><Relationship Id="rId9" Type="http://schemas.openxmlformats.org/officeDocument/2006/relationships/table" Target="../tables/table15.xml"/><Relationship Id="rId1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B78" sqref="B78"/>
    </sheetView>
  </sheetViews>
  <sheetFormatPr defaultRowHeight="15" x14ac:dyDescent="0.25"/>
  <cols>
    <col min="2" max="2" width="83.42578125" customWidth="1"/>
  </cols>
  <sheetData>
    <row r="1" spans="1:2" x14ac:dyDescent="0.25">
      <c r="A1" s="1" t="s">
        <v>0</v>
      </c>
    </row>
    <row r="2" spans="1:2" x14ac:dyDescent="0.25">
      <c r="A2" s="1" t="s">
        <v>1</v>
      </c>
    </row>
    <row r="3" spans="1:2" x14ac:dyDescent="0.25">
      <c r="A3" s="1" t="s">
        <v>2</v>
      </c>
    </row>
    <row r="5" spans="1:2" x14ac:dyDescent="0.25">
      <c r="A5" s="1" t="s">
        <v>3</v>
      </c>
      <c r="B5" s="5" t="s">
        <v>4</v>
      </c>
    </row>
    <row r="6" spans="1:2" x14ac:dyDescent="0.25">
      <c r="A6" s="1"/>
      <c r="B6" s="75" t="s">
        <v>5</v>
      </c>
    </row>
    <row r="7" spans="1:2" x14ac:dyDescent="0.25">
      <c r="A7" s="1"/>
      <c r="B7" s="76">
        <v>2021</v>
      </c>
    </row>
    <row r="8" spans="1:2" x14ac:dyDescent="0.25">
      <c r="A8" s="1"/>
      <c r="B8" s="77" t="s">
        <v>6</v>
      </c>
    </row>
    <row r="9" spans="1:2" x14ac:dyDescent="0.25">
      <c r="A9" s="1"/>
      <c r="B9" s="78" t="s">
        <v>7</v>
      </c>
    </row>
    <row r="10" spans="1:2" x14ac:dyDescent="0.25">
      <c r="A10" s="1"/>
      <c r="B10" s="80" t="s">
        <v>8</v>
      </c>
    </row>
    <row r="11" spans="1:2" x14ac:dyDescent="0.25">
      <c r="A11" s="1"/>
      <c r="B11" s="79">
        <v>2019</v>
      </c>
    </row>
    <row r="12" spans="1:2" x14ac:dyDescent="0.25">
      <c r="A12" s="1"/>
      <c r="B12" s="79" t="s">
        <v>9</v>
      </c>
    </row>
    <row r="13" spans="1:2" x14ac:dyDescent="0.25">
      <c r="A13" s="1"/>
      <c r="B13" s="79" t="s">
        <v>10</v>
      </c>
    </row>
    <row r="14" spans="1:2" x14ac:dyDescent="0.25">
      <c r="A14" s="1"/>
      <c r="B14" s="80" t="s">
        <v>11</v>
      </c>
    </row>
    <row r="15" spans="1:2" x14ac:dyDescent="0.25">
      <c r="A15" s="1"/>
      <c r="B15" s="79">
        <v>2022</v>
      </c>
    </row>
    <row r="16" spans="1:2" x14ac:dyDescent="0.25">
      <c r="A16" s="1"/>
      <c r="B16" s="79" t="s">
        <v>12</v>
      </c>
    </row>
    <row r="17" spans="1:2" x14ac:dyDescent="0.25">
      <c r="A17" s="1"/>
      <c r="B17" s="81" t="s">
        <v>13</v>
      </c>
    </row>
    <row r="18" spans="1:2" x14ac:dyDescent="0.25">
      <c r="A18" s="1"/>
      <c r="B18" s="80" t="s">
        <v>11</v>
      </c>
    </row>
    <row r="19" spans="1:2" x14ac:dyDescent="0.25">
      <c r="A19" s="1"/>
      <c r="B19" s="79">
        <v>2020</v>
      </c>
    </row>
    <row r="20" spans="1:2" x14ac:dyDescent="0.25">
      <c r="A20" s="1"/>
      <c r="B20" s="79" t="s">
        <v>14</v>
      </c>
    </row>
    <row r="21" spans="1:2" x14ac:dyDescent="0.25">
      <c r="A21" s="1"/>
      <c r="B21" s="81" t="s">
        <v>15</v>
      </c>
    </row>
    <row r="22" spans="1:2" x14ac:dyDescent="0.25">
      <c r="A22" s="1"/>
      <c r="B22" s="80" t="s">
        <v>11</v>
      </c>
    </row>
    <row r="23" spans="1:2" x14ac:dyDescent="0.25">
      <c r="A23" s="1"/>
      <c r="B23" s="79">
        <v>2020</v>
      </c>
    </row>
    <row r="24" spans="1:2" x14ac:dyDescent="0.25">
      <c r="A24" s="1"/>
      <c r="B24" s="79" t="s">
        <v>16</v>
      </c>
    </row>
    <row r="25" spans="1:2" x14ac:dyDescent="0.25">
      <c r="A25" s="1"/>
      <c r="B25" s="87" t="s">
        <v>17</v>
      </c>
    </row>
    <row r="26" spans="1:2" x14ac:dyDescent="0.25">
      <c r="A26" s="1"/>
      <c r="B26" s="80" t="s">
        <v>11</v>
      </c>
    </row>
    <row r="27" spans="1:2" x14ac:dyDescent="0.25">
      <c r="A27" s="1"/>
      <c r="B27" s="79">
        <v>2019</v>
      </c>
    </row>
    <row r="28" spans="1:2" x14ac:dyDescent="0.25">
      <c r="A28" s="1"/>
      <c r="B28" s="79" t="s">
        <v>18</v>
      </c>
    </row>
    <row r="29" spans="1:2" x14ac:dyDescent="0.25">
      <c r="A29" s="1"/>
      <c r="B29" s="81" t="s">
        <v>19</v>
      </c>
    </row>
    <row r="30" spans="1:2" x14ac:dyDescent="0.25">
      <c r="A30" s="1"/>
      <c r="B30" s="80" t="s">
        <v>20</v>
      </c>
    </row>
    <row r="31" spans="1:2" x14ac:dyDescent="0.25">
      <c r="A31" s="1"/>
      <c r="B31" s="79">
        <v>2018</v>
      </c>
    </row>
    <row r="32" spans="1:2" x14ac:dyDescent="0.25">
      <c r="A32" s="1"/>
      <c r="B32" s="79" t="s">
        <v>21</v>
      </c>
    </row>
    <row r="33" spans="1:2" x14ac:dyDescent="0.25">
      <c r="A33" s="1"/>
      <c r="B33" s="79" t="s">
        <v>22</v>
      </c>
    </row>
    <row r="34" spans="1:2" x14ac:dyDescent="0.25">
      <c r="A34" s="1"/>
      <c r="B34" s="80" t="s">
        <v>23</v>
      </c>
    </row>
    <row r="35" spans="1:2" x14ac:dyDescent="0.25">
      <c r="A35" s="1"/>
      <c r="B35" s="79">
        <v>2021</v>
      </c>
    </row>
    <row r="36" spans="1:2" x14ac:dyDescent="0.25">
      <c r="A36" s="1"/>
      <c r="B36" s="79" t="s">
        <v>24</v>
      </c>
    </row>
    <row r="37" spans="1:2" x14ac:dyDescent="0.25">
      <c r="A37" s="1"/>
      <c r="B37" s="81" t="s">
        <v>25</v>
      </c>
    </row>
    <row r="38" spans="1:2" x14ac:dyDescent="0.25">
      <c r="A38" s="1"/>
      <c r="B38" s="80" t="s">
        <v>26</v>
      </c>
    </row>
    <row r="39" spans="1:2" x14ac:dyDescent="0.25">
      <c r="A39" s="1"/>
      <c r="B39" s="79" t="s">
        <v>27</v>
      </c>
    </row>
    <row r="40" spans="1:2" x14ac:dyDescent="0.25">
      <c r="A40" s="1"/>
      <c r="B40" s="81" t="s">
        <v>28</v>
      </c>
    </row>
    <row r="41" spans="1:2" x14ac:dyDescent="0.25">
      <c r="A41" s="1"/>
      <c r="B41" s="85"/>
    </row>
    <row r="42" spans="1:2" x14ac:dyDescent="0.25">
      <c r="A42" s="1"/>
    </row>
    <row r="43" spans="1:2" x14ac:dyDescent="0.25">
      <c r="A43" s="1"/>
      <c r="B43" s="5" t="s">
        <v>29</v>
      </c>
    </row>
    <row r="44" spans="1:2" x14ac:dyDescent="0.25">
      <c r="A44" s="1"/>
      <c r="B44" t="s">
        <v>30</v>
      </c>
    </row>
    <row r="45" spans="1:2" x14ac:dyDescent="0.25">
      <c r="A45" s="1"/>
      <c r="B45" s="2">
        <v>2021</v>
      </c>
    </row>
    <row r="46" spans="1:2" x14ac:dyDescent="0.25">
      <c r="A46" s="1"/>
      <c r="B46" t="s">
        <v>31</v>
      </c>
    </row>
    <row r="47" spans="1:2" x14ac:dyDescent="0.25">
      <c r="A47" s="1"/>
      <c r="B47" t="s">
        <v>32</v>
      </c>
    </row>
    <row r="48" spans="1:2" x14ac:dyDescent="0.25">
      <c r="A48" s="1"/>
      <c r="B48" t="s">
        <v>33</v>
      </c>
    </row>
    <row r="49" spans="1:2" x14ac:dyDescent="0.25">
      <c r="A49" s="1"/>
    </row>
    <row r="50" spans="1:2" x14ac:dyDescent="0.25">
      <c r="A50" s="1"/>
      <c r="B50" s="5" t="s">
        <v>34</v>
      </c>
    </row>
    <row r="51" spans="1:2" x14ac:dyDescent="0.25">
      <c r="A51" s="1"/>
      <c r="B51" t="s">
        <v>35</v>
      </c>
    </row>
    <row r="52" spans="1:2" x14ac:dyDescent="0.25">
      <c r="A52" s="1"/>
    </row>
    <row r="53" spans="1:2" x14ac:dyDescent="0.25">
      <c r="A53" s="1"/>
      <c r="B53" s="5" t="s">
        <v>36</v>
      </c>
    </row>
    <row r="54" spans="1:2" x14ac:dyDescent="0.25">
      <c r="A54" s="1"/>
      <c r="B54" t="s">
        <v>30</v>
      </c>
    </row>
    <row r="55" spans="1:2" x14ac:dyDescent="0.25">
      <c r="A55" s="1"/>
      <c r="B55" s="2">
        <v>2021</v>
      </c>
    </row>
    <row r="56" spans="1:2" x14ac:dyDescent="0.25">
      <c r="A56" s="1"/>
      <c r="B56" t="s">
        <v>31</v>
      </c>
    </row>
    <row r="57" spans="1:2" x14ac:dyDescent="0.25">
      <c r="A57" s="1"/>
      <c r="B57" t="s">
        <v>32</v>
      </c>
    </row>
    <row r="58" spans="1:2" x14ac:dyDescent="0.25">
      <c r="A58" s="1"/>
      <c r="B58" t="s">
        <v>37</v>
      </c>
    </row>
    <row r="59" spans="1:2" x14ac:dyDescent="0.25">
      <c r="A59" s="1"/>
    </row>
    <row r="60" spans="1:2" x14ac:dyDescent="0.25">
      <c r="A60" s="1"/>
    </row>
    <row r="61" spans="1:2" x14ac:dyDescent="0.25">
      <c r="A61" s="1" t="s">
        <v>38</v>
      </c>
    </row>
    <row r="62" spans="1:2" x14ac:dyDescent="0.25">
      <c r="A62" t="s">
        <v>39</v>
      </c>
    </row>
    <row r="63" spans="1:2" x14ac:dyDescent="0.25">
      <c r="A63" t="s">
        <v>40</v>
      </c>
    </row>
    <row r="64" spans="1:2" x14ac:dyDescent="0.25">
      <c r="A64" t="s">
        <v>41</v>
      </c>
    </row>
    <row r="65" spans="1:2" x14ac:dyDescent="0.25">
      <c r="A65" t="s">
        <v>42</v>
      </c>
    </row>
    <row r="67" spans="1:2" x14ac:dyDescent="0.25">
      <c r="A67" t="s">
        <v>43</v>
      </c>
    </row>
    <row r="68" spans="1:2" x14ac:dyDescent="0.25">
      <c r="A68" t="s">
        <v>44</v>
      </c>
    </row>
    <row r="69" spans="1:2" x14ac:dyDescent="0.25">
      <c r="A69" t="s">
        <v>45</v>
      </c>
    </row>
    <row r="71" spans="1:2" x14ac:dyDescent="0.25">
      <c r="A71" t="s">
        <v>46</v>
      </c>
    </row>
    <row r="73" spans="1:2" x14ac:dyDescent="0.25">
      <c r="A73" t="s">
        <v>47</v>
      </c>
    </row>
    <row r="74" spans="1:2" x14ac:dyDescent="0.25">
      <c r="A74" t="s">
        <v>48</v>
      </c>
    </row>
    <row r="76" spans="1:2" x14ac:dyDescent="0.25">
      <c r="A76" s="1" t="s">
        <v>49</v>
      </c>
    </row>
    <row r="77" spans="1:2" x14ac:dyDescent="0.25">
      <c r="A77" s="152">
        <v>1.1200000000000001</v>
      </c>
      <c r="B77" t="s">
        <v>50</v>
      </c>
    </row>
    <row r="78" spans="1:2" x14ac:dyDescent="0.25">
      <c r="A78" s="152">
        <v>1.3412999999999999</v>
      </c>
      <c r="B78" t="s">
        <v>51</v>
      </c>
    </row>
    <row r="79" spans="1:2" x14ac:dyDescent="0.25">
      <c r="A79">
        <v>947817077749</v>
      </c>
      <c r="B79" t="s">
        <v>52</v>
      </c>
    </row>
    <row r="82" spans="1:1" x14ac:dyDescent="0.25">
      <c r="A82" t="s">
        <v>53</v>
      </c>
    </row>
    <row r="83" spans="1:1" x14ac:dyDescent="0.25">
      <c r="A83" t="s">
        <v>54</v>
      </c>
    </row>
  </sheetData>
  <hyperlinks>
    <hyperlink ref="B25" r:id="rId1" xr:uid="{BCAAFB35-FA55-4179-A77A-A93181E468A6}"/>
  </hyperlinks>
  <pageMargins left="0.7" right="0.7" top="0.75" bottom="0.75" header="0.3" footer="0.3"/>
  <pageSetup orientation="portrait" horizontalDpi="1200" verticalDpi="120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1"/>
  <sheetViews>
    <sheetView topLeftCell="A25" workbookViewId="0">
      <selection activeCell="G42" sqref="G42"/>
    </sheetView>
  </sheetViews>
  <sheetFormatPr defaultRowHeight="15" x14ac:dyDescent="0.25"/>
  <cols>
    <col min="1" max="1" width="33.42578125" customWidth="1"/>
    <col min="2" max="2" width="20.85546875" customWidth="1"/>
  </cols>
  <sheetData>
    <row r="1" spans="1:3" x14ac:dyDescent="0.25">
      <c r="A1" s="1" t="s">
        <v>506</v>
      </c>
    </row>
    <row r="2" spans="1:3" x14ac:dyDescent="0.25">
      <c r="A2" t="s">
        <v>507</v>
      </c>
    </row>
    <row r="3" spans="1:3" x14ac:dyDescent="0.25">
      <c r="A3" t="s">
        <v>508</v>
      </c>
      <c r="B3" s="4">
        <v>0.13</v>
      </c>
      <c r="C3" s="6" t="s">
        <v>509</v>
      </c>
    </row>
    <row r="4" spans="1:3" x14ac:dyDescent="0.25">
      <c r="A4" t="s">
        <v>510</v>
      </c>
      <c r="B4" s="4">
        <v>3</v>
      </c>
      <c r="C4" t="s">
        <v>511</v>
      </c>
    </row>
    <row r="5" spans="1:3" x14ac:dyDescent="0.25">
      <c r="A5" t="s">
        <v>512</v>
      </c>
    </row>
    <row r="6" spans="1:3" x14ac:dyDescent="0.25">
      <c r="A6" t="s">
        <v>513</v>
      </c>
    </row>
    <row r="7" spans="1:3" x14ac:dyDescent="0.25">
      <c r="A7" t="s">
        <v>514</v>
      </c>
      <c r="B7" s="7">
        <f>1221260*About!$A$78</f>
        <v>1638076.0379999999</v>
      </c>
      <c r="C7" s="6" t="s">
        <v>515</v>
      </c>
    </row>
    <row r="8" spans="1:3" x14ac:dyDescent="0.25">
      <c r="A8" t="s">
        <v>516</v>
      </c>
    </row>
    <row r="10" spans="1:3" x14ac:dyDescent="0.25">
      <c r="A10" s="1" t="s">
        <v>517</v>
      </c>
    </row>
    <row r="11" spans="1:3" x14ac:dyDescent="0.25">
      <c r="A11" t="s">
        <v>518</v>
      </c>
      <c r="B11" s="17">
        <f>'Electricity Generation'!Q122</f>
        <v>38.049999999999997</v>
      </c>
    </row>
    <row r="12" spans="1:3" x14ac:dyDescent="0.25">
      <c r="A12" t="s">
        <v>519</v>
      </c>
      <c r="B12" s="17">
        <f>'Electricity Generation'!Q100</f>
        <v>23</v>
      </c>
    </row>
    <row r="13" spans="1:3" x14ac:dyDescent="0.25">
      <c r="A13" t="s">
        <v>520</v>
      </c>
      <c r="B13" s="17">
        <f>'Electricity Generation'!Q122</f>
        <v>38.049999999999997</v>
      </c>
    </row>
    <row r="14" spans="1:3" x14ac:dyDescent="0.25">
      <c r="A14" t="s">
        <v>521</v>
      </c>
      <c r="B14" s="17">
        <f>'Electricity Generation'!Q89</f>
        <v>5.26</v>
      </c>
    </row>
    <row r="15" spans="1:3" x14ac:dyDescent="0.25">
      <c r="A15" t="s">
        <v>522</v>
      </c>
      <c r="B15" s="17">
        <f>'Electricity Generation'!Q78</f>
        <v>2168</v>
      </c>
    </row>
    <row r="16" spans="1:3" x14ac:dyDescent="0.25">
      <c r="A16" t="s">
        <v>523</v>
      </c>
      <c r="B16" s="17">
        <f>'Electricity Generation'!Q67</f>
        <v>0.26</v>
      </c>
    </row>
    <row r="17" spans="1:5" x14ac:dyDescent="0.25">
      <c r="A17" t="s">
        <v>524</v>
      </c>
      <c r="B17" s="17">
        <f>'Electricity Generation'!Q56</f>
        <v>0</v>
      </c>
    </row>
    <row r="18" spans="1:5" x14ac:dyDescent="0.25">
      <c r="A18" t="s">
        <v>525</v>
      </c>
      <c r="B18" s="17">
        <f>'Electricity Generation'!Q45</f>
        <v>0</v>
      </c>
    </row>
    <row r="19" spans="1:5" x14ac:dyDescent="0.25">
      <c r="A19" t="s">
        <v>526</v>
      </c>
      <c r="B19" s="17">
        <f>'Electricity Generation'!Q23</f>
        <v>0</v>
      </c>
    </row>
    <row r="20" spans="1:5" x14ac:dyDescent="0.25">
      <c r="A20" t="s">
        <v>527</v>
      </c>
      <c r="B20" s="17">
        <f>'Electricity Generation'!Q34</f>
        <v>0</v>
      </c>
    </row>
    <row r="21" spans="1:5" x14ac:dyDescent="0.25">
      <c r="A21" t="s">
        <v>528</v>
      </c>
      <c r="B21" s="17">
        <f>'Electricity Generation'!Q133</f>
        <v>0</v>
      </c>
    </row>
    <row r="22" spans="1:5" x14ac:dyDescent="0.25">
      <c r="A22" t="s">
        <v>529</v>
      </c>
      <c r="B22" s="17">
        <f>'Electricity Generation'!Q144</f>
        <v>0</v>
      </c>
    </row>
    <row r="23" spans="1:5" x14ac:dyDescent="0.25">
      <c r="A23" t="s">
        <v>530</v>
      </c>
      <c r="B23" s="17">
        <f>'Electricity Generation'!Q155</f>
        <v>0</v>
      </c>
    </row>
    <row r="27" spans="1:5" x14ac:dyDescent="0.25">
      <c r="A27" s="1" t="s">
        <v>412</v>
      </c>
      <c r="B27" s="1" t="s">
        <v>531</v>
      </c>
      <c r="C27" s="3" t="s">
        <v>532</v>
      </c>
      <c r="D27" s="3" t="s">
        <v>533</v>
      </c>
      <c r="E27" s="3" t="s">
        <v>534</v>
      </c>
    </row>
    <row r="28" spans="1:5" x14ac:dyDescent="0.25">
      <c r="A28" t="s">
        <v>518</v>
      </c>
      <c r="B28" t="s">
        <v>535</v>
      </c>
      <c r="C28" s="17">
        <f>$B$7*0.05</f>
        <v>81903.801900000006</v>
      </c>
      <c r="D28">
        <f>365*24*$B$4</f>
        <v>26280</v>
      </c>
      <c r="E28" s="16">
        <f>C28/D28*$B$3</f>
        <v>0.40515579326484025</v>
      </c>
    </row>
    <row r="29" spans="1:5" x14ac:dyDescent="0.25">
      <c r="A29" t="s">
        <v>519</v>
      </c>
      <c r="B29" t="s">
        <v>536</v>
      </c>
      <c r="C29" s="24"/>
      <c r="D29" s="24"/>
      <c r="E29" s="24"/>
    </row>
    <row r="30" spans="1:5" x14ac:dyDescent="0.25">
      <c r="A30" t="s">
        <v>520</v>
      </c>
      <c r="B30" t="s">
        <v>536</v>
      </c>
      <c r="C30" s="24"/>
      <c r="D30" s="24"/>
      <c r="E30" s="24"/>
    </row>
    <row r="31" spans="1:5" x14ac:dyDescent="0.25">
      <c r="A31" t="s">
        <v>521</v>
      </c>
      <c r="B31" t="s">
        <v>536</v>
      </c>
      <c r="C31" s="24"/>
      <c r="D31" s="24"/>
      <c r="E31" s="24"/>
    </row>
    <row r="32" spans="1:5" x14ac:dyDescent="0.25">
      <c r="A32" t="s">
        <v>522</v>
      </c>
      <c r="B32" t="s">
        <v>536</v>
      </c>
      <c r="C32" s="24"/>
      <c r="D32" s="24"/>
      <c r="E32" s="24"/>
    </row>
    <row r="33" spans="1:5" x14ac:dyDescent="0.25">
      <c r="A33" t="s">
        <v>523</v>
      </c>
      <c r="B33" t="s">
        <v>536</v>
      </c>
      <c r="C33" s="24"/>
      <c r="D33" s="24"/>
      <c r="E33" s="24"/>
    </row>
    <row r="34" spans="1:5" x14ac:dyDescent="0.25">
      <c r="A34" t="s">
        <v>524</v>
      </c>
      <c r="B34" t="s">
        <v>536</v>
      </c>
      <c r="C34" s="24"/>
      <c r="D34" s="24"/>
      <c r="E34" s="24"/>
    </row>
    <row r="35" spans="1:5" x14ac:dyDescent="0.25">
      <c r="A35" t="s">
        <v>525</v>
      </c>
      <c r="B35" t="s">
        <v>536</v>
      </c>
      <c r="C35" s="24"/>
      <c r="D35" s="24"/>
      <c r="E35" s="24"/>
    </row>
    <row r="36" spans="1:5" x14ac:dyDescent="0.25">
      <c r="A36" t="s">
        <v>526</v>
      </c>
      <c r="B36" t="s">
        <v>536</v>
      </c>
      <c r="C36" s="24"/>
      <c r="D36" s="24"/>
      <c r="E36" s="24"/>
    </row>
    <row r="37" spans="1:5" x14ac:dyDescent="0.25">
      <c r="A37" t="s">
        <v>527</v>
      </c>
      <c r="B37" t="s">
        <v>536</v>
      </c>
      <c r="C37" s="24"/>
      <c r="D37" s="24"/>
      <c r="E37" s="24"/>
    </row>
    <row r="38" spans="1:5" x14ac:dyDescent="0.25">
      <c r="A38" t="s">
        <v>528</v>
      </c>
      <c r="B38" t="s">
        <v>537</v>
      </c>
      <c r="C38" s="24"/>
      <c r="D38" s="24"/>
      <c r="E38">
        <f>AVERAGE(0.21,0.3)*10^3</f>
        <v>255</v>
      </c>
    </row>
    <row r="39" spans="1:5" x14ac:dyDescent="0.25">
      <c r="A39" t="s">
        <v>529</v>
      </c>
      <c r="B39" t="s">
        <v>538</v>
      </c>
      <c r="C39" s="17">
        <f>$B$7*0.5</f>
        <v>819038.01899999997</v>
      </c>
      <c r="D39">
        <f>365*24*$B$4</f>
        <v>26280</v>
      </c>
      <c r="E39" s="16">
        <f>C39/D39*$B$3</f>
        <v>4.0515579326484019</v>
      </c>
    </row>
    <row r="40" spans="1:5" x14ac:dyDescent="0.25">
      <c r="A40" t="s">
        <v>530</v>
      </c>
      <c r="B40" t="s">
        <v>536</v>
      </c>
      <c r="C40" s="24"/>
      <c r="D40" s="24"/>
      <c r="E40" s="24"/>
    </row>
    <row r="42" spans="1:5" x14ac:dyDescent="0.25">
      <c r="A42" s="1" t="s">
        <v>539</v>
      </c>
    </row>
    <row r="43" spans="1:5" x14ac:dyDescent="0.25">
      <c r="A43" s="68">
        <f>SUMPRODUCT(B11:B23,E28:E40)/SUM(B11:B23)</f>
        <v>6.7834384691356966E-3</v>
      </c>
      <c r="B43" t="s">
        <v>534</v>
      </c>
    </row>
    <row r="45" spans="1:5" x14ac:dyDescent="0.25">
      <c r="A45" t="s">
        <v>540</v>
      </c>
    </row>
    <row r="46" spans="1:5" x14ac:dyDescent="0.25">
      <c r="A46" t="s">
        <v>541</v>
      </c>
    </row>
    <row r="47" spans="1:5" x14ac:dyDescent="0.25">
      <c r="A47" t="s">
        <v>542</v>
      </c>
    </row>
    <row r="48" spans="1:5" x14ac:dyDescent="0.25">
      <c r="A48" t="s">
        <v>543</v>
      </c>
    </row>
    <row r="50" spans="1:1" x14ac:dyDescent="0.25">
      <c r="A50" t="s">
        <v>544</v>
      </c>
    </row>
    <row r="51" spans="1:1" x14ac:dyDescent="0.25">
      <c r="A51" t="s">
        <v>545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BDA50-0E80-4316-BB3D-FC916DD4A26E}">
  <dimension ref="A1:I55"/>
  <sheetViews>
    <sheetView topLeftCell="A17" workbookViewId="0">
      <selection activeCell="D26" sqref="D26"/>
    </sheetView>
  </sheetViews>
  <sheetFormatPr defaultRowHeight="15" x14ac:dyDescent="0.25"/>
  <cols>
    <col min="1" max="1" width="21.5703125" customWidth="1"/>
    <col min="2" max="2" width="16.42578125" customWidth="1"/>
    <col min="3" max="3" width="28.28515625" customWidth="1"/>
    <col min="4" max="4" width="44.85546875" style="21" customWidth="1"/>
    <col min="8" max="8" width="13.85546875" customWidth="1"/>
    <col min="9" max="9" width="19" style="52" customWidth="1"/>
    <col min="11" max="11" width="30" customWidth="1"/>
    <col min="12" max="12" width="16.140625" customWidth="1"/>
    <col min="13" max="13" width="25.85546875" customWidth="1"/>
  </cols>
  <sheetData>
    <row r="1" spans="1:5" x14ac:dyDescent="0.25">
      <c r="A1" s="1" t="s">
        <v>546</v>
      </c>
      <c r="E1" s="4" t="s">
        <v>547</v>
      </c>
    </row>
    <row r="2" spans="1:5" x14ac:dyDescent="0.25">
      <c r="A2" s="100" t="s">
        <v>548</v>
      </c>
      <c r="B2" s="99"/>
      <c r="C2" s="99"/>
      <c r="D2" s="107"/>
    </row>
    <row r="3" spans="1:5" x14ac:dyDescent="0.25">
      <c r="A3" s="98" t="s">
        <v>549</v>
      </c>
      <c r="B3" s="98" t="s">
        <v>550</v>
      </c>
      <c r="C3" s="98" t="s">
        <v>551</v>
      </c>
      <c r="D3" s="108" t="s">
        <v>552</v>
      </c>
    </row>
    <row r="4" spans="1:5" x14ac:dyDescent="0.25">
      <c r="A4" t="s">
        <v>553</v>
      </c>
      <c r="B4">
        <v>0</v>
      </c>
      <c r="C4">
        <v>0</v>
      </c>
      <c r="D4" s="21">
        <v>0</v>
      </c>
    </row>
    <row r="5" spans="1:5" x14ac:dyDescent="0.25">
      <c r="A5" t="s">
        <v>554</v>
      </c>
      <c r="B5" s="101">
        <v>44.3</v>
      </c>
    </row>
    <row r="6" spans="1:5" x14ac:dyDescent="0.25">
      <c r="A6" t="s">
        <v>389</v>
      </c>
      <c r="B6" s="101">
        <v>70.8</v>
      </c>
    </row>
    <row r="7" spans="1:5" x14ac:dyDescent="0.25">
      <c r="A7" t="s">
        <v>555</v>
      </c>
      <c r="B7" s="101">
        <v>85</v>
      </c>
    </row>
    <row r="8" spans="1:5" x14ac:dyDescent="0.25">
      <c r="A8" t="s">
        <v>556</v>
      </c>
      <c r="B8" s="101">
        <v>379.2</v>
      </c>
    </row>
    <row r="9" spans="1:5" x14ac:dyDescent="0.25">
      <c r="A9" t="s">
        <v>557</v>
      </c>
      <c r="B9" s="101">
        <v>35.4</v>
      </c>
    </row>
    <row r="10" spans="1:5" x14ac:dyDescent="0.25">
      <c r="A10" t="s">
        <v>558</v>
      </c>
      <c r="B10" s="101">
        <v>2.2000000000000002</v>
      </c>
    </row>
    <row r="11" spans="1:5" x14ac:dyDescent="0.25">
      <c r="A11" t="s">
        <v>559</v>
      </c>
      <c r="B11">
        <v>0</v>
      </c>
      <c r="C11">
        <v>0</v>
      </c>
      <c r="D11" s="21">
        <v>0</v>
      </c>
    </row>
    <row r="12" spans="1:5" x14ac:dyDescent="0.25">
      <c r="A12" s="4" t="s">
        <v>560</v>
      </c>
      <c r="B12" s="101">
        <f>7.6/2</f>
        <v>3.8</v>
      </c>
    </row>
    <row r="13" spans="1:5" x14ac:dyDescent="0.25">
      <c r="A13" t="s">
        <v>561</v>
      </c>
      <c r="B13">
        <v>0</v>
      </c>
      <c r="C13">
        <v>0</v>
      </c>
      <c r="D13" s="21">
        <v>0</v>
      </c>
    </row>
    <row r="14" spans="1:5" x14ac:dyDescent="0.25">
      <c r="A14" t="s">
        <v>562</v>
      </c>
      <c r="B14">
        <v>0</v>
      </c>
      <c r="C14">
        <v>0</v>
      </c>
      <c r="D14" s="21">
        <v>0</v>
      </c>
    </row>
    <row r="15" spans="1:5" x14ac:dyDescent="0.25">
      <c r="A15" t="s">
        <v>563</v>
      </c>
      <c r="B15">
        <v>0</v>
      </c>
      <c r="C15">
        <v>0</v>
      </c>
      <c r="D15" s="21">
        <v>0</v>
      </c>
    </row>
    <row r="16" spans="1:5" x14ac:dyDescent="0.25">
      <c r="A16" t="s">
        <v>564</v>
      </c>
      <c r="B16">
        <v>0</v>
      </c>
      <c r="C16">
        <v>0</v>
      </c>
      <c r="D16" s="21">
        <v>0</v>
      </c>
    </row>
    <row r="17" spans="1:9" x14ac:dyDescent="0.25">
      <c r="A17" t="s">
        <v>565</v>
      </c>
      <c r="B17">
        <v>0</v>
      </c>
      <c r="C17">
        <v>0</v>
      </c>
      <c r="D17" s="21">
        <v>0</v>
      </c>
    </row>
    <row r="18" spans="1:9" x14ac:dyDescent="0.25">
      <c r="A18" s="4" t="s">
        <v>566</v>
      </c>
      <c r="B18" s="101">
        <f>7.6/2</f>
        <v>3.8</v>
      </c>
    </row>
    <row r="19" spans="1:9" x14ac:dyDescent="0.25">
      <c r="A19" t="s">
        <v>567</v>
      </c>
      <c r="B19">
        <v>0</v>
      </c>
      <c r="C19">
        <v>0</v>
      </c>
      <c r="D19" s="21">
        <v>0</v>
      </c>
    </row>
    <row r="20" spans="1:9" x14ac:dyDescent="0.25">
      <c r="A20" t="s">
        <v>568</v>
      </c>
      <c r="B20" s="101">
        <v>4.0999999999999996</v>
      </c>
      <c r="C20">
        <v>0</v>
      </c>
      <c r="D20" s="21">
        <v>0</v>
      </c>
    </row>
    <row r="21" spans="1:9" x14ac:dyDescent="0.25">
      <c r="A21" t="s">
        <v>569</v>
      </c>
      <c r="B21">
        <v>0</v>
      </c>
      <c r="C21">
        <v>0</v>
      </c>
      <c r="D21" s="21">
        <v>0</v>
      </c>
    </row>
    <row r="22" spans="1:9" x14ac:dyDescent="0.25">
      <c r="A22" t="s">
        <v>570</v>
      </c>
      <c r="B22">
        <v>0</v>
      </c>
      <c r="C22">
        <v>0</v>
      </c>
      <c r="D22" s="21">
        <v>0</v>
      </c>
    </row>
    <row r="23" spans="1:9" x14ac:dyDescent="0.25">
      <c r="A23" t="s">
        <v>571</v>
      </c>
      <c r="B23">
        <v>0</v>
      </c>
      <c r="C23">
        <v>0</v>
      </c>
      <c r="D23" s="21">
        <v>0</v>
      </c>
    </row>
    <row r="26" spans="1:9" x14ac:dyDescent="0.25">
      <c r="A26" s="97" t="s">
        <v>572</v>
      </c>
      <c r="D26" s="109" t="s">
        <v>573</v>
      </c>
    </row>
    <row r="27" spans="1:9" ht="36.75" x14ac:dyDescent="0.25">
      <c r="A27" t="s">
        <v>574</v>
      </c>
      <c r="B27" s="94" t="s">
        <v>142</v>
      </c>
      <c r="C27" s="94" t="s">
        <v>575</v>
      </c>
      <c r="D27" s="94" t="s">
        <v>576</v>
      </c>
      <c r="E27" s="94" t="s">
        <v>577</v>
      </c>
      <c r="F27" s="94" t="s">
        <v>578</v>
      </c>
      <c r="G27" s="94" t="s">
        <v>579</v>
      </c>
      <c r="H27" s="94" t="s">
        <v>580</v>
      </c>
      <c r="I27" s="102" t="s">
        <v>581</v>
      </c>
    </row>
    <row r="28" spans="1:9" ht="48.75" x14ac:dyDescent="0.25">
      <c r="A28" s="95" t="s">
        <v>499</v>
      </c>
      <c r="B28" s="95" t="s">
        <v>429</v>
      </c>
      <c r="C28" s="95" t="s">
        <v>582</v>
      </c>
      <c r="D28" s="95" t="s">
        <v>583</v>
      </c>
      <c r="E28" s="95" t="s">
        <v>584</v>
      </c>
      <c r="F28" s="95" t="s">
        <v>379</v>
      </c>
      <c r="G28" s="95" t="s">
        <v>585</v>
      </c>
      <c r="H28" s="95">
        <v>193.89</v>
      </c>
      <c r="I28" s="103" t="s">
        <v>586</v>
      </c>
    </row>
    <row r="29" spans="1:9" ht="48.75" x14ac:dyDescent="0.25">
      <c r="A29" s="96" t="s">
        <v>499</v>
      </c>
      <c r="B29" s="96" t="s">
        <v>67</v>
      </c>
      <c r="C29" s="96" t="s">
        <v>587</v>
      </c>
      <c r="D29" s="96" t="s">
        <v>588</v>
      </c>
      <c r="E29" s="96" t="s">
        <v>584</v>
      </c>
      <c r="F29" s="96" t="s">
        <v>589</v>
      </c>
      <c r="G29" s="96" t="s">
        <v>585</v>
      </c>
      <c r="H29" s="96">
        <v>69.349999999999994</v>
      </c>
      <c r="I29" s="104">
        <v>44448</v>
      </c>
    </row>
    <row r="30" spans="1:9" ht="48.75" x14ac:dyDescent="0.25">
      <c r="A30" s="95" t="s">
        <v>499</v>
      </c>
      <c r="B30" s="95" t="s">
        <v>67</v>
      </c>
      <c r="C30" s="95" t="s">
        <v>582</v>
      </c>
      <c r="D30" s="95" t="s">
        <v>590</v>
      </c>
      <c r="E30" s="95" t="s">
        <v>584</v>
      </c>
      <c r="F30" s="95" t="s">
        <v>591</v>
      </c>
      <c r="G30" s="95" t="s">
        <v>585</v>
      </c>
      <c r="H30" s="95">
        <v>0.98</v>
      </c>
      <c r="I30" s="103" t="s">
        <v>592</v>
      </c>
    </row>
    <row r="31" spans="1:9" ht="48.75" x14ac:dyDescent="0.25">
      <c r="A31" s="96" t="s">
        <v>499</v>
      </c>
      <c r="B31" s="96" t="s">
        <v>67</v>
      </c>
      <c r="C31" s="96" t="s">
        <v>593</v>
      </c>
      <c r="D31" s="96" t="s">
        <v>594</v>
      </c>
      <c r="E31" s="96" t="s">
        <v>584</v>
      </c>
      <c r="F31" s="96" t="s">
        <v>595</v>
      </c>
      <c r="G31" s="96" t="s">
        <v>585</v>
      </c>
      <c r="H31" s="96">
        <v>7.46</v>
      </c>
      <c r="I31" s="105" t="s">
        <v>596</v>
      </c>
    </row>
    <row r="32" spans="1:9" ht="48.75" x14ac:dyDescent="0.25">
      <c r="A32" s="95" t="s">
        <v>499</v>
      </c>
      <c r="B32" s="95" t="s">
        <v>67</v>
      </c>
      <c r="C32" s="95" t="s">
        <v>593</v>
      </c>
      <c r="D32" s="95" t="s">
        <v>597</v>
      </c>
      <c r="E32" s="95" t="s">
        <v>584</v>
      </c>
      <c r="F32" s="95" t="s">
        <v>595</v>
      </c>
      <c r="G32" s="95" t="s">
        <v>585</v>
      </c>
      <c r="H32" s="95">
        <v>56.97</v>
      </c>
      <c r="I32" s="103" t="s">
        <v>596</v>
      </c>
    </row>
    <row r="33" spans="1:9" ht="48.75" x14ac:dyDescent="0.25">
      <c r="A33" s="96" t="s">
        <v>499</v>
      </c>
      <c r="B33" s="96" t="s">
        <v>67</v>
      </c>
      <c r="C33" s="96" t="s">
        <v>593</v>
      </c>
      <c r="D33" s="96" t="s">
        <v>598</v>
      </c>
      <c r="E33" s="96" t="s">
        <v>584</v>
      </c>
      <c r="F33" s="96" t="s">
        <v>595</v>
      </c>
      <c r="G33" s="96" t="s">
        <v>585</v>
      </c>
      <c r="H33" s="96">
        <v>11.11</v>
      </c>
      <c r="I33" s="105" t="s">
        <v>596</v>
      </c>
    </row>
    <row r="34" spans="1:9" ht="48.75" x14ac:dyDescent="0.25">
      <c r="A34" s="95" t="s">
        <v>499</v>
      </c>
      <c r="B34" s="95" t="s">
        <v>470</v>
      </c>
      <c r="C34" s="95" t="s">
        <v>599</v>
      </c>
      <c r="D34" s="95" t="s">
        <v>600</v>
      </c>
      <c r="E34" s="95" t="s">
        <v>584</v>
      </c>
      <c r="F34" s="95" t="s">
        <v>601</v>
      </c>
      <c r="G34" s="95" t="s">
        <v>585</v>
      </c>
      <c r="H34" s="95">
        <v>37.29</v>
      </c>
      <c r="I34" s="103" t="s">
        <v>602</v>
      </c>
    </row>
    <row r="35" spans="1:9" ht="48.75" x14ac:dyDescent="0.25">
      <c r="A35" s="95" t="s">
        <v>499</v>
      </c>
      <c r="B35" s="95" t="s">
        <v>450</v>
      </c>
      <c r="C35" s="95" t="s">
        <v>593</v>
      </c>
      <c r="D35" s="95" t="s">
        <v>603</v>
      </c>
      <c r="E35" s="95" t="s">
        <v>584</v>
      </c>
      <c r="F35" s="95" t="s">
        <v>503</v>
      </c>
      <c r="G35" s="95" t="s">
        <v>585</v>
      </c>
      <c r="H35" s="95" t="s">
        <v>604</v>
      </c>
      <c r="I35" s="106">
        <v>44381</v>
      </c>
    </row>
    <row r="36" spans="1:9" ht="48.75" x14ac:dyDescent="0.25">
      <c r="A36" s="96" t="s">
        <v>499</v>
      </c>
      <c r="B36" s="96" t="s">
        <v>67</v>
      </c>
      <c r="C36" s="96" t="s">
        <v>593</v>
      </c>
      <c r="D36" s="96" t="s">
        <v>605</v>
      </c>
      <c r="E36" s="96" t="s">
        <v>584</v>
      </c>
      <c r="F36" s="96" t="s">
        <v>606</v>
      </c>
      <c r="G36" s="96" t="s">
        <v>585</v>
      </c>
      <c r="H36" s="96">
        <v>30.2</v>
      </c>
      <c r="I36" s="104">
        <v>44533</v>
      </c>
    </row>
    <row r="37" spans="1:9" ht="48.75" x14ac:dyDescent="0.25">
      <c r="A37" s="95" t="s">
        <v>499</v>
      </c>
      <c r="B37" s="95" t="s">
        <v>67</v>
      </c>
      <c r="C37" s="95" t="s">
        <v>593</v>
      </c>
      <c r="D37" s="95" t="s">
        <v>607</v>
      </c>
      <c r="E37" s="95" t="s">
        <v>584</v>
      </c>
      <c r="F37" s="95" t="s">
        <v>606</v>
      </c>
      <c r="G37" s="95" t="s">
        <v>585</v>
      </c>
      <c r="H37" s="95">
        <v>1.49</v>
      </c>
      <c r="I37" s="106">
        <v>44289</v>
      </c>
    </row>
    <row r="38" spans="1:9" ht="48.75" x14ac:dyDescent="0.25">
      <c r="A38" s="96" t="s">
        <v>499</v>
      </c>
      <c r="B38" s="96" t="s">
        <v>484</v>
      </c>
      <c r="C38" s="96" t="s">
        <v>582</v>
      </c>
      <c r="D38" s="96" t="s">
        <v>608</v>
      </c>
      <c r="E38" s="96" t="s">
        <v>584</v>
      </c>
      <c r="F38" s="96" t="s">
        <v>595</v>
      </c>
      <c r="G38" s="96" t="s">
        <v>585</v>
      </c>
      <c r="H38" s="96">
        <v>20.51</v>
      </c>
      <c r="I38" s="104">
        <v>44289</v>
      </c>
    </row>
    <row r="39" spans="1:9" ht="48.75" x14ac:dyDescent="0.25">
      <c r="A39" s="95" t="s">
        <v>499</v>
      </c>
      <c r="B39" s="95" t="s">
        <v>484</v>
      </c>
      <c r="C39" s="95" t="s">
        <v>593</v>
      </c>
      <c r="D39" s="95" t="s">
        <v>609</v>
      </c>
      <c r="E39" s="95" t="s">
        <v>584</v>
      </c>
      <c r="F39" s="95" t="s">
        <v>595</v>
      </c>
      <c r="G39" s="95" t="s">
        <v>610</v>
      </c>
      <c r="H39" s="95" t="s">
        <v>604</v>
      </c>
      <c r="I39" s="106">
        <v>44502</v>
      </c>
    </row>
    <row r="40" spans="1:9" ht="48.75" x14ac:dyDescent="0.25">
      <c r="A40" s="96" t="s">
        <v>499</v>
      </c>
      <c r="B40" s="96" t="s">
        <v>461</v>
      </c>
      <c r="C40" s="96" t="s">
        <v>593</v>
      </c>
      <c r="D40" s="96" t="s">
        <v>611</v>
      </c>
      <c r="E40" s="96" t="s">
        <v>584</v>
      </c>
      <c r="F40" s="96" t="s">
        <v>501</v>
      </c>
      <c r="G40" s="96" t="s">
        <v>612</v>
      </c>
      <c r="H40" s="96" t="s">
        <v>604</v>
      </c>
      <c r="I40" s="104">
        <v>44288</v>
      </c>
    </row>
    <row r="41" spans="1:9" ht="48.75" x14ac:dyDescent="0.25">
      <c r="A41" s="95" t="s">
        <v>499</v>
      </c>
      <c r="B41" s="95" t="s">
        <v>67</v>
      </c>
      <c r="C41" s="95" t="s">
        <v>593</v>
      </c>
      <c r="D41" s="95" t="s">
        <v>613</v>
      </c>
      <c r="E41" s="95" t="s">
        <v>584</v>
      </c>
      <c r="F41" s="95" t="s">
        <v>595</v>
      </c>
      <c r="G41" s="95" t="s">
        <v>585</v>
      </c>
      <c r="H41" s="95">
        <v>0.37</v>
      </c>
      <c r="I41" s="103" t="s">
        <v>614</v>
      </c>
    </row>
    <row r="42" spans="1:9" ht="48.75" x14ac:dyDescent="0.25">
      <c r="A42" s="96" t="s">
        <v>499</v>
      </c>
      <c r="B42" s="96" t="s">
        <v>67</v>
      </c>
      <c r="C42" s="96" t="s">
        <v>582</v>
      </c>
      <c r="D42" s="96" t="s">
        <v>615</v>
      </c>
      <c r="E42" s="96" t="s">
        <v>584</v>
      </c>
      <c r="F42" s="96" t="s">
        <v>379</v>
      </c>
      <c r="G42" s="96" t="s">
        <v>616</v>
      </c>
      <c r="H42" s="96" t="s">
        <v>604</v>
      </c>
      <c r="I42" s="105" t="s">
        <v>617</v>
      </c>
    </row>
    <row r="43" spans="1:9" ht="48.75" x14ac:dyDescent="0.25">
      <c r="A43" s="95" t="s">
        <v>499</v>
      </c>
      <c r="B43" s="95" t="s">
        <v>67</v>
      </c>
      <c r="C43" s="95" t="s">
        <v>593</v>
      </c>
      <c r="D43" s="95" t="s">
        <v>618</v>
      </c>
      <c r="E43" s="95" t="s">
        <v>584</v>
      </c>
      <c r="F43" s="95" t="s">
        <v>595</v>
      </c>
      <c r="G43" s="95" t="s">
        <v>585</v>
      </c>
      <c r="H43" s="95">
        <v>223.71</v>
      </c>
      <c r="I43" s="106">
        <v>44147</v>
      </c>
    </row>
    <row r="44" spans="1:9" ht="48.75" x14ac:dyDescent="0.25">
      <c r="A44" s="96" t="s">
        <v>499</v>
      </c>
      <c r="B44" s="96" t="s">
        <v>67</v>
      </c>
      <c r="C44" s="96" t="s">
        <v>582</v>
      </c>
      <c r="D44" s="96" t="s">
        <v>619</v>
      </c>
      <c r="E44" s="96" t="s">
        <v>584</v>
      </c>
      <c r="F44" s="96" t="s">
        <v>591</v>
      </c>
      <c r="G44" s="96" t="s">
        <v>585</v>
      </c>
      <c r="H44" s="96">
        <v>718.87</v>
      </c>
      <c r="I44" s="104">
        <v>44147</v>
      </c>
    </row>
    <row r="45" spans="1:9" ht="48.75" x14ac:dyDescent="0.25">
      <c r="A45" s="95" t="s">
        <v>499</v>
      </c>
      <c r="B45" s="95" t="s">
        <v>470</v>
      </c>
      <c r="C45" s="95" t="s">
        <v>620</v>
      </c>
      <c r="D45" s="95" t="s">
        <v>309</v>
      </c>
      <c r="E45" s="95" t="s">
        <v>584</v>
      </c>
      <c r="F45" s="95" t="s">
        <v>591</v>
      </c>
      <c r="G45" s="95" t="s">
        <v>585</v>
      </c>
      <c r="H45" s="95">
        <v>195.38</v>
      </c>
      <c r="I45" s="106">
        <v>43842</v>
      </c>
    </row>
    <row r="46" spans="1:9" ht="48.75" x14ac:dyDescent="0.25">
      <c r="A46" s="96" t="s">
        <v>499</v>
      </c>
      <c r="B46" s="96" t="s">
        <v>67</v>
      </c>
      <c r="C46" s="96" t="s">
        <v>620</v>
      </c>
      <c r="D46" s="96" t="s">
        <v>621</v>
      </c>
      <c r="E46" s="96" t="s">
        <v>584</v>
      </c>
      <c r="F46" s="96" t="s">
        <v>591</v>
      </c>
      <c r="G46" s="96" t="s">
        <v>585</v>
      </c>
      <c r="H46" s="96">
        <v>18.64</v>
      </c>
      <c r="I46" s="105" t="s">
        <v>622</v>
      </c>
    </row>
    <row r="47" spans="1:9" ht="48.75" x14ac:dyDescent="0.25">
      <c r="A47" s="95" t="s">
        <v>499</v>
      </c>
      <c r="B47" s="95" t="s">
        <v>67</v>
      </c>
      <c r="C47" s="95" t="s">
        <v>620</v>
      </c>
      <c r="D47" s="95" t="s">
        <v>623</v>
      </c>
      <c r="E47" s="95" t="s">
        <v>584</v>
      </c>
      <c r="F47" s="95" t="s">
        <v>380</v>
      </c>
      <c r="G47" s="95" t="s">
        <v>585</v>
      </c>
      <c r="H47" s="95">
        <v>14.91</v>
      </c>
      <c r="I47" s="103" t="s">
        <v>624</v>
      </c>
    </row>
    <row r="48" spans="1:9" ht="36.75" x14ac:dyDescent="0.25">
      <c r="A48" s="96" t="s">
        <v>499</v>
      </c>
      <c r="B48" s="96" t="s">
        <v>452</v>
      </c>
      <c r="C48" s="96" t="s">
        <v>593</v>
      </c>
      <c r="D48" s="96" t="s">
        <v>625</v>
      </c>
      <c r="E48" s="96" t="s">
        <v>584</v>
      </c>
      <c r="F48" s="96" t="s">
        <v>591</v>
      </c>
      <c r="G48" s="96" t="s">
        <v>626</v>
      </c>
      <c r="H48" s="96" t="s">
        <v>604</v>
      </c>
      <c r="I48" s="105" t="s">
        <v>627</v>
      </c>
    </row>
    <row r="49" spans="1:9" ht="48.75" x14ac:dyDescent="0.25">
      <c r="A49" s="95" t="s">
        <v>499</v>
      </c>
      <c r="B49" s="95" t="s">
        <v>67</v>
      </c>
      <c r="C49" s="95" t="s">
        <v>582</v>
      </c>
      <c r="D49" s="95" t="s">
        <v>628</v>
      </c>
      <c r="E49" s="95" t="s">
        <v>584</v>
      </c>
      <c r="F49" s="95" t="s">
        <v>591</v>
      </c>
      <c r="G49" s="95" t="s">
        <v>585</v>
      </c>
      <c r="H49" s="95">
        <v>1.86</v>
      </c>
      <c r="I49" s="106">
        <v>43840</v>
      </c>
    </row>
    <row r="50" spans="1:9" ht="48.75" x14ac:dyDescent="0.25">
      <c r="A50" s="96" t="s">
        <v>499</v>
      </c>
      <c r="B50" s="96" t="s">
        <v>67</v>
      </c>
      <c r="C50" s="96" t="s">
        <v>582</v>
      </c>
      <c r="D50" s="96" t="s">
        <v>629</v>
      </c>
      <c r="E50" s="96" t="s">
        <v>584</v>
      </c>
      <c r="F50" s="96" t="s">
        <v>595</v>
      </c>
      <c r="G50" s="96" t="s">
        <v>585</v>
      </c>
      <c r="H50" s="96">
        <v>5.97</v>
      </c>
      <c r="I50" s="105" t="s">
        <v>630</v>
      </c>
    </row>
    <row r="51" spans="1:9" ht="48.75" x14ac:dyDescent="0.25">
      <c r="A51" s="95" t="s">
        <v>499</v>
      </c>
      <c r="B51" s="95" t="s">
        <v>67</v>
      </c>
      <c r="C51" s="95" t="s">
        <v>582</v>
      </c>
      <c r="D51" s="95" t="s">
        <v>631</v>
      </c>
      <c r="E51" s="95" t="s">
        <v>584</v>
      </c>
      <c r="F51" s="95" t="s">
        <v>595</v>
      </c>
      <c r="G51" s="95" t="s">
        <v>585</v>
      </c>
      <c r="H51" s="95">
        <v>4.03</v>
      </c>
      <c r="I51" s="103" t="s">
        <v>630</v>
      </c>
    </row>
    <row r="52" spans="1:9" ht="48.75" x14ac:dyDescent="0.25">
      <c r="A52" s="96" t="s">
        <v>499</v>
      </c>
      <c r="B52" s="96" t="s">
        <v>67</v>
      </c>
      <c r="C52" s="96" t="s">
        <v>593</v>
      </c>
      <c r="D52" s="96" t="s">
        <v>632</v>
      </c>
      <c r="E52" s="96" t="s">
        <v>584</v>
      </c>
      <c r="F52" s="96" t="s">
        <v>606</v>
      </c>
      <c r="G52" s="96" t="s">
        <v>585</v>
      </c>
      <c r="H52" s="96">
        <v>7.01</v>
      </c>
      <c r="I52" s="104">
        <v>44083</v>
      </c>
    </row>
    <row r="53" spans="1:9" ht="48.75" x14ac:dyDescent="0.25">
      <c r="A53" s="95" t="s">
        <v>499</v>
      </c>
      <c r="B53" s="95" t="s">
        <v>67</v>
      </c>
      <c r="C53" s="95" t="s">
        <v>593</v>
      </c>
      <c r="D53" s="95" t="s">
        <v>633</v>
      </c>
      <c r="E53" s="95" t="s">
        <v>584</v>
      </c>
      <c r="F53" s="95" t="s">
        <v>591</v>
      </c>
      <c r="G53" s="95" t="s">
        <v>585</v>
      </c>
      <c r="H53" s="95">
        <v>3.8</v>
      </c>
      <c r="I53" s="103" t="s">
        <v>634</v>
      </c>
    </row>
    <row r="54" spans="1:9" ht="60.75" x14ac:dyDescent="0.25">
      <c r="A54" s="96" t="s">
        <v>499</v>
      </c>
      <c r="B54" s="96" t="s">
        <v>452</v>
      </c>
      <c r="C54" s="96" t="s">
        <v>587</v>
      </c>
      <c r="D54" s="96" t="s">
        <v>635</v>
      </c>
      <c r="E54" s="96" t="s">
        <v>584</v>
      </c>
      <c r="F54" s="96" t="s">
        <v>589</v>
      </c>
      <c r="G54" s="96" t="s">
        <v>636</v>
      </c>
      <c r="H54" s="96">
        <v>2.09</v>
      </c>
      <c r="I54" s="105" t="s">
        <v>637</v>
      </c>
    </row>
    <row r="55" spans="1:9" ht="48.75" x14ac:dyDescent="0.25">
      <c r="A55" s="95" t="s">
        <v>499</v>
      </c>
      <c r="B55" s="95" t="s">
        <v>429</v>
      </c>
      <c r="C55" s="95" t="s">
        <v>582</v>
      </c>
      <c r="D55" s="95" t="s">
        <v>638</v>
      </c>
      <c r="E55" s="95" t="s">
        <v>584</v>
      </c>
      <c r="F55" s="95" t="s">
        <v>379</v>
      </c>
      <c r="G55" s="95" t="s">
        <v>639</v>
      </c>
      <c r="H55" s="95" t="s">
        <v>604</v>
      </c>
      <c r="I55" s="106">
        <v>43834</v>
      </c>
    </row>
  </sheetData>
  <hyperlinks>
    <hyperlink ref="D26" r:id="rId1" xr:uid="{68D03CB5-9965-4134-AA8F-F87F1FC6599D}"/>
    <hyperlink ref="A2" r:id="rId2" xr:uid="{6B618615-7782-404A-A3B2-92A2AB4C79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6D28-B96B-4E51-BDA1-4A8978573A76}">
  <sheetPr>
    <tabColor rgb="FFFFE699"/>
  </sheetPr>
  <dimension ref="A1:AE291"/>
  <sheetViews>
    <sheetView workbookViewId="0">
      <selection activeCell="K1" sqref="K1:O1048576"/>
    </sheetView>
  </sheetViews>
  <sheetFormatPr defaultRowHeight="12.75" customHeight="1" x14ac:dyDescent="0.25"/>
  <cols>
    <col min="1" max="2" width="9.140625" style="131" bestFit="1" customWidth="1"/>
    <col min="3" max="3" width="14.7109375" style="131" customWidth="1"/>
    <col min="4" max="4" width="9.140625" style="131"/>
    <col min="5" max="6" width="9.140625" style="131" bestFit="1" customWidth="1"/>
    <col min="9" max="9" width="23.28515625" customWidth="1"/>
    <col min="10" max="10" width="39.5703125" customWidth="1"/>
    <col min="11" max="15" width="14.85546875" customWidth="1"/>
    <col min="16" max="16" width="33.28515625" customWidth="1"/>
    <col min="17" max="17" width="24.140625" style="52" customWidth="1"/>
    <col min="18" max="18" width="31.42578125" customWidth="1"/>
    <col min="24" max="24" width="108.42578125" customWidth="1"/>
    <col min="31" max="31" width="9.140625" bestFit="1" customWidth="1"/>
  </cols>
  <sheetData>
    <row r="1" spans="1:31" ht="12.75" customHeight="1" x14ac:dyDescent="0.25">
      <c r="A1" s="131" t="s">
        <v>640</v>
      </c>
      <c r="B1" s="131" t="s">
        <v>641</v>
      </c>
      <c r="C1" s="131" t="s">
        <v>642</v>
      </c>
      <c r="D1" s="131" t="s">
        <v>643</v>
      </c>
      <c r="E1" s="131" t="s">
        <v>644</v>
      </c>
      <c r="F1" s="131" t="s">
        <v>645</v>
      </c>
      <c r="G1" s="132" t="s">
        <v>646</v>
      </c>
      <c r="H1" s="132" t="s">
        <v>142</v>
      </c>
      <c r="I1" s="132" t="s">
        <v>647</v>
      </c>
      <c r="J1" s="132" t="s">
        <v>648</v>
      </c>
      <c r="K1" s="132" t="s">
        <v>577</v>
      </c>
      <c r="L1" s="132" t="s">
        <v>578</v>
      </c>
      <c r="M1" s="132" t="s">
        <v>649</v>
      </c>
      <c r="N1" s="132" t="s">
        <v>579</v>
      </c>
      <c r="O1" s="132" t="s">
        <v>650</v>
      </c>
      <c r="P1" s="132" t="s">
        <v>651</v>
      </c>
      <c r="Q1" s="143" t="s">
        <v>581</v>
      </c>
      <c r="R1" s="132" t="s">
        <v>652</v>
      </c>
      <c r="S1" s="132" t="s">
        <v>653</v>
      </c>
      <c r="T1" s="132" t="s">
        <v>654</v>
      </c>
      <c r="U1" s="132" t="s">
        <v>655</v>
      </c>
      <c r="V1" s="132" t="s">
        <v>656</v>
      </c>
      <c r="W1" s="132" t="s">
        <v>657</v>
      </c>
      <c r="X1" s="132" t="s">
        <v>658</v>
      </c>
      <c r="Y1" s="132" t="s">
        <v>659</v>
      </c>
      <c r="Z1" s="132" t="s">
        <v>660</v>
      </c>
      <c r="AA1" s="125"/>
      <c r="AB1" s="125"/>
      <c r="AC1" s="125"/>
      <c r="AD1" s="125"/>
      <c r="AE1" s="125"/>
    </row>
    <row r="2" spans="1:31" ht="12.75" customHeight="1" x14ac:dyDescent="0.25">
      <c r="A2"/>
      <c r="B2" s="129"/>
      <c r="C2" s="129"/>
      <c r="D2" s="129"/>
      <c r="E2" s="129"/>
      <c r="F2" s="127"/>
      <c r="G2" s="119" t="s">
        <v>499</v>
      </c>
      <c r="H2" s="119" t="s">
        <v>452</v>
      </c>
      <c r="I2" s="119" t="s">
        <v>661</v>
      </c>
      <c r="J2" s="119" t="s">
        <v>662</v>
      </c>
      <c r="K2" s="119" t="s">
        <v>663</v>
      </c>
      <c r="L2" s="119" t="s">
        <v>664</v>
      </c>
      <c r="M2" s="119" t="s">
        <v>665</v>
      </c>
      <c r="N2" s="119" t="s">
        <v>666</v>
      </c>
      <c r="O2" s="119" t="s">
        <v>667</v>
      </c>
      <c r="P2" s="119" t="s">
        <v>668</v>
      </c>
      <c r="Q2" s="144">
        <v>44297</v>
      </c>
      <c r="R2" s="119"/>
      <c r="S2" s="119" t="s">
        <v>669</v>
      </c>
      <c r="T2" s="119">
        <v>2600000000</v>
      </c>
      <c r="U2" s="119">
        <v>1938851604</v>
      </c>
      <c r="V2" s="119">
        <v>0</v>
      </c>
      <c r="W2" s="119">
        <v>0</v>
      </c>
      <c r="X2" s="119" t="s">
        <v>670</v>
      </c>
      <c r="Y2" s="119" t="s">
        <v>671</v>
      </c>
      <c r="Z2" s="121"/>
    </row>
    <row r="3" spans="1:31" ht="12.75" customHeight="1" x14ac:dyDescent="0.25">
      <c r="A3"/>
      <c r="B3" s="128"/>
      <c r="C3" s="128"/>
      <c r="D3" s="128"/>
      <c r="E3" s="128"/>
      <c r="F3" s="127"/>
      <c r="G3" s="119" t="s">
        <v>499</v>
      </c>
      <c r="H3" s="119" t="s">
        <v>461</v>
      </c>
      <c r="I3" s="119" t="s">
        <v>672</v>
      </c>
      <c r="J3" s="119" t="s">
        <v>673</v>
      </c>
      <c r="K3" s="119" t="s">
        <v>674</v>
      </c>
      <c r="L3" s="119" t="s">
        <v>675</v>
      </c>
      <c r="M3" s="119" t="s">
        <v>676</v>
      </c>
      <c r="N3" s="119" t="s">
        <v>677</v>
      </c>
      <c r="O3" s="119" t="s">
        <v>678</v>
      </c>
      <c r="P3" s="119" t="s">
        <v>679</v>
      </c>
      <c r="Q3" s="145"/>
      <c r="R3" s="120">
        <v>44297</v>
      </c>
      <c r="S3" s="119" t="s">
        <v>669</v>
      </c>
      <c r="T3" s="119">
        <v>0</v>
      </c>
      <c r="U3" s="119">
        <v>0</v>
      </c>
      <c r="V3" s="119">
        <v>0</v>
      </c>
      <c r="W3" s="119">
        <v>0</v>
      </c>
      <c r="X3" s="119" t="s">
        <v>680</v>
      </c>
      <c r="Y3" s="119" t="s">
        <v>681</v>
      </c>
      <c r="Z3" s="121"/>
    </row>
    <row r="4" spans="1:31" ht="12.75" customHeight="1" x14ac:dyDescent="0.25">
      <c r="A4"/>
      <c r="G4" s="119" t="s">
        <v>499</v>
      </c>
      <c r="H4" s="119" t="s">
        <v>450</v>
      </c>
      <c r="I4" s="119" t="s">
        <v>682</v>
      </c>
      <c r="J4" s="119" t="s">
        <v>683</v>
      </c>
      <c r="K4" s="119" t="s">
        <v>584</v>
      </c>
      <c r="L4" s="119" t="s">
        <v>388</v>
      </c>
      <c r="M4" s="119" t="s">
        <v>684</v>
      </c>
      <c r="N4" s="119" t="s">
        <v>677</v>
      </c>
      <c r="O4" s="119" t="s">
        <v>685</v>
      </c>
      <c r="P4" s="119" t="s">
        <v>686</v>
      </c>
      <c r="Q4" s="146" t="s">
        <v>687</v>
      </c>
      <c r="R4" s="120">
        <v>44327</v>
      </c>
      <c r="S4" s="119" t="s">
        <v>669</v>
      </c>
      <c r="T4" s="119">
        <v>0</v>
      </c>
      <c r="U4" s="119">
        <v>0</v>
      </c>
      <c r="V4" s="119">
        <v>0</v>
      </c>
      <c r="W4" s="119">
        <v>0</v>
      </c>
      <c r="X4" s="119" t="s">
        <v>688</v>
      </c>
      <c r="Y4" s="119" t="s">
        <v>689</v>
      </c>
      <c r="Z4" s="121"/>
    </row>
    <row r="5" spans="1:31" ht="12.75" customHeight="1" x14ac:dyDescent="0.25">
      <c r="A5"/>
      <c r="G5" s="119" t="s">
        <v>499</v>
      </c>
      <c r="H5" s="119" t="s">
        <v>450</v>
      </c>
      <c r="I5" s="119" t="s">
        <v>682</v>
      </c>
      <c r="J5" s="119" t="s">
        <v>683</v>
      </c>
      <c r="K5" s="119" t="s">
        <v>584</v>
      </c>
      <c r="L5" s="119" t="s">
        <v>690</v>
      </c>
      <c r="M5" s="119" t="s">
        <v>691</v>
      </c>
      <c r="N5" s="119" t="s">
        <v>677</v>
      </c>
      <c r="O5" s="119" t="s">
        <v>685</v>
      </c>
      <c r="P5" s="119" t="s">
        <v>686</v>
      </c>
      <c r="Q5" s="146" t="s">
        <v>687</v>
      </c>
      <c r="R5" s="120">
        <v>44327</v>
      </c>
      <c r="S5" s="119" t="s">
        <v>669</v>
      </c>
      <c r="T5" s="119">
        <v>0</v>
      </c>
      <c r="U5" s="119">
        <v>0</v>
      </c>
      <c r="V5" s="119">
        <v>0</v>
      </c>
      <c r="W5" s="119">
        <v>0</v>
      </c>
      <c r="X5" s="119" t="s">
        <v>692</v>
      </c>
      <c r="Y5" s="119" t="s">
        <v>689</v>
      </c>
      <c r="Z5" s="121"/>
    </row>
    <row r="6" spans="1:31" ht="12.75" customHeight="1" x14ac:dyDescent="0.25">
      <c r="A6"/>
      <c r="B6" s="130"/>
      <c r="C6" s="130"/>
      <c r="D6" s="130"/>
      <c r="E6" s="130"/>
      <c r="F6" s="127"/>
      <c r="G6" s="119" t="s">
        <v>499</v>
      </c>
      <c r="H6" s="119" t="s">
        <v>429</v>
      </c>
      <c r="I6" s="119" t="s">
        <v>693</v>
      </c>
      <c r="J6" s="119" t="s">
        <v>694</v>
      </c>
      <c r="K6" s="119" t="s">
        <v>674</v>
      </c>
      <c r="L6" s="119" t="s">
        <v>675</v>
      </c>
      <c r="M6" s="119" t="s">
        <v>676</v>
      </c>
      <c r="N6" s="119" t="s">
        <v>666</v>
      </c>
      <c r="O6" s="119" t="s">
        <v>695</v>
      </c>
      <c r="P6" s="119" t="s">
        <v>696</v>
      </c>
      <c r="Q6" s="144">
        <v>44387</v>
      </c>
      <c r="R6" s="119" t="s">
        <v>697</v>
      </c>
      <c r="S6" s="119" t="s">
        <v>669</v>
      </c>
      <c r="T6" s="119">
        <v>0</v>
      </c>
      <c r="U6" s="119">
        <v>0</v>
      </c>
      <c r="V6" s="119">
        <v>0</v>
      </c>
      <c r="W6" s="119">
        <v>0</v>
      </c>
      <c r="X6" s="119" t="s">
        <v>698</v>
      </c>
      <c r="Y6" s="119" t="s">
        <v>699</v>
      </c>
      <c r="Z6" s="121"/>
    </row>
    <row r="7" spans="1:31" ht="12.75" customHeight="1" x14ac:dyDescent="0.25">
      <c r="A7" s="131" t="s">
        <v>700</v>
      </c>
      <c r="B7" s="131" t="s">
        <v>74</v>
      </c>
      <c r="C7" s="131">
        <v>1</v>
      </c>
      <c r="D7" s="131">
        <v>2020</v>
      </c>
      <c r="E7" s="131">
        <v>2020</v>
      </c>
      <c r="G7" s="132" t="s">
        <v>499</v>
      </c>
      <c r="H7" s="132" t="s">
        <v>452</v>
      </c>
      <c r="I7" s="132" t="s">
        <v>693</v>
      </c>
      <c r="J7" s="132" t="s">
        <v>635</v>
      </c>
      <c r="K7" s="132" t="s">
        <v>584</v>
      </c>
      <c r="L7" s="132" t="s">
        <v>701</v>
      </c>
      <c r="M7" s="132" t="s">
        <v>702</v>
      </c>
      <c r="N7" s="132" t="s">
        <v>703</v>
      </c>
      <c r="O7" s="132" t="s">
        <v>704</v>
      </c>
      <c r="P7" s="132" t="s">
        <v>705</v>
      </c>
      <c r="Q7" s="143" t="s">
        <v>637</v>
      </c>
      <c r="R7" s="132"/>
      <c r="S7" s="132" t="s">
        <v>669</v>
      </c>
      <c r="T7" s="132">
        <v>2800000000</v>
      </c>
      <c r="U7" s="132">
        <v>2087994035</v>
      </c>
      <c r="V7" s="132">
        <v>0</v>
      </c>
      <c r="W7" s="132">
        <v>0</v>
      </c>
      <c r="X7" s="132" t="s">
        <v>706</v>
      </c>
      <c r="Y7" s="136" t="s">
        <v>707</v>
      </c>
      <c r="Z7" s="133"/>
      <c r="AA7" s="125"/>
      <c r="AB7" s="125"/>
      <c r="AC7" s="125"/>
      <c r="AD7" s="125"/>
      <c r="AE7" s="125"/>
    </row>
    <row r="8" spans="1:31" ht="12.75" customHeight="1" x14ac:dyDescent="0.25">
      <c r="A8"/>
      <c r="B8" s="129"/>
      <c r="C8" s="129"/>
      <c r="D8" s="129"/>
      <c r="E8" s="129"/>
      <c r="F8" s="127"/>
      <c r="G8" s="119" t="s">
        <v>499</v>
      </c>
      <c r="H8" s="119" t="s">
        <v>67</v>
      </c>
      <c r="I8" s="119" t="s">
        <v>693</v>
      </c>
      <c r="J8" s="119" t="s">
        <v>708</v>
      </c>
      <c r="K8" s="119" t="s">
        <v>663</v>
      </c>
      <c r="L8" s="119" t="s">
        <v>675</v>
      </c>
      <c r="M8" s="119" t="s">
        <v>665</v>
      </c>
      <c r="N8" s="119" t="s">
        <v>666</v>
      </c>
      <c r="O8" s="119" t="s">
        <v>709</v>
      </c>
      <c r="P8" s="119" t="s">
        <v>710</v>
      </c>
      <c r="Q8" s="146" t="s">
        <v>711</v>
      </c>
      <c r="R8" s="119"/>
      <c r="S8" s="119" t="s">
        <v>669</v>
      </c>
      <c r="T8" s="119">
        <v>37500000</v>
      </c>
      <c r="U8" s="119">
        <v>27964206</v>
      </c>
      <c r="V8" s="119">
        <v>0</v>
      </c>
      <c r="W8" s="119">
        <v>0</v>
      </c>
      <c r="X8" s="122" t="s">
        <v>712</v>
      </c>
      <c r="Y8" s="119" t="s">
        <v>713</v>
      </c>
      <c r="Z8" s="121"/>
    </row>
    <row r="9" spans="1:31" ht="12.75" customHeight="1" x14ac:dyDescent="0.25">
      <c r="A9"/>
      <c r="B9" s="126"/>
      <c r="C9" s="126"/>
      <c r="D9" s="126"/>
      <c r="E9" s="126"/>
      <c r="F9" s="127"/>
      <c r="G9" s="119" t="s">
        <v>499</v>
      </c>
      <c r="H9" s="119" t="s">
        <v>445</v>
      </c>
      <c r="I9" s="119" t="s">
        <v>693</v>
      </c>
      <c r="J9" s="119" t="s">
        <v>708</v>
      </c>
      <c r="K9" s="119" t="s">
        <v>663</v>
      </c>
      <c r="L9" s="119" t="s">
        <v>675</v>
      </c>
      <c r="M9" s="119" t="s">
        <v>676</v>
      </c>
      <c r="N9" s="119" t="s">
        <v>666</v>
      </c>
      <c r="O9" s="119" t="s">
        <v>709</v>
      </c>
      <c r="P9" s="119" t="s">
        <v>710</v>
      </c>
      <c r="Q9" s="145"/>
      <c r="R9" s="121"/>
      <c r="S9" s="119" t="s">
        <v>669</v>
      </c>
      <c r="T9" s="119">
        <v>12500000</v>
      </c>
      <c r="U9" s="119">
        <v>9321402</v>
      </c>
      <c r="V9" s="119">
        <v>0</v>
      </c>
      <c r="W9" s="119">
        <v>0</v>
      </c>
      <c r="X9" s="122" t="s">
        <v>714</v>
      </c>
      <c r="Y9" s="119" t="s">
        <v>713</v>
      </c>
      <c r="Z9" s="121"/>
    </row>
    <row r="10" spans="1:31" ht="12.75" customHeight="1" x14ac:dyDescent="0.25">
      <c r="A10"/>
      <c r="B10" s="126"/>
      <c r="C10" s="126"/>
      <c r="D10" s="126"/>
      <c r="E10" s="126"/>
      <c r="F10" s="127"/>
      <c r="G10" s="119" t="s">
        <v>499</v>
      </c>
      <c r="H10" s="119" t="s">
        <v>461</v>
      </c>
      <c r="I10" s="119" t="s">
        <v>672</v>
      </c>
      <c r="J10" s="119" t="s">
        <v>715</v>
      </c>
      <c r="K10" s="119" t="s">
        <v>674</v>
      </c>
      <c r="L10" s="119" t="s">
        <v>701</v>
      </c>
      <c r="M10" s="119" t="s">
        <v>676</v>
      </c>
      <c r="N10" s="119" t="s">
        <v>666</v>
      </c>
      <c r="O10" s="119" t="s">
        <v>716</v>
      </c>
      <c r="P10" s="119" t="s">
        <v>717</v>
      </c>
      <c r="Q10" s="146" t="s">
        <v>718</v>
      </c>
      <c r="R10" s="119"/>
      <c r="S10" s="119" t="s">
        <v>669</v>
      </c>
      <c r="T10" s="119">
        <v>0</v>
      </c>
      <c r="U10" s="119">
        <v>0</v>
      </c>
      <c r="V10" s="119">
        <v>0</v>
      </c>
      <c r="W10" s="119">
        <v>0</v>
      </c>
      <c r="X10" s="119" t="s">
        <v>719</v>
      </c>
      <c r="Y10" s="122" t="s">
        <v>720</v>
      </c>
      <c r="Z10" s="119"/>
    </row>
    <row r="11" spans="1:31" ht="12.75" customHeight="1" x14ac:dyDescent="0.25">
      <c r="A11"/>
      <c r="B11" s="126"/>
      <c r="C11" s="126"/>
      <c r="D11" s="126"/>
      <c r="E11" s="126"/>
      <c r="F11" s="127"/>
      <c r="G11" s="119" t="s">
        <v>499</v>
      </c>
      <c r="H11" s="119" t="s">
        <v>484</v>
      </c>
      <c r="I11" s="119" t="s">
        <v>672</v>
      </c>
      <c r="J11" s="119" t="s">
        <v>721</v>
      </c>
      <c r="K11" s="119" t="s">
        <v>674</v>
      </c>
      <c r="L11" s="119" t="s">
        <v>690</v>
      </c>
      <c r="M11" s="119" t="s">
        <v>702</v>
      </c>
      <c r="N11" s="119" t="s">
        <v>666</v>
      </c>
      <c r="O11" s="119" t="s">
        <v>722</v>
      </c>
      <c r="P11" s="119" t="s">
        <v>723</v>
      </c>
      <c r="Q11" s="146" t="s">
        <v>724</v>
      </c>
      <c r="R11" s="119"/>
      <c r="S11" s="119" t="s">
        <v>669</v>
      </c>
      <c r="T11" s="119">
        <v>4000000</v>
      </c>
      <c r="U11" s="119">
        <v>2982849</v>
      </c>
      <c r="V11" s="119">
        <v>0</v>
      </c>
      <c r="W11" s="119">
        <v>0</v>
      </c>
      <c r="X11" s="119" t="s">
        <v>725</v>
      </c>
      <c r="Y11" s="119" t="s">
        <v>726</v>
      </c>
      <c r="Z11" s="121"/>
    </row>
    <row r="12" spans="1:31" ht="12.75" customHeight="1" x14ac:dyDescent="0.25">
      <c r="A12"/>
      <c r="B12" s="126"/>
      <c r="C12" s="126"/>
      <c r="D12" s="126"/>
      <c r="E12" s="126"/>
      <c r="F12" s="127"/>
      <c r="G12" s="119" t="s">
        <v>499</v>
      </c>
      <c r="H12" s="119" t="s">
        <v>67</v>
      </c>
      <c r="I12" s="119" t="s">
        <v>693</v>
      </c>
      <c r="J12" s="119" t="s">
        <v>727</v>
      </c>
      <c r="K12" s="119" t="s">
        <v>663</v>
      </c>
      <c r="L12" s="119" t="s">
        <v>701</v>
      </c>
      <c r="M12" s="119" t="s">
        <v>665</v>
      </c>
      <c r="N12" s="119" t="s">
        <v>666</v>
      </c>
      <c r="O12" s="119" t="s">
        <v>709</v>
      </c>
      <c r="P12" s="119" t="s">
        <v>728</v>
      </c>
      <c r="Q12" s="146" t="s">
        <v>729</v>
      </c>
      <c r="R12" s="119"/>
      <c r="S12" s="119" t="s">
        <v>669</v>
      </c>
      <c r="T12" s="119">
        <v>174600000</v>
      </c>
      <c r="U12" s="119">
        <v>130201343</v>
      </c>
      <c r="V12" s="119">
        <v>0</v>
      </c>
      <c r="W12" s="119">
        <v>0</v>
      </c>
      <c r="X12" s="119" t="s">
        <v>730</v>
      </c>
      <c r="Y12" s="121"/>
      <c r="Z12" s="122" t="s">
        <v>731</v>
      </c>
    </row>
    <row r="13" spans="1:31" ht="12.75" customHeight="1" x14ac:dyDescent="0.25">
      <c r="A13"/>
      <c r="B13" s="126"/>
      <c r="C13" s="126"/>
      <c r="D13" s="126"/>
      <c r="E13" s="126"/>
      <c r="F13" s="127"/>
      <c r="G13" s="119" t="s">
        <v>499</v>
      </c>
      <c r="H13" s="119" t="s">
        <v>67</v>
      </c>
      <c r="I13" s="119" t="s">
        <v>693</v>
      </c>
      <c r="J13" s="119" t="s">
        <v>732</v>
      </c>
      <c r="K13" s="119" t="s">
        <v>663</v>
      </c>
      <c r="L13" s="119" t="s">
        <v>664</v>
      </c>
      <c r="M13" s="119" t="s">
        <v>665</v>
      </c>
      <c r="N13" s="119" t="s">
        <v>666</v>
      </c>
      <c r="O13" s="119" t="s">
        <v>709</v>
      </c>
      <c r="P13" s="119" t="s">
        <v>733</v>
      </c>
      <c r="Q13" s="146" t="s">
        <v>734</v>
      </c>
      <c r="R13" s="119"/>
      <c r="S13" s="119" t="s">
        <v>669</v>
      </c>
      <c r="T13" s="119">
        <v>106811721</v>
      </c>
      <c r="U13" s="119">
        <v>79650799</v>
      </c>
      <c r="V13" s="119">
        <v>0</v>
      </c>
      <c r="W13" s="119">
        <v>0</v>
      </c>
      <c r="X13" s="119" t="s">
        <v>735</v>
      </c>
      <c r="Y13" s="122" t="s">
        <v>736</v>
      </c>
      <c r="Z13" s="119"/>
    </row>
    <row r="14" spans="1:31" ht="12.75" customHeight="1" x14ac:dyDescent="0.25">
      <c r="A14"/>
      <c r="B14" s="126"/>
      <c r="C14" s="126"/>
      <c r="D14" s="126"/>
      <c r="E14" s="126"/>
      <c r="F14" s="127"/>
      <c r="G14" s="119" t="s">
        <v>499</v>
      </c>
      <c r="H14" s="119" t="s">
        <v>67</v>
      </c>
      <c r="I14" s="119" t="s">
        <v>682</v>
      </c>
      <c r="J14" s="119" t="s">
        <v>737</v>
      </c>
      <c r="K14" s="119" t="s">
        <v>663</v>
      </c>
      <c r="L14" s="119" t="s">
        <v>738</v>
      </c>
      <c r="M14" s="119" t="s">
        <v>665</v>
      </c>
      <c r="N14" s="119" t="s">
        <v>666</v>
      </c>
      <c r="O14" s="119" t="s">
        <v>709</v>
      </c>
      <c r="P14" s="119" t="s">
        <v>739</v>
      </c>
      <c r="Q14" s="144">
        <v>44203</v>
      </c>
      <c r="R14" s="119"/>
      <c r="S14" s="119" t="s">
        <v>669</v>
      </c>
      <c r="T14" s="119">
        <v>32810000</v>
      </c>
      <c r="U14" s="119">
        <v>24466816</v>
      </c>
      <c r="V14" s="119">
        <v>0</v>
      </c>
      <c r="W14" s="119">
        <v>0</v>
      </c>
      <c r="X14" s="119" t="s">
        <v>740</v>
      </c>
      <c r="Y14" s="119" t="s">
        <v>741</v>
      </c>
      <c r="Z14" s="121"/>
    </row>
    <row r="15" spans="1:31" ht="12.75" customHeight="1" x14ac:dyDescent="0.25">
      <c r="A15"/>
      <c r="B15" s="126"/>
      <c r="C15" s="126"/>
      <c r="D15" s="126"/>
      <c r="E15" s="126"/>
      <c r="F15" s="127"/>
      <c r="G15" s="119" t="s">
        <v>499</v>
      </c>
      <c r="H15" s="119" t="s">
        <v>742</v>
      </c>
      <c r="I15" s="119" t="s">
        <v>682</v>
      </c>
      <c r="J15" s="119" t="s">
        <v>743</v>
      </c>
      <c r="K15" s="119" t="s">
        <v>663</v>
      </c>
      <c r="L15" s="119" t="s">
        <v>738</v>
      </c>
      <c r="M15" s="119" t="s">
        <v>665</v>
      </c>
      <c r="N15" s="119" t="s">
        <v>666</v>
      </c>
      <c r="O15" s="119" t="s">
        <v>685</v>
      </c>
      <c r="P15" s="119" t="s">
        <v>744</v>
      </c>
      <c r="Q15" s="146" t="s">
        <v>745</v>
      </c>
      <c r="R15" s="119"/>
      <c r="S15" s="119" t="s">
        <v>669</v>
      </c>
      <c r="T15" s="119">
        <v>37300000</v>
      </c>
      <c r="U15" s="119">
        <v>27815064</v>
      </c>
      <c r="V15" s="119">
        <v>0</v>
      </c>
      <c r="W15" s="119">
        <v>0</v>
      </c>
      <c r="X15" s="119" t="s">
        <v>746</v>
      </c>
      <c r="Y15" s="122" t="s">
        <v>747</v>
      </c>
      <c r="Z15" s="119"/>
    </row>
    <row r="16" spans="1:31" ht="12.75" customHeight="1" x14ac:dyDescent="0.25">
      <c r="A16"/>
      <c r="B16" s="126"/>
      <c r="C16" s="126"/>
      <c r="D16" s="126"/>
      <c r="E16" s="126"/>
      <c r="F16" s="127"/>
      <c r="G16" s="119" t="s">
        <v>499</v>
      </c>
      <c r="H16" s="119" t="s">
        <v>445</v>
      </c>
      <c r="I16" s="119" t="s">
        <v>682</v>
      </c>
      <c r="J16" s="119" t="s">
        <v>748</v>
      </c>
      <c r="K16" s="119" t="s">
        <v>749</v>
      </c>
      <c r="L16" s="119" t="s">
        <v>556</v>
      </c>
      <c r="M16" s="119" t="s">
        <v>702</v>
      </c>
      <c r="N16" s="119" t="s">
        <v>666</v>
      </c>
      <c r="O16" s="119" t="s">
        <v>709</v>
      </c>
      <c r="P16" s="119" t="s">
        <v>750</v>
      </c>
      <c r="Q16" s="146" t="s">
        <v>751</v>
      </c>
      <c r="R16" s="119"/>
      <c r="S16" s="119" t="s">
        <v>669</v>
      </c>
      <c r="T16" s="119">
        <v>15000000</v>
      </c>
      <c r="U16" s="119">
        <v>11185683</v>
      </c>
      <c r="V16" s="119">
        <v>0</v>
      </c>
      <c r="W16" s="119">
        <v>0</v>
      </c>
      <c r="X16" s="119" t="s">
        <v>752</v>
      </c>
      <c r="Y16" s="119" t="s">
        <v>753</v>
      </c>
      <c r="Z16" s="121"/>
    </row>
    <row r="17" spans="1:31" ht="12.75" customHeight="1" x14ac:dyDescent="0.25">
      <c r="A17"/>
      <c r="B17" s="126"/>
      <c r="C17" s="126"/>
      <c r="D17" s="126"/>
      <c r="E17" s="126"/>
      <c r="F17" s="127"/>
      <c r="G17" s="119" t="s">
        <v>499</v>
      </c>
      <c r="H17" s="119" t="s">
        <v>67</v>
      </c>
      <c r="I17" s="119" t="s">
        <v>682</v>
      </c>
      <c r="J17" s="119" t="s">
        <v>748</v>
      </c>
      <c r="K17" s="119" t="s">
        <v>749</v>
      </c>
      <c r="L17" s="119" t="s">
        <v>556</v>
      </c>
      <c r="M17" s="119" t="s">
        <v>684</v>
      </c>
      <c r="N17" s="119" t="s">
        <v>666</v>
      </c>
      <c r="O17" s="119" t="s">
        <v>709</v>
      </c>
      <c r="P17" s="119" t="s">
        <v>750</v>
      </c>
      <c r="Q17" s="146" t="s">
        <v>751</v>
      </c>
      <c r="R17" s="119"/>
      <c r="S17" s="119" t="s">
        <v>669</v>
      </c>
      <c r="T17" s="119">
        <v>45000000</v>
      </c>
      <c r="U17" s="119">
        <v>33557047</v>
      </c>
      <c r="V17" s="119">
        <v>0</v>
      </c>
      <c r="W17" s="119">
        <v>0</v>
      </c>
      <c r="X17" s="119" t="s">
        <v>754</v>
      </c>
      <c r="Y17" s="119" t="s">
        <v>753</v>
      </c>
      <c r="Z17" s="121"/>
    </row>
    <row r="18" spans="1:31" ht="12.75" customHeight="1" x14ac:dyDescent="0.25">
      <c r="A18"/>
      <c r="B18" s="126"/>
      <c r="C18" s="126"/>
      <c r="D18" s="126"/>
      <c r="E18" s="126"/>
      <c r="F18" s="127"/>
      <c r="G18" s="119" t="s">
        <v>499</v>
      </c>
      <c r="H18" s="119" t="s">
        <v>755</v>
      </c>
      <c r="I18" s="119" t="s">
        <v>682</v>
      </c>
      <c r="J18" s="119" t="s">
        <v>756</v>
      </c>
      <c r="K18" s="119" t="s">
        <v>663</v>
      </c>
      <c r="L18" s="119" t="s">
        <v>738</v>
      </c>
      <c r="M18" s="119" t="s">
        <v>665</v>
      </c>
      <c r="N18" s="119" t="s">
        <v>666</v>
      </c>
      <c r="O18" s="119" t="s">
        <v>757</v>
      </c>
      <c r="P18" s="119" t="s">
        <v>744</v>
      </c>
      <c r="Q18" s="144">
        <v>44415</v>
      </c>
      <c r="R18" s="119"/>
      <c r="S18" s="119" t="s">
        <v>669</v>
      </c>
      <c r="T18" s="119">
        <v>1950000</v>
      </c>
      <c r="U18" s="119">
        <v>1454139</v>
      </c>
      <c r="V18" s="119">
        <v>0</v>
      </c>
      <c r="W18" s="119">
        <v>0</v>
      </c>
      <c r="X18" s="119" t="s">
        <v>758</v>
      </c>
      <c r="Y18" s="119" t="s">
        <v>759</v>
      </c>
      <c r="Z18" s="121"/>
    </row>
    <row r="19" spans="1:31" ht="12.75" customHeight="1" x14ac:dyDescent="0.25">
      <c r="A19"/>
      <c r="B19" s="126"/>
      <c r="C19" s="126"/>
      <c r="D19" s="126"/>
      <c r="E19" s="126"/>
      <c r="F19" s="127"/>
      <c r="G19" s="119" t="s">
        <v>499</v>
      </c>
      <c r="H19" s="119" t="s">
        <v>429</v>
      </c>
      <c r="I19" s="119" t="s">
        <v>672</v>
      </c>
      <c r="J19" s="119" t="s">
        <v>760</v>
      </c>
      <c r="K19" s="119" t="s">
        <v>663</v>
      </c>
      <c r="L19" s="119" t="s">
        <v>690</v>
      </c>
      <c r="M19" s="119" t="s">
        <v>665</v>
      </c>
      <c r="N19" s="119" t="s">
        <v>666</v>
      </c>
      <c r="O19" s="119" t="s">
        <v>695</v>
      </c>
      <c r="P19" s="119" t="s">
        <v>761</v>
      </c>
      <c r="Q19" s="144">
        <v>44446</v>
      </c>
      <c r="R19" s="119"/>
      <c r="S19" s="119" t="s">
        <v>669</v>
      </c>
      <c r="T19" s="119">
        <v>0</v>
      </c>
      <c r="U19" s="119">
        <v>0</v>
      </c>
      <c r="V19" s="119">
        <v>0</v>
      </c>
      <c r="W19" s="119">
        <v>0</v>
      </c>
      <c r="X19" s="119" t="s">
        <v>762</v>
      </c>
      <c r="Y19" s="122" t="s">
        <v>763</v>
      </c>
      <c r="Z19" s="119"/>
    </row>
    <row r="20" spans="1:31" ht="12.75" customHeight="1" x14ac:dyDescent="0.25">
      <c r="A20"/>
      <c r="B20" s="128"/>
      <c r="C20" s="128"/>
      <c r="D20" s="128"/>
      <c r="E20" s="128"/>
      <c r="F20" s="127"/>
      <c r="G20" s="119" t="s">
        <v>499</v>
      </c>
      <c r="H20" s="119" t="s">
        <v>67</v>
      </c>
      <c r="I20" s="119" t="s">
        <v>672</v>
      </c>
      <c r="J20" s="119" t="s">
        <v>760</v>
      </c>
      <c r="K20" s="119" t="s">
        <v>663</v>
      </c>
      <c r="L20" s="119" t="s">
        <v>690</v>
      </c>
      <c r="M20" s="119" t="s">
        <v>676</v>
      </c>
      <c r="N20" s="119" t="s">
        <v>666</v>
      </c>
      <c r="O20" s="119" t="s">
        <v>709</v>
      </c>
      <c r="P20" s="119" t="s">
        <v>764</v>
      </c>
      <c r="Q20" s="144">
        <v>44446</v>
      </c>
      <c r="R20" s="119"/>
      <c r="S20" s="119" t="s">
        <v>669</v>
      </c>
      <c r="T20" s="119">
        <v>1300000000</v>
      </c>
      <c r="U20" s="119">
        <v>969425802</v>
      </c>
      <c r="V20" s="119">
        <v>0</v>
      </c>
      <c r="W20" s="119">
        <v>0</v>
      </c>
      <c r="X20" s="119" t="s">
        <v>765</v>
      </c>
      <c r="Y20" s="121"/>
      <c r="Z20" s="122" t="s">
        <v>766</v>
      </c>
    </row>
    <row r="21" spans="1:31" ht="12.75" customHeight="1" x14ac:dyDescent="0.25">
      <c r="A21" s="131" t="s">
        <v>67</v>
      </c>
      <c r="B21" s="131" t="s">
        <v>767</v>
      </c>
      <c r="C21" s="131">
        <v>3</v>
      </c>
      <c r="D21" s="131">
        <v>2020</v>
      </c>
      <c r="E21" s="131">
        <v>2023</v>
      </c>
      <c r="G21" s="132" t="s">
        <v>499</v>
      </c>
      <c r="H21" s="132" t="s">
        <v>67</v>
      </c>
      <c r="I21" s="132" t="s">
        <v>682</v>
      </c>
      <c r="J21" s="132" t="s">
        <v>628</v>
      </c>
      <c r="K21" s="132" t="s">
        <v>584</v>
      </c>
      <c r="L21" s="132" t="s">
        <v>738</v>
      </c>
      <c r="M21" s="132" t="s">
        <v>691</v>
      </c>
      <c r="N21" s="132" t="s">
        <v>666</v>
      </c>
      <c r="O21" s="132" t="s">
        <v>768</v>
      </c>
      <c r="P21" s="132" t="s">
        <v>769</v>
      </c>
      <c r="Q21" s="147">
        <v>43840</v>
      </c>
      <c r="R21" s="132"/>
      <c r="S21" s="132" t="s">
        <v>669</v>
      </c>
      <c r="T21" s="132">
        <v>2500000000</v>
      </c>
      <c r="U21" s="132">
        <v>1864280388</v>
      </c>
      <c r="V21" s="132">
        <v>0</v>
      </c>
      <c r="W21" s="132">
        <v>0</v>
      </c>
      <c r="X21" s="132" t="s">
        <v>770</v>
      </c>
      <c r="Y21" s="136" t="s">
        <v>771</v>
      </c>
      <c r="Z21" s="133"/>
      <c r="AA21" s="125"/>
      <c r="AB21" s="125"/>
      <c r="AC21" s="125"/>
      <c r="AD21" s="125"/>
      <c r="AE21" s="125"/>
    </row>
    <row r="22" spans="1:31" ht="12.75" customHeight="1" x14ac:dyDescent="0.25">
      <c r="A22"/>
      <c r="B22" s="130"/>
      <c r="C22" s="130"/>
      <c r="D22" s="130"/>
      <c r="E22" s="130"/>
      <c r="F22" s="127"/>
      <c r="G22" s="119" t="s">
        <v>499</v>
      </c>
      <c r="H22" s="119" t="s">
        <v>67</v>
      </c>
      <c r="I22" s="119" t="s">
        <v>682</v>
      </c>
      <c r="J22" s="119" t="s">
        <v>772</v>
      </c>
      <c r="K22" s="119" t="s">
        <v>773</v>
      </c>
      <c r="L22" s="119" t="s">
        <v>690</v>
      </c>
      <c r="M22" s="119" t="s">
        <v>665</v>
      </c>
      <c r="N22" s="119" t="s">
        <v>666</v>
      </c>
      <c r="O22" s="119" t="s">
        <v>709</v>
      </c>
      <c r="P22" s="119" t="s">
        <v>744</v>
      </c>
      <c r="Q22" s="144">
        <v>44324</v>
      </c>
      <c r="R22" s="120">
        <v>44323</v>
      </c>
      <c r="S22" s="119" t="s">
        <v>669</v>
      </c>
      <c r="T22" s="119">
        <v>420000000</v>
      </c>
      <c r="U22" s="119">
        <v>313199106</v>
      </c>
      <c r="V22" s="119">
        <v>0</v>
      </c>
      <c r="W22" s="119">
        <v>0</v>
      </c>
      <c r="X22" s="119" t="s">
        <v>774</v>
      </c>
      <c r="Y22" s="119" t="s">
        <v>775</v>
      </c>
      <c r="Z22" s="121"/>
    </row>
    <row r="23" spans="1:31" ht="12.75" customHeight="1" x14ac:dyDescent="0.25">
      <c r="A23" s="131" t="s">
        <v>67</v>
      </c>
      <c r="B23" s="131" t="s">
        <v>767</v>
      </c>
      <c r="C23" s="131">
        <v>4</v>
      </c>
      <c r="D23" s="131">
        <v>2020</v>
      </c>
      <c r="E23" s="131">
        <v>2024</v>
      </c>
      <c r="G23" s="132" t="s">
        <v>499</v>
      </c>
      <c r="H23" s="132" t="s">
        <v>67</v>
      </c>
      <c r="I23" s="132" t="s">
        <v>682</v>
      </c>
      <c r="J23" s="132" t="s">
        <v>776</v>
      </c>
      <c r="K23" s="132" t="s">
        <v>584</v>
      </c>
      <c r="L23" s="132" t="s">
        <v>738</v>
      </c>
      <c r="M23" s="132" t="s">
        <v>691</v>
      </c>
      <c r="N23" s="132" t="s">
        <v>666</v>
      </c>
      <c r="O23" s="132" t="s">
        <v>709</v>
      </c>
      <c r="P23" s="132" t="s">
        <v>777</v>
      </c>
      <c r="Q23" s="147">
        <v>44147</v>
      </c>
      <c r="R23" s="132"/>
      <c r="S23" s="132" t="s">
        <v>669</v>
      </c>
      <c r="T23" s="132">
        <v>964000000</v>
      </c>
      <c r="U23" s="132">
        <v>718866518</v>
      </c>
      <c r="V23" s="132">
        <v>0</v>
      </c>
      <c r="W23" s="132">
        <v>0</v>
      </c>
      <c r="X23" s="134" t="s">
        <v>778</v>
      </c>
      <c r="Y23" s="136" t="s">
        <v>779</v>
      </c>
      <c r="Z23" s="133"/>
      <c r="AA23" s="125"/>
      <c r="AB23" s="125"/>
      <c r="AC23" s="125"/>
      <c r="AD23" s="125"/>
      <c r="AE23" s="125"/>
    </row>
    <row r="24" spans="1:31" ht="12.75" customHeight="1" x14ac:dyDescent="0.25">
      <c r="A24"/>
      <c r="B24" s="129"/>
      <c r="C24" s="129"/>
      <c r="D24" s="129"/>
      <c r="E24" s="129"/>
      <c r="F24" s="127"/>
      <c r="G24" s="119" t="s">
        <v>499</v>
      </c>
      <c r="H24" s="119" t="s">
        <v>452</v>
      </c>
      <c r="I24" s="119" t="s">
        <v>693</v>
      </c>
      <c r="J24" s="119" t="s">
        <v>780</v>
      </c>
      <c r="K24" s="119" t="s">
        <v>674</v>
      </c>
      <c r="L24" s="119" t="s">
        <v>701</v>
      </c>
      <c r="M24" s="119" t="s">
        <v>684</v>
      </c>
      <c r="N24" s="119" t="s">
        <v>666</v>
      </c>
      <c r="O24" s="119" t="s">
        <v>667</v>
      </c>
      <c r="P24" s="119" t="s">
        <v>781</v>
      </c>
      <c r="Q24" s="144">
        <v>44445</v>
      </c>
      <c r="R24" s="119"/>
      <c r="S24" s="119" t="s">
        <v>669</v>
      </c>
      <c r="T24" s="119">
        <v>234000000</v>
      </c>
      <c r="U24" s="119">
        <v>174496645</v>
      </c>
      <c r="V24" s="119">
        <v>0</v>
      </c>
      <c r="W24" s="119">
        <v>0</v>
      </c>
      <c r="X24" s="119" t="s">
        <v>782</v>
      </c>
      <c r="Y24" s="122" t="s">
        <v>783</v>
      </c>
      <c r="Z24" s="119"/>
    </row>
    <row r="25" spans="1:31" ht="12.75" customHeight="1" x14ac:dyDescent="0.25">
      <c r="A25"/>
      <c r="B25" s="126"/>
      <c r="C25" s="126"/>
      <c r="D25" s="126"/>
      <c r="E25" s="126"/>
      <c r="F25" s="127"/>
      <c r="G25" s="119" t="s">
        <v>499</v>
      </c>
      <c r="H25" s="119" t="s">
        <v>418</v>
      </c>
      <c r="I25" s="119" t="s">
        <v>661</v>
      </c>
      <c r="J25" s="119" t="s">
        <v>784</v>
      </c>
      <c r="K25" s="119" t="s">
        <v>674</v>
      </c>
      <c r="L25" s="119" t="s">
        <v>574</v>
      </c>
      <c r="M25" s="119" t="s">
        <v>676</v>
      </c>
      <c r="N25" s="119" t="s">
        <v>666</v>
      </c>
      <c r="O25" s="119" t="s">
        <v>709</v>
      </c>
      <c r="P25" s="119" t="s">
        <v>785</v>
      </c>
      <c r="Q25" s="144">
        <v>44445</v>
      </c>
      <c r="R25" s="119"/>
      <c r="S25" s="119" t="s">
        <v>669</v>
      </c>
      <c r="T25" s="119">
        <v>15000000</v>
      </c>
      <c r="U25" s="119">
        <v>11185683</v>
      </c>
      <c r="V25" s="119">
        <v>0</v>
      </c>
      <c r="W25" s="119">
        <v>0</v>
      </c>
      <c r="X25" s="119" t="s">
        <v>786</v>
      </c>
      <c r="Y25" s="119" t="s">
        <v>787</v>
      </c>
      <c r="Z25" s="121"/>
    </row>
    <row r="26" spans="1:31" ht="12.75" customHeight="1" x14ac:dyDescent="0.25">
      <c r="A26"/>
      <c r="B26" s="126"/>
      <c r="C26" s="126"/>
      <c r="D26" s="126"/>
      <c r="E26" s="126"/>
      <c r="F26" s="127"/>
      <c r="G26" s="119" t="s">
        <v>499</v>
      </c>
      <c r="H26" s="119" t="s">
        <v>67</v>
      </c>
      <c r="I26" s="119" t="s">
        <v>661</v>
      </c>
      <c r="J26" s="119" t="s">
        <v>784</v>
      </c>
      <c r="K26" s="119" t="s">
        <v>674</v>
      </c>
      <c r="L26" s="119" t="s">
        <v>574</v>
      </c>
      <c r="M26" s="119" t="s">
        <v>676</v>
      </c>
      <c r="N26" s="119" t="s">
        <v>666</v>
      </c>
      <c r="O26" s="119" t="s">
        <v>709</v>
      </c>
      <c r="P26" s="119" t="s">
        <v>785</v>
      </c>
      <c r="Q26" s="144">
        <v>44445</v>
      </c>
      <c r="R26" s="119"/>
      <c r="S26" s="119" t="s">
        <v>669</v>
      </c>
      <c r="T26" s="119">
        <v>0</v>
      </c>
      <c r="U26" s="119">
        <v>0</v>
      </c>
      <c r="V26" s="119">
        <v>0</v>
      </c>
      <c r="W26" s="119">
        <v>0</v>
      </c>
      <c r="X26" s="119" t="s">
        <v>788</v>
      </c>
      <c r="Y26" s="119" t="s">
        <v>789</v>
      </c>
      <c r="Z26" s="121"/>
    </row>
    <row r="27" spans="1:31" ht="12.75" customHeight="1" x14ac:dyDescent="0.25">
      <c r="A27"/>
      <c r="B27" s="126"/>
      <c r="C27" s="126"/>
      <c r="D27" s="126"/>
      <c r="E27" s="126"/>
      <c r="F27" s="127"/>
      <c r="G27" s="119" t="s">
        <v>499</v>
      </c>
      <c r="H27" s="119" t="s">
        <v>418</v>
      </c>
      <c r="I27" s="119" t="s">
        <v>790</v>
      </c>
      <c r="J27" s="119" t="s">
        <v>791</v>
      </c>
      <c r="K27" s="119" t="s">
        <v>663</v>
      </c>
      <c r="L27" s="119" t="s">
        <v>574</v>
      </c>
      <c r="M27" s="119" t="s">
        <v>665</v>
      </c>
      <c r="N27" s="119" t="s">
        <v>666</v>
      </c>
      <c r="O27" s="119" t="s">
        <v>709</v>
      </c>
      <c r="P27" s="119" t="s">
        <v>785</v>
      </c>
      <c r="Q27" s="144">
        <v>44261</v>
      </c>
      <c r="R27" s="119"/>
      <c r="S27" s="119" t="s">
        <v>669</v>
      </c>
      <c r="T27" s="119">
        <v>7338782</v>
      </c>
      <c r="U27" s="119">
        <v>5472619</v>
      </c>
      <c r="V27" s="119">
        <v>0</v>
      </c>
      <c r="W27" s="119">
        <v>0</v>
      </c>
      <c r="X27" s="119" t="s">
        <v>792</v>
      </c>
      <c r="Y27" s="119" t="s">
        <v>793</v>
      </c>
      <c r="Z27" s="121"/>
    </row>
    <row r="28" spans="1:31" ht="12.75" customHeight="1" x14ac:dyDescent="0.25">
      <c r="A28"/>
      <c r="B28" s="126"/>
      <c r="C28" s="126"/>
      <c r="D28" s="126"/>
      <c r="E28" s="126"/>
      <c r="F28" s="127"/>
      <c r="G28" s="119" t="s">
        <v>499</v>
      </c>
      <c r="H28" s="119" t="s">
        <v>67</v>
      </c>
      <c r="I28" s="119" t="s">
        <v>790</v>
      </c>
      <c r="J28" s="119" t="s">
        <v>794</v>
      </c>
      <c r="K28" s="119" t="s">
        <v>663</v>
      </c>
      <c r="L28" s="119" t="s">
        <v>574</v>
      </c>
      <c r="M28" s="119" t="s">
        <v>665</v>
      </c>
      <c r="N28" s="119" t="s">
        <v>666</v>
      </c>
      <c r="O28" s="119" t="s">
        <v>709</v>
      </c>
      <c r="P28" s="119" t="s">
        <v>785</v>
      </c>
      <c r="Q28" s="144">
        <v>44261</v>
      </c>
      <c r="R28" s="119"/>
      <c r="S28" s="119" t="s">
        <v>669</v>
      </c>
      <c r="T28" s="119">
        <v>2300000</v>
      </c>
      <c r="U28" s="119">
        <v>1715138</v>
      </c>
      <c r="V28" s="119">
        <v>0</v>
      </c>
      <c r="W28" s="119">
        <v>0</v>
      </c>
      <c r="X28" s="119" t="s">
        <v>795</v>
      </c>
      <c r="Y28" s="119" t="s">
        <v>796</v>
      </c>
      <c r="Z28" s="121"/>
    </row>
    <row r="29" spans="1:31" ht="12.75" customHeight="1" x14ac:dyDescent="0.25">
      <c r="A29"/>
      <c r="B29" s="128"/>
      <c r="C29" s="128"/>
      <c r="D29" s="128"/>
      <c r="E29" s="128"/>
      <c r="F29" s="127"/>
      <c r="G29" s="119" t="s">
        <v>499</v>
      </c>
      <c r="H29" s="119" t="s">
        <v>67</v>
      </c>
      <c r="I29" s="119" t="s">
        <v>790</v>
      </c>
      <c r="J29" s="119" t="s">
        <v>797</v>
      </c>
      <c r="K29" s="119" t="s">
        <v>798</v>
      </c>
      <c r="L29" s="119" t="s">
        <v>799</v>
      </c>
      <c r="M29" s="119" t="s">
        <v>665</v>
      </c>
      <c r="N29" s="119" t="s">
        <v>666</v>
      </c>
      <c r="O29" s="119" t="s">
        <v>709</v>
      </c>
      <c r="P29" s="119" t="s">
        <v>800</v>
      </c>
      <c r="Q29" s="146" t="s">
        <v>592</v>
      </c>
      <c r="R29" s="119"/>
      <c r="S29" s="119" t="s">
        <v>669</v>
      </c>
      <c r="T29" s="119">
        <v>1340000</v>
      </c>
      <c r="U29" s="119">
        <v>999255</v>
      </c>
      <c r="V29" s="119">
        <v>0</v>
      </c>
      <c r="W29" s="119">
        <v>0</v>
      </c>
      <c r="X29" s="119" t="s">
        <v>801</v>
      </c>
      <c r="Y29" s="122" t="s">
        <v>802</v>
      </c>
      <c r="Z29" s="119"/>
    </row>
    <row r="30" spans="1:31" ht="12.75" customHeight="1" x14ac:dyDescent="0.25">
      <c r="A30" s="131" t="s">
        <v>803</v>
      </c>
      <c r="B30" s="131" t="s">
        <v>70</v>
      </c>
      <c r="C30" s="131" t="s">
        <v>804</v>
      </c>
      <c r="D30" s="131">
        <v>2020</v>
      </c>
      <c r="E30" s="131" t="s">
        <v>805</v>
      </c>
      <c r="F30" s="131" t="s">
        <v>806</v>
      </c>
      <c r="G30" s="132" t="s">
        <v>499</v>
      </c>
      <c r="H30" s="132" t="s">
        <v>807</v>
      </c>
      <c r="I30" s="132" t="s">
        <v>693</v>
      </c>
      <c r="J30" s="132" t="s">
        <v>808</v>
      </c>
      <c r="K30" s="132" t="s">
        <v>674</v>
      </c>
      <c r="L30" s="132" t="s">
        <v>664</v>
      </c>
      <c r="M30" s="132" t="s">
        <v>676</v>
      </c>
      <c r="N30" s="132" t="s">
        <v>666</v>
      </c>
      <c r="O30" s="132" t="s">
        <v>809</v>
      </c>
      <c r="P30" s="132" t="s">
        <v>810</v>
      </c>
      <c r="Q30" s="143" t="s">
        <v>811</v>
      </c>
      <c r="R30" s="132"/>
      <c r="S30" s="132" t="s">
        <v>669</v>
      </c>
      <c r="T30" s="132">
        <v>300000000</v>
      </c>
      <c r="U30" s="132">
        <v>223713647</v>
      </c>
      <c r="V30" s="132">
        <v>0</v>
      </c>
      <c r="W30" s="132">
        <v>0</v>
      </c>
      <c r="X30" s="132" t="s">
        <v>812</v>
      </c>
      <c r="Y30" s="136" t="s">
        <v>813</v>
      </c>
      <c r="Z30" s="133"/>
      <c r="AA30" s="125"/>
      <c r="AB30" s="125"/>
      <c r="AC30" s="125"/>
      <c r="AD30" s="125"/>
      <c r="AE30" s="125"/>
    </row>
    <row r="31" spans="1:31" ht="12.75" customHeight="1" x14ac:dyDescent="0.25">
      <c r="A31"/>
      <c r="B31" s="129"/>
      <c r="C31" s="129"/>
      <c r="D31" s="129"/>
      <c r="E31" s="129"/>
      <c r="F31" s="127"/>
      <c r="G31" s="119" t="s">
        <v>499</v>
      </c>
      <c r="H31" s="119" t="s">
        <v>67</v>
      </c>
      <c r="I31" s="119" t="s">
        <v>790</v>
      </c>
      <c r="J31" s="119" t="s">
        <v>814</v>
      </c>
      <c r="K31" s="119" t="s">
        <v>773</v>
      </c>
      <c r="L31" s="119" t="s">
        <v>799</v>
      </c>
      <c r="M31" s="119" t="s">
        <v>665</v>
      </c>
      <c r="N31" s="119" t="s">
        <v>666</v>
      </c>
      <c r="O31" s="119" t="s">
        <v>709</v>
      </c>
      <c r="P31" s="119" t="s">
        <v>800</v>
      </c>
      <c r="Q31" s="146" t="s">
        <v>815</v>
      </c>
      <c r="R31" s="119"/>
      <c r="S31" s="119" t="s">
        <v>669</v>
      </c>
      <c r="T31" s="119">
        <v>190433</v>
      </c>
      <c r="U31" s="119">
        <v>142009</v>
      </c>
      <c r="V31" s="119">
        <v>0</v>
      </c>
      <c r="W31" s="119">
        <v>0</v>
      </c>
      <c r="X31" s="119" t="s">
        <v>816</v>
      </c>
      <c r="Y31" s="119" t="s">
        <v>817</v>
      </c>
      <c r="Z31" s="121"/>
    </row>
    <row r="32" spans="1:31" ht="12.75" customHeight="1" x14ac:dyDescent="0.25">
      <c r="A32"/>
      <c r="B32" s="126"/>
      <c r="C32" s="126"/>
      <c r="D32" s="126"/>
      <c r="E32" s="126"/>
      <c r="F32" s="127"/>
      <c r="G32" s="119" t="s">
        <v>499</v>
      </c>
      <c r="H32" s="119" t="s">
        <v>67</v>
      </c>
      <c r="I32" s="119" t="s">
        <v>672</v>
      </c>
      <c r="J32" s="119" t="s">
        <v>818</v>
      </c>
      <c r="K32" s="119" t="s">
        <v>749</v>
      </c>
      <c r="L32" s="119" t="s">
        <v>819</v>
      </c>
      <c r="M32" s="119" t="s">
        <v>819</v>
      </c>
      <c r="N32" s="119" t="s">
        <v>666</v>
      </c>
      <c r="O32" s="119" t="s">
        <v>709</v>
      </c>
      <c r="P32" s="119" t="s">
        <v>820</v>
      </c>
      <c r="Q32" s="146" t="s">
        <v>592</v>
      </c>
      <c r="R32" s="119"/>
      <c r="S32" s="119" t="s">
        <v>669</v>
      </c>
      <c r="T32" s="119">
        <v>14100000</v>
      </c>
      <c r="U32" s="119">
        <v>10514542</v>
      </c>
      <c r="V32" s="119">
        <v>0</v>
      </c>
      <c r="W32" s="119">
        <v>0</v>
      </c>
      <c r="X32" s="119" t="s">
        <v>821</v>
      </c>
      <c r="Y32" s="119" t="s">
        <v>822</v>
      </c>
      <c r="Z32" s="121"/>
    </row>
    <row r="33" spans="1:26" ht="12.75" customHeight="1" x14ac:dyDescent="0.25">
      <c r="A33"/>
      <c r="B33" s="126"/>
      <c r="C33" s="126"/>
      <c r="D33" s="126"/>
      <c r="E33" s="126"/>
      <c r="F33" s="127"/>
      <c r="G33" s="119" t="s">
        <v>499</v>
      </c>
      <c r="H33" s="119" t="s">
        <v>67</v>
      </c>
      <c r="I33" s="119" t="s">
        <v>672</v>
      </c>
      <c r="J33" s="119" t="s">
        <v>823</v>
      </c>
      <c r="K33" s="119" t="s">
        <v>674</v>
      </c>
      <c r="L33" s="119" t="s">
        <v>819</v>
      </c>
      <c r="M33" s="119" t="s">
        <v>665</v>
      </c>
      <c r="N33" s="119" t="s">
        <v>666</v>
      </c>
      <c r="O33" s="119" t="s">
        <v>709</v>
      </c>
      <c r="P33" s="119" t="s">
        <v>824</v>
      </c>
      <c r="Q33" s="146" t="s">
        <v>825</v>
      </c>
      <c r="R33" s="119"/>
      <c r="S33" s="119" t="s">
        <v>669</v>
      </c>
      <c r="T33" s="119">
        <v>0</v>
      </c>
      <c r="U33" s="119">
        <v>0</v>
      </c>
      <c r="V33" s="119">
        <v>0</v>
      </c>
      <c r="W33" s="119">
        <v>0</v>
      </c>
      <c r="X33" s="119" t="s">
        <v>826</v>
      </c>
      <c r="Y33" s="122" t="s">
        <v>827</v>
      </c>
      <c r="Z33" s="119"/>
    </row>
    <row r="34" spans="1:26" ht="12.75" customHeight="1" x14ac:dyDescent="0.25">
      <c r="A34"/>
      <c r="B34" s="126"/>
      <c r="C34" s="126"/>
      <c r="D34" s="126"/>
      <c r="E34" s="126"/>
      <c r="F34" s="127"/>
      <c r="G34" s="119" t="s">
        <v>499</v>
      </c>
      <c r="H34" s="119" t="s">
        <v>429</v>
      </c>
      <c r="I34" s="119" t="s">
        <v>682</v>
      </c>
      <c r="J34" s="119" t="s">
        <v>828</v>
      </c>
      <c r="K34" s="119" t="s">
        <v>663</v>
      </c>
      <c r="L34" s="119" t="s">
        <v>738</v>
      </c>
      <c r="M34" s="119" t="s">
        <v>665</v>
      </c>
      <c r="N34" s="119" t="s">
        <v>666</v>
      </c>
      <c r="O34" s="119" t="s">
        <v>695</v>
      </c>
      <c r="P34" s="119" t="s">
        <v>829</v>
      </c>
      <c r="Q34" s="146" t="s">
        <v>830</v>
      </c>
      <c r="R34" s="119"/>
      <c r="S34" s="119" t="s">
        <v>669</v>
      </c>
      <c r="T34" s="119">
        <v>0</v>
      </c>
      <c r="U34" s="119">
        <v>0</v>
      </c>
      <c r="V34" s="119">
        <v>0</v>
      </c>
      <c r="W34" s="119">
        <v>0</v>
      </c>
      <c r="X34" s="119" t="s">
        <v>831</v>
      </c>
      <c r="Y34" s="119" t="s">
        <v>832</v>
      </c>
      <c r="Z34" s="121"/>
    </row>
    <row r="35" spans="1:26" ht="12.75" customHeight="1" x14ac:dyDescent="0.25">
      <c r="A35"/>
      <c r="B35" s="126"/>
      <c r="C35" s="126"/>
      <c r="D35" s="126"/>
      <c r="E35" s="126"/>
      <c r="F35" s="127"/>
      <c r="G35" s="119" t="s">
        <v>499</v>
      </c>
      <c r="H35" s="119" t="s">
        <v>67</v>
      </c>
      <c r="I35" s="119" t="s">
        <v>661</v>
      </c>
      <c r="J35" s="119" t="s">
        <v>833</v>
      </c>
      <c r="K35" s="119" t="s">
        <v>663</v>
      </c>
      <c r="L35" s="119" t="s">
        <v>675</v>
      </c>
      <c r="M35" s="119" t="s">
        <v>665</v>
      </c>
      <c r="N35" s="119" t="s">
        <v>666</v>
      </c>
      <c r="O35" s="119" t="s">
        <v>709</v>
      </c>
      <c r="P35" s="119" t="s">
        <v>834</v>
      </c>
      <c r="Q35" s="144">
        <v>44505</v>
      </c>
      <c r="R35" s="119"/>
      <c r="S35" s="119" t="s">
        <v>669</v>
      </c>
      <c r="T35" s="119">
        <v>64800000</v>
      </c>
      <c r="U35" s="119">
        <v>48322148</v>
      </c>
      <c r="V35" s="119">
        <v>0</v>
      </c>
      <c r="W35" s="119">
        <v>0</v>
      </c>
      <c r="X35" s="119" t="s">
        <v>835</v>
      </c>
      <c r="Y35" s="119" t="s">
        <v>836</v>
      </c>
      <c r="Z35" s="121"/>
    </row>
    <row r="36" spans="1:26" ht="12.75" customHeight="1" x14ac:dyDescent="0.25">
      <c r="A36"/>
      <c r="B36" s="126"/>
      <c r="C36" s="126"/>
      <c r="D36" s="126"/>
      <c r="E36" s="126"/>
      <c r="F36" s="127"/>
      <c r="G36" s="119" t="s">
        <v>499</v>
      </c>
      <c r="H36" s="119" t="s">
        <v>67</v>
      </c>
      <c r="I36" s="119" t="s">
        <v>661</v>
      </c>
      <c r="J36" s="119" t="s">
        <v>837</v>
      </c>
      <c r="K36" s="119" t="s">
        <v>663</v>
      </c>
      <c r="L36" s="119" t="s">
        <v>675</v>
      </c>
      <c r="M36" s="119" t="s">
        <v>665</v>
      </c>
      <c r="N36" s="119" t="s">
        <v>666</v>
      </c>
      <c r="O36" s="119" t="s">
        <v>709</v>
      </c>
      <c r="P36" s="119" t="s">
        <v>838</v>
      </c>
      <c r="Q36" s="144">
        <v>44505</v>
      </c>
      <c r="R36" s="119"/>
      <c r="S36" s="119" t="s">
        <v>669</v>
      </c>
      <c r="T36" s="119">
        <v>186000000</v>
      </c>
      <c r="U36" s="119">
        <v>138702461</v>
      </c>
      <c r="V36" s="119">
        <v>0</v>
      </c>
      <c r="W36" s="119">
        <v>0</v>
      </c>
      <c r="X36" s="119" t="s">
        <v>839</v>
      </c>
      <c r="Y36" s="119" t="s">
        <v>840</v>
      </c>
      <c r="Z36" s="121"/>
    </row>
    <row r="37" spans="1:26" ht="12.75" customHeight="1" x14ac:dyDescent="0.25">
      <c r="A37"/>
      <c r="B37" s="126"/>
      <c r="C37" s="126"/>
      <c r="D37" s="126"/>
      <c r="E37" s="126"/>
      <c r="F37" s="127"/>
      <c r="G37" s="119" t="s">
        <v>499</v>
      </c>
      <c r="H37" s="119" t="s">
        <v>67</v>
      </c>
      <c r="I37" s="119" t="s">
        <v>661</v>
      </c>
      <c r="J37" s="119" t="s">
        <v>841</v>
      </c>
      <c r="K37" s="119" t="s">
        <v>663</v>
      </c>
      <c r="L37" s="119" t="s">
        <v>675</v>
      </c>
      <c r="M37" s="119" t="s">
        <v>665</v>
      </c>
      <c r="N37" s="119" t="s">
        <v>666</v>
      </c>
      <c r="O37" s="119" t="s">
        <v>709</v>
      </c>
      <c r="P37" s="119" t="s">
        <v>842</v>
      </c>
      <c r="Q37" s="144">
        <v>44505</v>
      </c>
      <c r="R37" s="119"/>
      <c r="S37" s="119" t="s">
        <v>669</v>
      </c>
      <c r="T37" s="119">
        <v>489600000</v>
      </c>
      <c r="U37" s="119">
        <v>365100672</v>
      </c>
      <c r="V37" s="119">
        <v>0</v>
      </c>
      <c r="W37" s="119">
        <v>0</v>
      </c>
      <c r="X37" s="122" t="s">
        <v>843</v>
      </c>
      <c r="Y37" s="119" t="s">
        <v>844</v>
      </c>
      <c r="Z37" s="121"/>
    </row>
    <row r="38" spans="1:26" ht="12.75" customHeight="1" x14ac:dyDescent="0.25">
      <c r="A38"/>
      <c r="B38" s="126"/>
      <c r="C38" s="126"/>
      <c r="D38" s="126"/>
      <c r="E38" s="126"/>
      <c r="F38" s="127"/>
      <c r="G38" s="119" t="s">
        <v>499</v>
      </c>
      <c r="H38" s="119" t="s">
        <v>67</v>
      </c>
      <c r="I38" s="119" t="s">
        <v>661</v>
      </c>
      <c r="J38" s="119" t="s">
        <v>845</v>
      </c>
      <c r="K38" s="119" t="s">
        <v>663</v>
      </c>
      <c r="L38" s="119" t="s">
        <v>664</v>
      </c>
      <c r="M38" s="119" t="s">
        <v>665</v>
      </c>
      <c r="N38" s="119" t="s">
        <v>846</v>
      </c>
      <c r="O38" s="119" t="s">
        <v>709</v>
      </c>
      <c r="P38" s="119" t="s">
        <v>847</v>
      </c>
      <c r="Q38" s="144">
        <v>44198</v>
      </c>
      <c r="R38" s="119"/>
      <c r="S38" s="119" t="s">
        <v>669</v>
      </c>
      <c r="T38" s="119">
        <v>375000000</v>
      </c>
      <c r="U38" s="119">
        <v>279642059</v>
      </c>
      <c r="V38" s="119">
        <v>0</v>
      </c>
      <c r="W38" s="119">
        <v>0</v>
      </c>
      <c r="X38" s="119" t="s">
        <v>848</v>
      </c>
      <c r="Y38" s="122" t="s">
        <v>849</v>
      </c>
      <c r="Z38" s="119"/>
    </row>
    <row r="39" spans="1:26" ht="12.75" customHeight="1" x14ac:dyDescent="0.25">
      <c r="A39"/>
      <c r="B39" s="126"/>
      <c r="C39" s="126"/>
      <c r="D39" s="126"/>
      <c r="E39" s="126"/>
      <c r="F39" s="127"/>
      <c r="G39" s="119" t="s">
        <v>499</v>
      </c>
      <c r="H39" s="119" t="s">
        <v>429</v>
      </c>
      <c r="I39" s="119" t="s">
        <v>682</v>
      </c>
      <c r="J39" s="119" t="s">
        <v>850</v>
      </c>
      <c r="K39" s="119" t="s">
        <v>663</v>
      </c>
      <c r="L39" s="119" t="s">
        <v>738</v>
      </c>
      <c r="M39" s="119" t="s">
        <v>665</v>
      </c>
      <c r="N39" s="119" t="s">
        <v>666</v>
      </c>
      <c r="O39" s="119" t="s">
        <v>695</v>
      </c>
      <c r="P39" s="119" t="s">
        <v>851</v>
      </c>
      <c r="Q39" s="144">
        <v>44200</v>
      </c>
      <c r="R39" s="119"/>
      <c r="S39" s="119" t="s">
        <v>669</v>
      </c>
      <c r="T39" s="119">
        <v>0</v>
      </c>
      <c r="U39" s="119">
        <v>0</v>
      </c>
      <c r="V39" s="119">
        <v>0</v>
      </c>
      <c r="W39" s="119">
        <v>0</v>
      </c>
      <c r="X39" s="119" t="s">
        <v>852</v>
      </c>
      <c r="Y39" s="119" t="s">
        <v>853</v>
      </c>
      <c r="Z39" s="121"/>
    </row>
    <row r="40" spans="1:26" ht="12.75" customHeight="1" x14ac:dyDescent="0.25">
      <c r="A40"/>
      <c r="B40" s="126"/>
      <c r="C40" s="126"/>
      <c r="D40" s="126"/>
      <c r="E40" s="126"/>
      <c r="F40" s="127"/>
      <c r="G40" s="119" t="s">
        <v>499</v>
      </c>
      <c r="H40" s="119" t="s">
        <v>67</v>
      </c>
      <c r="I40" s="119" t="s">
        <v>693</v>
      </c>
      <c r="J40" s="119" t="s">
        <v>854</v>
      </c>
      <c r="K40" s="119" t="s">
        <v>663</v>
      </c>
      <c r="L40" s="119" t="s">
        <v>855</v>
      </c>
      <c r="M40" s="119" t="s">
        <v>665</v>
      </c>
      <c r="N40" s="119" t="s">
        <v>666</v>
      </c>
      <c r="O40" s="119" t="s">
        <v>709</v>
      </c>
      <c r="P40" s="119" t="s">
        <v>856</v>
      </c>
      <c r="Q40" s="146" t="s">
        <v>596</v>
      </c>
      <c r="R40" s="119"/>
      <c r="S40" s="119" t="s">
        <v>669</v>
      </c>
      <c r="T40" s="119">
        <v>206000000</v>
      </c>
      <c r="U40" s="119">
        <v>153616704</v>
      </c>
      <c r="V40" s="119">
        <v>0</v>
      </c>
      <c r="W40" s="119">
        <v>0</v>
      </c>
      <c r="X40" s="122" t="s">
        <v>857</v>
      </c>
      <c r="Y40" s="122" t="s">
        <v>858</v>
      </c>
      <c r="Z40" s="119"/>
    </row>
    <row r="41" spans="1:26" ht="12.75" customHeight="1" x14ac:dyDescent="0.25">
      <c r="A41"/>
      <c r="B41" s="126"/>
      <c r="C41" s="126"/>
      <c r="D41" s="126"/>
      <c r="E41" s="126"/>
      <c r="F41" s="127"/>
      <c r="G41" s="119" t="s">
        <v>499</v>
      </c>
      <c r="H41" s="119" t="s">
        <v>461</v>
      </c>
      <c r="I41" s="119" t="s">
        <v>661</v>
      </c>
      <c r="J41" s="119" t="s">
        <v>859</v>
      </c>
      <c r="K41" s="119" t="s">
        <v>663</v>
      </c>
      <c r="L41" s="119" t="s">
        <v>675</v>
      </c>
      <c r="M41" s="119" t="s">
        <v>665</v>
      </c>
      <c r="N41" s="119" t="s">
        <v>666</v>
      </c>
      <c r="O41" s="119" t="s">
        <v>716</v>
      </c>
      <c r="P41" s="119" t="s">
        <v>860</v>
      </c>
      <c r="Q41" s="146" t="s">
        <v>861</v>
      </c>
      <c r="R41" s="119"/>
      <c r="S41" s="119" t="s">
        <v>669</v>
      </c>
      <c r="T41" s="119">
        <v>191392000</v>
      </c>
      <c r="U41" s="119">
        <v>142723341</v>
      </c>
      <c r="V41" s="119">
        <v>0</v>
      </c>
      <c r="W41" s="119">
        <v>0</v>
      </c>
      <c r="X41" s="119" t="s">
        <v>862</v>
      </c>
      <c r="Y41" s="122" t="s">
        <v>863</v>
      </c>
      <c r="Z41" s="119"/>
    </row>
    <row r="42" spans="1:26" ht="12.75" customHeight="1" x14ac:dyDescent="0.25">
      <c r="A42"/>
      <c r="B42" s="126"/>
      <c r="C42" s="126"/>
      <c r="D42" s="126"/>
      <c r="E42" s="126"/>
      <c r="F42" s="127"/>
      <c r="G42" s="119" t="s">
        <v>499</v>
      </c>
      <c r="H42" s="119" t="s">
        <v>67</v>
      </c>
      <c r="I42" s="119" t="s">
        <v>661</v>
      </c>
      <c r="J42" s="119" t="s">
        <v>864</v>
      </c>
      <c r="K42" s="119" t="s">
        <v>663</v>
      </c>
      <c r="L42" s="119" t="s">
        <v>664</v>
      </c>
      <c r="M42" s="119" t="s">
        <v>665</v>
      </c>
      <c r="N42" s="119" t="s">
        <v>666</v>
      </c>
      <c r="O42" s="119" t="s">
        <v>709</v>
      </c>
      <c r="P42" s="119" t="s">
        <v>847</v>
      </c>
      <c r="Q42" s="146" t="s">
        <v>865</v>
      </c>
      <c r="R42" s="119"/>
      <c r="S42" s="119" t="s">
        <v>669</v>
      </c>
      <c r="T42" s="119">
        <v>700000000</v>
      </c>
      <c r="U42" s="119">
        <v>521998509</v>
      </c>
      <c r="V42" s="119">
        <v>0</v>
      </c>
      <c r="W42" s="119">
        <v>0</v>
      </c>
      <c r="X42" s="119" t="s">
        <v>866</v>
      </c>
      <c r="Y42" s="119" t="s">
        <v>867</v>
      </c>
      <c r="Z42" s="121"/>
    </row>
    <row r="43" spans="1:26" ht="12.75" customHeight="1" x14ac:dyDescent="0.25">
      <c r="A43"/>
      <c r="B43" s="126"/>
      <c r="C43" s="126"/>
      <c r="D43" s="126"/>
      <c r="E43" s="126"/>
      <c r="F43" s="127"/>
      <c r="G43" s="119" t="s">
        <v>499</v>
      </c>
      <c r="H43" s="119" t="s">
        <v>470</v>
      </c>
      <c r="I43" s="119" t="s">
        <v>693</v>
      </c>
      <c r="J43" s="119" t="s">
        <v>868</v>
      </c>
      <c r="K43" s="119" t="s">
        <v>663</v>
      </c>
      <c r="L43" s="119" t="s">
        <v>664</v>
      </c>
      <c r="M43" s="119" t="s">
        <v>665</v>
      </c>
      <c r="N43" s="119" t="s">
        <v>666</v>
      </c>
      <c r="O43" s="119" t="s">
        <v>869</v>
      </c>
      <c r="P43" s="119" t="s">
        <v>870</v>
      </c>
      <c r="Q43" s="146" t="s">
        <v>865</v>
      </c>
      <c r="R43" s="119"/>
      <c r="S43" s="119" t="s">
        <v>669</v>
      </c>
      <c r="T43" s="119">
        <v>1500000</v>
      </c>
      <c r="U43" s="119">
        <v>1118569</v>
      </c>
      <c r="V43" s="119">
        <v>0</v>
      </c>
      <c r="W43" s="119">
        <v>0</v>
      </c>
      <c r="X43" s="122" t="s">
        <v>871</v>
      </c>
      <c r="Y43" s="119" t="s">
        <v>872</v>
      </c>
      <c r="Z43" s="121"/>
    </row>
    <row r="44" spans="1:26" ht="12.75" customHeight="1" x14ac:dyDescent="0.25">
      <c r="A44"/>
      <c r="B44" s="126"/>
      <c r="C44" s="126"/>
      <c r="D44" s="126"/>
      <c r="E44" s="126"/>
      <c r="F44" s="127"/>
      <c r="G44" s="119" t="s">
        <v>499</v>
      </c>
      <c r="H44" s="119" t="s">
        <v>470</v>
      </c>
      <c r="I44" s="119" t="s">
        <v>693</v>
      </c>
      <c r="J44" s="119" t="s">
        <v>873</v>
      </c>
      <c r="K44" s="119" t="s">
        <v>663</v>
      </c>
      <c r="L44" s="119" t="s">
        <v>738</v>
      </c>
      <c r="M44" s="119" t="s">
        <v>665</v>
      </c>
      <c r="N44" s="119" t="s">
        <v>666</v>
      </c>
      <c r="O44" s="119" t="s">
        <v>869</v>
      </c>
      <c r="P44" s="119" t="s">
        <v>874</v>
      </c>
      <c r="Q44" s="146" t="s">
        <v>875</v>
      </c>
      <c r="R44" s="119"/>
      <c r="S44" s="119" t="s">
        <v>669</v>
      </c>
      <c r="T44" s="119">
        <v>0</v>
      </c>
      <c r="U44" s="119">
        <v>0</v>
      </c>
      <c r="V44" s="119">
        <v>0</v>
      </c>
      <c r="W44" s="119">
        <v>0</v>
      </c>
      <c r="X44" s="119" t="s">
        <v>876</v>
      </c>
      <c r="Y44" s="119" t="s">
        <v>877</v>
      </c>
      <c r="Z44" s="121"/>
    </row>
    <row r="45" spans="1:26" ht="12.75" customHeight="1" x14ac:dyDescent="0.25">
      <c r="A45"/>
      <c r="B45" s="126"/>
      <c r="C45" s="126"/>
      <c r="D45" s="126"/>
      <c r="E45" s="126"/>
      <c r="F45" s="127"/>
      <c r="G45" s="119" t="s">
        <v>499</v>
      </c>
      <c r="H45" s="119" t="s">
        <v>429</v>
      </c>
      <c r="I45" s="119" t="s">
        <v>682</v>
      </c>
      <c r="J45" s="119" t="s">
        <v>878</v>
      </c>
      <c r="K45" s="119" t="s">
        <v>663</v>
      </c>
      <c r="L45" s="119" t="s">
        <v>738</v>
      </c>
      <c r="M45" s="119" t="s">
        <v>665</v>
      </c>
      <c r="N45" s="119" t="s">
        <v>666</v>
      </c>
      <c r="O45" s="119" t="s">
        <v>695</v>
      </c>
      <c r="P45" s="119" t="s">
        <v>879</v>
      </c>
      <c r="Q45" s="146" t="s">
        <v>880</v>
      </c>
      <c r="R45" s="119"/>
      <c r="S45" s="119" t="s">
        <v>669</v>
      </c>
      <c r="T45" s="119">
        <v>473000000</v>
      </c>
      <c r="U45" s="119">
        <v>352721850</v>
      </c>
      <c r="V45" s="119">
        <v>0</v>
      </c>
      <c r="W45" s="119">
        <v>0</v>
      </c>
      <c r="X45" s="119" t="s">
        <v>881</v>
      </c>
      <c r="Y45" s="119" t="s">
        <v>882</v>
      </c>
      <c r="Z45" s="121"/>
    </row>
    <row r="46" spans="1:26" ht="12.75" customHeight="1" x14ac:dyDescent="0.25">
      <c r="A46"/>
      <c r="B46" s="126"/>
      <c r="C46" s="126"/>
      <c r="D46" s="126"/>
      <c r="E46" s="126"/>
      <c r="F46" s="127"/>
      <c r="G46" s="119" t="s">
        <v>499</v>
      </c>
      <c r="H46" s="119" t="s">
        <v>429</v>
      </c>
      <c r="I46" s="119" t="s">
        <v>693</v>
      </c>
      <c r="J46" s="119" t="s">
        <v>883</v>
      </c>
      <c r="K46" s="119" t="s">
        <v>663</v>
      </c>
      <c r="L46" s="119" t="s">
        <v>855</v>
      </c>
      <c r="M46" s="119" t="s">
        <v>665</v>
      </c>
      <c r="N46" s="119" t="s">
        <v>666</v>
      </c>
      <c r="O46" s="119" t="s">
        <v>695</v>
      </c>
      <c r="P46" s="119" t="s">
        <v>884</v>
      </c>
      <c r="Q46" s="146" t="s">
        <v>880</v>
      </c>
      <c r="R46" s="119"/>
      <c r="S46" s="119" t="s">
        <v>669</v>
      </c>
      <c r="T46" s="119">
        <v>968000000</v>
      </c>
      <c r="U46" s="119">
        <v>721849367</v>
      </c>
      <c r="V46" s="119">
        <v>0</v>
      </c>
      <c r="W46" s="119">
        <v>0</v>
      </c>
      <c r="X46" s="119" t="s">
        <v>885</v>
      </c>
      <c r="Y46" s="119" t="s">
        <v>882</v>
      </c>
      <c r="Z46" s="121"/>
    </row>
    <row r="47" spans="1:26" ht="12.75" customHeight="1" x14ac:dyDescent="0.25">
      <c r="A47"/>
      <c r="B47" s="126"/>
      <c r="C47" s="126"/>
      <c r="D47" s="126"/>
      <c r="E47" s="126"/>
      <c r="F47" s="127"/>
      <c r="G47" s="119" t="s">
        <v>499</v>
      </c>
      <c r="H47" s="119" t="s">
        <v>429</v>
      </c>
      <c r="I47" s="119" t="s">
        <v>672</v>
      </c>
      <c r="J47" s="119" t="s">
        <v>886</v>
      </c>
      <c r="K47" s="119" t="s">
        <v>663</v>
      </c>
      <c r="L47" s="119" t="s">
        <v>738</v>
      </c>
      <c r="M47" s="119" t="s">
        <v>665</v>
      </c>
      <c r="N47" s="119" t="s">
        <v>666</v>
      </c>
      <c r="O47" s="119" t="s">
        <v>695</v>
      </c>
      <c r="P47" s="119" t="s">
        <v>879</v>
      </c>
      <c r="Q47" s="146" t="s">
        <v>880</v>
      </c>
      <c r="R47" s="119"/>
      <c r="S47" s="119" t="s">
        <v>669</v>
      </c>
      <c r="T47" s="119">
        <v>26000000</v>
      </c>
      <c r="U47" s="119">
        <v>19388517</v>
      </c>
      <c r="V47" s="119">
        <v>0</v>
      </c>
      <c r="W47" s="119">
        <v>0</v>
      </c>
      <c r="X47" s="119" t="s">
        <v>887</v>
      </c>
      <c r="Y47" s="119" t="s">
        <v>882</v>
      </c>
      <c r="Z47" s="121"/>
    </row>
    <row r="48" spans="1:26" ht="12.75" customHeight="1" x14ac:dyDescent="0.25">
      <c r="A48"/>
      <c r="B48" s="126"/>
      <c r="C48" s="126"/>
      <c r="D48" s="126"/>
      <c r="E48" s="126"/>
      <c r="F48" s="127"/>
      <c r="G48" s="119" t="s">
        <v>499</v>
      </c>
      <c r="H48" s="119" t="s">
        <v>429</v>
      </c>
      <c r="I48" s="119" t="s">
        <v>672</v>
      </c>
      <c r="J48" s="119" t="s">
        <v>888</v>
      </c>
      <c r="K48" s="119" t="s">
        <v>749</v>
      </c>
      <c r="L48" s="119" t="s">
        <v>738</v>
      </c>
      <c r="M48" s="119" t="s">
        <v>691</v>
      </c>
      <c r="N48" s="119" t="s">
        <v>666</v>
      </c>
      <c r="O48" s="119" t="s">
        <v>695</v>
      </c>
      <c r="P48" s="119" t="s">
        <v>889</v>
      </c>
      <c r="Q48" s="146" t="s">
        <v>880</v>
      </c>
      <c r="R48" s="119"/>
      <c r="S48" s="119" t="s">
        <v>669</v>
      </c>
      <c r="T48" s="119">
        <v>57000000</v>
      </c>
      <c r="U48" s="119">
        <v>42505593</v>
      </c>
      <c r="V48" s="119">
        <v>0</v>
      </c>
      <c r="W48" s="119">
        <v>0</v>
      </c>
      <c r="X48" s="119" t="s">
        <v>890</v>
      </c>
      <c r="Y48" s="119" t="s">
        <v>882</v>
      </c>
      <c r="Z48" s="121"/>
    </row>
    <row r="49" spans="1:31" ht="12.75" customHeight="1" x14ac:dyDescent="0.25">
      <c r="A49"/>
      <c r="B49" s="128"/>
      <c r="C49" s="128"/>
      <c r="D49" s="128"/>
      <c r="E49" s="128"/>
      <c r="F49" s="127"/>
      <c r="G49" s="119" t="s">
        <v>499</v>
      </c>
      <c r="H49" s="119" t="s">
        <v>429</v>
      </c>
      <c r="I49" s="119" t="s">
        <v>790</v>
      </c>
      <c r="J49" s="119" t="s">
        <v>891</v>
      </c>
      <c r="K49" s="119" t="s">
        <v>749</v>
      </c>
      <c r="L49" s="119" t="s">
        <v>738</v>
      </c>
      <c r="M49" s="119" t="s">
        <v>691</v>
      </c>
      <c r="N49" s="119" t="s">
        <v>666</v>
      </c>
      <c r="O49" s="119" t="s">
        <v>695</v>
      </c>
      <c r="P49" s="119" t="s">
        <v>892</v>
      </c>
      <c r="Q49" s="146" t="s">
        <v>880</v>
      </c>
      <c r="R49" s="119"/>
      <c r="S49" s="119" t="s">
        <v>669</v>
      </c>
      <c r="T49" s="119">
        <v>276000000</v>
      </c>
      <c r="U49" s="119">
        <v>205816555</v>
      </c>
      <c r="V49" s="119">
        <v>0</v>
      </c>
      <c r="W49" s="119">
        <v>0</v>
      </c>
      <c r="X49" s="119" t="s">
        <v>893</v>
      </c>
      <c r="Y49" s="119" t="s">
        <v>882</v>
      </c>
      <c r="Z49" s="121"/>
    </row>
    <row r="50" spans="1:31" ht="12.75" customHeight="1" x14ac:dyDescent="0.25">
      <c r="A50" s="131" t="s">
        <v>67</v>
      </c>
      <c r="B50" s="131" t="s">
        <v>767</v>
      </c>
      <c r="C50" s="131">
        <v>5</v>
      </c>
      <c r="D50" s="131">
        <v>2020</v>
      </c>
      <c r="E50" s="131">
        <v>2025</v>
      </c>
      <c r="G50" s="132" t="s">
        <v>499</v>
      </c>
      <c r="H50" s="132" t="s">
        <v>67</v>
      </c>
      <c r="I50" s="132" t="s">
        <v>672</v>
      </c>
      <c r="J50" s="132" t="s">
        <v>894</v>
      </c>
      <c r="K50" s="132" t="s">
        <v>584</v>
      </c>
      <c r="L50" s="132" t="s">
        <v>690</v>
      </c>
      <c r="M50" s="132" t="s">
        <v>691</v>
      </c>
      <c r="N50" s="132" t="s">
        <v>666</v>
      </c>
      <c r="O50" s="132" t="s">
        <v>709</v>
      </c>
      <c r="P50" s="132" t="s">
        <v>895</v>
      </c>
      <c r="Q50" s="147">
        <v>44147</v>
      </c>
      <c r="R50" s="132"/>
      <c r="S50" s="132" t="s">
        <v>669</v>
      </c>
      <c r="T50" s="132">
        <v>300000000</v>
      </c>
      <c r="U50" s="132">
        <v>223713647</v>
      </c>
      <c r="V50" s="132">
        <v>0</v>
      </c>
      <c r="W50" s="132">
        <v>0</v>
      </c>
      <c r="X50" s="132" t="s">
        <v>896</v>
      </c>
      <c r="Y50" s="132" t="s">
        <v>779</v>
      </c>
      <c r="Z50" s="133"/>
      <c r="AA50" s="125"/>
      <c r="AB50" s="125"/>
      <c r="AC50" s="125"/>
      <c r="AD50" s="125"/>
      <c r="AE50" s="125"/>
    </row>
    <row r="51" spans="1:31" s="140" customFormat="1" ht="12.75" customHeight="1" x14ac:dyDescent="0.25">
      <c r="A51" s="142"/>
      <c r="B51" s="131"/>
      <c r="C51" s="131"/>
      <c r="D51" s="131"/>
      <c r="E51" s="131"/>
      <c r="F51" s="142" t="s">
        <v>897</v>
      </c>
      <c r="G51" s="137" t="s">
        <v>499</v>
      </c>
      <c r="H51" s="137" t="s">
        <v>67</v>
      </c>
      <c r="I51" s="137" t="s">
        <v>672</v>
      </c>
      <c r="J51" s="137" t="s">
        <v>898</v>
      </c>
      <c r="K51" s="137" t="s">
        <v>798</v>
      </c>
      <c r="L51" s="137" t="s">
        <v>819</v>
      </c>
      <c r="M51" s="137" t="s">
        <v>819</v>
      </c>
      <c r="N51" s="137" t="s">
        <v>666</v>
      </c>
      <c r="O51" s="138"/>
      <c r="P51" s="137" t="s">
        <v>899</v>
      </c>
      <c r="Q51" s="148" t="s">
        <v>900</v>
      </c>
      <c r="R51" s="137" t="s">
        <v>900</v>
      </c>
      <c r="S51" s="137" t="s">
        <v>669</v>
      </c>
      <c r="T51" s="137">
        <v>300000000</v>
      </c>
      <c r="U51" s="137">
        <v>223713647</v>
      </c>
      <c r="V51" s="137">
        <v>0</v>
      </c>
      <c r="W51" s="137">
        <v>0</v>
      </c>
      <c r="X51" s="137" t="s">
        <v>901</v>
      </c>
      <c r="Y51" s="139" t="s">
        <v>902</v>
      </c>
      <c r="Z51" s="138"/>
    </row>
    <row r="52" spans="1:31" ht="12.75" customHeight="1" x14ac:dyDescent="0.25">
      <c r="A52"/>
      <c r="B52" s="129"/>
      <c r="C52" s="129"/>
      <c r="D52" s="129"/>
      <c r="E52" s="129"/>
      <c r="F52" s="127"/>
      <c r="G52" s="119" t="s">
        <v>499</v>
      </c>
      <c r="H52" s="119" t="s">
        <v>67</v>
      </c>
      <c r="I52" s="119" t="s">
        <v>682</v>
      </c>
      <c r="J52" s="119" t="s">
        <v>903</v>
      </c>
      <c r="K52" s="119" t="s">
        <v>663</v>
      </c>
      <c r="L52" s="119" t="s">
        <v>738</v>
      </c>
      <c r="M52" s="119" t="s">
        <v>665</v>
      </c>
      <c r="N52" s="119" t="s">
        <v>666</v>
      </c>
      <c r="O52" s="119" t="s">
        <v>695</v>
      </c>
      <c r="P52" s="119" t="s">
        <v>904</v>
      </c>
      <c r="Q52" s="146" t="s">
        <v>880</v>
      </c>
      <c r="R52" s="119"/>
      <c r="S52" s="119" t="s">
        <v>669</v>
      </c>
      <c r="T52" s="119">
        <v>94000000</v>
      </c>
      <c r="U52" s="119">
        <v>70096943</v>
      </c>
      <c r="V52" s="119">
        <v>0</v>
      </c>
      <c r="W52" s="119">
        <v>0</v>
      </c>
      <c r="X52" s="119" t="s">
        <v>905</v>
      </c>
      <c r="Y52" s="119" t="s">
        <v>882</v>
      </c>
      <c r="Z52" s="121"/>
    </row>
    <row r="53" spans="1:31" ht="12.75" customHeight="1" x14ac:dyDescent="0.25">
      <c r="A53"/>
      <c r="B53" s="126"/>
      <c r="C53" s="126"/>
      <c r="D53" s="126"/>
      <c r="E53" s="126"/>
      <c r="F53" s="127"/>
      <c r="G53" s="119" t="s">
        <v>499</v>
      </c>
      <c r="H53" s="119" t="s">
        <v>67</v>
      </c>
      <c r="I53" s="119" t="s">
        <v>661</v>
      </c>
      <c r="J53" s="119" t="s">
        <v>906</v>
      </c>
      <c r="K53" s="119" t="s">
        <v>663</v>
      </c>
      <c r="L53" s="119" t="s">
        <v>664</v>
      </c>
      <c r="M53" s="119" t="s">
        <v>665</v>
      </c>
      <c r="N53" s="119" t="s">
        <v>666</v>
      </c>
      <c r="O53" s="119" t="s">
        <v>709</v>
      </c>
      <c r="P53" s="119" t="s">
        <v>847</v>
      </c>
      <c r="Q53" s="144">
        <v>44534</v>
      </c>
      <c r="R53" s="119"/>
      <c r="S53" s="119" t="s">
        <v>669</v>
      </c>
      <c r="T53" s="119">
        <v>5900000000</v>
      </c>
      <c r="U53" s="119">
        <v>4399701716</v>
      </c>
      <c r="V53" s="119">
        <v>0</v>
      </c>
      <c r="W53" s="119">
        <v>0</v>
      </c>
      <c r="X53" s="119" t="s">
        <v>907</v>
      </c>
      <c r="Y53" s="119" t="s">
        <v>908</v>
      </c>
      <c r="Z53" s="121"/>
    </row>
    <row r="54" spans="1:31" ht="12.75" customHeight="1" x14ac:dyDescent="0.25">
      <c r="A54"/>
      <c r="B54" s="128"/>
      <c r="C54" s="128"/>
      <c r="D54" s="128"/>
      <c r="E54" s="128"/>
      <c r="F54" s="127"/>
      <c r="G54" s="119" t="s">
        <v>499</v>
      </c>
      <c r="H54" s="119" t="s">
        <v>67</v>
      </c>
      <c r="I54" s="119" t="s">
        <v>693</v>
      </c>
      <c r="J54" s="119" t="s">
        <v>909</v>
      </c>
      <c r="K54" s="119" t="s">
        <v>663</v>
      </c>
      <c r="L54" s="119" t="s">
        <v>855</v>
      </c>
      <c r="M54" s="119" t="s">
        <v>665</v>
      </c>
      <c r="N54" s="119" t="s">
        <v>666</v>
      </c>
      <c r="O54" s="119" t="s">
        <v>709</v>
      </c>
      <c r="P54" s="119" t="s">
        <v>910</v>
      </c>
      <c r="Q54" s="146" t="s">
        <v>596</v>
      </c>
      <c r="R54" s="119"/>
      <c r="S54" s="119" t="s">
        <v>669</v>
      </c>
      <c r="T54" s="119">
        <v>2000000000</v>
      </c>
      <c r="U54" s="119">
        <v>1491424311</v>
      </c>
      <c r="V54" s="119">
        <v>0</v>
      </c>
      <c r="W54" s="119">
        <v>0</v>
      </c>
      <c r="X54" s="119" t="s">
        <v>911</v>
      </c>
      <c r="Y54" s="119" t="s">
        <v>912</v>
      </c>
      <c r="Z54" s="121"/>
    </row>
    <row r="55" spans="1:31" ht="12.75" customHeight="1" x14ac:dyDescent="0.25">
      <c r="A55" s="131" t="s">
        <v>913</v>
      </c>
      <c r="B55" s="131" t="s">
        <v>914</v>
      </c>
      <c r="C55" s="131">
        <v>1</v>
      </c>
      <c r="D55" s="131">
        <v>2020</v>
      </c>
      <c r="E55" s="131">
        <v>2021</v>
      </c>
      <c r="F55" s="97" t="s">
        <v>915</v>
      </c>
      <c r="G55" s="132" t="s">
        <v>499</v>
      </c>
      <c r="H55" s="132" t="s">
        <v>470</v>
      </c>
      <c r="I55" s="132" t="s">
        <v>790</v>
      </c>
      <c r="J55" s="132" t="s">
        <v>309</v>
      </c>
      <c r="K55" s="132" t="s">
        <v>584</v>
      </c>
      <c r="L55" s="132" t="s">
        <v>738</v>
      </c>
      <c r="M55" s="132" t="s">
        <v>665</v>
      </c>
      <c r="N55" s="132" t="s">
        <v>666</v>
      </c>
      <c r="O55" s="132" t="s">
        <v>869</v>
      </c>
      <c r="P55" s="132" t="s">
        <v>916</v>
      </c>
      <c r="Q55" s="147">
        <v>43842</v>
      </c>
      <c r="R55" s="132"/>
      <c r="S55" s="132" t="s">
        <v>669</v>
      </c>
      <c r="T55" s="132">
        <v>262000000</v>
      </c>
      <c r="U55" s="132">
        <v>195376585</v>
      </c>
      <c r="V55" s="132">
        <v>0</v>
      </c>
      <c r="W55" s="132">
        <v>0</v>
      </c>
      <c r="X55" s="134" t="s">
        <v>917</v>
      </c>
      <c r="Y55" s="132" t="s">
        <v>918</v>
      </c>
      <c r="Z55" s="133"/>
      <c r="AA55" s="125"/>
      <c r="AB55" s="125"/>
      <c r="AC55" s="125"/>
      <c r="AD55" s="125"/>
      <c r="AE55" s="125"/>
    </row>
    <row r="56" spans="1:31" ht="12.75" customHeight="1" x14ac:dyDescent="0.25">
      <c r="A56" s="131" t="s">
        <v>919</v>
      </c>
      <c r="B56" s="131" t="s">
        <v>556</v>
      </c>
      <c r="C56" s="131">
        <v>5</v>
      </c>
      <c r="D56" s="131">
        <v>2021</v>
      </c>
      <c r="E56" s="131">
        <v>2026</v>
      </c>
      <c r="G56" s="132" t="s">
        <v>499</v>
      </c>
      <c r="H56" s="132" t="s">
        <v>429</v>
      </c>
      <c r="I56" s="132" t="s">
        <v>682</v>
      </c>
      <c r="J56" s="132" t="s">
        <v>920</v>
      </c>
      <c r="K56" s="132" t="s">
        <v>584</v>
      </c>
      <c r="L56" s="132" t="s">
        <v>556</v>
      </c>
      <c r="M56" s="132" t="s">
        <v>665</v>
      </c>
      <c r="N56" s="132" t="s">
        <v>666</v>
      </c>
      <c r="O56" s="132" t="s">
        <v>695</v>
      </c>
      <c r="P56" s="132" t="s">
        <v>921</v>
      </c>
      <c r="Q56" s="143" t="s">
        <v>586</v>
      </c>
      <c r="R56" s="132"/>
      <c r="S56" s="132" t="s">
        <v>669</v>
      </c>
      <c r="T56" s="132">
        <v>260000000</v>
      </c>
      <c r="U56" s="132">
        <v>193885161</v>
      </c>
      <c r="V56" s="132">
        <v>0</v>
      </c>
      <c r="W56" s="132">
        <v>0</v>
      </c>
      <c r="X56" s="132" t="s">
        <v>922</v>
      </c>
      <c r="Y56" s="132" t="s">
        <v>923</v>
      </c>
      <c r="Z56" s="133"/>
      <c r="AA56" s="125"/>
      <c r="AB56" s="125"/>
      <c r="AC56" s="125"/>
      <c r="AD56" s="125"/>
      <c r="AE56" s="125"/>
    </row>
    <row r="57" spans="1:31" ht="12.75" customHeight="1" x14ac:dyDescent="0.25">
      <c r="A57"/>
      <c r="B57" s="129"/>
      <c r="C57" s="129"/>
      <c r="D57" s="129"/>
      <c r="E57" s="129"/>
      <c r="F57" s="127"/>
      <c r="G57" s="119" t="s">
        <v>499</v>
      </c>
      <c r="H57" s="119" t="s">
        <v>67</v>
      </c>
      <c r="I57" s="119" t="s">
        <v>682</v>
      </c>
      <c r="J57" s="119" t="s">
        <v>924</v>
      </c>
      <c r="K57" s="119" t="s">
        <v>749</v>
      </c>
      <c r="L57" s="119" t="s">
        <v>738</v>
      </c>
      <c r="M57" s="119" t="s">
        <v>691</v>
      </c>
      <c r="N57" s="119" t="s">
        <v>666</v>
      </c>
      <c r="O57" s="119" t="s">
        <v>709</v>
      </c>
      <c r="P57" s="119" t="s">
        <v>925</v>
      </c>
      <c r="Q57" s="146" t="s">
        <v>596</v>
      </c>
      <c r="R57" s="119"/>
      <c r="S57" s="119" t="s">
        <v>669</v>
      </c>
      <c r="T57" s="119">
        <v>187000000</v>
      </c>
      <c r="U57" s="119">
        <v>139448174</v>
      </c>
      <c r="V57" s="119">
        <v>0</v>
      </c>
      <c r="W57" s="119">
        <v>0</v>
      </c>
      <c r="X57" s="123" t="s">
        <v>926</v>
      </c>
      <c r="Y57" s="119" t="s">
        <v>927</v>
      </c>
      <c r="Z57" s="121"/>
    </row>
    <row r="58" spans="1:31" ht="12.75" customHeight="1" x14ac:dyDescent="0.25">
      <c r="A58"/>
      <c r="B58" s="126"/>
      <c r="C58" s="126"/>
      <c r="D58" s="126"/>
      <c r="E58" s="126"/>
      <c r="F58" s="127"/>
      <c r="G58" s="119" t="s">
        <v>499</v>
      </c>
      <c r="H58" s="119" t="s">
        <v>67</v>
      </c>
      <c r="I58" s="119" t="s">
        <v>790</v>
      </c>
      <c r="J58" s="119" t="s">
        <v>928</v>
      </c>
      <c r="K58" s="119" t="s">
        <v>749</v>
      </c>
      <c r="L58" s="119" t="s">
        <v>738</v>
      </c>
      <c r="M58" s="119" t="s">
        <v>691</v>
      </c>
      <c r="N58" s="119" t="s">
        <v>666</v>
      </c>
      <c r="O58" s="119" t="s">
        <v>709</v>
      </c>
      <c r="P58" s="119" t="s">
        <v>925</v>
      </c>
      <c r="Q58" s="146" t="s">
        <v>596</v>
      </c>
      <c r="R58" s="119"/>
      <c r="S58" s="119" t="s">
        <v>669</v>
      </c>
      <c r="T58" s="119">
        <v>1056300000</v>
      </c>
      <c r="U58" s="119">
        <v>787695750</v>
      </c>
      <c r="V58" s="119">
        <v>0</v>
      </c>
      <c r="W58" s="119">
        <v>0</v>
      </c>
      <c r="X58" s="122" t="s">
        <v>929</v>
      </c>
      <c r="Y58" s="119" t="s">
        <v>927</v>
      </c>
      <c r="Z58" s="121"/>
    </row>
    <row r="59" spans="1:31" ht="12.75" customHeight="1" x14ac:dyDescent="0.25">
      <c r="A59"/>
      <c r="B59" s="128"/>
      <c r="C59" s="128"/>
      <c r="D59" s="128"/>
      <c r="E59" s="128"/>
      <c r="F59" s="127"/>
      <c r="G59" s="119" t="s">
        <v>499</v>
      </c>
      <c r="H59" s="119" t="s">
        <v>67</v>
      </c>
      <c r="I59" s="119" t="s">
        <v>682</v>
      </c>
      <c r="J59" s="119" t="s">
        <v>930</v>
      </c>
      <c r="K59" s="119" t="s">
        <v>674</v>
      </c>
      <c r="L59" s="119" t="s">
        <v>690</v>
      </c>
      <c r="M59" s="119" t="s">
        <v>676</v>
      </c>
      <c r="N59" s="119" t="s">
        <v>666</v>
      </c>
      <c r="O59" s="119" t="s">
        <v>709</v>
      </c>
      <c r="P59" s="119" t="s">
        <v>931</v>
      </c>
      <c r="Q59" s="146" t="s">
        <v>596</v>
      </c>
      <c r="R59" s="119"/>
      <c r="S59" s="119" t="s">
        <v>669</v>
      </c>
      <c r="T59" s="119">
        <v>46400000</v>
      </c>
      <c r="U59" s="119">
        <v>34601044</v>
      </c>
      <c r="V59" s="119">
        <v>0</v>
      </c>
      <c r="W59" s="119">
        <v>0</v>
      </c>
      <c r="X59" s="123" t="s">
        <v>932</v>
      </c>
      <c r="Y59" s="119" t="s">
        <v>933</v>
      </c>
      <c r="Z59" s="121"/>
    </row>
    <row r="60" spans="1:31" ht="12.75" customHeight="1" x14ac:dyDescent="0.25">
      <c r="A60" s="131" t="s">
        <v>934</v>
      </c>
      <c r="B60" s="131" t="s">
        <v>767</v>
      </c>
      <c r="C60" s="131">
        <v>12</v>
      </c>
      <c r="D60" s="131">
        <v>2020</v>
      </c>
      <c r="E60" s="131">
        <v>2032</v>
      </c>
      <c r="G60" s="132" t="s">
        <v>499</v>
      </c>
      <c r="H60" s="132" t="s">
        <v>67</v>
      </c>
      <c r="I60" s="132" t="s">
        <v>682</v>
      </c>
      <c r="J60" s="132" t="s">
        <v>935</v>
      </c>
      <c r="K60" s="132" t="s">
        <v>584</v>
      </c>
      <c r="L60" s="132" t="s">
        <v>690</v>
      </c>
      <c r="M60" s="132" t="s">
        <v>691</v>
      </c>
      <c r="N60" s="132" t="s">
        <v>666</v>
      </c>
      <c r="O60" s="132" t="s">
        <v>936</v>
      </c>
      <c r="P60" s="132" t="s">
        <v>937</v>
      </c>
      <c r="Q60" s="149"/>
      <c r="R60" s="133"/>
      <c r="S60" s="132" t="s">
        <v>669</v>
      </c>
      <c r="T60" s="132">
        <v>168000584</v>
      </c>
      <c r="U60" s="132">
        <v>125280078</v>
      </c>
      <c r="V60" s="132">
        <v>0</v>
      </c>
      <c r="W60" s="132">
        <v>0</v>
      </c>
      <c r="X60" s="132" t="s">
        <v>938</v>
      </c>
      <c r="Y60" s="136" t="s">
        <v>939</v>
      </c>
      <c r="Z60" s="133"/>
      <c r="AA60" s="125"/>
      <c r="AB60" s="125"/>
      <c r="AC60" s="125"/>
      <c r="AD60" s="125"/>
      <c r="AE60" s="125"/>
    </row>
    <row r="61" spans="1:31" ht="12.75" customHeight="1" x14ac:dyDescent="0.25">
      <c r="A61"/>
      <c r="B61" s="129"/>
      <c r="C61" s="129"/>
      <c r="D61" s="129"/>
      <c r="E61" s="129"/>
      <c r="F61" s="127"/>
      <c r="G61" s="119" t="s">
        <v>499</v>
      </c>
      <c r="H61" s="119" t="s">
        <v>67</v>
      </c>
      <c r="I61" s="119" t="s">
        <v>790</v>
      </c>
      <c r="J61" s="119" t="s">
        <v>940</v>
      </c>
      <c r="K61" s="119" t="s">
        <v>749</v>
      </c>
      <c r="L61" s="119" t="s">
        <v>738</v>
      </c>
      <c r="M61" s="119" t="s">
        <v>691</v>
      </c>
      <c r="N61" s="119" t="s">
        <v>666</v>
      </c>
      <c r="O61" s="119" t="s">
        <v>709</v>
      </c>
      <c r="P61" s="119" t="s">
        <v>941</v>
      </c>
      <c r="Q61" s="146" t="s">
        <v>596</v>
      </c>
      <c r="R61" s="119"/>
      <c r="S61" s="119" t="s">
        <v>669</v>
      </c>
      <c r="T61" s="119">
        <v>295300000</v>
      </c>
      <c r="U61" s="119">
        <v>220208800</v>
      </c>
      <c r="V61" s="119">
        <v>0</v>
      </c>
      <c r="W61" s="119">
        <v>0</v>
      </c>
      <c r="X61" s="122" t="s">
        <v>942</v>
      </c>
      <c r="Y61" s="119" t="s">
        <v>943</v>
      </c>
      <c r="Z61" s="121"/>
    </row>
    <row r="62" spans="1:31" ht="12.75" customHeight="1" x14ac:dyDescent="0.25">
      <c r="A62"/>
      <c r="B62" s="126"/>
      <c r="C62" s="126"/>
      <c r="D62" s="126"/>
      <c r="E62" s="126"/>
      <c r="F62" s="127"/>
      <c r="G62" s="119" t="s">
        <v>499</v>
      </c>
      <c r="H62" s="119" t="s">
        <v>67</v>
      </c>
      <c r="I62" s="119" t="s">
        <v>682</v>
      </c>
      <c r="J62" s="119" t="s">
        <v>944</v>
      </c>
      <c r="K62" s="119" t="s">
        <v>674</v>
      </c>
      <c r="L62" s="119" t="s">
        <v>738</v>
      </c>
      <c r="M62" s="119" t="s">
        <v>691</v>
      </c>
      <c r="N62" s="119" t="s">
        <v>666</v>
      </c>
      <c r="O62" s="119" t="s">
        <v>709</v>
      </c>
      <c r="P62" s="119" t="s">
        <v>945</v>
      </c>
      <c r="Q62" s="146" t="s">
        <v>596</v>
      </c>
      <c r="R62" s="119"/>
      <c r="S62" s="119" t="s">
        <v>669</v>
      </c>
      <c r="T62" s="119">
        <v>347900000</v>
      </c>
      <c r="U62" s="119">
        <v>259433259</v>
      </c>
      <c r="V62" s="119">
        <v>0</v>
      </c>
      <c r="W62" s="119">
        <v>0</v>
      </c>
      <c r="X62" s="122" t="s">
        <v>946</v>
      </c>
      <c r="Y62" s="119" t="s">
        <v>947</v>
      </c>
      <c r="Z62" s="121"/>
    </row>
    <row r="63" spans="1:31" ht="12.75" customHeight="1" x14ac:dyDescent="0.25">
      <c r="A63"/>
      <c r="B63" s="126"/>
      <c r="C63" s="126"/>
      <c r="D63" s="126"/>
      <c r="E63" s="126"/>
      <c r="F63" s="127"/>
      <c r="G63" s="119" t="s">
        <v>499</v>
      </c>
      <c r="H63" s="119" t="s">
        <v>67</v>
      </c>
      <c r="I63" s="119" t="s">
        <v>790</v>
      </c>
      <c r="J63" s="119" t="s">
        <v>948</v>
      </c>
      <c r="K63" s="119" t="s">
        <v>674</v>
      </c>
      <c r="L63" s="119" t="s">
        <v>738</v>
      </c>
      <c r="M63" s="119" t="s">
        <v>691</v>
      </c>
      <c r="N63" s="119" t="s">
        <v>666</v>
      </c>
      <c r="O63" s="119" t="s">
        <v>949</v>
      </c>
      <c r="P63" s="119" t="s">
        <v>950</v>
      </c>
      <c r="Q63" s="146" t="s">
        <v>596</v>
      </c>
      <c r="R63" s="119"/>
      <c r="S63" s="119" t="s">
        <v>669</v>
      </c>
      <c r="T63" s="119">
        <v>319000000</v>
      </c>
      <c r="U63" s="119">
        <v>237882178</v>
      </c>
      <c r="V63" s="119">
        <v>0</v>
      </c>
      <c r="W63" s="119">
        <v>0</v>
      </c>
      <c r="X63" s="119" t="s">
        <v>951</v>
      </c>
      <c r="Y63" s="121"/>
      <c r="Z63" s="119" t="s">
        <v>927</v>
      </c>
    </row>
    <row r="64" spans="1:31" ht="12.75" customHeight="1" x14ac:dyDescent="0.25">
      <c r="A64"/>
      <c r="B64" s="126"/>
      <c r="C64" s="126"/>
      <c r="D64" s="126"/>
      <c r="E64" s="126"/>
      <c r="F64" s="127"/>
      <c r="G64" s="119" t="s">
        <v>499</v>
      </c>
      <c r="H64" s="119" t="s">
        <v>67</v>
      </c>
      <c r="I64" s="119" t="s">
        <v>790</v>
      </c>
      <c r="J64" s="119" t="s">
        <v>952</v>
      </c>
      <c r="K64" s="119" t="s">
        <v>674</v>
      </c>
      <c r="L64" s="119" t="s">
        <v>819</v>
      </c>
      <c r="M64" s="119" t="s">
        <v>819</v>
      </c>
      <c r="N64" s="119" t="s">
        <v>666</v>
      </c>
      <c r="O64" s="119" t="s">
        <v>709</v>
      </c>
      <c r="P64" s="119" t="s">
        <v>950</v>
      </c>
      <c r="Q64" s="146" t="s">
        <v>596</v>
      </c>
      <c r="R64" s="119"/>
      <c r="S64" s="119" t="s">
        <v>669</v>
      </c>
      <c r="T64" s="119">
        <v>0</v>
      </c>
      <c r="U64" s="119">
        <v>0</v>
      </c>
      <c r="V64" s="119">
        <v>0</v>
      </c>
      <c r="W64" s="119">
        <v>0</v>
      </c>
      <c r="X64" s="119" t="s">
        <v>953</v>
      </c>
      <c r="Y64" s="119" t="s">
        <v>912</v>
      </c>
      <c r="Z64" s="121"/>
    </row>
    <row r="65" spans="1:31" ht="12.75" customHeight="1" x14ac:dyDescent="0.25">
      <c r="A65"/>
      <c r="B65" s="126"/>
      <c r="C65" s="126"/>
      <c r="D65" s="126"/>
      <c r="E65" s="126"/>
      <c r="F65" s="127"/>
      <c r="G65" s="119" t="s">
        <v>499</v>
      </c>
      <c r="H65" s="119" t="s">
        <v>67</v>
      </c>
      <c r="I65" s="119" t="s">
        <v>682</v>
      </c>
      <c r="J65" s="119" t="s">
        <v>954</v>
      </c>
      <c r="K65" s="119" t="s">
        <v>798</v>
      </c>
      <c r="L65" s="119" t="s">
        <v>819</v>
      </c>
      <c r="M65" s="119" t="s">
        <v>819</v>
      </c>
      <c r="N65" s="119" t="s">
        <v>666</v>
      </c>
      <c r="O65" s="119" t="s">
        <v>709</v>
      </c>
      <c r="P65" s="119" t="s">
        <v>955</v>
      </c>
      <c r="Q65" s="146" t="s">
        <v>596</v>
      </c>
      <c r="R65" s="119"/>
      <c r="S65" s="119" t="s">
        <v>669</v>
      </c>
      <c r="T65" s="119">
        <v>4400000000</v>
      </c>
      <c r="U65" s="119">
        <v>3281133483</v>
      </c>
      <c r="V65" s="119">
        <v>0</v>
      </c>
      <c r="W65" s="119">
        <v>0</v>
      </c>
      <c r="X65" s="119" t="s">
        <v>956</v>
      </c>
      <c r="Y65" s="119" t="s">
        <v>927</v>
      </c>
      <c r="Z65" s="121"/>
    </row>
    <row r="66" spans="1:31" ht="12.75" customHeight="1" x14ac:dyDescent="0.25">
      <c r="A66"/>
      <c r="B66" s="126"/>
      <c r="C66" s="126"/>
      <c r="D66" s="126"/>
      <c r="E66" s="126"/>
      <c r="F66" s="127"/>
      <c r="G66" s="119" t="s">
        <v>499</v>
      </c>
      <c r="H66" s="119" t="s">
        <v>461</v>
      </c>
      <c r="I66" s="119" t="s">
        <v>682</v>
      </c>
      <c r="J66" s="119" t="s">
        <v>957</v>
      </c>
      <c r="K66" s="119" t="s">
        <v>663</v>
      </c>
      <c r="L66" s="119" t="s">
        <v>738</v>
      </c>
      <c r="M66" s="119" t="s">
        <v>665</v>
      </c>
      <c r="N66" s="119" t="s">
        <v>666</v>
      </c>
      <c r="O66" s="119" t="s">
        <v>716</v>
      </c>
      <c r="P66" s="119" t="s">
        <v>860</v>
      </c>
      <c r="Q66" s="146" t="s">
        <v>861</v>
      </c>
      <c r="R66" s="119"/>
      <c r="S66" s="119" t="s">
        <v>669</v>
      </c>
      <c r="T66" s="119">
        <v>0</v>
      </c>
      <c r="U66" s="119">
        <v>0</v>
      </c>
      <c r="V66" s="119">
        <v>0</v>
      </c>
      <c r="W66" s="119">
        <v>0</v>
      </c>
      <c r="X66" s="119" t="s">
        <v>958</v>
      </c>
      <c r="Y66" s="119" t="s">
        <v>959</v>
      </c>
      <c r="Z66" s="121"/>
    </row>
    <row r="67" spans="1:31" ht="12.75" customHeight="1" x14ac:dyDescent="0.25">
      <c r="A67"/>
      <c r="B67" s="126"/>
      <c r="C67" s="126"/>
      <c r="D67" s="126"/>
      <c r="E67" s="126"/>
      <c r="F67" s="127"/>
      <c r="G67" s="119" t="s">
        <v>499</v>
      </c>
      <c r="H67" s="119" t="s">
        <v>461</v>
      </c>
      <c r="I67" s="119" t="s">
        <v>661</v>
      </c>
      <c r="J67" s="119" t="s">
        <v>960</v>
      </c>
      <c r="K67" s="119" t="s">
        <v>663</v>
      </c>
      <c r="L67" s="119" t="s">
        <v>664</v>
      </c>
      <c r="M67" s="119" t="s">
        <v>665</v>
      </c>
      <c r="N67" s="119" t="s">
        <v>666</v>
      </c>
      <c r="O67" s="119" t="s">
        <v>716</v>
      </c>
      <c r="P67" s="119" t="s">
        <v>860</v>
      </c>
      <c r="Q67" s="146" t="s">
        <v>861</v>
      </c>
      <c r="R67" s="119"/>
      <c r="S67" s="119" t="s">
        <v>669</v>
      </c>
      <c r="T67" s="119">
        <v>2900000000</v>
      </c>
      <c r="U67" s="119">
        <v>2162565250</v>
      </c>
      <c r="V67" s="119">
        <v>0</v>
      </c>
      <c r="W67" s="119">
        <v>0</v>
      </c>
      <c r="X67" s="119" t="s">
        <v>961</v>
      </c>
      <c r="Y67" s="119" t="s">
        <v>962</v>
      </c>
      <c r="Z67" s="121"/>
    </row>
    <row r="68" spans="1:31" ht="12.75" customHeight="1" x14ac:dyDescent="0.25">
      <c r="A68"/>
      <c r="B68" s="126"/>
      <c r="C68" s="126"/>
      <c r="D68" s="126"/>
      <c r="E68" s="126"/>
      <c r="F68" s="127"/>
      <c r="G68" s="119" t="s">
        <v>499</v>
      </c>
      <c r="H68" s="119" t="s">
        <v>67</v>
      </c>
      <c r="I68" s="119" t="s">
        <v>672</v>
      </c>
      <c r="J68" s="119" t="s">
        <v>963</v>
      </c>
      <c r="K68" s="119" t="s">
        <v>798</v>
      </c>
      <c r="L68" s="119" t="s">
        <v>819</v>
      </c>
      <c r="M68" s="119" t="s">
        <v>819</v>
      </c>
      <c r="N68" s="119" t="s">
        <v>666</v>
      </c>
      <c r="O68" s="119" t="s">
        <v>709</v>
      </c>
      <c r="P68" s="119" t="s">
        <v>955</v>
      </c>
      <c r="Q68" s="146" t="s">
        <v>602</v>
      </c>
      <c r="R68" s="119"/>
      <c r="S68" s="119" t="s">
        <v>669</v>
      </c>
      <c r="T68" s="119">
        <v>167000000</v>
      </c>
      <c r="U68" s="119">
        <v>124533930</v>
      </c>
      <c r="V68" s="119">
        <v>0</v>
      </c>
      <c r="W68" s="119">
        <v>0</v>
      </c>
      <c r="X68" s="119" t="s">
        <v>964</v>
      </c>
      <c r="Y68" s="119" t="s">
        <v>965</v>
      </c>
      <c r="Z68" s="121"/>
    </row>
    <row r="69" spans="1:31" ht="12.75" customHeight="1" x14ac:dyDescent="0.25">
      <c r="A69"/>
      <c r="B69" s="126"/>
      <c r="C69" s="126"/>
      <c r="D69" s="126"/>
      <c r="E69" s="126"/>
      <c r="F69" s="127"/>
      <c r="G69" s="119" t="s">
        <v>499</v>
      </c>
      <c r="H69" s="119" t="s">
        <v>429</v>
      </c>
      <c r="I69" s="119" t="s">
        <v>693</v>
      </c>
      <c r="J69" s="119" t="s">
        <v>966</v>
      </c>
      <c r="K69" s="119" t="s">
        <v>663</v>
      </c>
      <c r="L69" s="119" t="s">
        <v>675</v>
      </c>
      <c r="M69" s="119" t="s">
        <v>665</v>
      </c>
      <c r="N69" s="119" t="s">
        <v>666</v>
      </c>
      <c r="O69" s="119" t="s">
        <v>695</v>
      </c>
      <c r="P69" s="119" t="s">
        <v>967</v>
      </c>
      <c r="Q69" s="146" t="s">
        <v>968</v>
      </c>
      <c r="R69" s="119"/>
      <c r="S69" s="119" t="s">
        <v>669</v>
      </c>
      <c r="T69" s="119">
        <v>9000000</v>
      </c>
      <c r="U69" s="119">
        <v>6711410</v>
      </c>
      <c r="V69" s="119">
        <v>0</v>
      </c>
      <c r="W69" s="119">
        <v>0</v>
      </c>
      <c r="X69" s="119" t="s">
        <v>969</v>
      </c>
      <c r="Y69" s="119" t="s">
        <v>970</v>
      </c>
      <c r="Z69" s="121"/>
    </row>
    <row r="70" spans="1:31" ht="12.75" customHeight="1" x14ac:dyDescent="0.25">
      <c r="A70"/>
      <c r="B70" s="128"/>
      <c r="C70" s="128"/>
      <c r="D70" s="128"/>
      <c r="E70" s="128"/>
      <c r="F70" s="127"/>
      <c r="G70" s="119" t="s">
        <v>499</v>
      </c>
      <c r="H70" s="119" t="s">
        <v>452</v>
      </c>
      <c r="I70" s="119" t="s">
        <v>693</v>
      </c>
      <c r="J70" s="119" t="s">
        <v>971</v>
      </c>
      <c r="K70" s="119" t="s">
        <v>663</v>
      </c>
      <c r="L70" s="119" t="s">
        <v>675</v>
      </c>
      <c r="M70" s="119" t="s">
        <v>665</v>
      </c>
      <c r="N70" s="119" t="s">
        <v>666</v>
      </c>
      <c r="O70" s="119" t="s">
        <v>667</v>
      </c>
      <c r="P70" s="119" t="s">
        <v>972</v>
      </c>
      <c r="Q70" s="146" t="s">
        <v>968</v>
      </c>
      <c r="R70" s="119"/>
      <c r="S70" s="119" t="s">
        <v>669</v>
      </c>
      <c r="T70" s="119">
        <v>0</v>
      </c>
      <c r="U70" s="119">
        <v>0</v>
      </c>
      <c r="V70" s="119">
        <v>0</v>
      </c>
      <c r="W70" s="119">
        <v>0</v>
      </c>
      <c r="X70" s="119" t="s">
        <v>973</v>
      </c>
      <c r="Y70" s="119" t="s">
        <v>974</v>
      </c>
      <c r="Z70" s="121"/>
    </row>
    <row r="71" spans="1:31" ht="12.75" customHeight="1" x14ac:dyDescent="0.25">
      <c r="A71" s="131" t="s">
        <v>975</v>
      </c>
      <c r="B71" s="131" t="s">
        <v>74</v>
      </c>
      <c r="C71" s="131" t="s">
        <v>805</v>
      </c>
      <c r="D71" s="131" t="s">
        <v>805</v>
      </c>
      <c r="E71" s="131" t="s">
        <v>805</v>
      </c>
      <c r="G71" s="132" t="s">
        <v>499</v>
      </c>
      <c r="H71" s="132" t="s">
        <v>67</v>
      </c>
      <c r="I71" s="132" t="s">
        <v>693</v>
      </c>
      <c r="J71" s="132" t="s">
        <v>976</v>
      </c>
      <c r="K71" s="132" t="s">
        <v>584</v>
      </c>
      <c r="L71" s="132" t="s">
        <v>701</v>
      </c>
      <c r="M71" s="132" t="s">
        <v>702</v>
      </c>
      <c r="N71" s="132" t="s">
        <v>666</v>
      </c>
      <c r="O71" s="132" t="s">
        <v>977</v>
      </c>
      <c r="P71" s="132" t="s">
        <v>978</v>
      </c>
      <c r="Q71" s="147">
        <v>44448</v>
      </c>
      <c r="R71" s="132"/>
      <c r="S71" s="132" t="s">
        <v>669</v>
      </c>
      <c r="T71" s="132">
        <v>93000000</v>
      </c>
      <c r="U71" s="132">
        <v>69351231</v>
      </c>
      <c r="V71" s="132">
        <v>0</v>
      </c>
      <c r="W71" s="132">
        <v>0</v>
      </c>
      <c r="X71" s="132" t="s">
        <v>979</v>
      </c>
      <c r="Y71" s="134" t="s">
        <v>980</v>
      </c>
      <c r="Z71" s="132"/>
      <c r="AA71" s="125"/>
      <c r="AB71" s="125"/>
      <c r="AC71" s="125"/>
      <c r="AD71" s="125"/>
      <c r="AE71" s="125"/>
    </row>
    <row r="72" spans="1:31" ht="12.75" customHeight="1" x14ac:dyDescent="0.25">
      <c r="A72"/>
      <c r="B72" s="129"/>
      <c r="C72" s="129"/>
      <c r="D72" s="129"/>
      <c r="E72" s="129"/>
      <c r="F72" s="127"/>
      <c r="G72" s="119" t="s">
        <v>499</v>
      </c>
      <c r="H72" s="119" t="s">
        <v>67</v>
      </c>
      <c r="I72" s="119" t="s">
        <v>682</v>
      </c>
      <c r="J72" s="119" t="s">
        <v>981</v>
      </c>
      <c r="K72" s="119" t="s">
        <v>749</v>
      </c>
      <c r="L72" s="119" t="s">
        <v>690</v>
      </c>
      <c r="M72" s="119" t="s">
        <v>676</v>
      </c>
      <c r="N72" s="119" t="s">
        <v>666</v>
      </c>
      <c r="O72" s="119" t="s">
        <v>949</v>
      </c>
      <c r="P72" s="119" t="s">
        <v>982</v>
      </c>
      <c r="Q72" s="145"/>
      <c r="R72" s="121"/>
      <c r="S72" s="119" t="s">
        <v>669</v>
      </c>
      <c r="T72" s="119">
        <v>8400000</v>
      </c>
      <c r="U72" s="119">
        <v>6263983</v>
      </c>
      <c r="V72" s="119">
        <v>0</v>
      </c>
      <c r="W72" s="119">
        <v>0</v>
      </c>
      <c r="X72" s="119" t="s">
        <v>983</v>
      </c>
      <c r="Y72" s="119" t="s">
        <v>984</v>
      </c>
      <c r="Z72" s="121"/>
    </row>
    <row r="73" spans="1:31" ht="12.75" customHeight="1" x14ac:dyDescent="0.25">
      <c r="A73"/>
      <c r="B73" s="126"/>
      <c r="C73" s="126"/>
      <c r="D73" s="126"/>
      <c r="E73" s="126"/>
      <c r="F73" s="127"/>
      <c r="G73" s="119" t="s">
        <v>499</v>
      </c>
      <c r="H73" s="119" t="s">
        <v>67</v>
      </c>
      <c r="I73" s="119" t="s">
        <v>682</v>
      </c>
      <c r="J73" s="119" t="s">
        <v>985</v>
      </c>
      <c r="K73" s="119" t="s">
        <v>663</v>
      </c>
      <c r="L73" s="119" t="s">
        <v>556</v>
      </c>
      <c r="M73" s="119" t="s">
        <v>665</v>
      </c>
      <c r="N73" s="119" t="s">
        <v>666</v>
      </c>
      <c r="O73" s="119" t="s">
        <v>716</v>
      </c>
      <c r="P73" s="119" t="s">
        <v>986</v>
      </c>
      <c r="Q73" s="146" t="s">
        <v>968</v>
      </c>
      <c r="R73" s="119"/>
      <c r="S73" s="119" t="s">
        <v>669</v>
      </c>
      <c r="T73" s="119">
        <v>100000000</v>
      </c>
      <c r="U73" s="119">
        <v>74571216</v>
      </c>
      <c r="V73" s="119">
        <v>0</v>
      </c>
      <c r="W73" s="119">
        <v>0</v>
      </c>
      <c r="X73" s="119" t="s">
        <v>987</v>
      </c>
      <c r="Y73" s="119" t="s">
        <v>988</v>
      </c>
      <c r="Z73" s="121"/>
    </row>
    <row r="74" spans="1:31" ht="12.75" customHeight="1" x14ac:dyDescent="0.25">
      <c r="A74"/>
      <c r="B74" s="128"/>
      <c r="C74" s="128"/>
      <c r="D74" s="128"/>
      <c r="E74" s="128"/>
      <c r="F74" s="127"/>
      <c r="G74" s="119" t="s">
        <v>499</v>
      </c>
      <c r="H74" s="119" t="s">
        <v>67</v>
      </c>
      <c r="I74" s="119" t="s">
        <v>682</v>
      </c>
      <c r="J74" s="119" t="s">
        <v>985</v>
      </c>
      <c r="K74" s="119" t="s">
        <v>663</v>
      </c>
      <c r="L74" s="119" t="s">
        <v>556</v>
      </c>
      <c r="M74" s="119" t="s">
        <v>665</v>
      </c>
      <c r="N74" s="119" t="s">
        <v>666</v>
      </c>
      <c r="O74" s="119" t="s">
        <v>709</v>
      </c>
      <c r="P74" s="119" t="s">
        <v>986</v>
      </c>
      <c r="Q74" s="146" t="s">
        <v>968</v>
      </c>
      <c r="R74" s="119"/>
      <c r="S74" s="119" t="s">
        <v>669</v>
      </c>
      <c r="T74" s="119">
        <v>400000000</v>
      </c>
      <c r="U74" s="119">
        <v>298284863</v>
      </c>
      <c r="V74" s="119">
        <v>0</v>
      </c>
      <c r="W74" s="119">
        <v>0</v>
      </c>
      <c r="X74" s="119" t="s">
        <v>989</v>
      </c>
      <c r="Y74" s="119" t="s">
        <v>988</v>
      </c>
      <c r="Z74" s="121"/>
    </row>
    <row r="75" spans="1:31" ht="12.75" customHeight="1" x14ac:dyDescent="0.25">
      <c r="A75"/>
      <c r="G75" s="119" t="s">
        <v>499</v>
      </c>
      <c r="H75" s="119" t="s">
        <v>742</v>
      </c>
      <c r="I75" s="119" t="s">
        <v>672</v>
      </c>
      <c r="J75" s="119" t="s">
        <v>990</v>
      </c>
      <c r="K75" s="119" t="s">
        <v>584</v>
      </c>
      <c r="L75" s="119" t="s">
        <v>558</v>
      </c>
      <c r="M75" s="119" t="s">
        <v>676</v>
      </c>
      <c r="N75" s="119" t="s">
        <v>666</v>
      </c>
      <c r="O75" s="119" t="s">
        <v>685</v>
      </c>
      <c r="P75" s="119" t="s">
        <v>991</v>
      </c>
      <c r="Q75" s="144">
        <v>44381</v>
      </c>
      <c r="R75" s="119"/>
      <c r="S75" s="119" t="s">
        <v>669</v>
      </c>
      <c r="T75" s="119">
        <v>0</v>
      </c>
      <c r="U75" s="119">
        <v>0</v>
      </c>
      <c r="V75" s="119">
        <v>0</v>
      </c>
      <c r="W75" s="119">
        <v>0</v>
      </c>
      <c r="X75" s="122" t="s">
        <v>992</v>
      </c>
      <c r="Y75" s="119" t="s">
        <v>993</v>
      </c>
      <c r="Z75" s="121"/>
    </row>
    <row r="76" spans="1:31" ht="12.75" customHeight="1" x14ac:dyDescent="0.25">
      <c r="A76"/>
      <c r="B76" s="129"/>
      <c r="C76" s="129"/>
      <c r="D76" s="129"/>
      <c r="E76" s="129"/>
      <c r="F76" s="127"/>
      <c r="G76" s="119" t="s">
        <v>499</v>
      </c>
      <c r="H76" s="119" t="s">
        <v>470</v>
      </c>
      <c r="I76" s="119" t="s">
        <v>661</v>
      </c>
      <c r="J76" s="119" t="s">
        <v>994</v>
      </c>
      <c r="K76" s="119" t="s">
        <v>674</v>
      </c>
      <c r="L76" s="119" t="s">
        <v>675</v>
      </c>
      <c r="M76" s="119" t="s">
        <v>676</v>
      </c>
      <c r="N76" s="119" t="s">
        <v>666</v>
      </c>
      <c r="O76" s="119" t="s">
        <v>869</v>
      </c>
      <c r="P76" s="119" t="s">
        <v>995</v>
      </c>
      <c r="Q76" s="144">
        <v>44351</v>
      </c>
      <c r="R76" s="119"/>
      <c r="S76" s="119" t="s">
        <v>669</v>
      </c>
      <c r="T76" s="119">
        <v>3800000</v>
      </c>
      <c r="U76" s="119">
        <v>2833707</v>
      </c>
      <c r="V76" s="119">
        <v>0</v>
      </c>
      <c r="W76" s="119">
        <v>0</v>
      </c>
      <c r="X76" s="119" t="s">
        <v>996</v>
      </c>
      <c r="Y76" s="119" t="s">
        <v>997</v>
      </c>
      <c r="Z76" s="121"/>
    </row>
    <row r="77" spans="1:31" ht="12.75" customHeight="1" x14ac:dyDescent="0.25">
      <c r="A77"/>
      <c r="B77" s="126"/>
      <c r="C77" s="126"/>
      <c r="D77" s="126"/>
      <c r="E77" s="126"/>
      <c r="F77" s="127"/>
      <c r="G77" s="119" t="s">
        <v>499</v>
      </c>
      <c r="H77" s="119" t="s">
        <v>470</v>
      </c>
      <c r="I77" s="119" t="s">
        <v>693</v>
      </c>
      <c r="J77" s="119" t="s">
        <v>998</v>
      </c>
      <c r="K77" s="119" t="s">
        <v>663</v>
      </c>
      <c r="L77" s="119" t="s">
        <v>675</v>
      </c>
      <c r="M77" s="119" t="s">
        <v>665</v>
      </c>
      <c r="N77" s="119" t="s">
        <v>666</v>
      </c>
      <c r="O77" s="119" t="s">
        <v>869</v>
      </c>
      <c r="P77" s="119" t="s">
        <v>999</v>
      </c>
      <c r="Q77" s="144">
        <v>44351</v>
      </c>
      <c r="R77" s="119"/>
      <c r="S77" s="119" t="s">
        <v>669</v>
      </c>
      <c r="T77" s="119">
        <v>444600000</v>
      </c>
      <c r="U77" s="119">
        <v>331543625</v>
      </c>
      <c r="V77" s="119">
        <v>0</v>
      </c>
      <c r="W77" s="119">
        <v>0</v>
      </c>
      <c r="X77" s="119" t="s">
        <v>1000</v>
      </c>
      <c r="Y77" s="119" t="s">
        <v>1001</v>
      </c>
      <c r="Z77" s="121"/>
    </row>
    <row r="78" spans="1:31" ht="12.75" customHeight="1" x14ac:dyDescent="0.25">
      <c r="A78"/>
      <c r="B78" s="126"/>
      <c r="C78" s="126"/>
      <c r="D78" s="126"/>
      <c r="E78" s="126"/>
      <c r="F78" s="127"/>
      <c r="G78" s="119" t="s">
        <v>499</v>
      </c>
      <c r="H78" s="119" t="s">
        <v>434</v>
      </c>
      <c r="I78" s="119" t="s">
        <v>693</v>
      </c>
      <c r="J78" s="119" t="s">
        <v>1002</v>
      </c>
      <c r="K78" s="119" t="s">
        <v>663</v>
      </c>
      <c r="L78" s="119" t="s">
        <v>675</v>
      </c>
      <c r="M78" s="119" t="s">
        <v>665</v>
      </c>
      <c r="N78" s="119" t="s">
        <v>666</v>
      </c>
      <c r="O78" s="119" t="s">
        <v>1003</v>
      </c>
      <c r="P78" s="119" t="s">
        <v>999</v>
      </c>
      <c r="Q78" s="144">
        <v>44381</v>
      </c>
      <c r="R78" s="119"/>
      <c r="S78" s="119" t="s">
        <v>669</v>
      </c>
      <c r="T78" s="119">
        <v>528232000</v>
      </c>
      <c r="U78" s="119">
        <v>393909024</v>
      </c>
      <c r="V78" s="119">
        <v>0</v>
      </c>
      <c r="W78" s="119">
        <v>0</v>
      </c>
      <c r="X78" s="119" t="s">
        <v>1004</v>
      </c>
      <c r="Y78" s="119" t="s">
        <v>1005</v>
      </c>
      <c r="Z78" s="121"/>
    </row>
    <row r="79" spans="1:31" ht="12.75" customHeight="1" x14ac:dyDescent="0.25">
      <c r="A79"/>
      <c r="B79" s="126"/>
      <c r="C79" s="126"/>
      <c r="D79" s="126"/>
      <c r="E79" s="126"/>
      <c r="F79" s="127"/>
      <c r="G79" s="119" t="s">
        <v>499</v>
      </c>
      <c r="H79" s="119" t="s">
        <v>429</v>
      </c>
      <c r="I79" s="119" t="s">
        <v>682</v>
      </c>
      <c r="J79" s="119" t="s">
        <v>1006</v>
      </c>
      <c r="K79" s="119" t="s">
        <v>663</v>
      </c>
      <c r="L79" s="119" t="s">
        <v>738</v>
      </c>
      <c r="M79" s="119" t="s">
        <v>665</v>
      </c>
      <c r="N79" s="119" t="s">
        <v>666</v>
      </c>
      <c r="O79" s="119" t="s">
        <v>695</v>
      </c>
      <c r="P79" s="119" t="s">
        <v>1007</v>
      </c>
      <c r="Q79" s="146" t="s">
        <v>1008</v>
      </c>
      <c r="R79" s="119"/>
      <c r="S79" s="119" t="s">
        <v>669</v>
      </c>
      <c r="T79" s="119">
        <v>7800000</v>
      </c>
      <c r="U79" s="119">
        <v>5816555</v>
      </c>
      <c r="V79" s="119">
        <v>0</v>
      </c>
      <c r="W79" s="119">
        <v>0</v>
      </c>
      <c r="X79" s="122" t="s">
        <v>1009</v>
      </c>
      <c r="Y79" s="122" t="s">
        <v>1010</v>
      </c>
      <c r="Z79" s="119"/>
    </row>
    <row r="80" spans="1:31" ht="12.75" customHeight="1" x14ac:dyDescent="0.25">
      <c r="A80"/>
      <c r="B80" s="126"/>
      <c r="C80" s="126"/>
      <c r="D80" s="126"/>
      <c r="E80" s="126"/>
      <c r="F80" s="127"/>
      <c r="G80" s="119" t="s">
        <v>499</v>
      </c>
      <c r="H80" s="119" t="s">
        <v>429</v>
      </c>
      <c r="I80" s="119" t="s">
        <v>693</v>
      </c>
      <c r="J80" s="119" t="s">
        <v>1011</v>
      </c>
      <c r="K80" s="119" t="s">
        <v>663</v>
      </c>
      <c r="L80" s="119" t="s">
        <v>675</v>
      </c>
      <c r="M80" s="119" t="s">
        <v>665</v>
      </c>
      <c r="N80" s="119" t="s">
        <v>666</v>
      </c>
      <c r="O80" s="119" t="s">
        <v>695</v>
      </c>
      <c r="P80" s="119" t="s">
        <v>1007</v>
      </c>
      <c r="Q80" s="146" t="s">
        <v>1008</v>
      </c>
      <c r="R80" s="119"/>
      <c r="S80" s="119" t="s">
        <v>669</v>
      </c>
      <c r="T80" s="119">
        <v>16500000</v>
      </c>
      <c r="U80" s="119">
        <v>12304251</v>
      </c>
      <c r="V80" s="119">
        <v>0</v>
      </c>
      <c r="W80" s="119">
        <v>0</v>
      </c>
      <c r="X80" s="122" t="s">
        <v>1012</v>
      </c>
      <c r="Y80" s="119" t="s">
        <v>1013</v>
      </c>
      <c r="Z80" s="121"/>
    </row>
    <row r="81" spans="1:31" ht="12.75" customHeight="1" x14ac:dyDescent="0.25">
      <c r="A81"/>
      <c r="B81" s="126"/>
      <c r="C81" s="126"/>
      <c r="D81" s="126"/>
      <c r="E81" s="126"/>
      <c r="F81" s="127"/>
      <c r="G81" s="119" t="s">
        <v>499</v>
      </c>
      <c r="H81" s="119" t="s">
        <v>450</v>
      </c>
      <c r="I81" s="119" t="s">
        <v>682</v>
      </c>
      <c r="J81" s="119" t="s">
        <v>1014</v>
      </c>
      <c r="K81" s="119" t="s">
        <v>663</v>
      </c>
      <c r="L81" s="119" t="s">
        <v>738</v>
      </c>
      <c r="M81" s="119" t="s">
        <v>665</v>
      </c>
      <c r="N81" s="119" t="s">
        <v>666</v>
      </c>
      <c r="O81" s="119" t="s">
        <v>685</v>
      </c>
      <c r="P81" s="119" t="s">
        <v>1015</v>
      </c>
      <c r="Q81" s="146" t="s">
        <v>1016</v>
      </c>
      <c r="R81" s="119"/>
      <c r="S81" s="119" t="s">
        <v>669</v>
      </c>
      <c r="T81" s="119">
        <v>7600000</v>
      </c>
      <c r="U81" s="119">
        <v>5667413</v>
      </c>
      <c r="V81" s="119">
        <v>0</v>
      </c>
      <c r="W81" s="119">
        <v>0</v>
      </c>
      <c r="X81" s="119" t="s">
        <v>1017</v>
      </c>
      <c r="Y81" s="119" t="s">
        <v>1018</v>
      </c>
      <c r="Z81" s="121"/>
    </row>
    <row r="82" spans="1:31" ht="12.75" customHeight="1" x14ac:dyDescent="0.25">
      <c r="A82"/>
      <c r="B82" s="126"/>
      <c r="C82" s="126"/>
      <c r="D82" s="126"/>
      <c r="E82" s="126"/>
      <c r="F82" s="127"/>
      <c r="G82" s="119" t="s">
        <v>499</v>
      </c>
      <c r="H82" s="119" t="s">
        <v>450</v>
      </c>
      <c r="I82" s="119" t="s">
        <v>693</v>
      </c>
      <c r="J82" s="119" t="s">
        <v>1019</v>
      </c>
      <c r="K82" s="119" t="s">
        <v>663</v>
      </c>
      <c r="L82" s="119" t="s">
        <v>675</v>
      </c>
      <c r="M82" s="119" t="s">
        <v>665</v>
      </c>
      <c r="N82" s="119" t="s">
        <v>666</v>
      </c>
      <c r="O82" s="119" t="s">
        <v>685</v>
      </c>
      <c r="P82" s="119" t="s">
        <v>1015</v>
      </c>
      <c r="Q82" s="146" t="s">
        <v>1016</v>
      </c>
      <c r="R82" s="119"/>
      <c r="S82" s="119" t="s">
        <v>669</v>
      </c>
      <c r="T82" s="119">
        <v>466999974</v>
      </c>
      <c r="U82" s="119">
        <v>348247558</v>
      </c>
      <c r="V82" s="119">
        <v>0</v>
      </c>
      <c r="W82" s="119">
        <v>0</v>
      </c>
      <c r="X82" s="119" t="s">
        <v>1020</v>
      </c>
      <c r="Y82" s="119" t="s">
        <v>1021</v>
      </c>
      <c r="Z82" s="121"/>
    </row>
    <row r="83" spans="1:31" ht="12.75" customHeight="1" x14ac:dyDescent="0.25">
      <c r="A83"/>
      <c r="B83" s="126"/>
      <c r="C83" s="126"/>
      <c r="D83" s="126"/>
      <c r="E83" s="126"/>
      <c r="F83" s="127"/>
      <c r="G83" s="119" t="s">
        <v>499</v>
      </c>
      <c r="H83" s="119" t="s">
        <v>450</v>
      </c>
      <c r="I83" s="119" t="s">
        <v>682</v>
      </c>
      <c r="J83" s="119" t="s">
        <v>1022</v>
      </c>
      <c r="K83" s="119" t="s">
        <v>749</v>
      </c>
      <c r="L83" s="119" t="s">
        <v>738</v>
      </c>
      <c r="M83" s="119" t="s">
        <v>665</v>
      </c>
      <c r="N83" s="119" t="s">
        <v>666</v>
      </c>
      <c r="O83" s="119" t="s">
        <v>685</v>
      </c>
      <c r="P83" s="119" t="s">
        <v>1023</v>
      </c>
      <c r="Q83" s="146" t="s">
        <v>1016</v>
      </c>
      <c r="R83" s="119"/>
      <c r="S83" s="119" t="s">
        <v>669</v>
      </c>
      <c r="T83" s="119">
        <v>35400000</v>
      </c>
      <c r="U83" s="119">
        <v>26398211</v>
      </c>
      <c r="V83" s="119">
        <v>0</v>
      </c>
      <c r="W83" s="119">
        <v>0</v>
      </c>
      <c r="X83" s="119" t="s">
        <v>1024</v>
      </c>
      <c r="Y83" s="119" t="s">
        <v>1025</v>
      </c>
      <c r="Z83" s="121"/>
    </row>
    <row r="84" spans="1:31" ht="12.75" customHeight="1" x14ac:dyDescent="0.25">
      <c r="A84"/>
      <c r="B84" s="126"/>
      <c r="C84" s="126"/>
      <c r="D84" s="126"/>
      <c r="E84" s="126"/>
      <c r="F84" s="127"/>
      <c r="G84" s="119" t="s">
        <v>499</v>
      </c>
      <c r="H84" s="119" t="s">
        <v>452</v>
      </c>
      <c r="I84" s="119" t="s">
        <v>682</v>
      </c>
      <c r="J84" s="119" t="s">
        <v>1026</v>
      </c>
      <c r="K84" s="119" t="s">
        <v>663</v>
      </c>
      <c r="L84" s="119" t="s">
        <v>738</v>
      </c>
      <c r="M84" s="119" t="s">
        <v>665</v>
      </c>
      <c r="N84" s="119" t="s">
        <v>666</v>
      </c>
      <c r="O84" s="119" t="s">
        <v>667</v>
      </c>
      <c r="P84" s="119" t="s">
        <v>1027</v>
      </c>
      <c r="Q84" s="146" t="s">
        <v>1028</v>
      </c>
      <c r="R84" s="119"/>
      <c r="S84" s="119" t="s">
        <v>669</v>
      </c>
      <c r="T84" s="119">
        <v>56400000</v>
      </c>
      <c r="U84" s="119">
        <v>42058166</v>
      </c>
      <c r="V84" s="119">
        <v>0</v>
      </c>
      <c r="W84" s="119">
        <v>0</v>
      </c>
      <c r="X84" s="119" t="s">
        <v>1029</v>
      </c>
      <c r="Y84" s="122" t="s">
        <v>1030</v>
      </c>
      <c r="Z84" s="119"/>
    </row>
    <row r="85" spans="1:31" ht="12.75" customHeight="1" x14ac:dyDescent="0.25">
      <c r="A85"/>
      <c r="B85" s="126"/>
      <c r="C85" s="126"/>
      <c r="D85" s="126"/>
      <c r="E85" s="126"/>
      <c r="F85" s="127"/>
      <c r="G85" s="119" t="s">
        <v>499</v>
      </c>
      <c r="H85" s="119" t="s">
        <v>452</v>
      </c>
      <c r="I85" s="119" t="s">
        <v>693</v>
      </c>
      <c r="J85" s="119" t="s">
        <v>1031</v>
      </c>
      <c r="K85" s="119" t="s">
        <v>663</v>
      </c>
      <c r="L85" s="119" t="s">
        <v>675</v>
      </c>
      <c r="M85" s="119" t="s">
        <v>665</v>
      </c>
      <c r="N85" s="119" t="s">
        <v>666</v>
      </c>
      <c r="O85" s="119" t="s">
        <v>667</v>
      </c>
      <c r="P85" s="119" t="s">
        <v>1015</v>
      </c>
      <c r="Q85" s="146" t="s">
        <v>1028</v>
      </c>
      <c r="R85" s="119"/>
      <c r="S85" s="119" t="s">
        <v>669</v>
      </c>
      <c r="T85" s="119">
        <v>2592000000</v>
      </c>
      <c r="U85" s="119">
        <v>1932885907</v>
      </c>
      <c r="V85" s="119">
        <v>0</v>
      </c>
      <c r="W85" s="119">
        <v>0</v>
      </c>
      <c r="X85" s="119" t="s">
        <v>1032</v>
      </c>
      <c r="Y85" s="122" t="s">
        <v>1033</v>
      </c>
      <c r="Z85" s="119"/>
    </row>
    <row r="86" spans="1:31" ht="12.75" customHeight="1" x14ac:dyDescent="0.25">
      <c r="A86"/>
      <c r="B86" s="126"/>
      <c r="C86" s="126"/>
      <c r="D86" s="126"/>
      <c r="E86" s="126"/>
      <c r="F86" s="127"/>
      <c r="G86" s="119" t="s">
        <v>499</v>
      </c>
      <c r="H86" s="119" t="s">
        <v>1034</v>
      </c>
      <c r="I86" s="119" t="s">
        <v>682</v>
      </c>
      <c r="J86" s="119" t="s">
        <v>1035</v>
      </c>
      <c r="K86" s="119" t="s">
        <v>663</v>
      </c>
      <c r="L86" s="119" t="s">
        <v>738</v>
      </c>
      <c r="M86" s="119" t="s">
        <v>665</v>
      </c>
      <c r="N86" s="119" t="s">
        <v>666</v>
      </c>
      <c r="O86" s="119" t="s">
        <v>667</v>
      </c>
      <c r="P86" s="119" t="s">
        <v>1036</v>
      </c>
      <c r="Q86" s="146" t="s">
        <v>1028</v>
      </c>
      <c r="R86" s="119"/>
      <c r="S86" s="119" t="s">
        <v>669</v>
      </c>
      <c r="T86" s="119">
        <v>5642000000</v>
      </c>
      <c r="U86" s="119">
        <v>4207307980</v>
      </c>
      <c r="V86" s="119">
        <v>0</v>
      </c>
      <c r="W86" s="119">
        <v>0</v>
      </c>
      <c r="X86" s="119" t="s">
        <v>1037</v>
      </c>
      <c r="Y86" s="122" t="s">
        <v>1038</v>
      </c>
      <c r="Z86" s="119"/>
    </row>
    <row r="87" spans="1:31" ht="12.75" customHeight="1" x14ac:dyDescent="0.25">
      <c r="A87"/>
      <c r="B87" s="126"/>
      <c r="C87" s="126"/>
      <c r="D87" s="126"/>
      <c r="E87" s="126"/>
      <c r="F87" s="127"/>
      <c r="G87" s="119" t="s">
        <v>499</v>
      </c>
      <c r="H87" s="119" t="s">
        <v>429</v>
      </c>
      <c r="I87" s="119" t="s">
        <v>672</v>
      </c>
      <c r="J87" s="119" t="s">
        <v>1039</v>
      </c>
      <c r="K87" s="119" t="s">
        <v>773</v>
      </c>
      <c r="L87" s="119" t="s">
        <v>738</v>
      </c>
      <c r="M87" s="119" t="s">
        <v>691</v>
      </c>
      <c r="N87" s="119" t="s">
        <v>677</v>
      </c>
      <c r="O87" s="119" t="s">
        <v>695</v>
      </c>
      <c r="P87" s="119" t="s">
        <v>1040</v>
      </c>
      <c r="Q87" s="146" t="s">
        <v>1041</v>
      </c>
      <c r="R87" s="119"/>
      <c r="S87" s="119" t="s">
        <v>669</v>
      </c>
      <c r="T87" s="119">
        <v>0</v>
      </c>
      <c r="U87" s="119">
        <v>0</v>
      </c>
      <c r="V87" s="119">
        <v>0</v>
      </c>
      <c r="W87" s="119">
        <v>0</v>
      </c>
      <c r="X87" s="119" t="s">
        <v>1042</v>
      </c>
      <c r="Y87" s="119" t="s">
        <v>1043</v>
      </c>
      <c r="Z87" s="121"/>
    </row>
    <row r="88" spans="1:31" ht="12.75" customHeight="1" x14ac:dyDescent="0.25">
      <c r="A88"/>
      <c r="B88" s="126"/>
      <c r="C88" s="126"/>
      <c r="D88" s="126"/>
      <c r="E88" s="126"/>
      <c r="F88" s="127"/>
      <c r="G88" s="119" t="s">
        <v>499</v>
      </c>
      <c r="H88" s="119" t="s">
        <v>460</v>
      </c>
      <c r="I88" s="119" t="s">
        <v>682</v>
      </c>
      <c r="J88" s="119" t="s">
        <v>1044</v>
      </c>
      <c r="K88" s="119" t="s">
        <v>663</v>
      </c>
      <c r="L88" s="119" t="s">
        <v>738</v>
      </c>
      <c r="M88" s="119" t="s">
        <v>665</v>
      </c>
      <c r="N88" s="119" t="s">
        <v>666</v>
      </c>
      <c r="O88" s="119" t="s">
        <v>1045</v>
      </c>
      <c r="P88" s="119" t="s">
        <v>1046</v>
      </c>
      <c r="Q88" s="146" t="s">
        <v>1047</v>
      </c>
      <c r="R88" s="119"/>
      <c r="S88" s="119" t="s">
        <v>669</v>
      </c>
      <c r="T88" s="119">
        <v>0</v>
      </c>
      <c r="U88" s="119">
        <v>0</v>
      </c>
      <c r="V88" s="119">
        <v>0</v>
      </c>
      <c r="W88" s="119">
        <v>0</v>
      </c>
      <c r="X88" s="119" t="s">
        <v>1048</v>
      </c>
      <c r="Y88" s="122" t="s">
        <v>1049</v>
      </c>
      <c r="Z88" s="119"/>
    </row>
    <row r="89" spans="1:31" ht="12.75" customHeight="1" x14ac:dyDescent="0.25">
      <c r="A89"/>
      <c r="B89" s="126"/>
      <c r="C89" s="126"/>
      <c r="D89" s="126"/>
      <c r="E89" s="126"/>
      <c r="F89" s="127"/>
      <c r="G89" s="119" t="s">
        <v>499</v>
      </c>
      <c r="H89" s="119" t="s">
        <v>429</v>
      </c>
      <c r="I89" s="119" t="s">
        <v>661</v>
      </c>
      <c r="J89" s="119" t="s">
        <v>1050</v>
      </c>
      <c r="K89" s="119" t="s">
        <v>663</v>
      </c>
      <c r="L89" s="119" t="s">
        <v>664</v>
      </c>
      <c r="M89" s="119" t="s">
        <v>665</v>
      </c>
      <c r="N89" s="119" t="s">
        <v>666</v>
      </c>
      <c r="O89" s="119" t="s">
        <v>695</v>
      </c>
      <c r="P89" s="119" t="s">
        <v>1051</v>
      </c>
      <c r="Q89" s="146" t="s">
        <v>1047</v>
      </c>
      <c r="R89" s="119"/>
      <c r="S89" s="119" t="s">
        <v>669</v>
      </c>
      <c r="T89" s="119">
        <v>9280000</v>
      </c>
      <c r="U89" s="119">
        <v>6920209</v>
      </c>
      <c r="V89" s="119">
        <v>0</v>
      </c>
      <c r="W89" s="119">
        <v>0</v>
      </c>
      <c r="X89" s="119" t="s">
        <v>1052</v>
      </c>
      <c r="Y89" s="122" t="s">
        <v>1053</v>
      </c>
      <c r="Z89" s="119"/>
    </row>
    <row r="90" spans="1:31" ht="12.75" customHeight="1" x14ac:dyDescent="0.25">
      <c r="A90"/>
      <c r="B90" s="128"/>
      <c r="C90" s="128"/>
      <c r="D90" s="128"/>
      <c r="E90" s="128"/>
      <c r="F90" s="127"/>
      <c r="G90" s="119" t="s">
        <v>499</v>
      </c>
      <c r="H90" s="119" t="s">
        <v>67</v>
      </c>
      <c r="I90" s="119" t="s">
        <v>693</v>
      </c>
      <c r="J90" s="119" t="s">
        <v>1054</v>
      </c>
      <c r="K90" s="119" t="s">
        <v>663</v>
      </c>
      <c r="L90" s="119" t="s">
        <v>664</v>
      </c>
      <c r="M90" s="119" t="s">
        <v>665</v>
      </c>
      <c r="N90" s="119" t="s">
        <v>666</v>
      </c>
      <c r="O90" s="119" t="s">
        <v>709</v>
      </c>
      <c r="P90" s="119" t="s">
        <v>1055</v>
      </c>
      <c r="Q90" s="146" t="s">
        <v>1056</v>
      </c>
      <c r="R90" s="119"/>
      <c r="S90" s="119" t="s">
        <v>669</v>
      </c>
      <c r="T90" s="119">
        <v>1592000</v>
      </c>
      <c r="U90" s="119">
        <v>1187174</v>
      </c>
      <c r="V90" s="119">
        <v>0</v>
      </c>
      <c r="W90" s="119">
        <v>0</v>
      </c>
      <c r="X90" s="119" t="s">
        <v>1057</v>
      </c>
      <c r="Y90" s="119" t="s">
        <v>1058</v>
      </c>
      <c r="Z90" s="121"/>
    </row>
    <row r="91" spans="1:31" ht="12.75" customHeight="1" x14ac:dyDescent="0.25">
      <c r="A91" s="131" t="s">
        <v>1059</v>
      </c>
      <c r="B91" s="131" t="s">
        <v>767</v>
      </c>
      <c r="C91" s="131">
        <v>3</v>
      </c>
      <c r="D91" s="131" t="s">
        <v>1060</v>
      </c>
      <c r="E91" s="131" t="s">
        <v>1061</v>
      </c>
      <c r="F91" s="97" t="s">
        <v>1062</v>
      </c>
      <c r="G91" s="132" t="s">
        <v>499</v>
      </c>
      <c r="H91" s="132" t="s">
        <v>67</v>
      </c>
      <c r="I91" s="132" t="s">
        <v>672</v>
      </c>
      <c r="J91" s="132" t="s">
        <v>597</v>
      </c>
      <c r="K91" s="132" t="s">
        <v>584</v>
      </c>
      <c r="L91" s="132" t="s">
        <v>690</v>
      </c>
      <c r="M91" s="132" t="s">
        <v>665</v>
      </c>
      <c r="N91" s="132" t="s">
        <v>666</v>
      </c>
      <c r="O91" s="132" t="s">
        <v>709</v>
      </c>
      <c r="P91" s="132" t="s">
        <v>1063</v>
      </c>
      <c r="Q91" s="143" t="s">
        <v>596</v>
      </c>
      <c r="R91" s="132"/>
      <c r="S91" s="132" t="s">
        <v>669</v>
      </c>
      <c r="T91" s="132">
        <v>76400000</v>
      </c>
      <c r="U91" s="132">
        <v>56972409</v>
      </c>
      <c r="V91" s="132">
        <v>0</v>
      </c>
      <c r="W91" s="132">
        <v>0</v>
      </c>
      <c r="X91" s="135" t="s">
        <v>1064</v>
      </c>
      <c r="Y91" s="132" t="s">
        <v>943</v>
      </c>
      <c r="Z91" s="133"/>
      <c r="AA91" s="125"/>
      <c r="AB91" s="125"/>
      <c r="AC91" s="125"/>
      <c r="AD91" s="125"/>
      <c r="AE91" s="125"/>
    </row>
    <row r="92" spans="1:31" ht="12.75" customHeight="1" x14ac:dyDescent="0.25">
      <c r="A92" s="142"/>
      <c r="F92" s="142" t="s">
        <v>1065</v>
      </c>
      <c r="G92" s="137" t="s">
        <v>499</v>
      </c>
      <c r="H92" s="137" t="s">
        <v>461</v>
      </c>
      <c r="I92" s="137" t="s">
        <v>682</v>
      </c>
      <c r="J92" s="137" t="s">
        <v>1066</v>
      </c>
      <c r="K92" s="137" t="s">
        <v>663</v>
      </c>
      <c r="L92" s="137" t="s">
        <v>738</v>
      </c>
      <c r="M92" s="137" t="s">
        <v>665</v>
      </c>
      <c r="N92" s="137" t="s">
        <v>666</v>
      </c>
      <c r="O92" s="137" t="s">
        <v>716</v>
      </c>
      <c r="P92" s="137" t="s">
        <v>1067</v>
      </c>
      <c r="Q92" s="148" t="s">
        <v>1068</v>
      </c>
      <c r="R92" s="137"/>
      <c r="S92" s="137" t="s">
        <v>669</v>
      </c>
      <c r="T92" s="137">
        <v>50000000</v>
      </c>
      <c r="U92" s="137">
        <v>37285608</v>
      </c>
      <c r="V92" s="137">
        <v>0</v>
      </c>
      <c r="W92" s="137">
        <v>0</v>
      </c>
      <c r="X92" s="137" t="s">
        <v>1069</v>
      </c>
      <c r="Y92" s="141" t="s">
        <v>1070</v>
      </c>
      <c r="Z92" s="137"/>
      <c r="AA92" s="140"/>
      <c r="AB92" s="140"/>
      <c r="AC92" s="140"/>
      <c r="AD92" s="140"/>
      <c r="AE92" s="140"/>
    </row>
    <row r="93" spans="1:31" ht="12.75" customHeight="1" x14ac:dyDescent="0.25">
      <c r="A93" s="142"/>
      <c r="F93" s="142" t="s">
        <v>1065</v>
      </c>
      <c r="G93" s="137" t="s">
        <v>499</v>
      </c>
      <c r="H93" s="137" t="s">
        <v>67</v>
      </c>
      <c r="I93" s="137" t="s">
        <v>682</v>
      </c>
      <c r="J93" s="137" t="s">
        <v>1066</v>
      </c>
      <c r="K93" s="137" t="s">
        <v>663</v>
      </c>
      <c r="L93" s="137" t="s">
        <v>690</v>
      </c>
      <c r="M93" s="137" t="s">
        <v>665</v>
      </c>
      <c r="N93" s="137" t="s">
        <v>666</v>
      </c>
      <c r="O93" s="137" t="s">
        <v>709</v>
      </c>
      <c r="P93" s="137" t="s">
        <v>1067</v>
      </c>
      <c r="Q93" s="148" t="s">
        <v>1068</v>
      </c>
      <c r="R93" s="137"/>
      <c r="S93" s="137" t="s">
        <v>669</v>
      </c>
      <c r="T93" s="137">
        <v>50000000</v>
      </c>
      <c r="U93" s="137">
        <v>37285608</v>
      </c>
      <c r="V93" s="137">
        <v>0</v>
      </c>
      <c r="W93" s="137">
        <v>0</v>
      </c>
      <c r="X93" s="137" t="s">
        <v>1069</v>
      </c>
      <c r="Y93" s="141" t="s">
        <v>1070</v>
      </c>
      <c r="Z93" s="137"/>
      <c r="AA93" s="140"/>
      <c r="AB93" s="140"/>
      <c r="AC93" s="140"/>
      <c r="AD93" s="140"/>
      <c r="AE93" s="140"/>
    </row>
    <row r="94" spans="1:31" ht="12.75" customHeight="1" x14ac:dyDescent="0.25">
      <c r="A94"/>
      <c r="B94" s="129"/>
      <c r="C94" s="129"/>
      <c r="D94" s="129"/>
      <c r="E94" s="129"/>
      <c r="F94" s="127"/>
      <c r="G94" s="119" t="s">
        <v>499</v>
      </c>
      <c r="H94" s="119" t="s">
        <v>484</v>
      </c>
      <c r="I94" s="119" t="s">
        <v>693</v>
      </c>
      <c r="J94" s="119" t="s">
        <v>1071</v>
      </c>
      <c r="K94" s="119" t="s">
        <v>663</v>
      </c>
      <c r="L94" s="119" t="s">
        <v>664</v>
      </c>
      <c r="M94" s="119" t="s">
        <v>665</v>
      </c>
      <c r="N94" s="119" t="s">
        <v>666</v>
      </c>
      <c r="O94" s="119" t="s">
        <v>949</v>
      </c>
      <c r="P94" s="121"/>
      <c r="Q94" s="144">
        <v>44533</v>
      </c>
      <c r="R94" s="119"/>
      <c r="S94" s="119" t="s">
        <v>669</v>
      </c>
      <c r="T94" s="119">
        <v>112000000</v>
      </c>
      <c r="U94" s="119">
        <v>83519762</v>
      </c>
      <c r="V94" s="119">
        <v>0</v>
      </c>
      <c r="W94" s="119">
        <v>0</v>
      </c>
      <c r="X94" s="119" t="s">
        <v>1072</v>
      </c>
      <c r="Y94" s="119" t="s">
        <v>1073</v>
      </c>
      <c r="Z94" s="121"/>
    </row>
    <row r="95" spans="1:31" ht="12.75" customHeight="1" x14ac:dyDescent="0.25">
      <c r="A95"/>
      <c r="B95" s="128"/>
      <c r="C95" s="128"/>
      <c r="D95" s="128"/>
      <c r="E95" s="128"/>
      <c r="F95" s="127"/>
      <c r="G95" s="119" t="s">
        <v>499</v>
      </c>
      <c r="H95" s="119" t="s">
        <v>67</v>
      </c>
      <c r="I95" s="119" t="s">
        <v>693</v>
      </c>
      <c r="J95" s="119" t="s">
        <v>1071</v>
      </c>
      <c r="K95" s="119" t="s">
        <v>663</v>
      </c>
      <c r="L95" s="119" t="s">
        <v>664</v>
      </c>
      <c r="M95" s="119" t="s">
        <v>665</v>
      </c>
      <c r="N95" s="119" t="s">
        <v>666</v>
      </c>
      <c r="O95" s="119" t="s">
        <v>949</v>
      </c>
      <c r="P95" s="121"/>
      <c r="Q95" s="144">
        <v>44533</v>
      </c>
      <c r="R95" s="119"/>
      <c r="S95" s="119" t="s">
        <v>669</v>
      </c>
      <c r="T95" s="119">
        <v>247000000</v>
      </c>
      <c r="U95" s="119">
        <v>184190903</v>
      </c>
      <c r="V95" s="119">
        <v>0</v>
      </c>
      <c r="W95" s="119">
        <v>0</v>
      </c>
      <c r="X95" s="119" t="s">
        <v>1072</v>
      </c>
      <c r="Y95" s="119" t="s">
        <v>1073</v>
      </c>
      <c r="Z95" s="121"/>
    </row>
    <row r="96" spans="1:31" ht="12.75" customHeight="1" x14ac:dyDescent="0.25">
      <c r="A96" s="131" t="s">
        <v>913</v>
      </c>
      <c r="B96" s="97" t="s">
        <v>1074</v>
      </c>
      <c r="C96" s="131">
        <v>1</v>
      </c>
      <c r="D96" s="131">
        <v>2021</v>
      </c>
      <c r="E96" s="131">
        <v>2022</v>
      </c>
      <c r="F96" s="97" t="s">
        <v>915</v>
      </c>
      <c r="G96" s="132" t="s">
        <v>499</v>
      </c>
      <c r="H96" s="132" t="s">
        <v>470</v>
      </c>
      <c r="I96" s="132" t="s">
        <v>661</v>
      </c>
      <c r="J96" s="132" t="s">
        <v>600</v>
      </c>
      <c r="K96" s="132" t="s">
        <v>584</v>
      </c>
      <c r="L96" s="132" t="s">
        <v>855</v>
      </c>
      <c r="M96" s="132" t="s">
        <v>684</v>
      </c>
      <c r="N96" s="132" t="s">
        <v>666</v>
      </c>
      <c r="O96" s="132" t="s">
        <v>869</v>
      </c>
      <c r="P96" s="132" t="s">
        <v>1075</v>
      </c>
      <c r="Q96" s="143" t="s">
        <v>602</v>
      </c>
      <c r="R96" s="132"/>
      <c r="S96" s="132" t="s">
        <v>669</v>
      </c>
      <c r="T96" s="132">
        <v>50000000</v>
      </c>
      <c r="U96" s="132">
        <v>37285608</v>
      </c>
      <c r="V96" s="132">
        <v>0</v>
      </c>
      <c r="W96" s="132">
        <v>0</v>
      </c>
      <c r="X96" s="132" t="s">
        <v>1076</v>
      </c>
      <c r="Y96" s="134" t="s">
        <v>1077</v>
      </c>
      <c r="Z96" s="132"/>
      <c r="AA96" s="125"/>
      <c r="AB96" s="125"/>
      <c r="AC96" s="125"/>
      <c r="AD96" s="125"/>
      <c r="AE96" s="125"/>
    </row>
    <row r="97" spans="1:31" ht="12.75" customHeight="1" x14ac:dyDescent="0.25">
      <c r="A97"/>
      <c r="B97" s="129"/>
      <c r="C97" s="129"/>
      <c r="D97" s="129"/>
      <c r="E97" s="129"/>
      <c r="F97" s="127"/>
      <c r="G97" s="119" t="s">
        <v>499</v>
      </c>
      <c r="H97" s="119" t="s">
        <v>460</v>
      </c>
      <c r="I97" s="119" t="s">
        <v>682</v>
      </c>
      <c r="J97" s="119" t="s">
        <v>1078</v>
      </c>
      <c r="K97" s="119" t="s">
        <v>798</v>
      </c>
      <c r="L97" s="119" t="s">
        <v>819</v>
      </c>
      <c r="M97" s="119" t="s">
        <v>819</v>
      </c>
      <c r="N97" s="119" t="s">
        <v>666</v>
      </c>
      <c r="O97" s="119" t="s">
        <v>1045</v>
      </c>
      <c r="P97" s="119" t="s">
        <v>1079</v>
      </c>
      <c r="Q97" s="146" t="s">
        <v>1080</v>
      </c>
      <c r="R97" s="119"/>
      <c r="S97" s="119" t="s">
        <v>669</v>
      </c>
      <c r="T97" s="119">
        <v>5600000</v>
      </c>
      <c r="U97" s="119">
        <v>4175989</v>
      </c>
      <c r="V97" s="119">
        <v>0</v>
      </c>
      <c r="W97" s="119">
        <v>0</v>
      </c>
      <c r="X97" s="119" t="s">
        <v>1081</v>
      </c>
      <c r="Y97" s="122" t="s">
        <v>1082</v>
      </c>
      <c r="Z97" s="119"/>
    </row>
    <row r="98" spans="1:31" ht="12.75" customHeight="1" x14ac:dyDescent="0.25">
      <c r="A98"/>
      <c r="B98" s="126"/>
      <c r="C98" s="126"/>
      <c r="D98" s="126"/>
      <c r="E98" s="126"/>
      <c r="F98" s="127"/>
      <c r="G98" s="119" t="s">
        <v>499</v>
      </c>
      <c r="H98" s="119" t="s">
        <v>484</v>
      </c>
      <c r="I98" s="119" t="s">
        <v>693</v>
      </c>
      <c r="J98" s="119" t="s">
        <v>1083</v>
      </c>
      <c r="K98" s="119" t="s">
        <v>663</v>
      </c>
      <c r="L98" s="119" t="s">
        <v>664</v>
      </c>
      <c r="M98" s="119" t="s">
        <v>665</v>
      </c>
      <c r="N98" s="119" t="s">
        <v>666</v>
      </c>
      <c r="O98" s="119" t="s">
        <v>722</v>
      </c>
      <c r="P98" s="119" t="s">
        <v>1084</v>
      </c>
      <c r="Q98" s="144">
        <v>44289</v>
      </c>
      <c r="R98" s="119"/>
      <c r="S98" s="119" t="s">
        <v>669</v>
      </c>
      <c r="T98" s="119">
        <v>54300000</v>
      </c>
      <c r="U98" s="119">
        <v>40492171</v>
      </c>
      <c r="V98" s="119">
        <v>0</v>
      </c>
      <c r="W98" s="119">
        <v>0</v>
      </c>
      <c r="X98" s="119" t="s">
        <v>1085</v>
      </c>
      <c r="Y98" s="122" t="s">
        <v>1086</v>
      </c>
      <c r="Z98" s="119"/>
    </row>
    <row r="99" spans="1:31" ht="12.75" customHeight="1" x14ac:dyDescent="0.25">
      <c r="A99"/>
      <c r="B99" s="126"/>
      <c r="C99" s="126"/>
      <c r="D99" s="126"/>
      <c r="E99" s="126"/>
      <c r="F99" s="127"/>
      <c r="G99" s="119" t="s">
        <v>499</v>
      </c>
      <c r="H99" s="119" t="s">
        <v>484</v>
      </c>
      <c r="I99" s="119" t="s">
        <v>693</v>
      </c>
      <c r="J99" s="119" t="s">
        <v>1087</v>
      </c>
      <c r="K99" s="119" t="s">
        <v>663</v>
      </c>
      <c r="L99" s="119" t="s">
        <v>675</v>
      </c>
      <c r="M99" s="119" t="s">
        <v>665</v>
      </c>
      <c r="N99" s="119" t="s">
        <v>666</v>
      </c>
      <c r="O99" s="119" t="s">
        <v>722</v>
      </c>
      <c r="P99" s="119" t="s">
        <v>1084</v>
      </c>
      <c r="Q99" s="144">
        <v>44289</v>
      </c>
      <c r="R99" s="119"/>
      <c r="S99" s="119" t="s">
        <v>669</v>
      </c>
      <c r="T99" s="119">
        <v>26500000</v>
      </c>
      <c r="U99" s="119">
        <v>19761373</v>
      </c>
      <c r="V99" s="119">
        <v>0</v>
      </c>
      <c r="W99" s="119">
        <v>0</v>
      </c>
      <c r="X99" s="119" t="s">
        <v>1088</v>
      </c>
      <c r="Y99" s="122" t="s">
        <v>1086</v>
      </c>
      <c r="Z99" s="119"/>
    </row>
    <row r="100" spans="1:31" ht="12.75" customHeight="1" x14ac:dyDescent="0.25">
      <c r="A100"/>
      <c r="B100" s="128"/>
      <c r="C100" s="128"/>
      <c r="D100" s="128"/>
      <c r="E100" s="128"/>
      <c r="F100" s="127"/>
      <c r="G100" s="119" t="s">
        <v>499</v>
      </c>
      <c r="H100" s="119" t="s">
        <v>484</v>
      </c>
      <c r="I100" s="119" t="s">
        <v>682</v>
      </c>
      <c r="J100" s="119" t="s">
        <v>1089</v>
      </c>
      <c r="K100" s="119" t="s">
        <v>798</v>
      </c>
      <c r="L100" s="119" t="s">
        <v>819</v>
      </c>
      <c r="M100" s="119" t="s">
        <v>676</v>
      </c>
      <c r="N100" s="119" t="s">
        <v>666</v>
      </c>
      <c r="O100" s="119" t="s">
        <v>722</v>
      </c>
      <c r="P100" s="119" t="s">
        <v>1079</v>
      </c>
      <c r="Q100" s="144">
        <v>44289</v>
      </c>
      <c r="R100" s="119"/>
      <c r="S100" s="119" t="s">
        <v>669</v>
      </c>
      <c r="T100" s="119">
        <v>25200000</v>
      </c>
      <c r="U100" s="119">
        <v>18791947</v>
      </c>
      <c r="V100" s="119">
        <v>0</v>
      </c>
      <c r="W100" s="119">
        <v>0</v>
      </c>
      <c r="X100" s="119" t="s">
        <v>1090</v>
      </c>
      <c r="Y100" s="122" t="s">
        <v>1091</v>
      </c>
      <c r="Z100" s="119"/>
    </row>
    <row r="101" spans="1:31" ht="12.75" customHeight="1" x14ac:dyDescent="0.25">
      <c r="A101" s="142"/>
      <c r="F101" s="142"/>
      <c r="G101" s="132" t="s">
        <v>499</v>
      </c>
      <c r="H101" s="132" t="s">
        <v>418</v>
      </c>
      <c r="I101" s="132" t="s">
        <v>661</v>
      </c>
      <c r="J101" s="132" t="s">
        <v>1092</v>
      </c>
      <c r="K101" s="132" t="s">
        <v>674</v>
      </c>
      <c r="L101" s="132" t="s">
        <v>675</v>
      </c>
      <c r="M101" s="132" t="s">
        <v>819</v>
      </c>
      <c r="N101" s="132" t="s">
        <v>666</v>
      </c>
      <c r="O101" s="132" t="s">
        <v>1093</v>
      </c>
      <c r="P101" s="132" t="s">
        <v>1094</v>
      </c>
      <c r="Q101" s="143" t="s">
        <v>1095</v>
      </c>
      <c r="R101" s="132"/>
      <c r="S101" s="132" t="s">
        <v>669</v>
      </c>
      <c r="T101" s="132">
        <v>50000000</v>
      </c>
      <c r="U101" s="132">
        <v>37285608</v>
      </c>
      <c r="V101" s="132">
        <v>0</v>
      </c>
      <c r="W101" s="132">
        <v>0</v>
      </c>
      <c r="X101" s="132" t="s">
        <v>1096</v>
      </c>
      <c r="Y101" s="132" t="s">
        <v>1097</v>
      </c>
      <c r="Z101" s="133"/>
      <c r="AA101" s="125"/>
      <c r="AB101" s="125"/>
      <c r="AC101" s="125"/>
      <c r="AD101" s="125"/>
      <c r="AE101" s="125"/>
    </row>
    <row r="102" spans="1:31" ht="12.75" customHeight="1" x14ac:dyDescent="0.25">
      <c r="A102"/>
      <c r="B102" s="129"/>
      <c r="C102" s="129"/>
      <c r="D102" s="129"/>
      <c r="E102" s="129"/>
      <c r="F102" s="127"/>
      <c r="G102" s="119" t="s">
        <v>499</v>
      </c>
      <c r="H102" s="119" t="s">
        <v>484</v>
      </c>
      <c r="I102" s="119" t="s">
        <v>682</v>
      </c>
      <c r="J102" s="119" t="s">
        <v>1098</v>
      </c>
      <c r="K102" s="119" t="s">
        <v>663</v>
      </c>
      <c r="L102" s="119" t="s">
        <v>738</v>
      </c>
      <c r="M102" s="119" t="s">
        <v>665</v>
      </c>
      <c r="N102" s="119" t="s">
        <v>666</v>
      </c>
      <c r="O102" s="119" t="s">
        <v>722</v>
      </c>
      <c r="P102" s="119" t="s">
        <v>1079</v>
      </c>
      <c r="Q102" s="144">
        <v>44289</v>
      </c>
      <c r="R102" s="119"/>
      <c r="S102" s="119" t="s">
        <v>669</v>
      </c>
      <c r="T102" s="119">
        <v>1600000</v>
      </c>
      <c r="U102" s="119">
        <v>1193140</v>
      </c>
      <c r="V102" s="119">
        <v>0</v>
      </c>
      <c r="W102" s="119">
        <v>0</v>
      </c>
      <c r="X102" s="119" t="s">
        <v>1099</v>
      </c>
      <c r="Y102" s="122" t="s">
        <v>1100</v>
      </c>
      <c r="Z102" s="119"/>
    </row>
    <row r="103" spans="1:31" ht="12.75" customHeight="1" x14ac:dyDescent="0.25">
      <c r="A103"/>
      <c r="B103" s="126"/>
      <c r="C103" s="126"/>
      <c r="D103" s="126"/>
      <c r="E103" s="126"/>
      <c r="F103" s="127"/>
      <c r="G103" s="119" t="s">
        <v>499</v>
      </c>
      <c r="H103" s="119" t="s">
        <v>450</v>
      </c>
      <c r="I103" s="119" t="s">
        <v>682</v>
      </c>
      <c r="J103" s="119" t="s">
        <v>1101</v>
      </c>
      <c r="K103" s="119" t="s">
        <v>663</v>
      </c>
      <c r="L103" s="119" t="s">
        <v>738</v>
      </c>
      <c r="M103" s="119" t="s">
        <v>665</v>
      </c>
      <c r="N103" s="119" t="s">
        <v>666</v>
      </c>
      <c r="O103" s="119" t="s">
        <v>685</v>
      </c>
      <c r="P103" s="119" t="s">
        <v>1102</v>
      </c>
      <c r="Q103" s="146" t="s">
        <v>1103</v>
      </c>
      <c r="R103" s="119"/>
      <c r="S103" s="119" t="s">
        <v>669</v>
      </c>
      <c r="T103" s="119">
        <v>9500000</v>
      </c>
      <c r="U103" s="119">
        <v>7084266</v>
      </c>
      <c r="V103" s="119">
        <v>0</v>
      </c>
      <c r="W103" s="119">
        <v>0</v>
      </c>
      <c r="X103" s="119" t="s">
        <v>1104</v>
      </c>
      <c r="Y103" s="119" t="s">
        <v>1105</v>
      </c>
      <c r="Z103" s="121"/>
    </row>
    <row r="104" spans="1:31" ht="12.75" customHeight="1" x14ac:dyDescent="0.25">
      <c r="A104"/>
      <c r="B104" s="126"/>
      <c r="C104" s="126"/>
      <c r="D104" s="126"/>
      <c r="E104" s="126"/>
      <c r="F104" s="127"/>
      <c r="G104" s="119" t="s">
        <v>499</v>
      </c>
      <c r="H104" s="119" t="s">
        <v>450</v>
      </c>
      <c r="I104" s="119" t="s">
        <v>672</v>
      </c>
      <c r="J104" s="119" t="s">
        <v>1106</v>
      </c>
      <c r="K104" s="119" t="s">
        <v>798</v>
      </c>
      <c r="L104" s="119" t="s">
        <v>738</v>
      </c>
      <c r="M104" s="119" t="s">
        <v>665</v>
      </c>
      <c r="N104" s="119" t="s">
        <v>666</v>
      </c>
      <c r="O104" s="119" t="s">
        <v>685</v>
      </c>
      <c r="P104" s="119" t="s">
        <v>1107</v>
      </c>
      <c r="Q104" s="146" t="s">
        <v>1103</v>
      </c>
      <c r="R104" s="119"/>
      <c r="S104" s="119" t="s">
        <v>669</v>
      </c>
      <c r="T104" s="119">
        <v>9500000</v>
      </c>
      <c r="U104" s="119">
        <v>7084266</v>
      </c>
      <c r="V104" s="119">
        <v>0</v>
      </c>
      <c r="W104" s="119">
        <v>0</v>
      </c>
      <c r="X104" s="119" t="s">
        <v>1108</v>
      </c>
      <c r="Y104" s="119" t="s">
        <v>1109</v>
      </c>
      <c r="Z104" s="121"/>
    </row>
    <row r="105" spans="1:31" ht="12.75" customHeight="1" x14ac:dyDescent="0.25">
      <c r="A105"/>
      <c r="B105" s="128"/>
      <c r="C105" s="128"/>
      <c r="D105" s="128"/>
      <c r="E105" s="128"/>
      <c r="F105" s="127"/>
      <c r="G105" s="119" t="s">
        <v>499</v>
      </c>
      <c r="H105" s="119" t="s">
        <v>418</v>
      </c>
      <c r="I105" s="119" t="s">
        <v>693</v>
      </c>
      <c r="J105" s="119" t="s">
        <v>1110</v>
      </c>
      <c r="K105" s="119" t="s">
        <v>663</v>
      </c>
      <c r="L105" s="119" t="s">
        <v>664</v>
      </c>
      <c r="M105" s="119" t="s">
        <v>665</v>
      </c>
      <c r="N105" s="119" t="s">
        <v>666</v>
      </c>
      <c r="O105" s="119" t="s">
        <v>977</v>
      </c>
      <c r="P105" s="119" t="s">
        <v>1111</v>
      </c>
      <c r="Q105" s="146" t="s">
        <v>1112</v>
      </c>
      <c r="R105" s="119"/>
      <c r="S105" s="119" t="s">
        <v>669</v>
      </c>
      <c r="T105" s="119">
        <v>3900000000</v>
      </c>
      <c r="U105" s="119">
        <v>2908277405</v>
      </c>
      <c r="V105" s="119">
        <v>0</v>
      </c>
      <c r="W105" s="119">
        <v>0</v>
      </c>
      <c r="X105" s="122" t="s">
        <v>1113</v>
      </c>
      <c r="Y105" s="119" t="s">
        <v>1114</v>
      </c>
      <c r="Z105" s="121"/>
    </row>
    <row r="106" spans="1:31" ht="12.75" customHeight="1" x14ac:dyDescent="0.25">
      <c r="A106" s="131" t="s">
        <v>975</v>
      </c>
      <c r="B106" s="131" t="s">
        <v>1115</v>
      </c>
      <c r="C106" s="131">
        <v>1</v>
      </c>
      <c r="D106" s="131">
        <v>2021</v>
      </c>
      <c r="E106" s="131">
        <v>2021</v>
      </c>
      <c r="G106" s="132" t="s">
        <v>499</v>
      </c>
      <c r="H106" s="132" t="s">
        <v>67</v>
      </c>
      <c r="I106" s="132" t="s">
        <v>672</v>
      </c>
      <c r="J106" s="132" t="s">
        <v>605</v>
      </c>
      <c r="K106" s="132" t="s">
        <v>584</v>
      </c>
      <c r="L106" s="132" t="s">
        <v>1116</v>
      </c>
      <c r="M106" s="132" t="s">
        <v>676</v>
      </c>
      <c r="N106" s="132" t="s">
        <v>666</v>
      </c>
      <c r="O106" s="132" t="s">
        <v>949</v>
      </c>
      <c r="P106" s="132" t="s">
        <v>1117</v>
      </c>
      <c r="Q106" s="147">
        <v>44533</v>
      </c>
      <c r="R106" s="132"/>
      <c r="S106" s="132" t="s">
        <v>669</v>
      </c>
      <c r="T106" s="132">
        <v>40500000</v>
      </c>
      <c r="U106" s="132">
        <v>30201343</v>
      </c>
      <c r="V106" s="132">
        <v>0</v>
      </c>
      <c r="W106" s="132">
        <v>0</v>
      </c>
      <c r="X106" s="132" t="s">
        <v>1118</v>
      </c>
      <c r="Y106" s="136" t="s">
        <v>1119</v>
      </c>
      <c r="Z106" s="133"/>
      <c r="AA106" s="125"/>
      <c r="AB106" s="125"/>
      <c r="AC106" s="125"/>
      <c r="AD106" s="125"/>
      <c r="AE106" s="125"/>
    </row>
    <row r="107" spans="1:31" ht="12.75" customHeight="1" x14ac:dyDescent="0.25">
      <c r="A107"/>
      <c r="B107" s="129"/>
      <c r="C107" s="129"/>
      <c r="D107" s="129"/>
      <c r="E107" s="129"/>
      <c r="F107" s="127"/>
      <c r="G107" s="119" t="s">
        <v>499</v>
      </c>
      <c r="H107" s="119" t="s">
        <v>418</v>
      </c>
      <c r="I107" s="119" t="s">
        <v>790</v>
      </c>
      <c r="J107" s="119" t="s">
        <v>1120</v>
      </c>
      <c r="K107" s="119" t="s">
        <v>674</v>
      </c>
      <c r="L107" s="119" t="s">
        <v>738</v>
      </c>
      <c r="M107" s="119" t="s">
        <v>676</v>
      </c>
      <c r="N107" s="119" t="s">
        <v>666</v>
      </c>
      <c r="O107" s="119" t="s">
        <v>977</v>
      </c>
      <c r="P107" s="119" t="s">
        <v>1121</v>
      </c>
      <c r="Q107" s="146" t="s">
        <v>861</v>
      </c>
      <c r="R107" s="119"/>
      <c r="S107" s="119" t="s">
        <v>669</v>
      </c>
      <c r="T107" s="119">
        <v>28000000</v>
      </c>
      <c r="U107" s="119">
        <v>20879941</v>
      </c>
      <c r="V107" s="119">
        <v>0</v>
      </c>
      <c r="W107" s="119">
        <v>0</v>
      </c>
      <c r="X107" s="119" t="s">
        <v>1122</v>
      </c>
      <c r="Y107" s="119" t="s">
        <v>1123</v>
      </c>
      <c r="Z107" s="121"/>
    </row>
    <row r="108" spans="1:31" ht="12.75" customHeight="1" x14ac:dyDescent="0.25">
      <c r="A108"/>
      <c r="B108" s="126"/>
      <c r="C108" s="126"/>
      <c r="D108" s="126"/>
      <c r="E108" s="126"/>
      <c r="F108" s="127"/>
      <c r="G108" s="119" t="s">
        <v>499</v>
      </c>
      <c r="H108" s="119" t="s">
        <v>470</v>
      </c>
      <c r="I108" s="119" t="s">
        <v>693</v>
      </c>
      <c r="J108" s="119" t="s">
        <v>1124</v>
      </c>
      <c r="K108" s="119" t="s">
        <v>663</v>
      </c>
      <c r="L108" s="119" t="s">
        <v>855</v>
      </c>
      <c r="M108" s="119" t="s">
        <v>665</v>
      </c>
      <c r="N108" s="119" t="s">
        <v>666</v>
      </c>
      <c r="O108" s="119" t="s">
        <v>869</v>
      </c>
      <c r="P108" s="119" t="s">
        <v>1125</v>
      </c>
      <c r="Q108" s="146" t="s">
        <v>1126</v>
      </c>
      <c r="R108" s="119" t="s">
        <v>1126</v>
      </c>
      <c r="S108" s="119" t="s">
        <v>669</v>
      </c>
      <c r="T108" s="119">
        <v>265000000</v>
      </c>
      <c r="U108" s="119">
        <v>197613722</v>
      </c>
      <c r="V108" s="119">
        <v>0</v>
      </c>
      <c r="W108" s="119">
        <v>0</v>
      </c>
      <c r="X108" s="122" t="s">
        <v>1127</v>
      </c>
      <c r="Y108" s="119" t="s">
        <v>1128</v>
      </c>
      <c r="Z108" s="121"/>
    </row>
    <row r="109" spans="1:31" ht="12.75" customHeight="1" x14ac:dyDescent="0.25">
      <c r="A109"/>
      <c r="B109" s="128"/>
      <c r="C109" s="128"/>
      <c r="D109" s="128"/>
      <c r="E109" s="128"/>
      <c r="F109" s="127"/>
      <c r="G109" s="119" t="s">
        <v>499</v>
      </c>
      <c r="H109" s="119" t="s">
        <v>461</v>
      </c>
      <c r="I109" s="119" t="s">
        <v>693</v>
      </c>
      <c r="J109" s="119" t="s">
        <v>1129</v>
      </c>
      <c r="K109" s="119" t="s">
        <v>674</v>
      </c>
      <c r="L109" s="119" t="s">
        <v>701</v>
      </c>
      <c r="M109" s="119" t="s">
        <v>676</v>
      </c>
      <c r="N109" s="119" t="s">
        <v>666</v>
      </c>
      <c r="O109" s="119" t="s">
        <v>716</v>
      </c>
      <c r="P109" s="119" t="s">
        <v>1130</v>
      </c>
      <c r="Q109" s="146" t="s">
        <v>1131</v>
      </c>
      <c r="R109" s="119"/>
      <c r="S109" s="119" t="s">
        <v>669</v>
      </c>
      <c r="T109" s="119">
        <v>10600000</v>
      </c>
      <c r="U109" s="119">
        <v>7904549</v>
      </c>
      <c r="V109" s="119">
        <v>0</v>
      </c>
      <c r="W109" s="119">
        <v>0</v>
      </c>
      <c r="X109" s="119" t="s">
        <v>1132</v>
      </c>
      <c r="Y109" s="119" t="s">
        <v>1133</v>
      </c>
      <c r="Z109" s="121"/>
    </row>
    <row r="110" spans="1:31" ht="12.75" customHeight="1" x14ac:dyDescent="0.25">
      <c r="A110"/>
      <c r="G110" s="119" t="s">
        <v>499</v>
      </c>
      <c r="H110" s="119" t="s">
        <v>484</v>
      </c>
      <c r="I110" s="119" t="s">
        <v>672</v>
      </c>
      <c r="J110" s="119" t="s">
        <v>609</v>
      </c>
      <c r="K110" s="119" t="s">
        <v>584</v>
      </c>
      <c r="L110" s="119" t="s">
        <v>690</v>
      </c>
      <c r="M110" s="119" t="s">
        <v>702</v>
      </c>
      <c r="N110" s="119" t="s">
        <v>677</v>
      </c>
      <c r="O110" s="119" t="s">
        <v>722</v>
      </c>
      <c r="P110" s="119" t="s">
        <v>1134</v>
      </c>
      <c r="Q110" s="144">
        <v>44502</v>
      </c>
      <c r="R110" s="119"/>
      <c r="S110" s="119" t="s">
        <v>669</v>
      </c>
      <c r="T110" s="119">
        <v>0</v>
      </c>
      <c r="U110" s="119">
        <v>0</v>
      </c>
      <c r="V110" s="119">
        <v>0</v>
      </c>
      <c r="W110" s="119">
        <v>0</v>
      </c>
      <c r="X110" s="119" t="s">
        <v>1135</v>
      </c>
      <c r="Y110" s="119" t="s">
        <v>1136</v>
      </c>
      <c r="Z110" s="121"/>
    </row>
    <row r="111" spans="1:31" ht="12.75" customHeight="1" x14ac:dyDescent="0.25">
      <c r="A111"/>
      <c r="B111" s="129"/>
      <c r="C111" s="129"/>
      <c r="D111" s="129"/>
      <c r="E111" s="129"/>
      <c r="F111" s="127"/>
      <c r="G111" s="119" t="s">
        <v>499</v>
      </c>
      <c r="H111" s="119" t="s">
        <v>67</v>
      </c>
      <c r="I111" s="119" t="s">
        <v>682</v>
      </c>
      <c r="J111" s="119" t="s">
        <v>1137</v>
      </c>
      <c r="K111" s="119" t="s">
        <v>749</v>
      </c>
      <c r="L111" s="119" t="s">
        <v>690</v>
      </c>
      <c r="M111" s="119" t="s">
        <v>691</v>
      </c>
      <c r="N111" s="119" t="s">
        <v>666</v>
      </c>
      <c r="O111" s="119" t="s">
        <v>175</v>
      </c>
      <c r="P111" s="119" t="s">
        <v>1138</v>
      </c>
      <c r="Q111" s="144">
        <v>44238</v>
      </c>
      <c r="R111" s="119"/>
      <c r="S111" s="119" t="s">
        <v>669</v>
      </c>
      <c r="T111" s="119">
        <v>10600000</v>
      </c>
      <c r="U111" s="119">
        <v>7904549</v>
      </c>
      <c r="V111" s="119">
        <v>0</v>
      </c>
      <c r="W111" s="119">
        <v>0</v>
      </c>
      <c r="X111" s="119" t="s">
        <v>1139</v>
      </c>
      <c r="Y111" s="119" t="s">
        <v>1140</v>
      </c>
      <c r="Z111" s="121"/>
    </row>
    <row r="112" spans="1:31" ht="12.75" customHeight="1" x14ac:dyDescent="0.25">
      <c r="A112"/>
      <c r="B112" s="126"/>
      <c r="C112" s="126"/>
      <c r="D112" s="126"/>
      <c r="E112" s="126"/>
      <c r="F112" s="127"/>
      <c r="G112" s="119" t="s">
        <v>499</v>
      </c>
      <c r="H112" s="119" t="s">
        <v>67</v>
      </c>
      <c r="I112" s="119" t="s">
        <v>661</v>
      </c>
      <c r="J112" s="119" t="s">
        <v>1141</v>
      </c>
      <c r="K112" s="119" t="s">
        <v>674</v>
      </c>
      <c r="L112" s="119" t="s">
        <v>738</v>
      </c>
      <c r="M112" s="119" t="s">
        <v>691</v>
      </c>
      <c r="N112" s="119" t="s">
        <v>666</v>
      </c>
      <c r="O112" s="119" t="s">
        <v>175</v>
      </c>
      <c r="P112" s="119" t="s">
        <v>1138</v>
      </c>
      <c r="Q112" s="144">
        <v>44502</v>
      </c>
      <c r="R112" s="119"/>
      <c r="S112" s="119" t="s">
        <v>669</v>
      </c>
      <c r="T112" s="119">
        <v>9200000</v>
      </c>
      <c r="U112" s="119">
        <v>6860552</v>
      </c>
      <c r="V112" s="119">
        <v>0</v>
      </c>
      <c r="W112" s="119">
        <v>0</v>
      </c>
      <c r="X112" s="119" t="s">
        <v>1142</v>
      </c>
      <c r="Y112" s="119" t="s">
        <v>1140</v>
      </c>
      <c r="Z112" s="121"/>
    </row>
    <row r="113" spans="1:31" ht="12.75" customHeight="1" x14ac:dyDescent="0.25">
      <c r="A113"/>
      <c r="B113" s="128"/>
      <c r="C113" s="128"/>
      <c r="D113" s="128"/>
      <c r="E113" s="128"/>
      <c r="F113" s="127"/>
      <c r="G113" s="119" t="s">
        <v>499</v>
      </c>
      <c r="H113" s="119" t="s">
        <v>67</v>
      </c>
      <c r="I113" s="119" t="s">
        <v>682</v>
      </c>
      <c r="J113" s="119" t="s">
        <v>1143</v>
      </c>
      <c r="K113" s="119" t="s">
        <v>663</v>
      </c>
      <c r="L113" s="119" t="s">
        <v>738</v>
      </c>
      <c r="M113" s="119" t="s">
        <v>665</v>
      </c>
      <c r="N113" s="119" t="s">
        <v>666</v>
      </c>
      <c r="O113" s="119" t="s">
        <v>709</v>
      </c>
      <c r="P113" s="119" t="s">
        <v>1144</v>
      </c>
      <c r="Q113" s="144">
        <v>44471</v>
      </c>
      <c r="R113" s="119"/>
      <c r="S113" s="119" t="s">
        <v>669</v>
      </c>
      <c r="T113" s="124">
        <v>14900000000</v>
      </c>
      <c r="U113" s="124">
        <v>11111000000</v>
      </c>
      <c r="V113" s="119">
        <v>0</v>
      </c>
      <c r="W113" s="119">
        <v>0</v>
      </c>
      <c r="X113" s="122" t="s">
        <v>1145</v>
      </c>
      <c r="Y113" s="119" t="s">
        <v>1146</v>
      </c>
      <c r="Z113" s="121"/>
    </row>
    <row r="114" spans="1:31" ht="12.75" customHeight="1" x14ac:dyDescent="0.25">
      <c r="A114"/>
      <c r="G114" s="119" t="s">
        <v>499</v>
      </c>
      <c r="H114" s="119" t="s">
        <v>461</v>
      </c>
      <c r="I114" s="119" t="s">
        <v>672</v>
      </c>
      <c r="J114" s="119" t="s">
        <v>611</v>
      </c>
      <c r="K114" s="119" t="s">
        <v>584</v>
      </c>
      <c r="L114" s="119" t="s">
        <v>557</v>
      </c>
      <c r="M114" s="119" t="s">
        <v>676</v>
      </c>
      <c r="N114" s="119" t="s">
        <v>1147</v>
      </c>
      <c r="O114" s="119" t="s">
        <v>1148</v>
      </c>
      <c r="P114" s="119" t="s">
        <v>1149</v>
      </c>
      <c r="Q114" s="144">
        <v>44288</v>
      </c>
      <c r="R114" s="119"/>
      <c r="S114" s="119" t="s">
        <v>669</v>
      </c>
      <c r="T114" s="119">
        <v>0</v>
      </c>
      <c r="U114" s="119">
        <v>0</v>
      </c>
      <c r="V114" s="119">
        <v>0</v>
      </c>
      <c r="W114" s="119">
        <v>0</v>
      </c>
      <c r="X114" s="122" t="s">
        <v>1150</v>
      </c>
      <c r="Y114" s="119" t="s">
        <v>1151</v>
      </c>
      <c r="Z114" s="121"/>
    </row>
    <row r="115" spans="1:31" ht="12.75" customHeight="1" x14ac:dyDescent="0.25">
      <c r="A115"/>
      <c r="B115" s="129"/>
      <c r="C115" s="129"/>
      <c r="D115" s="129"/>
      <c r="E115" s="129"/>
      <c r="F115" s="127"/>
      <c r="G115" s="119" t="s">
        <v>499</v>
      </c>
      <c r="H115" s="119" t="s">
        <v>67</v>
      </c>
      <c r="I115" s="119" t="s">
        <v>693</v>
      </c>
      <c r="J115" s="119" t="s">
        <v>1152</v>
      </c>
      <c r="K115" s="119" t="s">
        <v>663</v>
      </c>
      <c r="L115" s="119" t="s">
        <v>664</v>
      </c>
      <c r="M115" s="119" t="s">
        <v>665</v>
      </c>
      <c r="N115" s="119" t="s">
        <v>666</v>
      </c>
      <c r="O115" s="119" t="s">
        <v>709</v>
      </c>
      <c r="P115" s="119" t="s">
        <v>1055</v>
      </c>
      <c r="Q115" s="144">
        <v>44198</v>
      </c>
      <c r="R115" s="119"/>
      <c r="S115" s="119" t="s">
        <v>669</v>
      </c>
      <c r="T115" s="119">
        <v>12031000</v>
      </c>
      <c r="U115" s="119">
        <v>8971663</v>
      </c>
      <c r="V115" s="119">
        <v>0</v>
      </c>
      <c r="W115" s="119">
        <v>0</v>
      </c>
      <c r="X115" s="119" t="s">
        <v>1153</v>
      </c>
      <c r="Y115" s="119" t="s">
        <v>1154</v>
      </c>
      <c r="Z115" s="121"/>
    </row>
    <row r="116" spans="1:31" ht="12.75" customHeight="1" x14ac:dyDescent="0.25">
      <c r="A116"/>
      <c r="B116" s="126"/>
      <c r="C116" s="126"/>
      <c r="D116" s="126"/>
      <c r="E116" s="126"/>
      <c r="F116" s="127"/>
      <c r="G116" s="119" t="s">
        <v>499</v>
      </c>
      <c r="H116" s="119" t="s">
        <v>429</v>
      </c>
      <c r="I116" s="119" t="s">
        <v>682</v>
      </c>
      <c r="J116" s="119" t="s">
        <v>1155</v>
      </c>
      <c r="K116" s="119" t="s">
        <v>663</v>
      </c>
      <c r="L116" s="119" t="s">
        <v>738</v>
      </c>
      <c r="M116" s="119" t="s">
        <v>665</v>
      </c>
      <c r="N116" s="119" t="s">
        <v>666</v>
      </c>
      <c r="O116" s="119" t="s">
        <v>695</v>
      </c>
      <c r="P116" s="119" t="s">
        <v>1156</v>
      </c>
      <c r="Q116" s="144">
        <v>44198</v>
      </c>
      <c r="R116" s="119"/>
      <c r="S116" s="119" t="s">
        <v>669</v>
      </c>
      <c r="T116" s="119">
        <v>0</v>
      </c>
      <c r="U116" s="119">
        <v>0</v>
      </c>
      <c r="V116" s="119">
        <v>0</v>
      </c>
      <c r="W116" s="119">
        <v>0</v>
      </c>
      <c r="X116" s="119" t="s">
        <v>1157</v>
      </c>
      <c r="Y116" s="119" t="s">
        <v>1158</v>
      </c>
      <c r="Z116" s="121"/>
    </row>
    <row r="117" spans="1:31" ht="12.75" customHeight="1" x14ac:dyDescent="0.25">
      <c r="A117"/>
      <c r="B117" s="126"/>
      <c r="C117" s="126"/>
      <c r="D117" s="126"/>
      <c r="E117" s="126"/>
      <c r="F117" s="127"/>
      <c r="G117" s="119" t="s">
        <v>499</v>
      </c>
      <c r="H117" s="119" t="s">
        <v>429</v>
      </c>
      <c r="I117" s="119" t="s">
        <v>790</v>
      </c>
      <c r="J117" s="119" t="s">
        <v>1159</v>
      </c>
      <c r="K117" s="119" t="s">
        <v>674</v>
      </c>
      <c r="L117" s="119" t="s">
        <v>738</v>
      </c>
      <c r="M117" s="119" t="s">
        <v>665</v>
      </c>
      <c r="N117" s="119" t="s">
        <v>666</v>
      </c>
      <c r="O117" s="119" t="s">
        <v>695</v>
      </c>
      <c r="P117" s="119" t="s">
        <v>1160</v>
      </c>
      <c r="Q117" s="146" t="s">
        <v>1161</v>
      </c>
      <c r="R117" s="119"/>
      <c r="S117" s="119" t="s">
        <v>669</v>
      </c>
      <c r="T117" s="119">
        <v>0</v>
      </c>
      <c r="U117" s="119">
        <v>0</v>
      </c>
      <c r="V117" s="119">
        <v>0</v>
      </c>
      <c r="W117" s="119">
        <v>0</v>
      </c>
      <c r="X117" s="122" t="s">
        <v>1162</v>
      </c>
      <c r="Y117" s="119" t="s">
        <v>1158</v>
      </c>
      <c r="Z117" s="121"/>
    </row>
    <row r="118" spans="1:31" ht="12.75" customHeight="1" x14ac:dyDescent="0.25">
      <c r="A118"/>
      <c r="B118" s="126"/>
      <c r="C118" s="126"/>
      <c r="D118" s="126"/>
      <c r="E118" s="126"/>
      <c r="F118" s="127"/>
      <c r="G118" s="119" t="s">
        <v>499</v>
      </c>
      <c r="H118" s="119" t="s">
        <v>67</v>
      </c>
      <c r="I118" s="119" t="s">
        <v>682</v>
      </c>
      <c r="J118" s="119" t="s">
        <v>1163</v>
      </c>
      <c r="K118" s="119" t="s">
        <v>749</v>
      </c>
      <c r="L118" s="119" t="s">
        <v>819</v>
      </c>
      <c r="M118" s="119" t="s">
        <v>819</v>
      </c>
      <c r="N118" s="119" t="s">
        <v>666</v>
      </c>
      <c r="O118" s="119" t="s">
        <v>1164</v>
      </c>
      <c r="P118" s="119" t="s">
        <v>1165</v>
      </c>
      <c r="Q118" s="146" t="s">
        <v>1166</v>
      </c>
      <c r="R118" s="119"/>
      <c r="S118" s="119" t="s">
        <v>669</v>
      </c>
      <c r="T118" s="119">
        <v>32300000</v>
      </c>
      <c r="U118" s="119">
        <v>24086503</v>
      </c>
      <c r="V118" s="119">
        <v>0</v>
      </c>
      <c r="W118" s="119">
        <v>0</v>
      </c>
      <c r="X118" s="119" t="s">
        <v>1167</v>
      </c>
      <c r="Y118" s="119" t="s">
        <v>1168</v>
      </c>
      <c r="Z118" s="121"/>
    </row>
    <row r="119" spans="1:31" ht="12.75" customHeight="1" x14ac:dyDescent="0.25">
      <c r="A119"/>
      <c r="B119" s="126"/>
      <c r="C119" s="126"/>
      <c r="D119" s="126"/>
      <c r="E119" s="126"/>
      <c r="F119" s="127"/>
      <c r="G119" s="119" t="s">
        <v>499</v>
      </c>
      <c r="H119" s="119" t="s">
        <v>443</v>
      </c>
      <c r="I119" s="119" t="s">
        <v>693</v>
      </c>
      <c r="J119" s="119" t="s">
        <v>1169</v>
      </c>
      <c r="K119" s="119" t="s">
        <v>674</v>
      </c>
      <c r="L119" s="119" t="s">
        <v>664</v>
      </c>
      <c r="M119" s="119" t="s">
        <v>676</v>
      </c>
      <c r="N119" s="119" t="s">
        <v>666</v>
      </c>
      <c r="O119" s="119" t="s">
        <v>809</v>
      </c>
      <c r="P119" s="119" t="s">
        <v>1170</v>
      </c>
      <c r="Q119" s="146" t="s">
        <v>1171</v>
      </c>
      <c r="R119" s="119"/>
      <c r="S119" s="119" t="s">
        <v>669</v>
      </c>
      <c r="T119" s="119">
        <v>16600000</v>
      </c>
      <c r="U119" s="119">
        <v>12378822</v>
      </c>
      <c r="V119" s="119">
        <v>0</v>
      </c>
      <c r="W119" s="119">
        <v>0</v>
      </c>
      <c r="X119" s="119" t="s">
        <v>1172</v>
      </c>
      <c r="Y119" s="119" t="s">
        <v>1173</v>
      </c>
      <c r="Z119" s="121"/>
    </row>
    <row r="120" spans="1:31" ht="12.75" customHeight="1" x14ac:dyDescent="0.25">
      <c r="A120"/>
      <c r="B120" s="126"/>
      <c r="C120" s="126"/>
      <c r="D120" s="126"/>
      <c r="E120" s="126"/>
      <c r="F120" s="127"/>
      <c r="G120" s="119" t="s">
        <v>499</v>
      </c>
      <c r="H120" s="119" t="s">
        <v>452</v>
      </c>
      <c r="I120" s="119" t="s">
        <v>693</v>
      </c>
      <c r="J120" s="119" t="s">
        <v>1174</v>
      </c>
      <c r="K120" s="119" t="s">
        <v>663</v>
      </c>
      <c r="L120" s="119" t="s">
        <v>664</v>
      </c>
      <c r="M120" s="119" t="s">
        <v>665</v>
      </c>
      <c r="N120" s="119" t="s">
        <v>666</v>
      </c>
      <c r="O120" s="119" t="s">
        <v>667</v>
      </c>
      <c r="P120" s="119" t="s">
        <v>1055</v>
      </c>
      <c r="Q120" s="146" t="s">
        <v>1175</v>
      </c>
      <c r="R120" s="119"/>
      <c r="S120" s="119" t="s">
        <v>669</v>
      </c>
      <c r="T120" s="119">
        <v>18200000</v>
      </c>
      <c r="U120" s="119">
        <v>13571962</v>
      </c>
      <c r="V120" s="119">
        <v>0</v>
      </c>
      <c r="W120" s="119">
        <v>0</v>
      </c>
      <c r="X120" s="119" t="s">
        <v>1176</v>
      </c>
      <c r="Y120" s="119" t="s">
        <v>1177</v>
      </c>
      <c r="Z120" s="121"/>
    </row>
    <row r="121" spans="1:31" ht="12.75" customHeight="1" x14ac:dyDescent="0.25">
      <c r="A121"/>
      <c r="B121" s="126"/>
      <c r="C121" s="126"/>
      <c r="D121" s="126"/>
      <c r="E121" s="126"/>
      <c r="F121" s="127"/>
      <c r="G121" s="119" t="s">
        <v>499</v>
      </c>
      <c r="H121" s="119" t="s">
        <v>67</v>
      </c>
      <c r="I121" s="119" t="s">
        <v>693</v>
      </c>
      <c r="J121" s="119" t="s">
        <v>1178</v>
      </c>
      <c r="K121" s="119" t="s">
        <v>663</v>
      </c>
      <c r="L121" s="119" t="s">
        <v>664</v>
      </c>
      <c r="M121" s="119" t="s">
        <v>665</v>
      </c>
      <c r="N121" s="119" t="s">
        <v>666</v>
      </c>
      <c r="O121" s="119" t="s">
        <v>709</v>
      </c>
      <c r="P121" s="119" t="s">
        <v>1055</v>
      </c>
      <c r="Q121" s="146" t="s">
        <v>1175</v>
      </c>
      <c r="R121" s="119"/>
      <c r="S121" s="119" t="s">
        <v>669</v>
      </c>
      <c r="T121" s="119">
        <v>11134000</v>
      </c>
      <c r="U121" s="119">
        <v>8302760</v>
      </c>
      <c r="V121" s="119">
        <v>0</v>
      </c>
      <c r="W121" s="119">
        <v>0</v>
      </c>
      <c r="X121" s="119" t="s">
        <v>1179</v>
      </c>
      <c r="Y121" s="119" t="s">
        <v>1180</v>
      </c>
      <c r="Z121" s="121"/>
    </row>
    <row r="122" spans="1:31" ht="12.75" customHeight="1" x14ac:dyDescent="0.25">
      <c r="A122"/>
      <c r="B122" s="126"/>
      <c r="C122" s="126"/>
      <c r="D122" s="126"/>
      <c r="E122" s="126"/>
      <c r="F122" s="127"/>
      <c r="G122" s="119" t="s">
        <v>499</v>
      </c>
      <c r="H122" s="119" t="s">
        <v>67</v>
      </c>
      <c r="I122" s="119" t="s">
        <v>693</v>
      </c>
      <c r="J122" s="119" t="s">
        <v>1181</v>
      </c>
      <c r="K122" s="119" t="s">
        <v>674</v>
      </c>
      <c r="L122" s="119" t="s">
        <v>675</v>
      </c>
      <c r="M122" s="119" t="s">
        <v>676</v>
      </c>
      <c r="N122" s="119" t="s">
        <v>677</v>
      </c>
      <c r="O122" s="119" t="s">
        <v>1182</v>
      </c>
      <c r="P122" s="119" t="s">
        <v>1183</v>
      </c>
      <c r="Q122" s="144">
        <v>44501</v>
      </c>
      <c r="R122" s="119"/>
      <c r="S122" s="119" t="s">
        <v>669</v>
      </c>
      <c r="T122" s="119">
        <v>0</v>
      </c>
      <c r="U122" s="119">
        <v>0</v>
      </c>
      <c r="V122" s="119">
        <v>0</v>
      </c>
      <c r="W122" s="119">
        <v>0</v>
      </c>
      <c r="X122" s="119" t="s">
        <v>1184</v>
      </c>
      <c r="Y122" s="119" t="s">
        <v>1185</v>
      </c>
      <c r="Z122" s="121"/>
    </row>
    <row r="123" spans="1:31" ht="12.75" customHeight="1" x14ac:dyDescent="0.25">
      <c r="A123"/>
      <c r="B123" s="126"/>
      <c r="C123" s="126"/>
      <c r="D123" s="126"/>
      <c r="E123" s="126"/>
      <c r="F123" s="127"/>
      <c r="G123" s="119" t="s">
        <v>499</v>
      </c>
      <c r="H123" s="119" t="s">
        <v>67</v>
      </c>
      <c r="I123" s="119" t="s">
        <v>682</v>
      </c>
      <c r="J123" s="119" t="s">
        <v>1186</v>
      </c>
      <c r="K123" s="119" t="s">
        <v>663</v>
      </c>
      <c r="L123" s="119" t="s">
        <v>738</v>
      </c>
      <c r="M123" s="119" t="s">
        <v>665</v>
      </c>
      <c r="N123" s="119" t="s">
        <v>666</v>
      </c>
      <c r="O123" s="119" t="s">
        <v>949</v>
      </c>
      <c r="P123" s="119" t="s">
        <v>1156</v>
      </c>
      <c r="Q123" s="144">
        <v>44531</v>
      </c>
      <c r="R123" s="119"/>
      <c r="S123" s="119" t="s">
        <v>669</v>
      </c>
      <c r="T123" s="119">
        <v>1119000</v>
      </c>
      <c r="U123" s="119">
        <v>834452</v>
      </c>
      <c r="V123" s="119">
        <v>0</v>
      </c>
      <c r="W123" s="119">
        <v>0</v>
      </c>
      <c r="X123" s="119" t="s">
        <v>1187</v>
      </c>
      <c r="Y123" s="119" t="s">
        <v>1188</v>
      </c>
      <c r="Z123" s="121"/>
    </row>
    <row r="124" spans="1:31" ht="12.75" customHeight="1" x14ac:dyDescent="0.25">
      <c r="A124"/>
      <c r="B124" s="126"/>
      <c r="C124" s="126"/>
      <c r="D124" s="126"/>
      <c r="E124" s="126"/>
      <c r="F124" s="127"/>
      <c r="G124" s="119" t="s">
        <v>499</v>
      </c>
      <c r="H124" s="119" t="s">
        <v>429</v>
      </c>
      <c r="I124" s="119" t="s">
        <v>682</v>
      </c>
      <c r="J124" s="119" t="s">
        <v>1189</v>
      </c>
      <c r="K124" s="119" t="s">
        <v>663</v>
      </c>
      <c r="L124" s="119" t="s">
        <v>738</v>
      </c>
      <c r="M124" s="119" t="s">
        <v>665</v>
      </c>
      <c r="N124" s="119" t="s">
        <v>666</v>
      </c>
      <c r="O124" s="119" t="s">
        <v>695</v>
      </c>
      <c r="P124" s="119" t="s">
        <v>1156</v>
      </c>
      <c r="Q124" s="146" t="s">
        <v>1190</v>
      </c>
      <c r="R124" s="119"/>
      <c r="S124" s="119" t="s">
        <v>669</v>
      </c>
      <c r="T124" s="119">
        <v>42000000</v>
      </c>
      <c r="U124" s="119">
        <v>31319911</v>
      </c>
      <c r="V124" s="119">
        <v>0</v>
      </c>
      <c r="W124" s="119">
        <v>0</v>
      </c>
      <c r="X124" s="119" t="s">
        <v>1191</v>
      </c>
      <c r="Y124" s="119" t="s">
        <v>1192</v>
      </c>
      <c r="Z124" s="121"/>
    </row>
    <row r="125" spans="1:31" ht="12.75" customHeight="1" x14ac:dyDescent="0.25">
      <c r="A125"/>
      <c r="B125" s="126"/>
      <c r="C125" s="126"/>
      <c r="D125" s="126"/>
      <c r="E125" s="126"/>
      <c r="F125" s="127"/>
      <c r="G125" s="119" t="s">
        <v>499</v>
      </c>
      <c r="H125" s="119" t="s">
        <v>429</v>
      </c>
      <c r="I125" s="119" t="s">
        <v>672</v>
      </c>
      <c r="J125" s="119" t="s">
        <v>1193</v>
      </c>
      <c r="K125" s="119" t="s">
        <v>798</v>
      </c>
      <c r="L125" s="119" t="s">
        <v>738</v>
      </c>
      <c r="M125" s="119" t="s">
        <v>819</v>
      </c>
      <c r="N125" s="119" t="s">
        <v>666</v>
      </c>
      <c r="O125" s="119" t="s">
        <v>695</v>
      </c>
      <c r="P125" s="119" t="s">
        <v>1194</v>
      </c>
      <c r="Q125" s="144">
        <v>44348</v>
      </c>
      <c r="R125" s="119"/>
      <c r="S125" s="119" t="s">
        <v>669</v>
      </c>
      <c r="T125" s="119">
        <v>0</v>
      </c>
      <c r="U125" s="119">
        <v>0</v>
      </c>
      <c r="V125" s="119">
        <v>0</v>
      </c>
      <c r="W125" s="119">
        <v>0</v>
      </c>
      <c r="X125" s="122" t="s">
        <v>1195</v>
      </c>
      <c r="Y125" s="119"/>
      <c r="Z125" s="119" t="s">
        <v>1196</v>
      </c>
    </row>
    <row r="126" spans="1:31" ht="12.75" customHeight="1" x14ac:dyDescent="0.25">
      <c r="A126"/>
      <c r="B126" s="128"/>
      <c r="C126" s="128"/>
      <c r="D126" s="128"/>
      <c r="E126" s="128"/>
      <c r="F126" s="127"/>
      <c r="G126" s="119" t="s">
        <v>499</v>
      </c>
      <c r="H126" s="119" t="s">
        <v>67</v>
      </c>
      <c r="I126" s="119" t="s">
        <v>682</v>
      </c>
      <c r="J126" s="119" t="s">
        <v>1197</v>
      </c>
      <c r="K126" s="119" t="s">
        <v>749</v>
      </c>
      <c r="L126" s="119" t="s">
        <v>738</v>
      </c>
      <c r="M126" s="119" t="s">
        <v>691</v>
      </c>
      <c r="N126" s="119" t="s">
        <v>666</v>
      </c>
      <c r="O126" s="119" t="s">
        <v>936</v>
      </c>
      <c r="P126" s="119" t="s">
        <v>1198</v>
      </c>
      <c r="Q126" s="144">
        <v>44197</v>
      </c>
      <c r="R126" s="119"/>
      <c r="S126" s="119" t="s">
        <v>669</v>
      </c>
      <c r="T126" s="119">
        <v>98600000</v>
      </c>
      <c r="U126" s="119">
        <v>73527219</v>
      </c>
      <c r="V126" s="119">
        <v>0</v>
      </c>
      <c r="W126" s="119">
        <v>0</v>
      </c>
      <c r="X126" s="122" t="s">
        <v>1199</v>
      </c>
      <c r="Y126" s="119" t="s">
        <v>1200</v>
      </c>
      <c r="Z126" s="121"/>
    </row>
    <row r="127" spans="1:31" ht="12.75" customHeight="1" x14ac:dyDescent="0.25">
      <c r="A127" s="131" t="s">
        <v>1201</v>
      </c>
      <c r="B127" s="131" t="s">
        <v>1202</v>
      </c>
      <c r="C127" s="131">
        <v>1</v>
      </c>
      <c r="D127" s="131">
        <v>2020</v>
      </c>
      <c r="E127" s="131">
        <v>2021</v>
      </c>
      <c r="F127" s="97" t="s">
        <v>1062</v>
      </c>
      <c r="G127" s="132" t="s">
        <v>499</v>
      </c>
      <c r="H127" s="132" t="s">
        <v>484</v>
      </c>
      <c r="I127" s="132" t="s">
        <v>682</v>
      </c>
      <c r="J127" s="132" t="s">
        <v>608</v>
      </c>
      <c r="K127" s="132" t="s">
        <v>584</v>
      </c>
      <c r="L127" s="132" t="s">
        <v>690</v>
      </c>
      <c r="M127" s="132" t="s">
        <v>676</v>
      </c>
      <c r="N127" s="132" t="s">
        <v>666</v>
      </c>
      <c r="O127" s="132" t="s">
        <v>722</v>
      </c>
      <c r="P127" s="132" t="s">
        <v>1079</v>
      </c>
      <c r="Q127" s="147">
        <v>44289</v>
      </c>
      <c r="R127" s="132"/>
      <c r="S127" s="132" t="s">
        <v>669</v>
      </c>
      <c r="T127" s="132">
        <v>27500000</v>
      </c>
      <c r="U127" s="132">
        <v>20507085</v>
      </c>
      <c r="V127" s="132">
        <v>0</v>
      </c>
      <c r="W127" s="132">
        <v>0</v>
      </c>
      <c r="X127" s="132" t="s">
        <v>1203</v>
      </c>
      <c r="Y127" s="134" t="s">
        <v>1204</v>
      </c>
      <c r="Z127" s="132"/>
      <c r="AA127" s="125"/>
      <c r="AB127" s="125"/>
      <c r="AC127" s="125"/>
      <c r="AD127" s="125"/>
      <c r="AE127" s="125"/>
    </row>
    <row r="128" spans="1:31" ht="12.75" customHeight="1" x14ac:dyDescent="0.25">
      <c r="A128"/>
      <c r="G128" s="119" t="s">
        <v>499</v>
      </c>
      <c r="H128" s="119" t="s">
        <v>67</v>
      </c>
      <c r="I128" s="119" t="s">
        <v>682</v>
      </c>
      <c r="J128" s="119" t="s">
        <v>615</v>
      </c>
      <c r="K128" s="119" t="s">
        <v>584</v>
      </c>
      <c r="L128" s="119" t="s">
        <v>556</v>
      </c>
      <c r="M128" s="119" t="s">
        <v>702</v>
      </c>
      <c r="N128" s="119" t="s">
        <v>1205</v>
      </c>
      <c r="O128" s="119" t="s">
        <v>709</v>
      </c>
      <c r="P128" s="119" t="s">
        <v>1206</v>
      </c>
      <c r="Q128" s="146" t="s">
        <v>617</v>
      </c>
      <c r="R128" s="119"/>
      <c r="S128" s="119" t="s">
        <v>669</v>
      </c>
      <c r="T128" s="119">
        <v>0</v>
      </c>
      <c r="U128" s="119">
        <v>0</v>
      </c>
      <c r="V128" s="119">
        <v>0</v>
      </c>
      <c r="W128" s="119">
        <v>0</v>
      </c>
      <c r="X128" s="122" t="s">
        <v>1207</v>
      </c>
      <c r="Y128" s="119" t="s">
        <v>1208</v>
      </c>
      <c r="Z128" s="121"/>
    </row>
    <row r="129" spans="1:31" ht="12.75" customHeight="1" x14ac:dyDescent="0.25">
      <c r="A129"/>
      <c r="B129" s="129"/>
      <c r="C129" s="129"/>
      <c r="D129" s="129"/>
      <c r="E129" s="129"/>
      <c r="F129" s="127"/>
      <c r="G129" s="119" t="s">
        <v>499</v>
      </c>
      <c r="H129" s="119" t="s">
        <v>429</v>
      </c>
      <c r="I129" s="119" t="s">
        <v>682</v>
      </c>
      <c r="J129" s="119" t="s">
        <v>1209</v>
      </c>
      <c r="K129" s="119" t="s">
        <v>749</v>
      </c>
      <c r="L129" s="119" t="s">
        <v>738</v>
      </c>
      <c r="M129" s="119" t="s">
        <v>691</v>
      </c>
      <c r="N129" s="119" t="s">
        <v>1210</v>
      </c>
      <c r="O129" s="119" t="s">
        <v>695</v>
      </c>
      <c r="P129" s="119" t="s">
        <v>1211</v>
      </c>
      <c r="Q129" s="146" t="s">
        <v>1212</v>
      </c>
      <c r="R129" s="119"/>
      <c r="S129" s="119" t="s">
        <v>669</v>
      </c>
      <c r="T129" s="119">
        <v>0</v>
      </c>
      <c r="U129" s="119">
        <v>0</v>
      </c>
      <c r="V129" s="119">
        <v>0</v>
      </c>
      <c r="W129" s="119">
        <v>0</v>
      </c>
      <c r="X129" s="119" t="s">
        <v>1213</v>
      </c>
      <c r="Y129" s="119" t="s">
        <v>1214</v>
      </c>
      <c r="Z129" s="121"/>
    </row>
    <row r="130" spans="1:31" ht="12.75" customHeight="1" x14ac:dyDescent="0.25">
      <c r="A130"/>
      <c r="B130" s="126"/>
      <c r="C130" s="126"/>
      <c r="D130" s="126"/>
      <c r="E130" s="126"/>
      <c r="F130" s="127"/>
      <c r="G130" s="119" t="s">
        <v>499</v>
      </c>
      <c r="H130" s="119" t="s">
        <v>67</v>
      </c>
      <c r="I130" s="119" t="s">
        <v>790</v>
      </c>
      <c r="J130" s="119" t="s">
        <v>1215</v>
      </c>
      <c r="K130" s="119" t="s">
        <v>749</v>
      </c>
      <c r="L130" s="119" t="s">
        <v>574</v>
      </c>
      <c r="M130" s="119" t="s">
        <v>691</v>
      </c>
      <c r="N130" s="119" t="s">
        <v>1210</v>
      </c>
      <c r="O130" s="119" t="s">
        <v>709</v>
      </c>
      <c r="P130" s="119" t="s">
        <v>1216</v>
      </c>
      <c r="Q130" s="146" t="s">
        <v>1212</v>
      </c>
      <c r="R130" s="119"/>
      <c r="S130" s="119" t="s">
        <v>669</v>
      </c>
      <c r="T130" s="119">
        <v>0</v>
      </c>
      <c r="U130" s="119">
        <v>0</v>
      </c>
      <c r="V130" s="119">
        <v>0</v>
      </c>
      <c r="W130" s="119">
        <v>0</v>
      </c>
      <c r="X130" s="119" t="s">
        <v>1217</v>
      </c>
      <c r="Y130" s="119" t="s">
        <v>1218</v>
      </c>
      <c r="Z130" s="121"/>
    </row>
    <row r="131" spans="1:31" ht="12.75" customHeight="1" x14ac:dyDescent="0.25">
      <c r="A131"/>
      <c r="B131" s="126"/>
      <c r="C131" s="126"/>
      <c r="D131" s="126"/>
      <c r="E131" s="126"/>
      <c r="F131" s="127"/>
      <c r="G131" s="119" t="s">
        <v>499</v>
      </c>
      <c r="H131" s="119" t="s">
        <v>67</v>
      </c>
      <c r="I131" s="119" t="s">
        <v>790</v>
      </c>
      <c r="J131" s="119" t="s">
        <v>1219</v>
      </c>
      <c r="K131" s="119" t="s">
        <v>749</v>
      </c>
      <c r="L131" s="119" t="s">
        <v>555</v>
      </c>
      <c r="M131" s="119" t="s">
        <v>691</v>
      </c>
      <c r="N131" s="119" t="s">
        <v>1210</v>
      </c>
      <c r="O131" s="119" t="s">
        <v>709</v>
      </c>
      <c r="P131" s="119" t="s">
        <v>1220</v>
      </c>
      <c r="Q131" s="146" t="s">
        <v>1221</v>
      </c>
      <c r="R131" s="119"/>
      <c r="S131" s="119" t="s">
        <v>669</v>
      </c>
      <c r="T131" s="119">
        <v>0</v>
      </c>
      <c r="U131" s="119">
        <v>0</v>
      </c>
      <c r="V131" s="119">
        <v>0</v>
      </c>
      <c r="W131" s="119">
        <v>0</v>
      </c>
      <c r="X131" s="122" t="s">
        <v>1222</v>
      </c>
      <c r="Y131" s="119" t="s">
        <v>1223</v>
      </c>
      <c r="Z131" s="121"/>
    </row>
    <row r="132" spans="1:31" ht="12.75" customHeight="1" x14ac:dyDescent="0.25">
      <c r="A132"/>
      <c r="B132" s="126"/>
      <c r="C132" s="126"/>
      <c r="D132" s="126"/>
      <c r="E132" s="126"/>
      <c r="F132" s="127"/>
      <c r="G132" s="119" t="s">
        <v>499</v>
      </c>
      <c r="H132" s="119" t="s">
        <v>67</v>
      </c>
      <c r="I132" s="119" t="s">
        <v>790</v>
      </c>
      <c r="J132" s="119" t="s">
        <v>1224</v>
      </c>
      <c r="K132" s="119" t="s">
        <v>749</v>
      </c>
      <c r="L132" s="119" t="s">
        <v>738</v>
      </c>
      <c r="M132" s="119" t="s">
        <v>691</v>
      </c>
      <c r="N132" s="119" t="s">
        <v>666</v>
      </c>
      <c r="O132" s="119" t="s">
        <v>709</v>
      </c>
      <c r="P132" s="119" t="s">
        <v>1225</v>
      </c>
      <c r="Q132" s="144">
        <v>44147</v>
      </c>
      <c r="R132" s="119"/>
      <c r="S132" s="119" t="s">
        <v>669</v>
      </c>
      <c r="T132" s="119">
        <v>7400000000</v>
      </c>
      <c r="U132" s="119">
        <v>5518269948</v>
      </c>
      <c r="V132" s="119">
        <v>0</v>
      </c>
      <c r="W132" s="119">
        <v>0</v>
      </c>
      <c r="X132" s="122" t="s">
        <v>1226</v>
      </c>
      <c r="Y132" s="122" t="s">
        <v>1227</v>
      </c>
      <c r="Z132" s="119"/>
    </row>
    <row r="133" spans="1:31" ht="12.75" customHeight="1" x14ac:dyDescent="0.25">
      <c r="A133"/>
      <c r="B133" s="126"/>
      <c r="C133" s="126"/>
      <c r="D133" s="126"/>
      <c r="E133" s="126"/>
      <c r="F133" s="127"/>
      <c r="G133" s="119" t="s">
        <v>499</v>
      </c>
      <c r="H133" s="119" t="s">
        <v>67</v>
      </c>
      <c r="I133" s="119" t="s">
        <v>682</v>
      </c>
      <c r="J133" s="119" t="s">
        <v>1228</v>
      </c>
      <c r="K133" s="119" t="s">
        <v>749</v>
      </c>
      <c r="L133" s="119" t="s">
        <v>738</v>
      </c>
      <c r="M133" s="119" t="s">
        <v>691</v>
      </c>
      <c r="N133" s="119" t="s">
        <v>1210</v>
      </c>
      <c r="O133" s="119" t="s">
        <v>709</v>
      </c>
      <c r="P133" s="119" t="s">
        <v>1229</v>
      </c>
      <c r="Q133" s="144">
        <v>44147</v>
      </c>
      <c r="R133" s="119"/>
      <c r="S133" s="119" t="s">
        <v>669</v>
      </c>
      <c r="T133" s="119">
        <v>0</v>
      </c>
      <c r="U133" s="119">
        <v>0</v>
      </c>
      <c r="V133" s="119">
        <v>0</v>
      </c>
      <c r="W133" s="119">
        <v>0</v>
      </c>
      <c r="X133" s="122" t="s">
        <v>1230</v>
      </c>
      <c r="Y133" s="119" t="s">
        <v>779</v>
      </c>
      <c r="Z133" s="119" t="s">
        <v>1231</v>
      </c>
    </row>
    <row r="134" spans="1:31" ht="12.75" customHeight="1" x14ac:dyDescent="0.25">
      <c r="A134"/>
      <c r="B134" s="126"/>
      <c r="C134" s="126"/>
      <c r="D134" s="126"/>
      <c r="E134" s="126"/>
      <c r="F134" s="127"/>
      <c r="G134" s="119" t="s">
        <v>499</v>
      </c>
      <c r="H134" s="119" t="s">
        <v>67</v>
      </c>
      <c r="I134" s="119" t="s">
        <v>682</v>
      </c>
      <c r="J134" s="119" t="s">
        <v>1232</v>
      </c>
      <c r="K134" s="119" t="s">
        <v>749</v>
      </c>
      <c r="L134" s="119" t="s">
        <v>855</v>
      </c>
      <c r="M134" s="119" t="s">
        <v>691</v>
      </c>
      <c r="N134" s="119" t="s">
        <v>677</v>
      </c>
      <c r="O134" s="121"/>
      <c r="P134" s="119" t="s">
        <v>1233</v>
      </c>
      <c r="Q134" s="144">
        <v>44147</v>
      </c>
      <c r="R134" s="119"/>
      <c r="S134" s="119" t="s">
        <v>669</v>
      </c>
      <c r="T134" s="119">
        <v>0</v>
      </c>
      <c r="U134" s="119">
        <v>0</v>
      </c>
      <c r="V134" s="119">
        <v>0</v>
      </c>
      <c r="W134" s="119">
        <v>0</v>
      </c>
      <c r="X134" s="119" t="s">
        <v>1234</v>
      </c>
      <c r="Y134" s="119" t="s">
        <v>779</v>
      </c>
      <c r="Z134" s="121"/>
    </row>
    <row r="135" spans="1:31" ht="12.75" customHeight="1" x14ac:dyDescent="0.25">
      <c r="A135"/>
      <c r="B135" s="128"/>
      <c r="C135" s="128"/>
      <c r="D135" s="128"/>
      <c r="E135" s="128"/>
      <c r="F135" s="127"/>
      <c r="G135" s="119" t="s">
        <v>499</v>
      </c>
      <c r="H135" s="119" t="s">
        <v>67</v>
      </c>
      <c r="I135" s="119" t="s">
        <v>790</v>
      </c>
      <c r="J135" s="119" t="s">
        <v>1235</v>
      </c>
      <c r="K135" s="119" t="s">
        <v>749</v>
      </c>
      <c r="L135" s="119" t="s">
        <v>738</v>
      </c>
      <c r="M135" s="119" t="s">
        <v>691</v>
      </c>
      <c r="N135" s="119" t="s">
        <v>666</v>
      </c>
      <c r="O135" s="119" t="s">
        <v>175</v>
      </c>
      <c r="P135" s="119" t="s">
        <v>1236</v>
      </c>
      <c r="Q135" s="144">
        <v>44147</v>
      </c>
      <c r="R135" s="119"/>
      <c r="S135" s="119" t="s">
        <v>669</v>
      </c>
      <c r="T135" s="119">
        <v>0</v>
      </c>
      <c r="U135" s="119">
        <v>0</v>
      </c>
      <c r="V135" s="119">
        <v>0</v>
      </c>
      <c r="W135" s="119">
        <v>0</v>
      </c>
      <c r="X135" s="122" t="s">
        <v>1237</v>
      </c>
      <c r="Y135" s="119" t="s">
        <v>779</v>
      </c>
      <c r="Z135" s="121"/>
    </row>
    <row r="136" spans="1:31" ht="12.75" customHeight="1" x14ac:dyDescent="0.25">
      <c r="A136" s="142"/>
      <c r="F136" s="142"/>
      <c r="G136" s="132" t="s">
        <v>499</v>
      </c>
      <c r="H136" s="132" t="s">
        <v>67</v>
      </c>
      <c r="I136" s="132" t="s">
        <v>661</v>
      </c>
      <c r="J136" s="132" t="s">
        <v>1238</v>
      </c>
      <c r="K136" s="132" t="s">
        <v>773</v>
      </c>
      <c r="L136" s="132" t="s">
        <v>855</v>
      </c>
      <c r="M136" s="132" t="s">
        <v>676</v>
      </c>
      <c r="N136" s="132" t="s">
        <v>666</v>
      </c>
      <c r="O136" s="132" t="s">
        <v>709</v>
      </c>
      <c r="P136" s="132" t="s">
        <v>1239</v>
      </c>
      <c r="Q136" s="147">
        <v>44384</v>
      </c>
      <c r="R136" s="132"/>
      <c r="S136" s="132" t="s">
        <v>669</v>
      </c>
      <c r="T136" s="132">
        <v>25000000</v>
      </c>
      <c r="U136" s="132">
        <v>18642804</v>
      </c>
      <c r="V136" s="132">
        <v>0</v>
      </c>
      <c r="W136" s="132">
        <v>0</v>
      </c>
      <c r="X136" s="132" t="s">
        <v>1240</v>
      </c>
      <c r="Y136" s="132" t="s">
        <v>1241</v>
      </c>
      <c r="Z136" s="133"/>
      <c r="AA136" s="125"/>
      <c r="AB136" s="125"/>
      <c r="AC136" s="125"/>
      <c r="AD136" s="125"/>
      <c r="AE136" s="125"/>
    </row>
    <row r="137" spans="1:31" ht="12.75" customHeight="1" x14ac:dyDescent="0.25">
      <c r="A137" s="142"/>
      <c r="F137" s="142" t="s">
        <v>1242</v>
      </c>
      <c r="G137" s="132" t="s">
        <v>499</v>
      </c>
      <c r="H137" s="132" t="s">
        <v>429</v>
      </c>
      <c r="I137" s="132" t="s">
        <v>682</v>
      </c>
      <c r="J137" s="132" t="s">
        <v>1243</v>
      </c>
      <c r="K137" s="132" t="s">
        <v>663</v>
      </c>
      <c r="L137" s="132" t="s">
        <v>1244</v>
      </c>
      <c r="M137" s="132" t="s">
        <v>665</v>
      </c>
      <c r="N137" s="132" t="s">
        <v>666</v>
      </c>
      <c r="O137" s="132" t="s">
        <v>695</v>
      </c>
      <c r="P137" s="132" t="s">
        <v>904</v>
      </c>
      <c r="Q137" s="143" t="s">
        <v>880</v>
      </c>
      <c r="R137" s="132"/>
      <c r="S137" s="132" t="s">
        <v>669</v>
      </c>
      <c r="T137" s="132">
        <v>25000000</v>
      </c>
      <c r="U137" s="132">
        <v>18642804</v>
      </c>
      <c r="V137" s="132">
        <v>0</v>
      </c>
      <c r="W137" s="132">
        <v>0</v>
      </c>
      <c r="X137" s="132" t="s">
        <v>1245</v>
      </c>
      <c r="Y137" s="132" t="s">
        <v>882</v>
      </c>
      <c r="Z137" s="133"/>
      <c r="AA137" s="125"/>
      <c r="AB137" s="125"/>
      <c r="AC137" s="125"/>
      <c r="AD137" s="125"/>
      <c r="AE137" s="125"/>
    </row>
    <row r="138" spans="1:31" ht="12.75" customHeight="1" x14ac:dyDescent="0.25">
      <c r="A138"/>
      <c r="B138" s="129"/>
      <c r="C138" s="129"/>
      <c r="D138" s="129"/>
      <c r="E138" s="129"/>
      <c r="F138" s="127"/>
      <c r="G138" s="119" t="s">
        <v>499</v>
      </c>
      <c r="H138" s="119" t="s">
        <v>67</v>
      </c>
      <c r="I138" s="119" t="s">
        <v>682</v>
      </c>
      <c r="J138" s="119" t="s">
        <v>1246</v>
      </c>
      <c r="K138" s="119" t="s">
        <v>663</v>
      </c>
      <c r="L138" s="119" t="s">
        <v>738</v>
      </c>
      <c r="M138" s="119" t="s">
        <v>665</v>
      </c>
      <c r="N138" s="119" t="s">
        <v>666</v>
      </c>
      <c r="O138" s="119" t="s">
        <v>709</v>
      </c>
      <c r="P138" s="119" t="s">
        <v>1247</v>
      </c>
      <c r="Q138" s="144">
        <v>44147</v>
      </c>
      <c r="R138" s="119"/>
      <c r="S138" s="119" t="s">
        <v>669</v>
      </c>
      <c r="T138" s="119">
        <v>287000000</v>
      </c>
      <c r="U138" s="119">
        <v>214019389</v>
      </c>
      <c r="V138" s="119">
        <v>0</v>
      </c>
      <c r="W138" s="119">
        <v>0</v>
      </c>
      <c r="X138" s="122" t="s">
        <v>1248</v>
      </c>
      <c r="Y138" s="119" t="s">
        <v>779</v>
      </c>
      <c r="Z138" s="121"/>
    </row>
    <row r="139" spans="1:31" ht="12.75" customHeight="1" x14ac:dyDescent="0.25">
      <c r="A139"/>
      <c r="B139" s="126"/>
      <c r="C139" s="126"/>
      <c r="D139" s="126"/>
      <c r="E139" s="126"/>
      <c r="F139" s="127"/>
      <c r="G139" s="119" t="s">
        <v>499</v>
      </c>
      <c r="H139" s="119" t="s">
        <v>67</v>
      </c>
      <c r="I139" s="119" t="s">
        <v>790</v>
      </c>
      <c r="J139" s="119" t="s">
        <v>1249</v>
      </c>
      <c r="K139" s="119" t="s">
        <v>674</v>
      </c>
      <c r="L139" s="119" t="s">
        <v>738</v>
      </c>
      <c r="M139" s="119" t="s">
        <v>691</v>
      </c>
      <c r="N139" s="119" t="s">
        <v>666</v>
      </c>
      <c r="O139" s="119" t="s">
        <v>709</v>
      </c>
      <c r="P139" s="119" t="s">
        <v>1250</v>
      </c>
      <c r="Q139" s="144">
        <v>44147</v>
      </c>
      <c r="R139" s="119"/>
      <c r="S139" s="119" t="s">
        <v>669</v>
      </c>
      <c r="T139" s="119">
        <v>1500000000</v>
      </c>
      <c r="U139" s="119">
        <v>1118568233</v>
      </c>
      <c r="V139" s="119">
        <v>0</v>
      </c>
      <c r="W139" s="119">
        <v>0</v>
      </c>
      <c r="X139" s="122" t="s">
        <v>1251</v>
      </c>
      <c r="Y139" s="119" t="s">
        <v>779</v>
      </c>
      <c r="Z139" s="121"/>
    </row>
    <row r="140" spans="1:31" ht="12.75" customHeight="1" x14ac:dyDescent="0.25">
      <c r="A140"/>
      <c r="B140" s="128"/>
      <c r="C140" s="128"/>
      <c r="D140" s="128"/>
      <c r="E140" s="128"/>
      <c r="F140" s="127"/>
      <c r="G140" s="119" t="s">
        <v>499</v>
      </c>
      <c r="H140" s="119" t="s">
        <v>67</v>
      </c>
      <c r="I140" s="119" t="s">
        <v>672</v>
      </c>
      <c r="J140" s="119" t="s">
        <v>1252</v>
      </c>
      <c r="K140" s="119" t="s">
        <v>798</v>
      </c>
      <c r="L140" s="119" t="s">
        <v>738</v>
      </c>
      <c r="M140" s="119" t="s">
        <v>691</v>
      </c>
      <c r="N140" s="119" t="s">
        <v>666</v>
      </c>
      <c r="O140" s="119" t="s">
        <v>709</v>
      </c>
      <c r="P140" s="119" t="s">
        <v>1253</v>
      </c>
      <c r="Q140" s="144">
        <v>44147</v>
      </c>
      <c r="R140" s="119"/>
      <c r="S140" s="119" t="s">
        <v>669</v>
      </c>
      <c r="T140" s="119">
        <v>1500000000</v>
      </c>
      <c r="U140" s="119">
        <v>1118568233</v>
      </c>
      <c r="V140" s="119">
        <v>0</v>
      </c>
      <c r="W140" s="119">
        <v>0</v>
      </c>
      <c r="X140" s="119" t="s">
        <v>1254</v>
      </c>
      <c r="Y140" s="119" t="s">
        <v>1255</v>
      </c>
      <c r="Z140" s="121"/>
    </row>
    <row r="141" spans="1:31" ht="12.75" customHeight="1" x14ac:dyDescent="0.25">
      <c r="A141" s="131" t="s">
        <v>934</v>
      </c>
      <c r="B141" s="131" t="s">
        <v>1256</v>
      </c>
      <c r="C141" s="131">
        <v>1</v>
      </c>
      <c r="D141" s="131">
        <v>2021</v>
      </c>
      <c r="E141" s="131">
        <v>2022</v>
      </c>
      <c r="G141" s="132" t="s">
        <v>499</v>
      </c>
      <c r="H141" s="132" t="s">
        <v>67</v>
      </c>
      <c r="I141" s="132" t="s">
        <v>790</v>
      </c>
      <c r="J141" s="132" t="s">
        <v>1257</v>
      </c>
      <c r="K141" s="132" t="s">
        <v>584</v>
      </c>
      <c r="L141" s="132" t="s">
        <v>738</v>
      </c>
      <c r="M141" s="132" t="s">
        <v>684</v>
      </c>
      <c r="N141" s="132" t="s">
        <v>666</v>
      </c>
      <c r="O141" s="132" t="s">
        <v>949</v>
      </c>
      <c r="P141" s="132" t="s">
        <v>1258</v>
      </c>
      <c r="Q141" s="143" t="s">
        <v>622</v>
      </c>
      <c r="R141" s="132"/>
      <c r="S141" s="132" t="s">
        <v>669</v>
      </c>
      <c r="T141" s="132">
        <v>25000000</v>
      </c>
      <c r="U141" s="132">
        <v>18642804</v>
      </c>
      <c r="V141" s="132">
        <v>0</v>
      </c>
      <c r="W141" s="132">
        <v>0</v>
      </c>
      <c r="X141" s="132" t="s">
        <v>1259</v>
      </c>
      <c r="Y141" s="132" t="s">
        <v>1260</v>
      </c>
      <c r="Z141" s="133"/>
      <c r="AA141" s="125"/>
      <c r="AB141" s="125"/>
      <c r="AC141" s="125"/>
      <c r="AD141" s="125"/>
      <c r="AE141" s="125"/>
    </row>
    <row r="142" spans="1:31" ht="12.75" customHeight="1" x14ac:dyDescent="0.25">
      <c r="A142" s="131" t="s">
        <v>934</v>
      </c>
      <c r="B142" s="131" t="s">
        <v>380</v>
      </c>
      <c r="C142" s="131">
        <v>1</v>
      </c>
      <c r="D142" s="131">
        <v>2020</v>
      </c>
      <c r="E142" s="131">
        <v>2020</v>
      </c>
      <c r="G142" s="132" t="s">
        <v>499</v>
      </c>
      <c r="H142" s="132" t="s">
        <v>67</v>
      </c>
      <c r="I142" s="132" t="s">
        <v>790</v>
      </c>
      <c r="J142" s="132" t="s">
        <v>623</v>
      </c>
      <c r="K142" s="132" t="s">
        <v>584</v>
      </c>
      <c r="L142" s="132" t="s">
        <v>555</v>
      </c>
      <c r="M142" s="132" t="s">
        <v>702</v>
      </c>
      <c r="N142" s="132" t="s">
        <v>666</v>
      </c>
      <c r="O142" s="132" t="s">
        <v>172</v>
      </c>
      <c r="P142" s="132" t="s">
        <v>1261</v>
      </c>
      <c r="Q142" s="143" t="s">
        <v>624</v>
      </c>
      <c r="R142" s="132"/>
      <c r="S142" s="132" t="s">
        <v>669</v>
      </c>
      <c r="T142" s="132">
        <v>20000000</v>
      </c>
      <c r="U142" s="132">
        <v>14914244</v>
      </c>
      <c r="V142" s="132">
        <v>0</v>
      </c>
      <c r="W142" s="132">
        <v>0</v>
      </c>
      <c r="X142" s="132" t="s">
        <v>1262</v>
      </c>
      <c r="Y142" s="136" t="s">
        <v>1263</v>
      </c>
      <c r="Z142" s="133"/>
      <c r="AA142" s="125"/>
      <c r="AB142" s="125"/>
      <c r="AC142" s="125"/>
      <c r="AD142" s="125"/>
      <c r="AE142" s="125"/>
    </row>
    <row r="143" spans="1:31" ht="12.75" customHeight="1" x14ac:dyDescent="0.25">
      <c r="A143"/>
      <c r="B143" s="129"/>
      <c r="C143" s="129"/>
      <c r="D143" s="129"/>
      <c r="E143" s="129"/>
      <c r="F143" s="127"/>
      <c r="G143" s="119" t="s">
        <v>499</v>
      </c>
      <c r="H143" s="119" t="s">
        <v>67</v>
      </c>
      <c r="I143" s="119" t="s">
        <v>682</v>
      </c>
      <c r="J143" s="119" t="s">
        <v>1264</v>
      </c>
      <c r="K143" s="119" t="s">
        <v>663</v>
      </c>
      <c r="L143" s="119" t="s">
        <v>738</v>
      </c>
      <c r="M143" s="119" t="s">
        <v>665</v>
      </c>
      <c r="N143" s="119" t="s">
        <v>666</v>
      </c>
      <c r="O143" s="119" t="s">
        <v>949</v>
      </c>
      <c r="P143" s="119" t="s">
        <v>1265</v>
      </c>
      <c r="Q143" s="146" t="s">
        <v>622</v>
      </c>
      <c r="R143" s="119"/>
      <c r="S143" s="119" t="s">
        <v>669</v>
      </c>
      <c r="T143" s="119">
        <v>150000000</v>
      </c>
      <c r="U143" s="119">
        <v>111856824</v>
      </c>
      <c r="V143" s="119">
        <v>0</v>
      </c>
      <c r="W143" s="119">
        <v>0</v>
      </c>
      <c r="X143" s="119" t="s">
        <v>1266</v>
      </c>
      <c r="Y143" s="119" t="s">
        <v>1260</v>
      </c>
      <c r="Z143" s="121"/>
    </row>
    <row r="144" spans="1:31" ht="12.75" customHeight="1" x14ac:dyDescent="0.25">
      <c r="A144"/>
      <c r="B144" s="126"/>
      <c r="C144" s="126"/>
      <c r="D144" s="126"/>
      <c r="E144" s="126"/>
      <c r="F144" s="127"/>
      <c r="G144" s="119" t="s">
        <v>499</v>
      </c>
      <c r="H144" s="119" t="s">
        <v>67</v>
      </c>
      <c r="I144" s="119" t="s">
        <v>672</v>
      </c>
      <c r="J144" s="119" t="s">
        <v>1267</v>
      </c>
      <c r="K144" s="119" t="s">
        <v>798</v>
      </c>
      <c r="L144" s="119" t="s">
        <v>738</v>
      </c>
      <c r="M144" s="119" t="s">
        <v>665</v>
      </c>
      <c r="N144" s="119" t="s">
        <v>666</v>
      </c>
      <c r="O144" s="119" t="s">
        <v>949</v>
      </c>
      <c r="P144" s="119" t="s">
        <v>1268</v>
      </c>
      <c r="Q144" s="146" t="s">
        <v>622</v>
      </c>
      <c r="R144" s="119"/>
      <c r="S144" s="119" t="s">
        <v>669</v>
      </c>
      <c r="T144" s="119">
        <v>2600000000</v>
      </c>
      <c r="U144" s="119">
        <v>1938851604</v>
      </c>
      <c r="V144" s="119">
        <v>0</v>
      </c>
      <c r="W144" s="119">
        <v>0</v>
      </c>
      <c r="X144" s="119" t="s">
        <v>1269</v>
      </c>
      <c r="Y144" s="119" t="s">
        <v>1260</v>
      </c>
      <c r="Z144" s="121"/>
    </row>
    <row r="145" spans="1:26" ht="12.75" customHeight="1" x14ac:dyDescent="0.25">
      <c r="A145"/>
      <c r="B145" s="126"/>
      <c r="C145" s="126"/>
      <c r="D145" s="126"/>
      <c r="E145" s="126"/>
      <c r="F145" s="127"/>
      <c r="G145" s="119" t="s">
        <v>499</v>
      </c>
      <c r="H145" s="119" t="s">
        <v>460</v>
      </c>
      <c r="I145" s="119" t="s">
        <v>672</v>
      </c>
      <c r="J145" s="119" t="s">
        <v>1270</v>
      </c>
      <c r="K145" s="119" t="s">
        <v>663</v>
      </c>
      <c r="L145" s="119" t="s">
        <v>557</v>
      </c>
      <c r="M145" s="119" t="s">
        <v>665</v>
      </c>
      <c r="N145" s="119" t="s">
        <v>666</v>
      </c>
      <c r="O145" s="119" t="s">
        <v>1045</v>
      </c>
      <c r="P145" s="119" t="s">
        <v>1271</v>
      </c>
      <c r="Q145" s="146" t="s">
        <v>1272</v>
      </c>
      <c r="R145" s="119"/>
      <c r="S145" s="119" t="s">
        <v>669</v>
      </c>
      <c r="T145" s="119">
        <v>31500000</v>
      </c>
      <c r="U145" s="119">
        <v>23489933</v>
      </c>
      <c r="V145" s="119">
        <v>0</v>
      </c>
      <c r="W145" s="119">
        <v>0</v>
      </c>
      <c r="X145" s="119" t="s">
        <v>1273</v>
      </c>
      <c r="Y145" s="122" t="s">
        <v>1274</v>
      </c>
      <c r="Z145" s="119"/>
    </row>
    <row r="146" spans="1:26" ht="12.75" customHeight="1" x14ac:dyDescent="0.25">
      <c r="A146"/>
      <c r="B146" s="126"/>
      <c r="C146" s="126"/>
      <c r="D146" s="126"/>
      <c r="E146" s="126"/>
      <c r="F146" s="127"/>
      <c r="G146" s="119" t="s">
        <v>499</v>
      </c>
      <c r="H146" s="119" t="s">
        <v>460</v>
      </c>
      <c r="I146" s="119" t="s">
        <v>672</v>
      </c>
      <c r="J146" s="119" t="s">
        <v>1275</v>
      </c>
      <c r="K146" s="119" t="s">
        <v>663</v>
      </c>
      <c r="L146" s="119" t="s">
        <v>1244</v>
      </c>
      <c r="M146" s="119" t="s">
        <v>1276</v>
      </c>
      <c r="N146" s="119" t="s">
        <v>666</v>
      </c>
      <c r="O146" s="119" t="s">
        <v>1045</v>
      </c>
      <c r="P146" s="119" t="s">
        <v>1271</v>
      </c>
      <c r="Q146" s="146" t="s">
        <v>1272</v>
      </c>
      <c r="R146" s="119"/>
      <c r="S146" s="119" t="s">
        <v>669</v>
      </c>
      <c r="T146" s="119">
        <v>5000000</v>
      </c>
      <c r="U146" s="119">
        <v>3728561</v>
      </c>
      <c r="V146" s="119">
        <v>0</v>
      </c>
      <c r="W146" s="119">
        <v>0</v>
      </c>
      <c r="X146" s="119" t="s">
        <v>1277</v>
      </c>
      <c r="Y146" s="122" t="s">
        <v>1274</v>
      </c>
      <c r="Z146" s="119"/>
    </row>
    <row r="147" spans="1:26" ht="12.75" customHeight="1" x14ac:dyDescent="0.25">
      <c r="A147"/>
      <c r="B147" s="126"/>
      <c r="C147" s="126"/>
      <c r="D147" s="126"/>
      <c r="E147" s="126"/>
      <c r="F147" s="127"/>
      <c r="G147" s="119" t="s">
        <v>499</v>
      </c>
      <c r="H147" s="119" t="s">
        <v>67</v>
      </c>
      <c r="I147" s="119" t="s">
        <v>682</v>
      </c>
      <c r="J147" s="119" t="s">
        <v>1278</v>
      </c>
      <c r="K147" s="119" t="s">
        <v>749</v>
      </c>
      <c r="L147" s="119" t="s">
        <v>738</v>
      </c>
      <c r="M147" s="119" t="s">
        <v>665</v>
      </c>
      <c r="N147" s="119" t="s">
        <v>1147</v>
      </c>
      <c r="O147" s="119" t="s">
        <v>1279</v>
      </c>
      <c r="P147" s="119" t="s">
        <v>1280</v>
      </c>
      <c r="Q147" s="146" t="s">
        <v>1281</v>
      </c>
      <c r="R147" s="119"/>
      <c r="S147" s="119" t="s">
        <v>669</v>
      </c>
      <c r="T147" s="119">
        <v>0</v>
      </c>
      <c r="U147" s="119">
        <v>0</v>
      </c>
      <c r="V147" s="119">
        <v>0</v>
      </c>
      <c r="W147" s="119">
        <v>0</v>
      </c>
      <c r="X147" s="119" t="s">
        <v>1282</v>
      </c>
      <c r="Y147" s="119" t="s">
        <v>1283</v>
      </c>
      <c r="Z147" s="121"/>
    </row>
    <row r="148" spans="1:26" ht="12.75" customHeight="1" x14ac:dyDescent="0.25">
      <c r="A148"/>
      <c r="B148" s="126"/>
      <c r="C148" s="126"/>
      <c r="D148" s="126"/>
      <c r="E148" s="126"/>
      <c r="F148" s="127"/>
      <c r="G148" s="119" t="s">
        <v>499</v>
      </c>
      <c r="H148" s="119" t="s">
        <v>67</v>
      </c>
      <c r="I148" s="119" t="s">
        <v>682</v>
      </c>
      <c r="J148" s="119" t="s">
        <v>1284</v>
      </c>
      <c r="K148" s="119" t="s">
        <v>663</v>
      </c>
      <c r="L148" s="119" t="s">
        <v>738</v>
      </c>
      <c r="M148" s="119" t="s">
        <v>665</v>
      </c>
      <c r="N148" s="119" t="s">
        <v>666</v>
      </c>
      <c r="O148" s="119" t="s">
        <v>949</v>
      </c>
      <c r="P148" s="119" t="s">
        <v>1285</v>
      </c>
      <c r="Q148" s="146" t="s">
        <v>1286</v>
      </c>
      <c r="R148" s="119"/>
      <c r="S148" s="119" t="s">
        <v>669</v>
      </c>
      <c r="T148" s="119">
        <v>5000000</v>
      </c>
      <c r="U148" s="119">
        <v>3728561</v>
      </c>
      <c r="V148" s="119">
        <v>0</v>
      </c>
      <c r="W148" s="119">
        <v>0</v>
      </c>
      <c r="X148" s="119" t="s">
        <v>1287</v>
      </c>
      <c r="Y148" s="119" t="s">
        <v>1288</v>
      </c>
      <c r="Z148" s="121"/>
    </row>
    <row r="149" spans="1:26" ht="12.75" customHeight="1" x14ac:dyDescent="0.25">
      <c r="A149"/>
      <c r="B149" s="126"/>
      <c r="C149" s="126"/>
      <c r="D149" s="126"/>
      <c r="E149" s="126"/>
      <c r="F149" s="127"/>
      <c r="G149" s="119" t="s">
        <v>499</v>
      </c>
      <c r="H149" s="119" t="s">
        <v>452</v>
      </c>
      <c r="I149" s="119" t="s">
        <v>790</v>
      </c>
      <c r="J149" s="119" t="s">
        <v>1289</v>
      </c>
      <c r="K149" s="119" t="s">
        <v>663</v>
      </c>
      <c r="L149" s="119" t="s">
        <v>799</v>
      </c>
      <c r="M149" s="119" t="s">
        <v>665</v>
      </c>
      <c r="N149" s="119" t="s">
        <v>677</v>
      </c>
      <c r="O149" s="119" t="s">
        <v>667</v>
      </c>
      <c r="P149" s="119" t="s">
        <v>1290</v>
      </c>
      <c r="Q149" s="146" t="s">
        <v>1281</v>
      </c>
      <c r="R149" s="119"/>
      <c r="S149" s="119" t="s">
        <v>669</v>
      </c>
      <c r="T149" s="119">
        <v>0</v>
      </c>
      <c r="U149" s="119">
        <v>0</v>
      </c>
      <c r="V149" s="119">
        <v>0</v>
      </c>
      <c r="W149" s="119">
        <v>0</v>
      </c>
      <c r="X149" s="119" t="s">
        <v>1291</v>
      </c>
      <c r="Y149" s="122" t="s">
        <v>1292</v>
      </c>
      <c r="Z149" s="119"/>
    </row>
    <row r="150" spans="1:26" ht="12.75" customHeight="1" x14ac:dyDescent="0.25">
      <c r="A150"/>
      <c r="B150" s="126"/>
      <c r="C150" s="126"/>
      <c r="D150" s="126"/>
      <c r="E150" s="126"/>
      <c r="F150" s="127"/>
      <c r="G150" s="119" t="s">
        <v>499</v>
      </c>
      <c r="H150" s="119" t="s">
        <v>461</v>
      </c>
      <c r="I150" s="119" t="s">
        <v>682</v>
      </c>
      <c r="J150" s="119" t="s">
        <v>1293</v>
      </c>
      <c r="K150" s="119" t="s">
        <v>663</v>
      </c>
      <c r="L150" s="119" t="s">
        <v>738</v>
      </c>
      <c r="M150" s="119" t="s">
        <v>665</v>
      </c>
      <c r="N150" s="119" t="s">
        <v>666</v>
      </c>
      <c r="O150" s="119" t="s">
        <v>716</v>
      </c>
      <c r="P150" s="119" t="s">
        <v>1294</v>
      </c>
      <c r="Q150" s="144">
        <v>44111</v>
      </c>
      <c r="R150" s="119"/>
      <c r="S150" s="119" t="s">
        <v>669</v>
      </c>
      <c r="T150" s="119">
        <v>18000000</v>
      </c>
      <c r="U150" s="119">
        <v>13422819</v>
      </c>
      <c r="V150" s="119">
        <v>18000000</v>
      </c>
      <c r="W150" s="119">
        <v>13422819</v>
      </c>
      <c r="X150" s="119" t="s">
        <v>1295</v>
      </c>
      <c r="Y150" s="119" t="s">
        <v>1296</v>
      </c>
      <c r="Z150" s="121"/>
    </row>
    <row r="151" spans="1:26" ht="12.75" customHeight="1" x14ac:dyDescent="0.25">
      <c r="A151"/>
      <c r="B151" s="126"/>
      <c r="C151" s="126"/>
      <c r="D151" s="126"/>
      <c r="E151" s="126"/>
      <c r="F151" s="127"/>
      <c r="G151" s="119" t="s">
        <v>499</v>
      </c>
      <c r="H151" s="119" t="s">
        <v>460</v>
      </c>
      <c r="I151" s="119" t="s">
        <v>672</v>
      </c>
      <c r="J151" s="119" t="s">
        <v>1297</v>
      </c>
      <c r="K151" s="119" t="s">
        <v>663</v>
      </c>
      <c r="L151" s="119" t="s">
        <v>690</v>
      </c>
      <c r="M151" s="119" t="s">
        <v>676</v>
      </c>
      <c r="N151" s="119" t="s">
        <v>666</v>
      </c>
      <c r="O151" s="119" t="s">
        <v>1045</v>
      </c>
      <c r="P151" s="119" t="s">
        <v>1298</v>
      </c>
      <c r="Q151" s="144">
        <v>44085</v>
      </c>
      <c r="R151" s="119"/>
      <c r="S151" s="119" t="s">
        <v>669</v>
      </c>
      <c r="T151" s="119">
        <v>2700000</v>
      </c>
      <c r="U151" s="119">
        <v>2013423</v>
      </c>
      <c r="V151" s="119">
        <v>0</v>
      </c>
      <c r="W151" s="119">
        <v>0</v>
      </c>
      <c r="X151" s="119" t="s">
        <v>1299</v>
      </c>
      <c r="Y151" s="119" t="s">
        <v>1300</v>
      </c>
      <c r="Z151" s="121"/>
    </row>
    <row r="152" spans="1:26" ht="12.75" customHeight="1" x14ac:dyDescent="0.25">
      <c r="A152"/>
      <c r="B152" s="126"/>
      <c r="C152" s="126"/>
      <c r="D152" s="126"/>
      <c r="E152" s="126"/>
      <c r="F152" s="127"/>
      <c r="G152" s="119" t="s">
        <v>499</v>
      </c>
      <c r="H152" s="119" t="s">
        <v>67</v>
      </c>
      <c r="I152" s="119" t="s">
        <v>682</v>
      </c>
      <c r="J152" s="119" t="s">
        <v>1301</v>
      </c>
      <c r="K152" s="119" t="s">
        <v>663</v>
      </c>
      <c r="L152" s="119" t="s">
        <v>738</v>
      </c>
      <c r="M152" s="119" t="s">
        <v>665</v>
      </c>
      <c r="N152" s="119" t="s">
        <v>666</v>
      </c>
      <c r="O152" s="119" t="s">
        <v>949</v>
      </c>
      <c r="P152" s="119" t="s">
        <v>1302</v>
      </c>
      <c r="Q152" s="144">
        <v>44144</v>
      </c>
      <c r="R152" s="119"/>
      <c r="S152" s="119" t="s">
        <v>669</v>
      </c>
      <c r="T152" s="119">
        <v>350000</v>
      </c>
      <c r="U152" s="119">
        <v>261000</v>
      </c>
      <c r="V152" s="119">
        <v>0</v>
      </c>
      <c r="W152" s="119">
        <v>0</v>
      </c>
      <c r="X152" s="119" t="s">
        <v>1303</v>
      </c>
      <c r="Y152" s="119" t="s">
        <v>1304</v>
      </c>
      <c r="Z152" s="121"/>
    </row>
    <row r="153" spans="1:26" ht="12.75" customHeight="1" x14ac:dyDescent="0.25">
      <c r="A153"/>
      <c r="B153" s="126"/>
      <c r="C153" s="126"/>
      <c r="D153" s="126"/>
      <c r="E153" s="126"/>
      <c r="F153" s="127"/>
      <c r="G153" s="119" t="s">
        <v>499</v>
      </c>
      <c r="H153" s="119" t="s">
        <v>67</v>
      </c>
      <c r="I153" s="119" t="s">
        <v>682</v>
      </c>
      <c r="J153" s="119" t="s">
        <v>1305</v>
      </c>
      <c r="K153" s="119" t="s">
        <v>663</v>
      </c>
      <c r="L153" s="119" t="s">
        <v>738</v>
      </c>
      <c r="M153" s="119" t="s">
        <v>665</v>
      </c>
      <c r="N153" s="119" t="s">
        <v>666</v>
      </c>
      <c r="O153" s="119" t="s">
        <v>949</v>
      </c>
      <c r="P153" s="119" t="s">
        <v>1302</v>
      </c>
      <c r="Q153" s="144">
        <v>44115</v>
      </c>
      <c r="R153" s="119"/>
      <c r="S153" s="119" t="s">
        <v>669</v>
      </c>
      <c r="T153" s="119">
        <v>0</v>
      </c>
      <c r="U153" s="119">
        <v>0</v>
      </c>
      <c r="V153" s="119">
        <v>0</v>
      </c>
      <c r="W153" s="119">
        <v>0</v>
      </c>
      <c r="X153" s="119" t="s">
        <v>1306</v>
      </c>
      <c r="Y153" s="119" t="s">
        <v>1307</v>
      </c>
      <c r="Z153" s="121"/>
    </row>
    <row r="154" spans="1:26" ht="12.75" customHeight="1" x14ac:dyDescent="0.25">
      <c r="A154"/>
      <c r="B154" s="126"/>
      <c r="C154" s="126"/>
      <c r="D154" s="126"/>
      <c r="E154" s="126"/>
      <c r="F154" s="127"/>
      <c r="G154" s="119" t="s">
        <v>499</v>
      </c>
      <c r="H154" s="119" t="s">
        <v>461</v>
      </c>
      <c r="I154" s="119" t="s">
        <v>790</v>
      </c>
      <c r="J154" s="119" t="s">
        <v>1308</v>
      </c>
      <c r="K154" s="119" t="s">
        <v>749</v>
      </c>
      <c r="L154" s="119" t="s">
        <v>738</v>
      </c>
      <c r="M154" s="119" t="s">
        <v>691</v>
      </c>
      <c r="N154" s="119" t="s">
        <v>666</v>
      </c>
      <c r="O154" s="119" t="s">
        <v>716</v>
      </c>
      <c r="P154" s="119" t="s">
        <v>1229</v>
      </c>
      <c r="Q154" s="146" t="s">
        <v>1309</v>
      </c>
      <c r="R154" s="119"/>
      <c r="S154" s="119" t="s">
        <v>669</v>
      </c>
      <c r="T154" s="119">
        <v>317000000</v>
      </c>
      <c r="U154" s="119">
        <v>236390754</v>
      </c>
      <c r="V154" s="119">
        <v>0</v>
      </c>
      <c r="W154" s="119">
        <v>0</v>
      </c>
      <c r="X154" s="119" t="s">
        <v>1310</v>
      </c>
      <c r="Y154" s="122" t="s">
        <v>1311</v>
      </c>
      <c r="Z154" s="119"/>
    </row>
    <row r="155" spans="1:26" ht="12.75" customHeight="1" x14ac:dyDescent="0.25">
      <c r="A155"/>
      <c r="B155" s="126"/>
      <c r="C155" s="126"/>
      <c r="D155" s="126"/>
      <c r="E155" s="126"/>
      <c r="F155" s="127"/>
      <c r="G155" s="119" t="s">
        <v>499</v>
      </c>
      <c r="H155" s="119" t="s">
        <v>461</v>
      </c>
      <c r="I155" s="119" t="s">
        <v>790</v>
      </c>
      <c r="J155" s="119" t="s">
        <v>1312</v>
      </c>
      <c r="K155" s="119" t="s">
        <v>798</v>
      </c>
      <c r="L155" s="119" t="s">
        <v>738</v>
      </c>
      <c r="M155" s="119" t="s">
        <v>665</v>
      </c>
      <c r="N155" s="119" t="s">
        <v>666</v>
      </c>
      <c r="O155" s="119" t="s">
        <v>716</v>
      </c>
      <c r="P155" s="119" t="s">
        <v>1229</v>
      </c>
      <c r="Q155" s="146" t="s">
        <v>1309</v>
      </c>
      <c r="R155" s="119"/>
      <c r="S155" s="119" t="s">
        <v>669</v>
      </c>
      <c r="T155" s="119">
        <v>125000000</v>
      </c>
      <c r="U155" s="119">
        <v>93214020</v>
      </c>
      <c r="V155" s="119">
        <v>0</v>
      </c>
      <c r="W155" s="119">
        <v>0</v>
      </c>
      <c r="X155" s="119" t="s">
        <v>1313</v>
      </c>
      <c r="Y155" s="122" t="s">
        <v>1311</v>
      </c>
      <c r="Z155" s="119"/>
    </row>
    <row r="156" spans="1:26" ht="12.75" customHeight="1" x14ac:dyDescent="0.25">
      <c r="A156"/>
      <c r="B156" s="126"/>
      <c r="C156" s="126"/>
      <c r="D156" s="126"/>
      <c r="E156" s="126"/>
      <c r="F156" s="127"/>
      <c r="G156" s="119" t="s">
        <v>499</v>
      </c>
      <c r="H156" s="119" t="s">
        <v>461</v>
      </c>
      <c r="I156" s="119" t="s">
        <v>682</v>
      </c>
      <c r="J156" s="119" t="s">
        <v>1314</v>
      </c>
      <c r="K156" s="119" t="s">
        <v>798</v>
      </c>
      <c r="L156" s="119" t="s">
        <v>738</v>
      </c>
      <c r="M156" s="119" t="s">
        <v>665</v>
      </c>
      <c r="N156" s="119" t="s">
        <v>666</v>
      </c>
      <c r="O156" s="119" t="s">
        <v>716</v>
      </c>
      <c r="P156" s="119" t="s">
        <v>1229</v>
      </c>
      <c r="Q156" s="146" t="s">
        <v>1309</v>
      </c>
      <c r="R156" s="119"/>
      <c r="S156" s="119" t="s">
        <v>669</v>
      </c>
      <c r="T156" s="119">
        <v>348000000</v>
      </c>
      <c r="U156" s="119">
        <v>259507830</v>
      </c>
      <c r="V156" s="119">
        <v>0</v>
      </c>
      <c r="W156" s="119">
        <v>0</v>
      </c>
      <c r="X156" s="119" t="s">
        <v>1315</v>
      </c>
      <c r="Y156" s="122" t="s">
        <v>1311</v>
      </c>
      <c r="Z156" s="119"/>
    </row>
    <row r="157" spans="1:26" ht="12.75" customHeight="1" x14ac:dyDescent="0.25">
      <c r="A157"/>
      <c r="B157" s="126"/>
      <c r="C157" s="126"/>
      <c r="D157" s="126"/>
      <c r="E157" s="126"/>
      <c r="F157" s="127"/>
      <c r="G157" s="119" t="s">
        <v>499</v>
      </c>
      <c r="H157" s="119" t="s">
        <v>461</v>
      </c>
      <c r="I157" s="119" t="s">
        <v>682</v>
      </c>
      <c r="J157" s="119" t="s">
        <v>1316</v>
      </c>
      <c r="K157" s="119" t="s">
        <v>749</v>
      </c>
      <c r="L157" s="119" t="s">
        <v>738</v>
      </c>
      <c r="M157" s="119" t="s">
        <v>691</v>
      </c>
      <c r="N157" s="119" t="s">
        <v>666</v>
      </c>
      <c r="O157" s="119" t="s">
        <v>716</v>
      </c>
      <c r="P157" s="119" t="s">
        <v>1229</v>
      </c>
      <c r="Q157" s="146" t="s">
        <v>1309</v>
      </c>
      <c r="R157" s="119"/>
      <c r="S157" s="119" t="s">
        <v>669</v>
      </c>
      <c r="T157" s="119">
        <v>718999998</v>
      </c>
      <c r="U157" s="119">
        <v>536167039</v>
      </c>
      <c r="V157" s="119">
        <v>0</v>
      </c>
      <c r="W157" s="119">
        <v>0</v>
      </c>
      <c r="X157" s="119" t="s">
        <v>1317</v>
      </c>
      <c r="Y157" s="122" t="s">
        <v>1311</v>
      </c>
      <c r="Z157" s="119"/>
    </row>
    <row r="158" spans="1:26" ht="12.75" customHeight="1" x14ac:dyDescent="0.25">
      <c r="A158"/>
      <c r="B158" s="126"/>
      <c r="C158" s="126"/>
      <c r="D158" s="126"/>
      <c r="E158" s="126"/>
      <c r="F158" s="127"/>
      <c r="G158" s="119" t="s">
        <v>499</v>
      </c>
      <c r="H158" s="119" t="s">
        <v>461</v>
      </c>
      <c r="I158" s="119" t="s">
        <v>682</v>
      </c>
      <c r="J158" s="119" t="s">
        <v>1318</v>
      </c>
      <c r="K158" s="119" t="s">
        <v>663</v>
      </c>
      <c r="L158" s="119" t="s">
        <v>738</v>
      </c>
      <c r="M158" s="119" t="s">
        <v>691</v>
      </c>
      <c r="N158" s="119" t="s">
        <v>666</v>
      </c>
      <c r="O158" s="119" t="s">
        <v>716</v>
      </c>
      <c r="P158" s="119" t="s">
        <v>1229</v>
      </c>
      <c r="Q158" s="146" t="s">
        <v>1309</v>
      </c>
      <c r="R158" s="119"/>
      <c r="S158" s="119" t="s">
        <v>669</v>
      </c>
      <c r="T158" s="119">
        <v>3650000000</v>
      </c>
      <c r="U158" s="119">
        <v>2721849367</v>
      </c>
      <c r="V158" s="119">
        <v>0</v>
      </c>
      <c r="W158" s="119">
        <v>0</v>
      </c>
      <c r="X158" s="119" t="s">
        <v>1319</v>
      </c>
      <c r="Y158" s="122" t="s">
        <v>1320</v>
      </c>
      <c r="Z158" s="119"/>
    </row>
    <row r="159" spans="1:26" ht="12.75" customHeight="1" x14ac:dyDescent="0.25">
      <c r="A159"/>
      <c r="B159" s="126"/>
      <c r="C159" s="126"/>
      <c r="D159" s="126"/>
      <c r="E159" s="126"/>
      <c r="F159" s="127"/>
      <c r="G159" s="119" t="s">
        <v>499</v>
      </c>
      <c r="H159" s="119" t="s">
        <v>67</v>
      </c>
      <c r="I159" s="119" t="s">
        <v>693</v>
      </c>
      <c r="J159" s="119" t="s">
        <v>197</v>
      </c>
      <c r="K159" s="119" t="s">
        <v>674</v>
      </c>
      <c r="L159" s="119" t="s">
        <v>675</v>
      </c>
      <c r="M159" s="119" t="s">
        <v>676</v>
      </c>
      <c r="N159" s="119" t="s">
        <v>666</v>
      </c>
      <c r="O159" s="119" t="s">
        <v>949</v>
      </c>
      <c r="P159" s="119" t="s">
        <v>1321</v>
      </c>
      <c r="Q159" s="146" t="s">
        <v>1322</v>
      </c>
      <c r="R159" s="119"/>
      <c r="S159" s="119" t="s">
        <v>669</v>
      </c>
      <c r="T159" s="119">
        <v>12000000</v>
      </c>
      <c r="U159" s="119">
        <v>8948546</v>
      </c>
      <c r="V159" s="119">
        <v>0</v>
      </c>
      <c r="W159" s="119">
        <v>0</v>
      </c>
      <c r="X159" s="119" t="s">
        <v>1323</v>
      </c>
      <c r="Y159" s="122" t="s">
        <v>1324</v>
      </c>
      <c r="Z159" s="119"/>
    </row>
    <row r="160" spans="1:26" ht="12.75" customHeight="1" x14ac:dyDescent="0.25">
      <c r="A160"/>
      <c r="B160" s="126"/>
      <c r="C160" s="126"/>
      <c r="D160" s="126"/>
      <c r="E160" s="126"/>
      <c r="F160" s="127"/>
      <c r="G160" s="119" t="s">
        <v>499</v>
      </c>
      <c r="H160" s="119" t="s">
        <v>67</v>
      </c>
      <c r="I160" s="119" t="s">
        <v>790</v>
      </c>
      <c r="J160" s="119" t="s">
        <v>1325</v>
      </c>
      <c r="K160" s="119" t="s">
        <v>749</v>
      </c>
      <c r="L160" s="119" t="s">
        <v>738</v>
      </c>
      <c r="M160" s="119" t="s">
        <v>691</v>
      </c>
      <c r="N160" s="119" t="s">
        <v>666</v>
      </c>
      <c r="O160" s="119" t="s">
        <v>949</v>
      </c>
      <c r="P160" s="119" t="s">
        <v>1107</v>
      </c>
      <c r="Q160" s="144">
        <v>43872</v>
      </c>
      <c r="R160" s="119"/>
      <c r="S160" s="119" t="s">
        <v>669</v>
      </c>
      <c r="T160" s="119">
        <v>100000000</v>
      </c>
      <c r="U160" s="119">
        <v>74571216</v>
      </c>
      <c r="V160" s="119">
        <v>0</v>
      </c>
      <c r="W160" s="119">
        <v>0</v>
      </c>
      <c r="X160" s="119" t="s">
        <v>1326</v>
      </c>
      <c r="Y160" s="119" t="s">
        <v>1327</v>
      </c>
      <c r="Z160" s="121"/>
    </row>
    <row r="161" spans="1:31" ht="12.75" customHeight="1" x14ac:dyDescent="0.25">
      <c r="A161"/>
      <c r="B161" s="126"/>
      <c r="C161" s="126"/>
      <c r="D161" s="126"/>
      <c r="E161" s="126"/>
      <c r="F161" s="127"/>
      <c r="G161" s="119" t="s">
        <v>499</v>
      </c>
      <c r="H161" s="119" t="s">
        <v>418</v>
      </c>
      <c r="I161" s="119" t="s">
        <v>790</v>
      </c>
      <c r="J161" s="119" t="s">
        <v>1328</v>
      </c>
      <c r="K161" s="119" t="s">
        <v>749</v>
      </c>
      <c r="L161" s="119" t="s">
        <v>738</v>
      </c>
      <c r="M161" s="119" t="s">
        <v>691</v>
      </c>
      <c r="N161" s="119" t="s">
        <v>666</v>
      </c>
      <c r="O161" s="119" t="s">
        <v>1329</v>
      </c>
      <c r="P161" s="119" t="s">
        <v>1330</v>
      </c>
      <c r="Q161" s="144">
        <v>43872</v>
      </c>
      <c r="R161" s="119"/>
      <c r="S161" s="119" t="s">
        <v>669</v>
      </c>
      <c r="T161" s="119">
        <v>180000000</v>
      </c>
      <c r="U161" s="119">
        <v>134228188</v>
      </c>
      <c r="V161" s="119">
        <v>0</v>
      </c>
      <c r="W161" s="119">
        <v>0</v>
      </c>
      <c r="X161" s="119" t="s">
        <v>1331</v>
      </c>
      <c r="Y161" s="119" t="s">
        <v>1332</v>
      </c>
      <c r="Z161" s="121"/>
    </row>
    <row r="162" spans="1:31" ht="12.75" customHeight="1" x14ac:dyDescent="0.25">
      <c r="A162"/>
      <c r="B162" s="126"/>
      <c r="C162" s="126"/>
      <c r="D162" s="126"/>
      <c r="E162" s="126"/>
      <c r="F162" s="127"/>
      <c r="G162" s="119" t="s">
        <v>499</v>
      </c>
      <c r="H162" s="119" t="s">
        <v>67</v>
      </c>
      <c r="I162" s="119" t="s">
        <v>693</v>
      </c>
      <c r="J162" s="119" t="s">
        <v>1333</v>
      </c>
      <c r="K162" s="119" t="s">
        <v>663</v>
      </c>
      <c r="L162" s="119" t="s">
        <v>675</v>
      </c>
      <c r="M162" s="119" t="s">
        <v>665</v>
      </c>
      <c r="N162" s="119" t="s">
        <v>666</v>
      </c>
      <c r="O162" s="119" t="s">
        <v>1334</v>
      </c>
      <c r="P162" s="119" t="s">
        <v>1335</v>
      </c>
      <c r="Q162" s="144">
        <v>43993</v>
      </c>
      <c r="R162" s="119"/>
      <c r="S162" s="119" t="s">
        <v>669</v>
      </c>
      <c r="T162" s="119">
        <v>3100000</v>
      </c>
      <c r="U162" s="119">
        <v>2311708</v>
      </c>
      <c r="V162" s="119">
        <v>0</v>
      </c>
      <c r="W162" s="119">
        <v>0</v>
      </c>
      <c r="X162" s="119" t="s">
        <v>1336</v>
      </c>
      <c r="Y162" s="119" t="s">
        <v>1337</v>
      </c>
      <c r="Z162" s="121"/>
    </row>
    <row r="163" spans="1:31" ht="12.75" customHeight="1" x14ac:dyDescent="0.25">
      <c r="A163"/>
      <c r="B163" s="126"/>
      <c r="C163" s="126"/>
      <c r="D163" s="126"/>
      <c r="E163" s="126"/>
      <c r="F163" s="127"/>
      <c r="G163" s="119" t="s">
        <v>499</v>
      </c>
      <c r="H163" s="119" t="s">
        <v>445</v>
      </c>
      <c r="I163" s="119" t="s">
        <v>693</v>
      </c>
      <c r="J163" s="119" t="s">
        <v>1338</v>
      </c>
      <c r="K163" s="119" t="s">
        <v>663</v>
      </c>
      <c r="L163" s="119" t="s">
        <v>664</v>
      </c>
      <c r="M163" s="119" t="s">
        <v>665</v>
      </c>
      <c r="N163" s="119" t="s">
        <v>666</v>
      </c>
      <c r="O163" s="119" t="s">
        <v>1339</v>
      </c>
      <c r="P163" s="119" t="s">
        <v>1340</v>
      </c>
      <c r="Q163" s="144">
        <v>43872</v>
      </c>
      <c r="R163" s="119"/>
      <c r="S163" s="119" t="s">
        <v>669</v>
      </c>
      <c r="T163" s="119">
        <v>3000000</v>
      </c>
      <c r="U163" s="119">
        <v>2237137</v>
      </c>
      <c r="V163" s="119">
        <v>0</v>
      </c>
      <c r="W163" s="119">
        <v>0</v>
      </c>
      <c r="X163" s="119" t="s">
        <v>1341</v>
      </c>
      <c r="Y163" s="119" t="s">
        <v>1342</v>
      </c>
      <c r="Z163" s="121"/>
    </row>
    <row r="164" spans="1:31" ht="12.75" customHeight="1" x14ac:dyDescent="0.25">
      <c r="A164"/>
      <c r="B164" s="126"/>
      <c r="C164" s="126"/>
      <c r="D164" s="126"/>
      <c r="E164" s="126"/>
      <c r="F164" s="127"/>
      <c r="G164" s="119" t="s">
        <v>499</v>
      </c>
      <c r="H164" s="119" t="s">
        <v>451</v>
      </c>
      <c r="I164" s="119" t="s">
        <v>693</v>
      </c>
      <c r="J164" s="119" t="s">
        <v>1343</v>
      </c>
      <c r="K164" s="119" t="s">
        <v>663</v>
      </c>
      <c r="L164" s="119" t="s">
        <v>664</v>
      </c>
      <c r="M164" s="119" t="s">
        <v>665</v>
      </c>
      <c r="N164" s="119" t="s">
        <v>666</v>
      </c>
      <c r="O164" s="119" t="s">
        <v>1344</v>
      </c>
      <c r="P164" s="119" t="s">
        <v>1340</v>
      </c>
      <c r="Q164" s="144">
        <v>43872</v>
      </c>
      <c r="R164" s="119"/>
      <c r="S164" s="119" t="s">
        <v>669</v>
      </c>
      <c r="T164" s="119">
        <v>0</v>
      </c>
      <c r="U164" s="119">
        <v>0</v>
      </c>
      <c r="V164" s="119">
        <v>0</v>
      </c>
      <c r="W164" s="119">
        <v>0</v>
      </c>
      <c r="X164" s="119" t="s">
        <v>1345</v>
      </c>
      <c r="Y164" s="119" t="s">
        <v>1346</v>
      </c>
      <c r="Z164" s="121"/>
    </row>
    <row r="165" spans="1:31" ht="12.75" customHeight="1" x14ac:dyDescent="0.25">
      <c r="A165"/>
      <c r="B165" s="128"/>
      <c r="C165" s="128"/>
      <c r="D165" s="128"/>
      <c r="E165" s="128"/>
      <c r="F165" s="127"/>
      <c r="G165" s="119" t="s">
        <v>499</v>
      </c>
      <c r="H165" s="119" t="s">
        <v>461</v>
      </c>
      <c r="I165" s="119" t="s">
        <v>682</v>
      </c>
      <c r="J165" s="119" t="s">
        <v>1347</v>
      </c>
      <c r="K165" s="119" t="s">
        <v>674</v>
      </c>
      <c r="L165" s="119" t="s">
        <v>738</v>
      </c>
      <c r="M165" s="119" t="s">
        <v>665</v>
      </c>
      <c r="N165" s="119" t="s">
        <v>666</v>
      </c>
      <c r="O165" s="119" t="s">
        <v>709</v>
      </c>
      <c r="P165" s="119" t="s">
        <v>1107</v>
      </c>
      <c r="Q165" s="144">
        <v>43872</v>
      </c>
      <c r="R165" s="119"/>
      <c r="S165" s="119" t="s">
        <v>669</v>
      </c>
      <c r="T165" s="119">
        <v>1479718</v>
      </c>
      <c r="U165" s="119">
        <v>1103444</v>
      </c>
      <c r="V165" s="119">
        <v>0</v>
      </c>
      <c r="W165" s="119">
        <v>0</v>
      </c>
      <c r="X165" s="119" t="s">
        <v>1348</v>
      </c>
      <c r="Y165" s="119" t="s">
        <v>1349</v>
      </c>
      <c r="Z165" s="121"/>
    </row>
    <row r="166" spans="1:31" ht="12.75" customHeight="1" x14ac:dyDescent="0.25">
      <c r="A166" s="131" t="s">
        <v>934</v>
      </c>
      <c r="B166" s="131" t="s">
        <v>767</v>
      </c>
      <c r="C166" s="131">
        <v>4</v>
      </c>
      <c r="D166" s="131" t="s">
        <v>1350</v>
      </c>
      <c r="E166" s="131" t="s">
        <v>1351</v>
      </c>
      <c r="G166" s="132" t="s">
        <v>499</v>
      </c>
      <c r="H166" s="132" t="s">
        <v>67</v>
      </c>
      <c r="I166" s="132" t="s">
        <v>672</v>
      </c>
      <c r="J166" s="132" t="s">
        <v>598</v>
      </c>
      <c r="K166" s="132" t="s">
        <v>584</v>
      </c>
      <c r="L166" s="132" t="s">
        <v>690</v>
      </c>
      <c r="M166" s="132" t="s">
        <v>665</v>
      </c>
      <c r="N166" s="132" t="s">
        <v>666</v>
      </c>
      <c r="O166" s="132" t="s">
        <v>709</v>
      </c>
      <c r="P166" s="132" t="s">
        <v>1352</v>
      </c>
      <c r="Q166" s="143" t="s">
        <v>596</v>
      </c>
      <c r="R166" s="132"/>
      <c r="S166" s="132" t="s">
        <v>669</v>
      </c>
      <c r="T166" s="132">
        <v>14900000</v>
      </c>
      <c r="U166" s="132">
        <v>11111112</v>
      </c>
      <c r="V166" s="132">
        <v>0</v>
      </c>
      <c r="W166" s="132">
        <v>0</v>
      </c>
      <c r="X166" s="132" t="s">
        <v>1353</v>
      </c>
      <c r="Y166" s="132" t="s">
        <v>927</v>
      </c>
      <c r="Z166" s="133"/>
      <c r="AA166" s="125"/>
      <c r="AB166" s="125"/>
      <c r="AC166" s="125"/>
      <c r="AD166" s="125"/>
      <c r="AE166" s="125"/>
    </row>
    <row r="167" spans="1:31" ht="12.75" customHeight="1" x14ac:dyDescent="0.25">
      <c r="A167"/>
      <c r="B167" s="129"/>
      <c r="C167" s="129"/>
      <c r="D167" s="129"/>
      <c r="E167" s="129"/>
      <c r="F167" s="127"/>
      <c r="G167" s="119" t="s">
        <v>499</v>
      </c>
      <c r="H167" s="119" t="s">
        <v>418</v>
      </c>
      <c r="I167" s="119" t="s">
        <v>790</v>
      </c>
      <c r="J167" s="119" t="s">
        <v>1354</v>
      </c>
      <c r="K167" s="119" t="s">
        <v>663</v>
      </c>
      <c r="L167" s="119" t="s">
        <v>1355</v>
      </c>
      <c r="M167" s="119" t="s">
        <v>665</v>
      </c>
      <c r="N167" s="119" t="s">
        <v>677</v>
      </c>
      <c r="O167" s="119" t="s">
        <v>977</v>
      </c>
      <c r="P167" s="119" t="s">
        <v>1356</v>
      </c>
      <c r="Q167" s="144">
        <v>43901</v>
      </c>
      <c r="R167" s="119"/>
      <c r="S167" s="119" t="s">
        <v>669</v>
      </c>
      <c r="T167" s="119">
        <v>0</v>
      </c>
      <c r="U167" s="119">
        <v>0</v>
      </c>
      <c r="V167" s="119">
        <v>0</v>
      </c>
      <c r="W167" s="119">
        <v>0</v>
      </c>
      <c r="X167" s="119" t="s">
        <v>1357</v>
      </c>
      <c r="Y167" s="119" t="s">
        <v>1358</v>
      </c>
      <c r="Z167" s="121"/>
    </row>
    <row r="168" spans="1:31" ht="12.75" customHeight="1" x14ac:dyDescent="0.25">
      <c r="A168"/>
      <c r="B168" s="128"/>
      <c r="C168" s="128"/>
      <c r="D168" s="128"/>
      <c r="E168" s="128"/>
      <c r="F168" s="127"/>
      <c r="G168" s="119" t="s">
        <v>499</v>
      </c>
      <c r="H168" s="119" t="s">
        <v>434</v>
      </c>
      <c r="I168" s="119" t="s">
        <v>682</v>
      </c>
      <c r="J168" s="119" t="s">
        <v>1359</v>
      </c>
      <c r="K168" s="119" t="s">
        <v>663</v>
      </c>
      <c r="L168" s="119" t="s">
        <v>738</v>
      </c>
      <c r="M168" s="119" t="s">
        <v>665</v>
      </c>
      <c r="N168" s="119" t="s">
        <v>666</v>
      </c>
      <c r="O168" s="119" t="s">
        <v>1003</v>
      </c>
      <c r="P168" s="119" t="s">
        <v>1360</v>
      </c>
      <c r="Q168" s="146" t="s">
        <v>1361</v>
      </c>
      <c r="R168" s="119"/>
      <c r="S168" s="119" t="s">
        <v>669</v>
      </c>
      <c r="T168" s="119">
        <v>0</v>
      </c>
      <c r="U168" s="119">
        <v>0</v>
      </c>
      <c r="V168" s="119">
        <v>0</v>
      </c>
      <c r="W168" s="119">
        <v>0</v>
      </c>
      <c r="X168" s="119" t="s">
        <v>1362</v>
      </c>
      <c r="Y168" s="119" t="s">
        <v>1363</v>
      </c>
      <c r="Z168" s="121"/>
    </row>
    <row r="169" spans="1:31" ht="12.75" customHeight="1" x14ac:dyDescent="0.25">
      <c r="A169" s="131" t="s">
        <v>919</v>
      </c>
      <c r="B169" s="131" t="s">
        <v>1364</v>
      </c>
      <c r="C169" s="131">
        <v>3</v>
      </c>
      <c r="D169" s="131">
        <v>2021</v>
      </c>
      <c r="E169" s="131">
        <v>2024</v>
      </c>
      <c r="F169" s="131" t="s">
        <v>1365</v>
      </c>
      <c r="G169" s="132" t="s">
        <v>499</v>
      </c>
      <c r="H169" s="132" t="s">
        <v>429</v>
      </c>
      <c r="I169" s="132" t="s">
        <v>790</v>
      </c>
      <c r="J169" s="132" t="s">
        <v>1366</v>
      </c>
      <c r="K169" s="132" t="s">
        <v>663</v>
      </c>
      <c r="L169" s="132" t="s">
        <v>738</v>
      </c>
      <c r="M169" s="132" t="s">
        <v>665</v>
      </c>
      <c r="N169" s="132" t="s">
        <v>666</v>
      </c>
      <c r="O169" s="132" t="s">
        <v>695</v>
      </c>
      <c r="P169" s="132" t="s">
        <v>904</v>
      </c>
      <c r="Q169" s="143" t="s">
        <v>880</v>
      </c>
      <c r="R169" s="132"/>
      <c r="S169" s="132" t="s">
        <v>669</v>
      </c>
      <c r="T169" s="132">
        <v>10000000</v>
      </c>
      <c r="U169" s="132">
        <v>7457122</v>
      </c>
      <c r="V169" s="132">
        <v>0</v>
      </c>
      <c r="W169" s="132">
        <v>0</v>
      </c>
      <c r="X169" s="132" t="s">
        <v>1367</v>
      </c>
      <c r="Y169" s="136" t="s">
        <v>882</v>
      </c>
      <c r="Z169" s="133"/>
      <c r="AA169" s="125"/>
      <c r="AB169" s="125"/>
      <c r="AC169" s="125"/>
      <c r="AD169" s="125"/>
      <c r="AE169" s="125"/>
    </row>
    <row r="170" spans="1:31" ht="12.75" customHeight="1" x14ac:dyDescent="0.25">
      <c r="A170"/>
      <c r="B170" s="129"/>
      <c r="C170" s="129"/>
      <c r="D170" s="129"/>
      <c r="E170" s="129"/>
      <c r="F170" s="127"/>
      <c r="G170" s="119" t="s">
        <v>499</v>
      </c>
      <c r="H170" s="119" t="s">
        <v>461</v>
      </c>
      <c r="I170" s="119" t="s">
        <v>661</v>
      </c>
      <c r="J170" s="119" t="s">
        <v>1368</v>
      </c>
      <c r="K170" s="119" t="s">
        <v>663</v>
      </c>
      <c r="L170" s="119" t="s">
        <v>675</v>
      </c>
      <c r="M170" s="119" t="s">
        <v>665</v>
      </c>
      <c r="N170" s="119" t="s">
        <v>666</v>
      </c>
      <c r="O170" s="119" t="s">
        <v>716</v>
      </c>
      <c r="P170" s="119" t="s">
        <v>1369</v>
      </c>
      <c r="Q170" s="146" t="s">
        <v>1370</v>
      </c>
      <c r="R170" s="119"/>
      <c r="S170" s="119" t="s">
        <v>669</v>
      </c>
      <c r="T170" s="119">
        <v>1500000000</v>
      </c>
      <c r="U170" s="119">
        <v>1118568233</v>
      </c>
      <c r="V170" s="119">
        <v>0</v>
      </c>
      <c r="W170" s="119">
        <v>0</v>
      </c>
      <c r="X170" s="119" t="s">
        <v>1371</v>
      </c>
      <c r="Y170" s="119" t="s">
        <v>1372</v>
      </c>
      <c r="Z170" s="121"/>
    </row>
    <row r="171" spans="1:31" ht="12.75" customHeight="1" x14ac:dyDescent="0.25">
      <c r="A171"/>
      <c r="B171" s="126"/>
      <c r="C171" s="126"/>
      <c r="D171" s="126"/>
      <c r="E171" s="126"/>
      <c r="F171" s="127"/>
      <c r="G171" s="119" t="s">
        <v>499</v>
      </c>
      <c r="H171" s="119" t="s">
        <v>461</v>
      </c>
      <c r="I171" s="119" t="s">
        <v>672</v>
      </c>
      <c r="J171" s="119" t="s">
        <v>1373</v>
      </c>
      <c r="K171" s="119" t="s">
        <v>749</v>
      </c>
      <c r="L171" s="119" t="s">
        <v>690</v>
      </c>
      <c r="M171" s="119" t="s">
        <v>691</v>
      </c>
      <c r="N171" s="119" t="s">
        <v>677</v>
      </c>
      <c r="O171" s="119" t="s">
        <v>716</v>
      </c>
      <c r="P171" s="119" t="s">
        <v>1107</v>
      </c>
      <c r="Q171" s="146" t="s">
        <v>1361</v>
      </c>
      <c r="R171" s="119"/>
      <c r="S171" s="119" t="s">
        <v>669</v>
      </c>
      <c r="T171" s="119">
        <v>0</v>
      </c>
      <c r="U171" s="119">
        <v>0</v>
      </c>
      <c r="V171" s="119">
        <v>0</v>
      </c>
      <c r="W171" s="119">
        <v>0</v>
      </c>
      <c r="X171" s="119" t="s">
        <v>1374</v>
      </c>
      <c r="Y171" s="119" t="s">
        <v>1375</v>
      </c>
      <c r="Z171" s="121"/>
    </row>
    <row r="172" spans="1:31" ht="12.75" customHeight="1" x14ac:dyDescent="0.25">
      <c r="A172"/>
      <c r="B172" s="126"/>
      <c r="C172" s="126"/>
      <c r="D172" s="126"/>
      <c r="E172" s="126"/>
      <c r="F172" s="127"/>
      <c r="G172" s="119" t="s">
        <v>499</v>
      </c>
      <c r="H172" s="119" t="s">
        <v>461</v>
      </c>
      <c r="I172" s="119" t="s">
        <v>672</v>
      </c>
      <c r="J172" s="119" t="s">
        <v>1376</v>
      </c>
      <c r="K172" s="119" t="s">
        <v>798</v>
      </c>
      <c r="L172" s="119" t="s">
        <v>819</v>
      </c>
      <c r="M172" s="119" t="s">
        <v>819</v>
      </c>
      <c r="N172" s="119" t="s">
        <v>666</v>
      </c>
      <c r="O172" s="119" t="s">
        <v>716</v>
      </c>
      <c r="P172" s="119" t="s">
        <v>1107</v>
      </c>
      <c r="Q172" s="146" t="s">
        <v>1377</v>
      </c>
      <c r="R172" s="119"/>
      <c r="S172" s="119" t="s">
        <v>669</v>
      </c>
      <c r="T172" s="119">
        <v>3000000</v>
      </c>
      <c r="U172" s="119">
        <v>2237137</v>
      </c>
      <c r="V172" s="119">
        <v>0</v>
      </c>
      <c r="W172" s="119">
        <v>0</v>
      </c>
      <c r="X172" s="119" t="s">
        <v>1378</v>
      </c>
      <c r="Y172" s="119" t="s">
        <v>1379</v>
      </c>
      <c r="Z172" s="121"/>
    </row>
    <row r="173" spans="1:31" ht="12.75" customHeight="1" x14ac:dyDescent="0.25">
      <c r="A173"/>
      <c r="B173" s="126"/>
      <c r="C173" s="126"/>
      <c r="D173" s="126"/>
      <c r="E173" s="126"/>
      <c r="F173" s="127"/>
      <c r="G173" s="119" t="s">
        <v>499</v>
      </c>
      <c r="H173" s="119" t="s">
        <v>461</v>
      </c>
      <c r="I173" s="119" t="s">
        <v>693</v>
      </c>
      <c r="J173" s="119" t="s">
        <v>1380</v>
      </c>
      <c r="K173" s="119" t="s">
        <v>663</v>
      </c>
      <c r="L173" s="119" t="s">
        <v>675</v>
      </c>
      <c r="M173" s="119" t="s">
        <v>665</v>
      </c>
      <c r="N173" s="119" t="s">
        <v>666</v>
      </c>
      <c r="O173" s="119" t="s">
        <v>716</v>
      </c>
      <c r="P173" s="119" t="s">
        <v>1381</v>
      </c>
      <c r="Q173" s="146" t="s">
        <v>1382</v>
      </c>
      <c r="R173" s="119"/>
      <c r="S173" s="119" t="s">
        <v>669</v>
      </c>
      <c r="T173" s="119">
        <v>69200000</v>
      </c>
      <c r="U173" s="119">
        <v>51603282</v>
      </c>
      <c r="V173" s="119">
        <v>0</v>
      </c>
      <c r="W173" s="119">
        <v>0</v>
      </c>
      <c r="X173" s="119" t="s">
        <v>1383</v>
      </c>
      <c r="Y173" s="119" t="s">
        <v>1384</v>
      </c>
      <c r="Z173" s="121"/>
    </row>
    <row r="174" spans="1:31" ht="12.75" customHeight="1" x14ac:dyDescent="0.25">
      <c r="A174"/>
      <c r="B174" s="126"/>
      <c r="C174" s="126"/>
      <c r="D174" s="126"/>
      <c r="E174" s="126"/>
      <c r="F174" s="127"/>
      <c r="G174" s="119" t="s">
        <v>499</v>
      </c>
      <c r="H174" s="119" t="s">
        <v>461</v>
      </c>
      <c r="I174" s="119" t="s">
        <v>693</v>
      </c>
      <c r="J174" s="119" t="s">
        <v>1385</v>
      </c>
      <c r="K174" s="119" t="s">
        <v>674</v>
      </c>
      <c r="L174" s="119" t="s">
        <v>701</v>
      </c>
      <c r="M174" s="119" t="s">
        <v>665</v>
      </c>
      <c r="N174" s="119" t="s">
        <v>666</v>
      </c>
      <c r="O174" s="119" t="s">
        <v>716</v>
      </c>
      <c r="P174" s="119" t="s">
        <v>1386</v>
      </c>
      <c r="Q174" s="146" t="s">
        <v>1387</v>
      </c>
      <c r="R174" s="119"/>
      <c r="S174" s="119" t="s">
        <v>669</v>
      </c>
      <c r="T174" s="119">
        <v>8400000</v>
      </c>
      <c r="U174" s="119">
        <v>6263983</v>
      </c>
      <c r="V174" s="119">
        <v>0</v>
      </c>
      <c r="W174" s="119">
        <v>0</v>
      </c>
      <c r="X174" s="119" t="s">
        <v>1388</v>
      </c>
      <c r="Y174" s="119" t="s">
        <v>1389</v>
      </c>
      <c r="Z174" s="121"/>
    </row>
    <row r="175" spans="1:31" ht="12.75" customHeight="1" x14ac:dyDescent="0.25">
      <c r="A175"/>
      <c r="B175" s="126"/>
      <c r="C175" s="126"/>
      <c r="D175" s="126"/>
      <c r="E175" s="126"/>
      <c r="F175" s="127"/>
      <c r="G175" s="119" t="s">
        <v>499</v>
      </c>
      <c r="H175" s="119" t="s">
        <v>67</v>
      </c>
      <c r="I175" s="119" t="s">
        <v>693</v>
      </c>
      <c r="J175" s="119" t="s">
        <v>1385</v>
      </c>
      <c r="K175" s="119" t="s">
        <v>674</v>
      </c>
      <c r="L175" s="119" t="s">
        <v>701</v>
      </c>
      <c r="M175" s="119" t="s">
        <v>665</v>
      </c>
      <c r="N175" s="119" t="s">
        <v>666</v>
      </c>
      <c r="O175" s="119" t="s">
        <v>709</v>
      </c>
      <c r="P175" s="119" t="s">
        <v>1386</v>
      </c>
      <c r="Q175" s="146" t="s">
        <v>1387</v>
      </c>
      <c r="R175" s="119"/>
      <c r="S175" s="119" t="s">
        <v>669</v>
      </c>
      <c r="T175" s="119">
        <v>15700000</v>
      </c>
      <c r="U175" s="119">
        <v>11707681</v>
      </c>
      <c r="V175" s="119">
        <v>0</v>
      </c>
      <c r="W175" s="119">
        <v>0</v>
      </c>
      <c r="X175" s="119" t="s">
        <v>1390</v>
      </c>
      <c r="Y175" s="119" t="s">
        <v>1391</v>
      </c>
      <c r="Z175" s="121"/>
    </row>
    <row r="176" spans="1:31" ht="12.75" customHeight="1" x14ac:dyDescent="0.25">
      <c r="A176"/>
      <c r="B176" s="126"/>
      <c r="C176" s="126"/>
      <c r="D176" s="126"/>
      <c r="E176" s="126"/>
      <c r="F176" s="127"/>
      <c r="G176" s="119" t="s">
        <v>499</v>
      </c>
      <c r="H176" s="119" t="s">
        <v>418</v>
      </c>
      <c r="I176" s="119" t="s">
        <v>693</v>
      </c>
      <c r="J176" s="119" t="s">
        <v>253</v>
      </c>
      <c r="K176" s="119" t="s">
        <v>674</v>
      </c>
      <c r="L176" s="119" t="s">
        <v>675</v>
      </c>
      <c r="M176" s="119" t="s">
        <v>676</v>
      </c>
      <c r="N176" s="119" t="s">
        <v>1392</v>
      </c>
      <c r="O176" s="119" t="s">
        <v>977</v>
      </c>
      <c r="P176" s="119" t="s">
        <v>1393</v>
      </c>
      <c r="Q176" s="146" t="s">
        <v>1394</v>
      </c>
      <c r="R176" s="119"/>
      <c r="S176" s="119" t="s">
        <v>669</v>
      </c>
      <c r="T176" s="119">
        <v>80000000</v>
      </c>
      <c r="U176" s="119">
        <v>59656973</v>
      </c>
      <c r="V176" s="119">
        <v>0</v>
      </c>
      <c r="W176" s="119">
        <v>0</v>
      </c>
      <c r="X176" s="119" t="s">
        <v>1395</v>
      </c>
      <c r="Y176" s="119" t="s">
        <v>1396</v>
      </c>
      <c r="Z176" s="122" t="s">
        <v>1397</v>
      </c>
    </row>
    <row r="177" spans="1:31" ht="12.75" customHeight="1" x14ac:dyDescent="0.25">
      <c r="A177"/>
      <c r="B177" s="126"/>
      <c r="C177" s="126"/>
      <c r="D177" s="126"/>
      <c r="E177" s="126"/>
      <c r="F177" s="127"/>
      <c r="G177" s="119" t="s">
        <v>499</v>
      </c>
      <c r="H177" s="119" t="s">
        <v>418</v>
      </c>
      <c r="I177" s="119" t="s">
        <v>693</v>
      </c>
      <c r="J177" s="119" t="s">
        <v>1398</v>
      </c>
      <c r="K177" s="119" t="s">
        <v>674</v>
      </c>
      <c r="L177" s="119" t="s">
        <v>664</v>
      </c>
      <c r="M177" s="119" t="s">
        <v>676</v>
      </c>
      <c r="N177" s="119" t="s">
        <v>677</v>
      </c>
      <c r="O177" s="119" t="s">
        <v>977</v>
      </c>
      <c r="P177" s="119" t="s">
        <v>1399</v>
      </c>
      <c r="Q177" s="146" t="s">
        <v>1387</v>
      </c>
      <c r="R177" s="119"/>
      <c r="S177" s="119" t="s">
        <v>669</v>
      </c>
      <c r="T177" s="119">
        <v>0</v>
      </c>
      <c r="U177" s="119">
        <v>0</v>
      </c>
      <c r="V177" s="119">
        <v>0</v>
      </c>
      <c r="W177" s="119">
        <v>0</v>
      </c>
      <c r="X177" s="119" t="s">
        <v>1400</v>
      </c>
      <c r="Y177" s="119" t="s">
        <v>1401</v>
      </c>
      <c r="Z177" s="121"/>
    </row>
    <row r="178" spans="1:31" ht="12.75" customHeight="1" x14ac:dyDescent="0.25">
      <c r="A178"/>
      <c r="B178" s="126"/>
      <c r="C178" s="126"/>
      <c r="D178" s="126"/>
      <c r="E178" s="126"/>
      <c r="F178" s="127"/>
      <c r="G178" s="119" t="s">
        <v>499</v>
      </c>
      <c r="H178" s="119" t="s">
        <v>452</v>
      </c>
      <c r="I178" s="119" t="s">
        <v>682</v>
      </c>
      <c r="J178" s="119" t="s">
        <v>1402</v>
      </c>
      <c r="K178" s="119" t="s">
        <v>663</v>
      </c>
      <c r="L178" s="119" t="s">
        <v>738</v>
      </c>
      <c r="M178" s="119" t="s">
        <v>665</v>
      </c>
      <c r="N178" s="119" t="s">
        <v>677</v>
      </c>
      <c r="O178" s="119" t="s">
        <v>667</v>
      </c>
      <c r="P178" s="119" t="s">
        <v>1403</v>
      </c>
      <c r="Q178" s="146" t="s">
        <v>1404</v>
      </c>
      <c r="R178" s="119"/>
      <c r="S178" s="119" t="s">
        <v>669</v>
      </c>
      <c r="T178" s="119">
        <v>0</v>
      </c>
      <c r="U178" s="119">
        <v>0</v>
      </c>
      <c r="V178" s="119">
        <v>0</v>
      </c>
      <c r="W178" s="119">
        <v>0</v>
      </c>
      <c r="X178" s="122" t="s">
        <v>1405</v>
      </c>
      <c r="Y178" s="119" t="s">
        <v>1406</v>
      </c>
      <c r="Z178" s="121"/>
    </row>
    <row r="179" spans="1:31" ht="12.75" customHeight="1" x14ac:dyDescent="0.25">
      <c r="A179"/>
      <c r="B179" s="126"/>
      <c r="C179" s="126"/>
      <c r="D179" s="126"/>
      <c r="E179" s="126"/>
      <c r="F179" s="127"/>
      <c r="G179" s="119" t="s">
        <v>499</v>
      </c>
      <c r="H179" s="119" t="s">
        <v>67</v>
      </c>
      <c r="I179" s="119" t="s">
        <v>661</v>
      </c>
      <c r="J179" s="119" t="s">
        <v>1407</v>
      </c>
      <c r="K179" s="119" t="s">
        <v>674</v>
      </c>
      <c r="L179" s="119" t="s">
        <v>675</v>
      </c>
      <c r="M179" s="119" t="s">
        <v>676</v>
      </c>
      <c r="N179" s="119" t="s">
        <v>666</v>
      </c>
      <c r="O179" s="119" t="s">
        <v>709</v>
      </c>
      <c r="P179" s="119" t="s">
        <v>1408</v>
      </c>
      <c r="Q179" s="146" t="s">
        <v>1361</v>
      </c>
      <c r="R179" s="119"/>
      <c r="S179" s="119" t="s">
        <v>669</v>
      </c>
      <c r="T179" s="119">
        <v>100000000</v>
      </c>
      <c r="U179" s="119">
        <v>74571216</v>
      </c>
      <c r="V179" s="119">
        <v>0</v>
      </c>
      <c r="W179" s="119">
        <v>0</v>
      </c>
      <c r="X179" s="119" t="s">
        <v>1409</v>
      </c>
      <c r="Y179" s="119" t="s">
        <v>1410</v>
      </c>
      <c r="Z179" s="121"/>
    </row>
    <row r="180" spans="1:31" ht="12.75" customHeight="1" x14ac:dyDescent="0.25">
      <c r="A180"/>
      <c r="B180" s="128"/>
      <c r="C180" s="128"/>
      <c r="D180" s="128"/>
      <c r="E180" s="128"/>
      <c r="F180" s="127"/>
      <c r="G180" s="119" t="s">
        <v>499</v>
      </c>
      <c r="H180" s="119" t="s">
        <v>67</v>
      </c>
      <c r="I180" s="119" t="s">
        <v>693</v>
      </c>
      <c r="J180" s="119" t="s">
        <v>1411</v>
      </c>
      <c r="K180" s="119" t="s">
        <v>674</v>
      </c>
      <c r="L180" s="119" t="s">
        <v>701</v>
      </c>
      <c r="M180" s="119" t="s">
        <v>676</v>
      </c>
      <c r="N180" s="119" t="s">
        <v>677</v>
      </c>
      <c r="O180" s="119" t="s">
        <v>709</v>
      </c>
      <c r="P180" s="119" t="s">
        <v>1412</v>
      </c>
      <c r="Q180" s="146" t="s">
        <v>1377</v>
      </c>
      <c r="R180" s="119"/>
      <c r="S180" s="119" t="s">
        <v>669</v>
      </c>
      <c r="T180" s="119">
        <v>0</v>
      </c>
      <c r="U180" s="119">
        <v>0</v>
      </c>
      <c r="V180" s="119">
        <v>0</v>
      </c>
      <c r="W180" s="119">
        <v>0</v>
      </c>
      <c r="X180" s="119" t="s">
        <v>1413</v>
      </c>
      <c r="Y180" s="119" t="s">
        <v>1414</v>
      </c>
      <c r="Z180" s="121"/>
    </row>
    <row r="181" spans="1:31" ht="12.75" customHeight="1" x14ac:dyDescent="0.25">
      <c r="A181" s="131" t="s">
        <v>975</v>
      </c>
      <c r="B181" s="131" t="s">
        <v>1415</v>
      </c>
      <c r="C181" s="131">
        <v>1</v>
      </c>
      <c r="D181" s="131">
        <v>2020</v>
      </c>
      <c r="E181" s="131">
        <v>2020</v>
      </c>
      <c r="G181" s="132" t="s">
        <v>499</v>
      </c>
      <c r="H181" s="132" t="s">
        <v>418</v>
      </c>
      <c r="I181" s="132" t="s">
        <v>790</v>
      </c>
      <c r="J181" s="132" t="s">
        <v>1416</v>
      </c>
      <c r="K181" s="132" t="s">
        <v>749</v>
      </c>
      <c r="L181" s="132" t="s">
        <v>799</v>
      </c>
      <c r="M181" s="132" t="s">
        <v>691</v>
      </c>
      <c r="N181" s="132" t="s">
        <v>666</v>
      </c>
      <c r="O181" s="132" t="s">
        <v>977</v>
      </c>
      <c r="P181" s="132" t="s">
        <v>1417</v>
      </c>
      <c r="Q181" s="143" t="s">
        <v>624</v>
      </c>
      <c r="R181" s="132"/>
      <c r="S181" s="132" t="s">
        <v>669</v>
      </c>
      <c r="T181" s="132">
        <v>10000000</v>
      </c>
      <c r="U181" s="132">
        <v>7457122</v>
      </c>
      <c r="V181" s="132">
        <v>0</v>
      </c>
      <c r="W181" s="132">
        <v>0</v>
      </c>
      <c r="X181" s="132" t="s">
        <v>1418</v>
      </c>
      <c r="Y181" s="136" t="s">
        <v>1419</v>
      </c>
      <c r="Z181" s="133"/>
      <c r="AA181" s="125"/>
      <c r="AB181" s="125"/>
      <c r="AC181" s="125"/>
      <c r="AD181" s="125"/>
      <c r="AE181" s="125"/>
    </row>
    <row r="182" spans="1:31" ht="12.75" customHeight="1" x14ac:dyDescent="0.25">
      <c r="A182"/>
      <c r="G182" s="119" t="s">
        <v>499</v>
      </c>
      <c r="H182" s="119" t="s">
        <v>452</v>
      </c>
      <c r="I182" s="119" t="s">
        <v>672</v>
      </c>
      <c r="J182" s="119" t="s">
        <v>625</v>
      </c>
      <c r="K182" s="119" t="s">
        <v>584</v>
      </c>
      <c r="L182" s="119" t="s">
        <v>738</v>
      </c>
      <c r="M182" s="119" t="s">
        <v>819</v>
      </c>
      <c r="N182" s="119" t="s">
        <v>1210</v>
      </c>
      <c r="O182" s="119" t="s">
        <v>667</v>
      </c>
      <c r="P182" s="119" t="s">
        <v>1420</v>
      </c>
      <c r="Q182" s="146" t="s">
        <v>627</v>
      </c>
      <c r="R182" s="120">
        <v>44317</v>
      </c>
      <c r="S182" s="119" t="s">
        <v>669</v>
      </c>
      <c r="T182" s="119">
        <v>0</v>
      </c>
      <c r="U182" s="119">
        <v>0</v>
      </c>
      <c r="V182" s="119">
        <v>0</v>
      </c>
      <c r="W182" s="119">
        <v>0</v>
      </c>
      <c r="X182" s="119" t="s">
        <v>1421</v>
      </c>
      <c r="Y182" s="119" t="s">
        <v>1422</v>
      </c>
      <c r="Z182" s="121"/>
    </row>
    <row r="183" spans="1:31" ht="12.75" customHeight="1" x14ac:dyDescent="0.25">
      <c r="A183" s="131" t="s">
        <v>934</v>
      </c>
      <c r="B183" s="131" t="s">
        <v>1202</v>
      </c>
      <c r="C183" s="131">
        <v>1</v>
      </c>
      <c r="D183" s="131">
        <v>2021</v>
      </c>
      <c r="E183" s="131">
        <v>2021</v>
      </c>
      <c r="F183" s="131" t="s">
        <v>1423</v>
      </c>
      <c r="G183" s="132" t="s">
        <v>499</v>
      </c>
      <c r="H183" s="132" t="s">
        <v>67</v>
      </c>
      <c r="I183" s="132" t="s">
        <v>672</v>
      </c>
      <c r="J183" s="132" t="s">
        <v>594</v>
      </c>
      <c r="K183" s="132" t="s">
        <v>584</v>
      </c>
      <c r="L183" s="132" t="s">
        <v>690</v>
      </c>
      <c r="M183" s="132" t="s">
        <v>665</v>
      </c>
      <c r="N183" s="132" t="s">
        <v>666</v>
      </c>
      <c r="O183" s="132" t="s">
        <v>709</v>
      </c>
      <c r="P183" s="132" t="s">
        <v>1424</v>
      </c>
      <c r="Q183" s="143" t="s">
        <v>596</v>
      </c>
      <c r="R183" s="132"/>
      <c r="S183" s="132" t="s">
        <v>669</v>
      </c>
      <c r="T183" s="132">
        <v>10000000</v>
      </c>
      <c r="U183" s="132">
        <v>7457122</v>
      </c>
      <c r="V183" s="132">
        <v>0</v>
      </c>
      <c r="W183" s="132">
        <v>0</v>
      </c>
      <c r="X183" s="134" t="s">
        <v>1425</v>
      </c>
      <c r="Y183" s="136" t="s">
        <v>943</v>
      </c>
      <c r="Z183" s="133"/>
      <c r="AA183" s="125"/>
      <c r="AB183" s="125"/>
      <c r="AC183" s="125"/>
      <c r="AD183" s="125"/>
      <c r="AE183" s="125"/>
    </row>
    <row r="184" spans="1:31" ht="12.75" customHeight="1" x14ac:dyDescent="0.25">
      <c r="A184"/>
      <c r="B184" s="129"/>
      <c r="C184" s="129"/>
      <c r="D184" s="129"/>
      <c r="E184" s="129"/>
      <c r="F184" s="127"/>
      <c r="G184" s="119" t="s">
        <v>499</v>
      </c>
      <c r="H184" s="119" t="s">
        <v>452</v>
      </c>
      <c r="I184" s="119" t="s">
        <v>682</v>
      </c>
      <c r="J184" s="119" t="s">
        <v>1426</v>
      </c>
      <c r="K184" s="119" t="s">
        <v>663</v>
      </c>
      <c r="L184" s="119" t="s">
        <v>738</v>
      </c>
      <c r="M184" s="119" t="s">
        <v>665</v>
      </c>
      <c r="N184" s="119" t="s">
        <v>666</v>
      </c>
      <c r="O184" s="119" t="s">
        <v>667</v>
      </c>
      <c r="P184" s="119" t="s">
        <v>1427</v>
      </c>
      <c r="Q184" s="144">
        <v>44053</v>
      </c>
      <c r="R184" s="119"/>
      <c r="S184" s="119" t="s">
        <v>669</v>
      </c>
      <c r="T184" s="119">
        <v>295000000</v>
      </c>
      <c r="U184" s="119">
        <v>219985086</v>
      </c>
      <c r="V184" s="119">
        <v>0</v>
      </c>
      <c r="W184" s="119">
        <v>0</v>
      </c>
      <c r="X184" s="119" t="s">
        <v>1428</v>
      </c>
      <c r="Y184" s="119" t="s">
        <v>1429</v>
      </c>
      <c r="Z184" s="121"/>
    </row>
    <row r="185" spans="1:31" ht="12.75" customHeight="1" x14ac:dyDescent="0.25">
      <c r="A185"/>
      <c r="B185" s="126"/>
      <c r="C185" s="126"/>
      <c r="D185" s="126"/>
      <c r="E185" s="126"/>
      <c r="F185" s="127"/>
      <c r="G185" s="119" t="s">
        <v>499</v>
      </c>
      <c r="H185" s="119" t="s">
        <v>67</v>
      </c>
      <c r="I185" s="119" t="s">
        <v>682</v>
      </c>
      <c r="J185" s="119" t="s">
        <v>1430</v>
      </c>
      <c r="K185" s="119" t="s">
        <v>663</v>
      </c>
      <c r="L185" s="119" t="s">
        <v>738</v>
      </c>
      <c r="M185" s="119" t="s">
        <v>665</v>
      </c>
      <c r="N185" s="119" t="s">
        <v>666</v>
      </c>
      <c r="O185" s="119" t="s">
        <v>709</v>
      </c>
      <c r="P185" s="119" t="s">
        <v>1427</v>
      </c>
      <c r="Q185" s="144">
        <v>44053</v>
      </c>
      <c r="R185" s="119"/>
      <c r="S185" s="119" t="s">
        <v>669</v>
      </c>
      <c r="T185" s="119">
        <v>295000000</v>
      </c>
      <c r="U185" s="119">
        <v>219985086</v>
      </c>
      <c r="V185" s="119">
        <v>0</v>
      </c>
      <c r="W185" s="119">
        <v>0</v>
      </c>
      <c r="X185" s="119" t="s">
        <v>1431</v>
      </c>
      <c r="Y185" s="119" t="s">
        <v>1429</v>
      </c>
      <c r="Z185" s="121"/>
    </row>
    <row r="186" spans="1:31" ht="12.75" customHeight="1" x14ac:dyDescent="0.25">
      <c r="A186"/>
      <c r="B186" s="126"/>
      <c r="C186" s="126"/>
      <c r="D186" s="126"/>
      <c r="E186" s="126"/>
      <c r="F186" s="127"/>
      <c r="G186" s="119" t="s">
        <v>499</v>
      </c>
      <c r="H186" s="119" t="s">
        <v>443</v>
      </c>
      <c r="I186" s="119" t="s">
        <v>693</v>
      </c>
      <c r="J186" s="119" t="s">
        <v>1432</v>
      </c>
      <c r="K186" s="119" t="s">
        <v>674</v>
      </c>
      <c r="L186" s="119" t="s">
        <v>675</v>
      </c>
      <c r="M186" s="119" t="s">
        <v>676</v>
      </c>
      <c r="N186" s="119" t="s">
        <v>666</v>
      </c>
      <c r="O186" s="119" t="s">
        <v>809</v>
      </c>
      <c r="P186" s="119" t="s">
        <v>1433</v>
      </c>
      <c r="Q186" s="146" t="s">
        <v>1434</v>
      </c>
      <c r="R186" s="119"/>
      <c r="S186" s="119" t="s">
        <v>669</v>
      </c>
      <c r="T186" s="119">
        <v>32000000</v>
      </c>
      <c r="U186" s="119">
        <v>23862789</v>
      </c>
      <c r="V186" s="119">
        <v>0</v>
      </c>
      <c r="W186" s="119">
        <v>0</v>
      </c>
      <c r="X186" s="119" t="s">
        <v>1435</v>
      </c>
      <c r="Y186" s="119" t="s">
        <v>1436</v>
      </c>
      <c r="Z186" s="121"/>
    </row>
    <row r="187" spans="1:31" ht="12.75" customHeight="1" x14ac:dyDescent="0.25">
      <c r="A187"/>
      <c r="B187" s="126"/>
      <c r="C187" s="126"/>
      <c r="D187" s="126"/>
      <c r="E187" s="126"/>
      <c r="F187" s="127"/>
      <c r="G187" s="119" t="s">
        <v>499</v>
      </c>
      <c r="H187" s="119" t="s">
        <v>443</v>
      </c>
      <c r="I187" s="119" t="s">
        <v>693</v>
      </c>
      <c r="J187" s="119" t="s">
        <v>1437</v>
      </c>
      <c r="K187" s="119" t="s">
        <v>663</v>
      </c>
      <c r="L187" s="119" t="s">
        <v>675</v>
      </c>
      <c r="M187" s="119" t="s">
        <v>665</v>
      </c>
      <c r="N187" s="119" t="s">
        <v>666</v>
      </c>
      <c r="O187" s="119" t="s">
        <v>809</v>
      </c>
      <c r="P187" s="119" t="s">
        <v>1438</v>
      </c>
      <c r="Q187" s="146" t="s">
        <v>1434</v>
      </c>
      <c r="R187" s="119"/>
      <c r="S187" s="119" t="s">
        <v>669</v>
      </c>
      <c r="T187" s="119">
        <v>165000000</v>
      </c>
      <c r="U187" s="119">
        <v>123042506</v>
      </c>
      <c r="V187" s="119">
        <v>0</v>
      </c>
      <c r="W187" s="119">
        <v>0</v>
      </c>
      <c r="X187" s="119" t="s">
        <v>1439</v>
      </c>
      <c r="Y187" s="119" t="s">
        <v>1440</v>
      </c>
      <c r="Z187" s="121"/>
    </row>
    <row r="188" spans="1:31" ht="12.75" customHeight="1" x14ac:dyDescent="0.25">
      <c r="A188"/>
      <c r="B188" s="126"/>
      <c r="C188" s="126"/>
      <c r="D188" s="126"/>
      <c r="E188" s="126"/>
      <c r="F188" s="127"/>
      <c r="G188" s="119" t="s">
        <v>499</v>
      </c>
      <c r="H188" s="119" t="s">
        <v>67</v>
      </c>
      <c r="I188" s="119" t="s">
        <v>682</v>
      </c>
      <c r="J188" s="119" t="s">
        <v>1441</v>
      </c>
      <c r="K188" s="119" t="s">
        <v>663</v>
      </c>
      <c r="L188" s="119" t="s">
        <v>738</v>
      </c>
      <c r="M188" s="119" t="s">
        <v>665</v>
      </c>
      <c r="N188" s="119" t="s">
        <v>666</v>
      </c>
      <c r="O188" s="119" t="s">
        <v>768</v>
      </c>
      <c r="P188" s="119" t="s">
        <v>769</v>
      </c>
      <c r="Q188" s="144">
        <v>43840</v>
      </c>
      <c r="R188" s="119"/>
      <c r="S188" s="119" t="s">
        <v>669</v>
      </c>
      <c r="T188" s="119">
        <v>1500000000</v>
      </c>
      <c r="U188" s="119">
        <v>1118568233</v>
      </c>
      <c r="V188" s="119">
        <v>0</v>
      </c>
      <c r="W188" s="119">
        <v>0</v>
      </c>
      <c r="X188" s="119" t="s">
        <v>1442</v>
      </c>
      <c r="Y188" s="119" t="s">
        <v>771</v>
      </c>
      <c r="Z188" s="121"/>
    </row>
    <row r="189" spans="1:31" ht="12.75" customHeight="1" x14ac:dyDescent="0.25">
      <c r="A189"/>
      <c r="B189" s="128"/>
      <c r="C189" s="128"/>
      <c r="D189" s="128"/>
      <c r="E189" s="128"/>
      <c r="F189" s="127"/>
      <c r="G189" s="119" t="s">
        <v>499</v>
      </c>
      <c r="H189" s="119" t="s">
        <v>67</v>
      </c>
      <c r="I189" s="119" t="s">
        <v>672</v>
      </c>
      <c r="J189" s="119" t="s">
        <v>1443</v>
      </c>
      <c r="K189" s="119" t="s">
        <v>798</v>
      </c>
      <c r="L189" s="119" t="s">
        <v>738</v>
      </c>
      <c r="M189" s="119" t="s">
        <v>819</v>
      </c>
      <c r="N189" s="119" t="s">
        <v>666</v>
      </c>
      <c r="O189" s="119" t="s">
        <v>768</v>
      </c>
      <c r="P189" s="119" t="s">
        <v>769</v>
      </c>
      <c r="Q189" s="144">
        <v>43840</v>
      </c>
      <c r="R189" s="119"/>
      <c r="S189" s="119" t="s">
        <v>669</v>
      </c>
      <c r="T189" s="119">
        <v>2000000000</v>
      </c>
      <c r="U189" s="119">
        <v>1491424311</v>
      </c>
      <c r="V189" s="119">
        <v>0</v>
      </c>
      <c r="W189" s="119">
        <v>0</v>
      </c>
      <c r="X189" s="119" t="s">
        <v>1444</v>
      </c>
      <c r="Y189" s="119" t="s">
        <v>771</v>
      </c>
      <c r="Z189" s="121"/>
    </row>
    <row r="190" spans="1:31" ht="12.75" customHeight="1" x14ac:dyDescent="0.25">
      <c r="A190" s="131" t="s">
        <v>919</v>
      </c>
      <c r="B190" s="131" t="s">
        <v>1364</v>
      </c>
      <c r="C190" s="131">
        <v>1</v>
      </c>
      <c r="D190" s="131">
        <v>2020</v>
      </c>
      <c r="E190" s="131">
        <v>2020</v>
      </c>
      <c r="G190" s="132" t="s">
        <v>499</v>
      </c>
      <c r="H190" s="132" t="s">
        <v>429</v>
      </c>
      <c r="I190" s="132" t="s">
        <v>790</v>
      </c>
      <c r="J190" s="132" t="s">
        <v>1445</v>
      </c>
      <c r="K190" s="132" t="s">
        <v>663</v>
      </c>
      <c r="L190" s="132" t="s">
        <v>574</v>
      </c>
      <c r="M190" s="132" t="s">
        <v>665</v>
      </c>
      <c r="N190" s="132" t="s">
        <v>666</v>
      </c>
      <c r="O190" s="132" t="s">
        <v>1446</v>
      </c>
      <c r="P190" s="132" t="s">
        <v>1447</v>
      </c>
      <c r="Q190" s="147">
        <v>44084</v>
      </c>
      <c r="R190" s="132"/>
      <c r="S190" s="132" t="s">
        <v>669</v>
      </c>
      <c r="T190" s="132">
        <v>10000000</v>
      </c>
      <c r="U190" s="132">
        <v>7457122</v>
      </c>
      <c r="V190" s="132">
        <v>0</v>
      </c>
      <c r="W190" s="132">
        <v>0</v>
      </c>
      <c r="X190" s="132" t="s">
        <v>1448</v>
      </c>
      <c r="Y190" s="136" t="s">
        <v>1449</v>
      </c>
      <c r="Z190" s="133"/>
      <c r="AA190" s="125"/>
      <c r="AB190" s="125"/>
      <c r="AC190" s="125"/>
      <c r="AD190" s="125"/>
      <c r="AE190" s="125"/>
    </row>
    <row r="191" spans="1:31" ht="12.75" customHeight="1" x14ac:dyDescent="0.25">
      <c r="A191"/>
      <c r="B191" s="130"/>
      <c r="C191" s="130"/>
      <c r="D191" s="130"/>
      <c r="E191" s="130"/>
      <c r="F191" s="127"/>
      <c r="G191" s="119" t="s">
        <v>499</v>
      </c>
      <c r="H191" s="119" t="s">
        <v>418</v>
      </c>
      <c r="I191" s="119" t="s">
        <v>661</v>
      </c>
      <c r="J191" s="119" t="s">
        <v>1450</v>
      </c>
      <c r="K191" s="119" t="s">
        <v>674</v>
      </c>
      <c r="L191" s="119" t="s">
        <v>855</v>
      </c>
      <c r="M191" s="119" t="s">
        <v>691</v>
      </c>
      <c r="N191" s="119" t="s">
        <v>666</v>
      </c>
      <c r="O191" s="119" t="s">
        <v>977</v>
      </c>
      <c r="P191" s="119" t="s">
        <v>1451</v>
      </c>
      <c r="Q191" s="146" t="s">
        <v>630</v>
      </c>
      <c r="R191" s="119"/>
      <c r="S191" s="119" t="s">
        <v>669</v>
      </c>
      <c r="T191" s="119">
        <v>549500028</v>
      </c>
      <c r="U191" s="119">
        <v>409768851</v>
      </c>
      <c r="V191" s="119">
        <v>0</v>
      </c>
      <c r="W191" s="119">
        <v>0</v>
      </c>
      <c r="X191" s="122" t="s">
        <v>1452</v>
      </c>
      <c r="Y191" s="122" t="s">
        <v>1453</v>
      </c>
      <c r="Z191" s="119"/>
    </row>
    <row r="192" spans="1:31" ht="12.75" customHeight="1" x14ac:dyDescent="0.25">
      <c r="A192" s="131" t="s">
        <v>1454</v>
      </c>
      <c r="B192" s="131" t="s">
        <v>1455</v>
      </c>
      <c r="C192" s="131">
        <v>1</v>
      </c>
      <c r="D192" s="131">
        <v>2020</v>
      </c>
      <c r="E192" s="131">
        <v>2020</v>
      </c>
      <c r="G192" s="132" t="s">
        <v>499</v>
      </c>
      <c r="H192" s="132" t="s">
        <v>67</v>
      </c>
      <c r="I192" s="132" t="s">
        <v>790</v>
      </c>
      <c r="J192" s="132" t="s">
        <v>1456</v>
      </c>
      <c r="K192" s="132" t="s">
        <v>674</v>
      </c>
      <c r="L192" s="132" t="s">
        <v>799</v>
      </c>
      <c r="M192" s="132" t="s">
        <v>676</v>
      </c>
      <c r="N192" s="132" t="s">
        <v>666</v>
      </c>
      <c r="O192" s="132" t="s">
        <v>1457</v>
      </c>
      <c r="P192" s="132" t="s">
        <v>1458</v>
      </c>
      <c r="Q192" s="147">
        <v>44173</v>
      </c>
      <c r="R192" s="132"/>
      <c r="S192" s="132" t="s">
        <v>669</v>
      </c>
      <c r="T192" s="132">
        <v>10000000</v>
      </c>
      <c r="U192" s="132">
        <v>7457122</v>
      </c>
      <c r="V192" s="132">
        <v>0</v>
      </c>
      <c r="W192" s="132">
        <v>0</v>
      </c>
      <c r="X192" s="132" t="s">
        <v>1459</v>
      </c>
      <c r="Y192" s="136" t="s">
        <v>1460</v>
      </c>
      <c r="Z192" s="133"/>
      <c r="AA192" s="125"/>
      <c r="AB192" s="125"/>
      <c r="AC192" s="125"/>
      <c r="AD192" s="125"/>
      <c r="AE192" s="125"/>
    </row>
    <row r="193" spans="1:30" ht="12.75" customHeight="1" x14ac:dyDescent="0.25">
      <c r="A193" s="131" t="s">
        <v>934</v>
      </c>
      <c r="B193" s="131" t="s">
        <v>1461</v>
      </c>
      <c r="C193" s="131">
        <v>1</v>
      </c>
      <c r="D193" s="131">
        <v>2020</v>
      </c>
      <c r="E193" s="131">
        <v>2020</v>
      </c>
      <c r="G193" s="132" t="s">
        <v>499</v>
      </c>
      <c r="H193" s="132" t="s">
        <v>67</v>
      </c>
      <c r="I193" s="132" t="s">
        <v>672</v>
      </c>
      <c r="J193" s="132" t="s">
        <v>1462</v>
      </c>
      <c r="K193" s="132" t="s">
        <v>584</v>
      </c>
      <c r="L193" s="132" t="s">
        <v>1116</v>
      </c>
      <c r="M193" s="132" t="s">
        <v>702</v>
      </c>
      <c r="N193" s="132" t="s">
        <v>666</v>
      </c>
      <c r="O193" s="132" t="s">
        <v>949</v>
      </c>
      <c r="P193" s="132" t="s">
        <v>1463</v>
      </c>
      <c r="Q193" s="147">
        <v>44083</v>
      </c>
      <c r="R193" s="132"/>
      <c r="S193" s="132" t="s">
        <v>669</v>
      </c>
      <c r="T193" s="132">
        <v>9400000</v>
      </c>
      <c r="U193" s="132">
        <v>7009695</v>
      </c>
      <c r="V193" s="132">
        <v>0</v>
      </c>
      <c r="W193" s="132">
        <v>0</v>
      </c>
      <c r="X193" s="132" t="s">
        <v>1464</v>
      </c>
      <c r="Y193" s="136" t="s">
        <v>1465</v>
      </c>
      <c r="Z193" s="133"/>
    </row>
    <row r="194" spans="1:30" ht="12.75" customHeight="1" x14ac:dyDescent="0.25">
      <c r="A194"/>
      <c r="B194" s="129"/>
      <c r="C194" s="129"/>
      <c r="D194" s="129"/>
      <c r="E194" s="129"/>
      <c r="F194" s="127"/>
      <c r="G194" s="119" t="s">
        <v>499</v>
      </c>
      <c r="H194" s="119" t="s">
        <v>67</v>
      </c>
      <c r="I194" s="119" t="s">
        <v>693</v>
      </c>
      <c r="J194" s="119" t="s">
        <v>1466</v>
      </c>
      <c r="K194" s="119" t="s">
        <v>674</v>
      </c>
      <c r="L194" s="119" t="s">
        <v>675</v>
      </c>
      <c r="M194" s="119" t="s">
        <v>676</v>
      </c>
      <c r="N194" s="119" t="s">
        <v>666</v>
      </c>
      <c r="O194" s="119" t="s">
        <v>949</v>
      </c>
      <c r="P194" s="119" t="s">
        <v>1467</v>
      </c>
      <c r="Q194" s="146" t="s">
        <v>1468</v>
      </c>
      <c r="R194" s="119"/>
      <c r="S194" s="119" t="s">
        <v>669</v>
      </c>
      <c r="T194" s="119">
        <v>320000000</v>
      </c>
      <c r="U194" s="119">
        <v>238627890</v>
      </c>
      <c r="V194" s="119">
        <v>0</v>
      </c>
      <c r="W194" s="119">
        <v>0</v>
      </c>
      <c r="X194" s="122" t="s">
        <v>1469</v>
      </c>
      <c r="Y194" s="122" t="s">
        <v>1470</v>
      </c>
      <c r="Z194" s="119"/>
    </row>
    <row r="195" spans="1:30" ht="12.75" customHeight="1" x14ac:dyDescent="0.25">
      <c r="A195"/>
      <c r="B195" s="126"/>
      <c r="C195" s="126"/>
      <c r="D195" s="126"/>
      <c r="E195" s="126"/>
      <c r="F195" s="127"/>
      <c r="G195" s="119" t="s">
        <v>499</v>
      </c>
      <c r="H195" s="119" t="s">
        <v>470</v>
      </c>
      <c r="I195" s="119" t="s">
        <v>693</v>
      </c>
      <c r="J195" s="119" t="s">
        <v>1471</v>
      </c>
      <c r="K195" s="119" t="s">
        <v>674</v>
      </c>
      <c r="L195" s="119" t="s">
        <v>675</v>
      </c>
      <c r="M195" s="119" t="s">
        <v>676</v>
      </c>
      <c r="N195" s="119" t="s">
        <v>666</v>
      </c>
      <c r="O195" s="119" t="s">
        <v>869</v>
      </c>
      <c r="P195" s="119" t="s">
        <v>1472</v>
      </c>
      <c r="Q195" s="146" t="s">
        <v>1473</v>
      </c>
      <c r="R195" s="119"/>
      <c r="S195" s="119" t="s">
        <v>669</v>
      </c>
      <c r="T195" s="119">
        <v>1000000</v>
      </c>
      <c r="U195" s="119">
        <v>745713</v>
      </c>
      <c r="V195" s="119">
        <v>0</v>
      </c>
      <c r="W195" s="119">
        <v>0</v>
      </c>
      <c r="X195" s="119" t="s">
        <v>1474</v>
      </c>
      <c r="Y195" s="119" t="s">
        <v>1475</v>
      </c>
      <c r="Z195" s="121"/>
    </row>
    <row r="196" spans="1:30" ht="12.75" customHeight="1" x14ac:dyDescent="0.25">
      <c r="A196"/>
      <c r="B196" s="126"/>
      <c r="C196" s="126"/>
      <c r="D196" s="126"/>
      <c r="E196" s="126"/>
      <c r="F196" s="127"/>
      <c r="G196" s="119" t="s">
        <v>499</v>
      </c>
      <c r="H196" s="119" t="s">
        <v>443</v>
      </c>
      <c r="I196" s="119" t="s">
        <v>693</v>
      </c>
      <c r="J196" s="119" t="s">
        <v>1476</v>
      </c>
      <c r="K196" s="119" t="s">
        <v>674</v>
      </c>
      <c r="L196" s="119" t="s">
        <v>675</v>
      </c>
      <c r="M196" s="119" t="s">
        <v>676</v>
      </c>
      <c r="N196" s="119" t="s">
        <v>666</v>
      </c>
      <c r="O196" s="119" t="s">
        <v>1477</v>
      </c>
      <c r="P196" s="119" t="s">
        <v>1478</v>
      </c>
      <c r="Q196" s="146" t="s">
        <v>1479</v>
      </c>
      <c r="R196" s="119"/>
      <c r="S196" s="119" t="s">
        <v>669</v>
      </c>
      <c r="T196" s="119">
        <v>0</v>
      </c>
      <c r="U196" s="119">
        <v>0</v>
      </c>
      <c r="V196" s="119">
        <v>0</v>
      </c>
      <c r="W196" s="119">
        <v>0</v>
      </c>
      <c r="X196" s="119"/>
      <c r="Y196" s="122" t="s">
        <v>1480</v>
      </c>
      <c r="Z196" s="122" t="s">
        <v>1481</v>
      </c>
    </row>
    <row r="197" spans="1:30" ht="12.75" customHeight="1" x14ac:dyDescent="0.25">
      <c r="A197"/>
      <c r="B197" s="126"/>
      <c r="C197" s="126"/>
      <c r="D197" s="126"/>
      <c r="E197" s="126"/>
      <c r="F197" s="127"/>
      <c r="G197" s="119" t="s">
        <v>499</v>
      </c>
      <c r="H197" s="119" t="s">
        <v>67</v>
      </c>
      <c r="I197" s="119" t="s">
        <v>661</v>
      </c>
      <c r="J197" s="119" t="s">
        <v>1482</v>
      </c>
      <c r="K197" s="119" t="s">
        <v>674</v>
      </c>
      <c r="L197" s="119" t="s">
        <v>675</v>
      </c>
      <c r="M197" s="119" t="s">
        <v>819</v>
      </c>
      <c r="N197" s="119" t="s">
        <v>666</v>
      </c>
      <c r="O197" s="119" t="s">
        <v>175</v>
      </c>
      <c r="P197" s="119" t="s">
        <v>1483</v>
      </c>
      <c r="Q197" s="146" t="s">
        <v>1484</v>
      </c>
      <c r="R197" s="119"/>
      <c r="S197" s="119" t="s">
        <v>669</v>
      </c>
      <c r="T197" s="119">
        <v>6800000</v>
      </c>
      <c r="U197" s="119">
        <v>5070843</v>
      </c>
      <c r="V197" s="119">
        <v>0</v>
      </c>
      <c r="W197" s="119">
        <v>0</v>
      </c>
      <c r="X197" s="119" t="s">
        <v>1485</v>
      </c>
      <c r="Y197" s="119" t="s">
        <v>1486</v>
      </c>
      <c r="Z197" s="121"/>
    </row>
    <row r="198" spans="1:30" ht="12.75" customHeight="1" x14ac:dyDescent="0.25">
      <c r="A198"/>
      <c r="B198" s="126"/>
      <c r="C198" s="126"/>
      <c r="D198" s="126"/>
      <c r="E198" s="126"/>
      <c r="F198" s="127"/>
      <c r="G198" s="119" t="s">
        <v>499</v>
      </c>
      <c r="H198" s="119" t="s">
        <v>67</v>
      </c>
      <c r="I198" s="119" t="s">
        <v>682</v>
      </c>
      <c r="J198" s="119" t="s">
        <v>1487</v>
      </c>
      <c r="K198" s="119" t="s">
        <v>749</v>
      </c>
      <c r="L198" s="119" t="s">
        <v>738</v>
      </c>
      <c r="M198" s="119" t="s">
        <v>691</v>
      </c>
      <c r="N198" s="119" t="s">
        <v>666</v>
      </c>
      <c r="O198" s="119" t="s">
        <v>175</v>
      </c>
      <c r="P198" s="119" t="s">
        <v>1483</v>
      </c>
      <c r="Q198" s="146" t="s">
        <v>1484</v>
      </c>
      <c r="R198" s="119"/>
      <c r="S198" s="119" t="s">
        <v>669</v>
      </c>
      <c r="T198" s="119">
        <v>16200000</v>
      </c>
      <c r="U198" s="119">
        <v>12080537</v>
      </c>
      <c r="V198" s="119">
        <v>0</v>
      </c>
      <c r="W198" s="119">
        <v>0</v>
      </c>
      <c r="X198" s="119" t="s">
        <v>1488</v>
      </c>
      <c r="Y198" s="119" t="s">
        <v>1486</v>
      </c>
      <c r="Z198" s="121"/>
    </row>
    <row r="199" spans="1:30" ht="12.75" customHeight="1" x14ac:dyDescent="0.25">
      <c r="A199"/>
      <c r="B199" s="126"/>
      <c r="C199" s="126"/>
      <c r="D199" s="126"/>
      <c r="E199" s="126"/>
      <c r="F199" s="127"/>
      <c r="G199" s="119" t="s">
        <v>499</v>
      </c>
      <c r="H199" s="119" t="s">
        <v>452</v>
      </c>
      <c r="I199" s="119" t="s">
        <v>693</v>
      </c>
      <c r="J199" s="119" t="s">
        <v>1489</v>
      </c>
      <c r="K199" s="119" t="s">
        <v>674</v>
      </c>
      <c r="L199" s="119" t="s">
        <v>701</v>
      </c>
      <c r="M199" s="119" t="s">
        <v>676</v>
      </c>
      <c r="N199" s="119" t="s">
        <v>666</v>
      </c>
      <c r="O199" s="119" t="s">
        <v>667</v>
      </c>
      <c r="P199" s="119" t="s">
        <v>1420</v>
      </c>
      <c r="Q199" s="144">
        <v>44113</v>
      </c>
      <c r="R199" s="119"/>
      <c r="S199" s="119" t="s">
        <v>669</v>
      </c>
      <c r="T199" s="119">
        <v>8670000</v>
      </c>
      <c r="U199" s="119">
        <v>6465325</v>
      </c>
      <c r="V199" s="119">
        <v>0</v>
      </c>
      <c r="W199" s="119">
        <v>0</v>
      </c>
      <c r="X199" s="119" t="s">
        <v>1490</v>
      </c>
      <c r="Y199" s="119" t="s">
        <v>1491</v>
      </c>
      <c r="Z199" s="121"/>
    </row>
    <row r="200" spans="1:30" ht="12.75" customHeight="1" x14ac:dyDescent="0.25">
      <c r="A200"/>
      <c r="B200" s="126"/>
      <c r="C200" s="126"/>
      <c r="D200" s="126"/>
      <c r="E200" s="126"/>
      <c r="F200" s="127"/>
      <c r="G200" s="119" t="s">
        <v>499</v>
      </c>
      <c r="H200" s="119" t="s">
        <v>1492</v>
      </c>
      <c r="I200" s="119" t="s">
        <v>672</v>
      </c>
      <c r="J200" s="119" t="s">
        <v>1493</v>
      </c>
      <c r="K200" s="119" t="s">
        <v>663</v>
      </c>
      <c r="L200" s="119" t="s">
        <v>1244</v>
      </c>
      <c r="M200" s="119" t="s">
        <v>1276</v>
      </c>
      <c r="N200" s="119" t="s">
        <v>666</v>
      </c>
      <c r="O200" s="119" t="s">
        <v>1446</v>
      </c>
      <c r="P200" s="119" t="s">
        <v>1494</v>
      </c>
      <c r="Q200" s="146" t="s">
        <v>1495</v>
      </c>
      <c r="R200" s="119"/>
      <c r="S200" s="119" t="s">
        <v>669</v>
      </c>
      <c r="T200" s="119">
        <v>16675000</v>
      </c>
      <c r="U200" s="119">
        <v>12434751</v>
      </c>
      <c r="V200" s="119">
        <v>0</v>
      </c>
      <c r="W200" s="119">
        <v>0</v>
      </c>
      <c r="X200" s="119" t="s">
        <v>1496</v>
      </c>
      <c r="Y200" s="119" t="s">
        <v>1497</v>
      </c>
      <c r="Z200" s="121"/>
    </row>
    <row r="201" spans="1:30" ht="12.75" customHeight="1" x14ac:dyDescent="0.25">
      <c r="A201"/>
      <c r="B201" s="126"/>
      <c r="C201" s="126"/>
      <c r="D201" s="126"/>
      <c r="E201" s="126"/>
      <c r="F201" s="127"/>
      <c r="G201" s="119" t="s">
        <v>499</v>
      </c>
      <c r="H201" s="119" t="s">
        <v>67</v>
      </c>
      <c r="I201" s="119" t="s">
        <v>672</v>
      </c>
      <c r="J201" s="119" t="s">
        <v>1498</v>
      </c>
      <c r="K201" s="119" t="s">
        <v>798</v>
      </c>
      <c r="L201" s="119" t="s">
        <v>738</v>
      </c>
      <c r="M201" s="119" t="s">
        <v>665</v>
      </c>
      <c r="N201" s="119" t="s">
        <v>666</v>
      </c>
      <c r="O201" s="119" t="s">
        <v>1499</v>
      </c>
      <c r="P201" s="119" t="s">
        <v>1500</v>
      </c>
      <c r="Q201" s="146" t="s">
        <v>1495</v>
      </c>
      <c r="R201" s="119"/>
      <c r="S201" s="119" t="s">
        <v>669</v>
      </c>
      <c r="T201" s="119">
        <v>17000000</v>
      </c>
      <c r="U201" s="119">
        <v>12677107</v>
      </c>
      <c r="V201" s="119">
        <v>0</v>
      </c>
      <c r="W201" s="119">
        <v>0</v>
      </c>
      <c r="X201" s="119" t="s">
        <v>1501</v>
      </c>
      <c r="Y201" s="122" t="s">
        <v>1502</v>
      </c>
      <c r="Z201" s="119"/>
    </row>
    <row r="202" spans="1:30" ht="12.75" customHeight="1" x14ac:dyDescent="0.25">
      <c r="A202"/>
      <c r="B202" s="128"/>
      <c r="C202" s="128"/>
      <c r="D202" s="128"/>
      <c r="E202" s="128"/>
      <c r="F202" s="127"/>
      <c r="G202" s="119" t="s">
        <v>499</v>
      </c>
      <c r="H202" s="119" t="s">
        <v>67</v>
      </c>
      <c r="I202" s="119" t="s">
        <v>682</v>
      </c>
      <c r="J202" s="119" t="s">
        <v>1503</v>
      </c>
      <c r="K202" s="119" t="s">
        <v>663</v>
      </c>
      <c r="L202" s="119" t="s">
        <v>738</v>
      </c>
      <c r="M202" s="119" t="s">
        <v>665</v>
      </c>
      <c r="N202" s="119" t="s">
        <v>666</v>
      </c>
      <c r="O202" s="119" t="s">
        <v>949</v>
      </c>
      <c r="P202" s="119" t="s">
        <v>1504</v>
      </c>
      <c r="Q202" s="146" t="s">
        <v>1505</v>
      </c>
      <c r="R202" s="119"/>
      <c r="S202" s="119" t="s">
        <v>669</v>
      </c>
      <c r="T202" s="119">
        <v>1716469</v>
      </c>
      <c r="U202" s="119">
        <v>1279992</v>
      </c>
      <c r="V202" s="119">
        <v>0</v>
      </c>
      <c r="W202" s="119">
        <v>0</v>
      </c>
      <c r="X202" s="119" t="s">
        <v>1506</v>
      </c>
      <c r="Y202" s="119" t="s">
        <v>1507</v>
      </c>
      <c r="Z202" s="121"/>
    </row>
    <row r="203" spans="1:30" ht="12.75" customHeight="1" x14ac:dyDescent="0.25">
      <c r="A203" s="131" t="s">
        <v>1508</v>
      </c>
      <c r="B203" s="131" t="s">
        <v>1202</v>
      </c>
      <c r="C203" s="131">
        <v>1</v>
      </c>
      <c r="D203" s="131">
        <v>2020</v>
      </c>
      <c r="E203" s="131">
        <v>2020</v>
      </c>
      <c r="G203" s="132" t="s">
        <v>499</v>
      </c>
      <c r="H203" s="132" t="s">
        <v>67</v>
      </c>
      <c r="I203" s="132" t="s">
        <v>682</v>
      </c>
      <c r="J203" s="132" t="s">
        <v>629</v>
      </c>
      <c r="K203" s="132" t="s">
        <v>584</v>
      </c>
      <c r="L203" s="132" t="s">
        <v>690</v>
      </c>
      <c r="M203" s="132" t="s">
        <v>691</v>
      </c>
      <c r="N203" s="132" t="s">
        <v>666</v>
      </c>
      <c r="O203" s="132" t="s">
        <v>949</v>
      </c>
      <c r="P203" s="132" t="s">
        <v>1504</v>
      </c>
      <c r="Q203" s="143" t="s">
        <v>630</v>
      </c>
      <c r="R203" s="132"/>
      <c r="S203" s="132" t="s">
        <v>669</v>
      </c>
      <c r="T203" s="132">
        <v>8000000</v>
      </c>
      <c r="U203" s="132">
        <v>5965698</v>
      </c>
      <c r="V203" s="132">
        <v>0</v>
      </c>
      <c r="W203" s="132">
        <v>0</v>
      </c>
      <c r="X203" s="132" t="s">
        <v>1509</v>
      </c>
      <c r="Y203" s="136" t="s">
        <v>1510</v>
      </c>
      <c r="Z203" s="133"/>
      <c r="AA203" s="125"/>
      <c r="AB203" s="125"/>
      <c r="AC203" s="125"/>
      <c r="AD203" s="125"/>
    </row>
    <row r="204" spans="1:30" ht="12.75" customHeight="1" x14ac:dyDescent="0.25">
      <c r="A204"/>
      <c r="B204" s="129"/>
      <c r="C204" s="129"/>
      <c r="D204" s="129"/>
      <c r="E204" s="129"/>
      <c r="F204" s="127"/>
      <c r="G204" s="119" t="s">
        <v>499</v>
      </c>
      <c r="H204" s="119" t="s">
        <v>484</v>
      </c>
      <c r="I204" s="119" t="s">
        <v>672</v>
      </c>
      <c r="J204" s="119" t="s">
        <v>1511</v>
      </c>
      <c r="K204" s="119" t="s">
        <v>749</v>
      </c>
      <c r="L204" s="119" t="s">
        <v>738</v>
      </c>
      <c r="M204" s="119" t="s">
        <v>691</v>
      </c>
      <c r="N204" s="119" t="s">
        <v>666</v>
      </c>
      <c r="O204" s="119" t="s">
        <v>722</v>
      </c>
      <c r="P204" s="119" t="s">
        <v>1512</v>
      </c>
      <c r="Q204" s="146" t="s">
        <v>1513</v>
      </c>
      <c r="R204" s="119"/>
      <c r="S204" s="119" t="s">
        <v>669</v>
      </c>
      <c r="T204" s="119">
        <v>0</v>
      </c>
      <c r="U204" s="119">
        <v>0</v>
      </c>
      <c r="V204" s="119">
        <v>0</v>
      </c>
      <c r="W204" s="119">
        <v>0</v>
      </c>
      <c r="X204" s="119" t="s">
        <v>1514</v>
      </c>
      <c r="Y204" s="122" t="s">
        <v>1515</v>
      </c>
      <c r="Z204" s="119"/>
    </row>
    <row r="205" spans="1:30" ht="12.75" customHeight="1" x14ac:dyDescent="0.25">
      <c r="A205"/>
      <c r="B205" s="126"/>
      <c r="C205" s="126"/>
      <c r="D205" s="126"/>
      <c r="E205" s="126"/>
      <c r="F205" s="127"/>
      <c r="G205" s="119" t="s">
        <v>499</v>
      </c>
      <c r="H205" s="119" t="s">
        <v>67</v>
      </c>
      <c r="I205" s="119" t="s">
        <v>693</v>
      </c>
      <c r="J205" s="119" t="s">
        <v>1343</v>
      </c>
      <c r="K205" s="119" t="s">
        <v>663</v>
      </c>
      <c r="L205" s="119" t="s">
        <v>664</v>
      </c>
      <c r="M205" s="119" t="s">
        <v>665</v>
      </c>
      <c r="N205" s="119" t="s">
        <v>666</v>
      </c>
      <c r="O205" s="119" t="s">
        <v>1516</v>
      </c>
      <c r="P205" s="119" t="s">
        <v>1517</v>
      </c>
      <c r="Q205" s="144">
        <v>43991</v>
      </c>
      <c r="R205" s="119"/>
      <c r="S205" s="119" t="s">
        <v>669</v>
      </c>
      <c r="T205" s="119">
        <v>75000000</v>
      </c>
      <c r="U205" s="119">
        <v>55928412</v>
      </c>
      <c r="V205" s="119">
        <v>0</v>
      </c>
      <c r="W205" s="119">
        <v>0</v>
      </c>
      <c r="X205" s="119" t="s">
        <v>1518</v>
      </c>
      <c r="Y205" s="119" t="s">
        <v>1519</v>
      </c>
      <c r="Z205" s="121"/>
    </row>
    <row r="206" spans="1:30" ht="12.75" customHeight="1" x14ac:dyDescent="0.25">
      <c r="A206"/>
      <c r="B206" s="128"/>
      <c r="C206" s="128"/>
      <c r="D206" s="128"/>
      <c r="E206" s="128"/>
      <c r="F206" s="127"/>
      <c r="G206" s="119" t="s">
        <v>499</v>
      </c>
      <c r="H206" s="119" t="s">
        <v>418</v>
      </c>
      <c r="I206" s="119" t="s">
        <v>693</v>
      </c>
      <c r="J206" s="119" t="s">
        <v>1520</v>
      </c>
      <c r="K206" s="119" t="s">
        <v>674</v>
      </c>
      <c r="L206" s="119" t="s">
        <v>675</v>
      </c>
      <c r="M206" s="119" t="s">
        <v>676</v>
      </c>
      <c r="N206" s="119" t="s">
        <v>666</v>
      </c>
      <c r="O206" s="119" t="s">
        <v>1521</v>
      </c>
      <c r="P206" s="119" t="s">
        <v>1522</v>
      </c>
      <c r="Q206" s="144">
        <v>44021</v>
      </c>
      <c r="R206" s="119"/>
      <c r="S206" s="119" t="s">
        <v>669</v>
      </c>
      <c r="T206" s="119">
        <v>0</v>
      </c>
      <c r="U206" s="119">
        <v>0</v>
      </c>
      <c r="V206" s="119">
        <v>0</v>
      </c>
      <c r="W206" s="119">
        <v>0</v>
      </c>
      <c r="X206" s="119" t="s">
        <v>1523</v>
      </c>
      <c r="Y206" s="122" t="s">
        <v>1524</v>
      </c>
      <c r="Z206" s="119"/>
    </row>
    <row r="207" spans="1:30" ht="12.75" customHeight="1" x14ac:dyDescent="0.25">
      <c r="A207" s="131" t="s">
        <v>1201</v>
      </c>
      <c r="B207" s="131" t="s">
        <v>1202</v>
      </c>
      <c r="C207" s="131">
        <v>1</v>
      </c>
      <c r="D207" s="131">
        <v>2020</v>
      </c>
      <c r="E207" s="131">
        <v>2020</v>
      </c>
      <c r="F207" s="131" t="s">
        <v>1525</v>
      </c>
      <c r="G207" s="132" t="s">
        <v>499</v>
      </c>
      <c r="H207" s="132" t="s">
        <v>67</v>
      </c>
      <c r="I207" s="132" t="s">
        <v>682</v>
      </c>
      <c r="J207" s="132" t="s">
        <v>631</v>
      </c>
      <c r="K207" s="132" t="s">
        <v>584</v>
      </c>
      <c r="L207" s="132" t="s">
        <v>690</v>
      </c>
      <c r="M207" s="132" t="s">
        <v>691</v>
      </c>
      <c r="N207" s="132" t="s">
        <v>666</v>
      </c>
      <c r="O207" s="132" t="s">
        <v>949</v>
      </c>
      <c r="P207" s="132" t="s">
        <v>1504</v>
      </c>
      <c r="Q207" s="143" t="s">
        <v>630</v>
      </c>
      <c r="R207" s="132"/>
      <c r="S207" s="132" t="s">
        <v>669</v>
      </c>
      <c r="T207" s="132">
        <v>5400000</v>
      </c>
      <c r="U207" s="132">
        <v>4026846</v>
      </c>
      <c r="V207" s="132">
        <v>5400000</v>
      </c>
      <c r="W207" s="132">
        <v>4026846</v>
      </c>
      <c r="X207" s="132" t="s">
        <v>1526</v>
      </c>
      <c r="Y207" s="136" t="s">
        <v>1527</v>
      </c>
      <c r="Z207" s="133"/>
      <c r="AA207" s="125"/>
      <c r="AB207" s="125"/>
      <c r="AC207" s="125"/>
      <c r="AD207" s="125"/>
    </row>
    <row r="208" spans="1:30" ht="12.75" customHeight="1" x14ac:dyDescent="0.25">
      <c r="A208"/>
      <c r="B208" s="129"/>
      <c r="C208" s="129"/>
      <c r="D208" s="129"/>
      <c r="E208" s="129"/>
      <c r="F208" s="127"/>
      <c r="G208" s="119" t="s">
        <v>499</v>
      </c>
      <c r="H208" s="119" t="s">
        <v>461</v>
      </c>
      <c r="I208" s="119" t="s">
        <v>682</v>
      </c>
      <c r="J208" s="119" t="s">
        <v>1528</v>
      </c>
      <c r="K208" s="119" t="s">
        <v>749</v>
      </c>
      <c r="L208" s="119" t="s">
        <v>799</v>
      </c>
      <c r="M208" s="119" t="s">
        <v>676</v>
      </c>
      <c r="N208" s="119" t="s">
        <v>666</v>
      </c>
      <c r="O208" s="119" t="s">
        <v>1529</v>
      </c>
      <c r="P208" s="119" t="s">
        <v>1463</v>
      </c>
      <c r="Q208" s="144">
        <v>44052</v>
      </c>
      <c r="R208" s="119"/>
      <c r="S208" s="119" t="s">
        <v>669</v>
      </c>
      <c r="T208" s="119">
        <v>4100000</v>
      </c>
      <c r="U208" s="119">
        <v>3057420</v>
      </c>
      <c r="V208" s="119">
        <v>0</v>
      </c>
      <c r="W208" s="119">
        <v>0</v>
      </c>
      <c r="X208" s="119" t="s">
        <v>1530</v>
      </c>
      <c r="Y208" s="119" t="s">
        <v>1531</v>
      </c>
      <c r="Z208" s="121"/>
    </row>
    <row r="209" spans="1:30" ht="12.75" customHeight="1" x14ac:dyDescent="0.25">
      <c r="A209"/>
      <c r="B209" s="126"/>
      <c r="C209" s="126"/>
      <c r="D209" s="126"/>
      <c r="E209" s="126"/>
      <c r="F209" s="127"/>
      <c r="G209" s="119" t="s">
        <v>499</v>
      </c>
      <c r="H209" s="119" t="s">
        <v>67</v>
      </c>
      <c r="I209" s="119" t="s">
        <v>682</v>
      </c>
      <c r="J209" s="119" t="s">
        <v>1532</v>
      </c>
      <c r="K209" s="119" t="s">
        <v>749</v>
      </c>
      <c r="L209" s="119" t="s">
        <v>799</v>
      </c>
      <c r="M209" s="119" t="s">
        <v>676</v>
      </c>
      <c r="N209" s="119" t="s">
        <v>666</v>
      </c>
      <c r="O209" s="119" t="s">
        <v>949</v>
      </c>
      <c r="P209" s="119" t="s">
        <v>1463</v>
      </c>
      <c r="Q209" s="144">
        <v>44052</v>
      </c>
      <c r="R209" s="119"/>
      <c r="S209" s="119" t="s">
        <v>669</v>
      </c>
      <c r="T209" s="119">
        <v>4500000</v>
      </c>
      <c r="U209" s="119">
        <v>3355705</v>
      </c>
      <c r="V209" s="119">
        <v>0</v>
      </c>
      <c r="W209" s="119">
        <v>0</v>
      </c>
      <c r="X209" s="119" t="s">
        <v>1533</v>
      </c>
      <c r="Y209" s="119" t="s">
        <v>1534</v>
      </c>
      <c r="Z209" s="121"/>
    </row>
    <row r="210" spans="1:30" ht="12.75" customHeight="1" x14ac:dyDescent="0.25">
      <c r="A210"/>
      <c r="B210" s="126"/>
      <c r="C210" s="126"/>
      <c r="D210" s="126"/>
      <c r="E210" s="126"/>
      <c r="F210" s="127"/>
      <c r="G210" s="119" t="s">
        <v>499</v>
      </c>
      <c r="H210" s="119" t="s">
        <v>461</v>
      </c>
      <c r="I210" s="119" t="s">
        <v>682</v>
      </c>
      <c r="J210" s="119" t="s">
        <v>1535</v>
      </c>
      <c r="K210" s="119" t="s">
        <v>749</v>
      </c>
      <c r="L210" s="119" t="s">
        <v>799</v>
      </c>
      <c r="M210" s="119" t="s">
        <v>676</v>
      </c>
      <c r="N210" s="119" t="s">
        <v>666</v>
      </c>
      <c r="O210" s="119" t="s">
        <v>1536</v>
      </c>
      <c r="P210" s="119" t="s">
        <v>1463</v>
      </c>
      <c r="Q210" s="144">
        <v>44052</v>
      </c>
      <c r="R210" s="119"/>
      <c r="S210" s="119" t="s">
        <v>669</v>
      </c>
      <c r="T210" s="119">
        <v>11950000</v>
      </c>
      <c r="U210" s="119">
        <v>8911261</v>
      </c>
      <c r="V210" s="119">
        <v>0</v>
      </c>
      <c r="W210" s="119">
        <v>0</v>
      </c>
      <c r="X210" s="119" t="s">
        <v>1537</v>
      </c>
      <c r="Y210" s="119" t="s">
        <v>1538</v>
      </c>
      <c r="Z210" s="121"/>
    </row>
    <row r="211" spans="1:30" ht="12.75" customHeight="1" x14ac:dyDescent="0.25">
      <c r="A211"/>
      <c r="B211" s="128"/>
      <c r="C211" s="128"/>
      <c r="D211" s="128"/>
      <c r="E211" s="128"/>
      <c r="F211" s="127"/>
      <c r="G211" s="119" t="s">
        <v>499</v>
      </c>
      <c r="H211" s="119" t="s">
        <v>67</v>
      </c>
      <c r="I211" s="119" t="s">
        <v>682</v>
      </c>
      <c r="J211" s="119" t="s">
        <v>1539</v>
      </c>
      <c r="K211" s="119" t="s">
        <v>749</v>
      </c>
      <c r="L211" s="119" t="s">
        <v>799</v>
      </c>
      <c r="M211" s="119" t="s">
        <v>676</v>
      </c>
      <c r="N211" s="119" t="s">
        <v>666</v>
      </c>
      <c r="O211" s="119" t="s">
        <v>949</v>
      </c>
      <c r="P211" s="119" t="s">
        <v>1463</v>
      </c>
      <c r="Q211" s="144">
        <v>44052</v>
      </c>
      <c r="R211" s="119"/>
      <c r="S211" s="119" t="s">
        <v>669</v>
      </c>
      <c r="T211" s="119">
        <v>5000000</v>
      </c>
      <c r="U211" s="119">
        <v>3728561</v>
      </c>
      <c r="V211" s="119">
        <v>0</v>
      </c>
      <c r="W211" s="119">
        <v>0</v>
      </c>
      <c r="X211" s="119" t="s">
        <v>1540</v>
      </c>
      <c r="Y211" s="119" t="s">
        <v>1541</v>
      </c>
      <c r="Z211" s="121"/>
    </row>
    <row r="212" spans="1:30" ht="12.75" customHeight="1" x14ac:dyDescent="0.25">
      <c r="A212" s="131" t="s">
        <v>700</v>
      </c>
      <c r="B212" s="131" t="s">
        <v>767</v>
      </c>
      <c r="C212" s="131">
        <v>1</v>
      </c>
      <c r="D212" s="131">
        <v>2020</v>
      </c>
      <c r="E212" s="131">
        <v>2020</v>
      </c>
      <c r="F212" s="131" t="s">
        <v>1542</v>
      </c>
      <c r="G212" s="132" t="s">
        <v>499</v>
      </c>
      <c r="H212" s="132" t="s">
        <v>67</v>
      </c>
      <c r="I212" s="132" t="s">
        <v>672</v>
      </c>
      <c r="J212" s="132" t="s">
        <v>633</v>
      </c>
      <c r="K212" s="132" t="s">
        <v>584</v>
      </c>
      <c r="L212" s="132" t="s">
        <v>738</v>
      </c>
      <c r="M212" s="132" t="s">
        <v>684</v>
      </c>
      <c r="N212" s="132" t="s">
        <v>666</v>
      </c>
      <c r="O212" s="132" t="s">
        <v>949</v>
      </c>
      <c r="P212" s="132" t="s">
        <v>1543</v>
      </c>
      <c r="Q212" s="143" t="s">
        <v>634</v>
      </c>
      <c r="R212" s="132" t="s">
        <v>634</v>
      </c>
      <c r="S212" s="132" t="s">
        <v>669</v>
      </c>
      <c r="T212" s="132">
        <v>5100000</v>
      </c>
      <c r="U212" s="132">
        <v>3803132</v>
      </c>
      <c r="V212" s="132">
        <v>0</v>
      </c>
      <c r="W212" s="132">
        <v>0</v>
      </c>
      <c r="X212" s="132" t="s">
        <v>1544</v>
      </c>
      <c r="Y212" s="136" t="s">
        <v>1545</v>
      </c>
      <c r="Z212" s="133"/>
      <c r="AA212" s="125"/>
      <c r="AB212" s="125"/>
      <c r="AC212" s="125"/>
      <c r="AD212" s="125"/>
    </row>
    <row r="213" spans="1:30" ht="12.75" customHeight="1" x14ac:dyDescent="0.25">
      <c r="A213"/>
      <c r="B213" s="129"/>
      <c r="C213" s="129"/>
      <c r="D213" s="129"/>
      <c r="E213" s="129"/>
      <c r="F213" s="127"/>
      <c r="G213" s="119" t="s">
        <v>499</v>
      </c>
      <c r="H213" s="119" t="s">
        <v>418</v>
      </c>
      <c r="I213" s="119" t="s">
        <v>672</v>
      </c>
      <c r="J213" s="119" t="s">
        <v>1546</v>
      </c>
      <c r="K213" s="119" t="s">
        <v>798</v>
      </c>
      <c r="L213" s="119" t="s">
        <v>819</v>
      </c>
      <c r="M213" s="119" t="s">
        <v>819</v>
      </c>
      <c r="N213" s="119" t="s">
        <v>666</v>
      </c>
      <c r="O213" s="119" t="s">
        <v>1093</v>
      </c>
      <c r="P213" s="119" t="s">
        <v>1547</v>
      </c>
      <c r="Q213" s="144">
        <v>43930</v>
      </c>
      <c r="R213" s="119"/>
      <c r="S213" s="119" t="s">
        <v>669</v>
      </c>
      <c r="T213" s="119">
        <v>2800000</v>
      </c>
      <c r="U213" s="119">
        <v>2087995</v>
      </c>
      <c r="V213" s="119">
        <v>0</v>
      </c>
      <c r="W213" s="119">
        <v>0</v>
      </c>
      <c r="X213" s="119" t="s">
        <v>1548</v>
      </c>
      <c r="Y213" s="119" t="s">
        <v>1549</v>
      </c>
      <c r="Z213" s="121"/>
    </row>
    <row r="214" spans="1:30" ht="12.75" customHeight="1" x14ac:dyDescent="0.25">
      <c r="A214"/>
      <c r="B214" s="126"/>
      <c r="C214" s="126"/>
      <c r="D214" s="126"/>
      <c r="E214" s="126"/>
      <c r="F214" s="127"/>
      <c r="G214" s="119" t="s">
        <v>499</v>
      </c>
      <c r="H214" s="119" t="s">
        <v>67</v>
      </c>
      <c r="I214" s="119" t="s">
        <v>672</v>
      </c>
      <c r="J214" s="119" t="s">
        <v>1546</v>
      </c>
      <c r="K214" s="119" t="s">
        <v>798</v>
      </c>
      <c r="L214" s="119" t="s">
        <v>819</v>
      </c>
      <c r="M214" s="119" t="s">
        <v>819</v>
      </c>
      <c r="N214" s="119" t="s">
        <v>666</v>
      </c>
      <c r="O214" s="119" t="s">
        <v>194</v>
      </c>
      <c r="P214" s="119" t="s">
        <v>1547</v>
      </c>
      <c r="Q214" s="144">
        <v>43930</v>
      </c>
      <c r="R214" s="119"/>
      <c r="S214" s="119" t="s">
        <v>669</v>
      </c>
      <c r="T214" s="119">
        <v>3000000</v>
      </c>
      <c r="U214" s="119">
        <v>2237137</v>
      </c>
      <c r="V214" s="119">
        <v>0</v>
      </c>
      <c r="W214" s="119">
        <v>0</v>
      </c>
      <c r="X214" s="119" t="s">
        <v>1548</v>
      </c>
      <c r="Y214" s="119" t="s">
        <v>1549</v>
      </c>
      <c r="Z214" s="121"/>
    </row>
    <row r="215" spans="1:30" ht="12.75" customHeight="1" x14ac:dyDescent="0.25">
      <c r="A215"/>
      <c r="B215" s="126"/>
      <c r="C215" s="126"/>
      <c r="D215" s="126"/>
      <c r="E215" s="126"/>
      <c r="F215" s="127"/>
      <c r="G215" s="119" t="s">
        <v>499</v>
      </c>
      <c r="H215" s="119" t="s">
        <v>451</v>
      </c>
      <c r="I215" s="119" t="s">
        <v>672</v>
      </c>
      <c r="J215" s="119" t="s">
        <v>1550</v>
      </c>
      <c r="K215" s="119" t="s">
        <v>798</v>
      </c>
      <c r="L215" s="119" t="s">
        <v>738</v>
      </c>
      <c r="M215" s="119" t="s">
        <v>691</v>
      </c>
      <c r="N215" s="119" t="s">
        <v>666</v>
      </c>
      <c r="O215" s="119" t="s">
        <v>1344</v>
      </c>
      <c r="P215" s="119" t="s">
        <v>1551</v>
      </c>
      <c r="Q215" s="146" t="s">
        <v>1552</v>
      </c>
      <c r="R215" s="119"/>
      <c r="S215" s="119" t="s">
        <v>669</v>
      </c>
      <c r="T215" s="119">
        <v>8600000</v>
      </c>
      <c r="U215" s="119">
        <v>6413125</v>
      </c>
      <c r="V215" s="119">
        <v>0</v>
      </c>
      <c r="W215" s="119">
        <v>0</v>
      </c>
      <c r="X215" s="119" t="s">
        <v>1553</v>
      </c>
      <c r="Y215" s="119" t="s">
        <v>1554</v>
      </c>
      <c r="Z215" s="121"/>
    </row>
    <row r="216" spans="1:30" ht="12.75" customHeight="1" x14ac:dyDescent="0.25">
      <c r="A216"/>
      <c r="B216" s="126"/>
      <c r="C216" s="126"/>
      <c r="D216" s="126"/>
      <c r="E216" s="126"/>
      <c r="F216" s="127"/>
      <c r="G216" s="119" t="s">
        <v>499</v>
      </c>
      <c r="H216" s="119" t="s">
        <v>429</v>
      </c>
      <c r="I216" s="119" t="s">
        <v>682</v>
      </c>
      <c r="J216" s="119" t="s">
        <v>1555</v>
      </c>
      <c r="K216" s="119" t="s">
        <v>749</v>
      </c>
      <c r="L216" s="119" t="s">
        <v>738</v>
      </c>
      <c r="M216" s="119" t="s">
        <v>691</v>
      </c>
      <c r="N216" s="119" t="s">
        <v>666</v>
      </c>
      <c r="O216" s="119" t="s">
        <v>1556</v>
      </c>
      <c r="P216" s="119" t="s">
        <v>1551</v>
      </c>
      <c r="Q216" s="144">
        <v>43870</v>
      </c>
      <c r="R216" s="119"/>
      <c r="S216" s="119" t="s">
        <v>669</v>
      </c>
      <c r="T216" s="119">
        <v>8500000</v>
      </c>
      <c r="U216" s="119">
        <v>6338554</v>
      </c>
      <c r="V216" s="119">
        <v>0</v>
      </c>
      <c r="W216" s="119">
        <v>0</v>
      </c>
      <c r="X216" s="119" t="s">
        <v>1557</v>
      </c>
      <c r="Y216" s="119" t="s">
        <v>1558</v>
      </c>
      <c r="Z216" s="121"/>
    </row>
    <row r="217" spans="1:30" ht="12.75" customHeight="1" x14ac:dyDescent="0.25">
      <c r="A217"/>
      <c r="B217" s="126"/>
      <c r="C217" s="126"/>
      <c r="D217" s="126"/>
      <c r="E217" s="126"/>
      <c r="F217" s="127"/>
      <c r="G217" s="119" t="s">
        <v>499</v>
      </c>
      <c r="H217" s="119" t="s">
        <v>461</v>
      </c>
      <c r="I217" s="119" t="s">
        <v>682</v>
      </c>
      <c r="J217" s="119" t="s">
        <v>1559</v>
      </c>
      <c r="K217" s="119" t="s">
        <v>749</v>
      </c>
      <c r="L217" s="119" t="s">
        <v>738</v>
      </c>
      <c r="M217" s="119" t="s">
        <v>665</v>
      </c>
      <c r="N217" s="119" t="s">
        <v>666</v>
      </c>
      <c r="O217" s="119" t="s">
        <v>716</v>
      </c>
      <c r="P217" s="119" t="s">
        <v>1551</v>
      </c>
      <c r="Q217" s="144">
        <v>43839</v>
      </c>
      <c r="R217" s="119"/>
      <c r="S217" s="119" t="s">
        <v>669</v>
      </c>
      <c r="T217" s="119">
        <v>747000</v>
      </c>
      <c r="U217" s="119">
        <v>557047</v>
      </c>
      <c r="V217" s="119">
        <v>0</v>
      </c>
      <c r="W217" s="119">
        <v>0</v>
      </c>
      <c r="X217" s="119" t="s">
        <v>1560</v>
      </c>
      <c r="Y217" s="119" t="s">
        <v>1561</v>
      </c>
      <c r="Z217" s="121"/>
    </row>
    <row r="218" spans="1:30" ht="12.75" customHeight="1" x14ac:dyDescent="0.25">
      <c r="A218"/>
      <c r="B218" s="126"/>
      <c r="C218" s="126"/>
      <c r="D218" s="126"/>
      <c r="E218" s="126"/>
      <c r="F218" s="127"/>
      <c r="G218" s="119" t="s">
        <v>499</v>
      </c>
      <c r="H218" s="119" t="s">
        <v>67</v>
      </c>
      <c r="I218" s="119" t="s">
        <v>682</v>
      </c>
      <c r="J218" s="119" t="s">
        <v>1562</v>
      </c>
      <c r="K218" s="119" t="s">
        <v>663</v>
      </c>
      <c r="L218" s="119" t="s">
        <v>738</v>
      </c>
      <c r="M218" s="119" t="s">
        <v>665</v>
      </c>
      <c r="N218" s="119" t="s">
        <v>666</v>
      </c>
      <c r="O218" s="119" t="s">
        <v>936</v>
      </c>
      <c r="P218" s="119" t="s">
        <v>937</v>
      </c>
      <c r="Q218" s="145"/>
      <c r="R218" s="121"/>
      <c r="S218" s="119" t="s">
        <v>669</v>
      </c>
      <c r="T218" s="119">
        <v>5287248280</v>
      </c>
      <c r="U218" s="119">
        <v>3942765310</v>
      </c>
      <c r="V218" s="119">
        <v>0</v>
      </c>
      <c r="W218" s="119">
        <v>0</v>
      </c>
      <c r="X218" s="119" t="s">
        <v>1563</v>
      </c>
      <c r="Y218" s="119" t="s">
        <v>1564</v>
      </c>
      <c r="Z218" s="121"/>
    </row>
    <row r="219" spans="1:30" ht="12.75" customHeight="1" x14ac:dyDescent="0.25">
      <c r="A219"/>
      <c r="B219" s="126"/>
      <c r="C219" s="126"/>
      <c r="D219" s="126"/>
      <c r="E219" s="126"/>
      <c r="F219" s="127"/>
      <c r="G219" s="119" t="s">
        <v>499</v>
      </c>
      <c r="H219" s="119" t="s">
        <v>67</v>
      </c>
      <c r="I219" s="119" t="s">
        <v>672</v>
      </c>
      <c r="J219" s="119" t="s">
        <v>1565</v>
      </c>
      <c r="K219" s="119" t="s">
        <v>663</v>
      </c>
      <c r="L219" s="119" t="s">
        <v>1244</v>
      </c>
      <c r="M219" s="119" t="s">
        <v>1276</v>
      </c>
      <c r="N219" s="119" t="s">
        <v>666</v>
      </c>
      <c r="O219" s="119" t="s">
        <v>936</v>
      </c>
      <c r="P219" s="119" t="s">
        <v>937</v>
      </c>
      <c r="Q219" s="145"/>
      <c r="R219" s="121"/>
      <c r="S219" s="119" t="s">
        <v>669</v>
      </c>
      <c r="T219" s="119">
        <v>85327625</v>
      </c>
      <c r="U219" s="119">
        <v>63629848</v>
      </c>
      <c r="V219" s="119">
        <v>0</v>
      </c>
      <c r="W219" s="119">
        <v>0</v>
      </c>
      <c r="X219" s="119" t="s">
        <v>1566</v>
      </c>
      <c r="Y219" s="119" t="s">
        <v>939</v>
      </c>
      <c r="Z219" s="121"/>
    </row>
    <row r="220" spans="1:30" ht="12.75" customHeight="1" x14ac:dyDescent="0.25">
      <c r="A220"/>
      <c r="B220" s="126"/>
      <c r="C220" s="126"/>
      <c r="D220" s="126"/>
      <c r="E220" s="126"/>
      <c r="F220" s="127"/>
      <c r="G220" s="119" t="s">
        <v>499</v>
      </c>
      <c r="H220" s="119" t="s">
        <v>67</v>
      </c>
      <c r="I220" s="119" t="s">
        <v>661</v>
      </c>
      <c r="J220" s="119" t="s">
        <v>1567</v>
      </c>
      <c r="K220" s="119" t="s">
        <v>773</v>
      </c>
      <c r="L220" s="119" t="s">
        <v>855</v>
      </c>
      <c r="M220" s="119" t="s">
        <v>691</v>
      </c>
      <c r="N220" s="119" t="s">
        <v>666</v>
      </c>
      <c r="O220" s="119" t="s">
        <v>1164</v>
      </c>
      <c r="P220" s="119" t="s">
        <v>1551</v>
      </c>
      <c r="Q220" s="146" t="s">
        <v>1568</v>
      </c>
      <c r="R220" s="119"/>
      <c r="S220" s="119" t="s">
        <v>669</v>
      </c>
      <c r="T220" s="119">
        <v>4000000</v>
      </c>
      <c r="U220" s="119">
        <v>2982849</v>
      </c>
      <c r="V220" s="119">
        <v>0</v>
      </c>
      <c r="W220" s="119">
        <v>0</v>
      </c>
      <c r="X220" s="119" t="s">
        <v>1569</v>
      </c>
      <c r="Y220" s="121"/>
      <c r="Z220" s="119" t="s">
        <v>1570</v>
      </c>
    </row>
    <row r="221" spans="1:30" ht="12.75" customHeight="1" x14ac:dyDescent="0.25">
      <c r="A221"/>
      <c r="B221" s="126"/>
      <c r="C221" s="126"/>
      <c r="D221" s="126"/>
      <c r="E221" s="126"/>
      <c r="F221" s="127"/>
      <c r="G221" s="119" t="s">
        <v>499</v>
      </c>
      <c r="H221" s="119" t="s">
        <v>67</v>
      </c>
      <c r="I221" s="119" t="s">
        <v>672</v>
      </c>
      <c r="J221" s="119" t="s">
        <v>1550</v>
      </c>
      <c r="K221" s="119" t="s">
        <v>798</v>
      </c>
      <c r="L221" s="119" t="s">
        <v>738</v>
      </c>
      <c r="M221" s="119" t="s">
        <v>691</v>
      </c>
      <c r="N221" s="119" t="s">
        <v>666</v>
      </c>
      <c r="O221" s="119" t="s">
        <v>1164</v>
      </c>
      <c r="P221" s="119" t="s">
        <v>1551</v>
      </c>
      <c r="Q221" s="146" t="s">
        <v>1552</v>
      </c>
      <c r="R221" s="119"/>
      <c r="S221" s="119" t="s">
        <v>669</v>
      </c>
      <c r="T221" s="119">
        <v>18300000</v>
      </c>
      <c r="U221" s="119">
        <v>13646533</v>
      </c>
      <c r="V221" s="119">
        <v>0</v>
      </c>
      <c r="W221" s="119">
        <v>0</v>
      </c>
      <c r="X221" s="119" t="s">
        <v>1571</v>
      </c>
      <c r="Y221" s="119" t="s">
        <v>1572</v>
      </c>
      <c r="Z221" s="121"/>
    </row>
    <row r="222" spans="1:30" ht="12.75" customHeight="1" x14ac:dyDescent="0.25">
      <c r="A222"/>
      <c r="B222" s="128"/>
      <c r="C222" s="128"/>
      <c r="D222" s="128"/>
      <c r="E222" s="128"/>
      <c r="F222" s="127"/>
      <c r="G222" s="119" t="s">
        <v>499</v>
      </c>
      <c r="H222" s="119" t="s">
        <v>67</v>
      </c>
      <c r="I222" s="119" t="s">
        <v>672</v>
      </c>
      <c r="J222" s="119" t="s">
        <v>1573</v>
      </c>
      <c r="K222" s="119" t="s">
        <v>663</v>
      </c>
      <c r="L222" s="119" t="s">
        <v>690</v>
      </c>
      <c r="M222" s="119" t="s">
        <v>665</v>
      </c>
      <c r="N222" s="119" t="s">
        <v>666</v>
      </c>
      <c r="O222" s="119" t="s">
        <v>1164</v>
      </c>
      <c r="P222" s="119" t="s">
        <v>1551</v>
      </c>
      <c r="Q222" s="146" t="s">
        <v>1574</v>
      </c>
      <c r="R222" s="119"/>
      <c r="S222" s="119" t="s">
        <v>669</v>
      </c>
      <c r="T222" s="119">
        <v>1100000</v>
      </c>
      <c r="U222" s="119">
        <v>820284</v>
      </c>
      <c r="V222" s="119">
        <v>0</v>
      </c>
      <c r="W222" s="119">
        <v>0</v>
      </c>
      <c r="X222" s="119" t="s">
        <v>1575</v>
      </c>
      <c r="Y222" s="119" t="s">
        <v>1576</v>
      </c>
      <c r="Z222" s="121"/>
    </row>
    <row r="223" spans="1:30" ht="12.75" customHeight="1" x14ac:dyDescent="0.25">
      <c r="G223" s="119" t="s">
        <v>499</v>
      </c>
      <c r="H223" s="119" t="s">
        <v>418</v>
      </c>
      <c r="I223" s="119" t="s">
        <v>790</v>
      </c>
      <c r="J223" s="119" t="s">
        <v>1577</v>
      </c>
      <c r="K223" s="119" t="s">
        <v>663</v>
      </c>
      <c r="L223" s="119" t="s">
        <v>738</v>
      </c>
      <c r="M223" s="119" t="s">
        <v>665</v>
      </c>
      <c r="N223" s="119" t="s">
        <v>666</v>
      </c>
      <c r="O223" s="119" t="s">
        <v>977</v>
      </c>
      <c r="P223" s="119" t="s">
        <v>1578</v>
      </c>
      <c r="Q223" s="146" t="s">
        <v>1112</v>
      </c>
      <c r="R223" s="119"/>
      <c r="S223" s="119" t="s">
        <v>669</v>
      </c>
      <c r="T223" s="119">
        <v>2000000</v>
      </c>
      <c r="U223" s="119">
        <v>1491425</v>
      </c>
      <c r="V223" s="119">
        <v>0</v>
      </c>
      <c r="W223" s="119">
        <v>0</v>
      </c>
      <c r="X223" s="119" t="s">
        <v>1579</v>
      </c>
      <c r="Y223" s="119" t="s">
        <v>1123</v>
      </c>
      <c r="Z223" s="121"/>
    </row>
    <row r="224" spans="1:30" ht="12.75" customHeight="1" x14ac:dyDescent="0.25">
      <c r="A224"/>
      <c r="B224" s="129"/>
      <c r="C224" s="129"/>
      <c r="D224" s="129"/>
      <c r="E224" s="129"/>
      <c r="F224" s="127"/>
      <c r="G224" s="119" t="s">
        <v>499</v>
      </c>
      <c r="H224" s="119" t="s">
        <v>67</v>
      </c>
      <c r="I224" s="119" t="s">
        <v>682</v>
      </c>
      <c r="J224" s="119" t="s">
        <v>1580</v>
      </c>
      <c r="K224" s="119" t="s">
        <v>674</v>
      </c>
      <c r="L224" s="119" t="s">
        <v>690</v>
      </c>
      <c r="M224" s="119" t="s">
        <v>665</v>
      </c>
      <c r="N224" s="119" t="s">
        <v>666</v>
      </c>
      <c r="O224" s="119" t="s">
        <v>949</v>
      </c>
      <c r="P224" s="119" t="s">
        <v>1581</v>
      </c>
      <c r="Q224" s="144">
        <v>44143</v>
      </c>
      <c r="R224" s="119"/>
      <c r="S224" s="119" t="s">
        <v>669</v>
      </c>
      <c r="T224" s="119">
        <v>220000</v>
      </c>
      <c r="U224" s="119">
        <v>164057</v>
      </c>
      <c r="V224" s="119">
        <v>0</v>
      </c>
      <c r="W224" s="119">
        <v>0</v>
      </c>
      <c r="X224" s="119" t="s">
        <v>1582</v>
      </c>
      <c r="Y224" s="119" t="s">
        <v>1583</v>
      </c>
      <c r="Z224" s="121"/>
    </row>
    <row r="225" spans="1:26" ht="12.75" customHeight="1" x14ac:dyDescent="0.25">
      <c r="A225"/>
      <c r="B225" s="128"/>
      <c r="C225" s="128"/>
      <c r="D225" s="128"/>
      <c r="E225" s="128"/>
      <c r="F225" s="127"/>
      <c r="G225" s="119" t="s">
        <v>499</v>
      </c>
      <c r="H225" s="119" t="s">
        <v>67</v>
      </c>
      <c r="I225" s="119" t="s">
        <v>682</v>
      </c>
      <c r="J225" s="119" t="s">
        <v>1584</v>
      </c>
      <c r="K225" s="119" t="s">
        <v>663</v>
      </c>
      <c r="L225" s="119" t="s">
        <v>738</v>
      </c>
      <c r="M225" s="119" t="s">
        <v>665</v>
      </c>
      <c r="N225" s="119" t="s">
        <v>666</v>
      </c>
      <c r="O225" s="119" t="s">
        <v>936</v>
      </c>
      <c r="P225" s="119" t="s">
        <v>1585</v>
      </c>
      <c r="Q225" s="146" t="s">
        <v>1586</v>
      </c>
      <c r="R225" s="119"/>
      <c r="S225" s="119" t="s">
        <v>669</v>
      </c>
      <c r="T225" s="119">
        <v>0</v>
      </c>
      <c r="U225" s="119">
        <v>0</v>
      </c>
      <c r="V225" s="119">
        <v>0</v>
      </c>
      <c r="W225" s="119">
        <v>0</v>
      </c>
      <c r="X225" s="119" t="s">
        <v>1587</v>
      </c>
      <c r="Y225" s="119" t="s">
        <v>1588</v>
      </c>
      <c r="Z225" s="121"/>
    </row>
    <row r="226" spans="1:26" ht="12.75" customHeight="1" x14ac:dyDescent="0.25">
      <c r="G226" s="119" t="s">
        <v>499</v>
      </c>
      <c r="H226" s="119" t="s">
        <v>67</v>
      </c>
      <c r="I226" s="119" t="s">
        <v>682</v>
      </c>
      <c r="J226" s="119" t="s">
        <v>1347</v>
      </c>
      <c r="K226" s="119" t="s">
        <v>674</v>
      </c>
      <c r="L226" s="119" t="s">
        <v>738</v>
      </c>
      <c r="M226" s="119" t="s">
        <v>665</v>
      </c>
      <c r="N226" s="119" t="s">
        <v>666</v>
      </c>
      <c r="O226" s="119" t="s">
        <v>709</v>
      </c>
      <c r="P226" s="119" t="s">
        <v>1107</v>
      </c>
      <c r="Q226" s="144">
        <v>43872</v>
      </c>
      <c r="R226" s="119"/>
      <c r="S226" s="119" t="s">
        <v>669</v>
      </c>
      <c r="T226" s="119">
        <v>2000000</v>
      </c>
      <c r="U226" s="119">
        <v>1491425</v>
      </c>
      <c r="V226" s="119">
        <v>0</v>
      </c>
      <c r="W226" s="119">
        <v>0</v>
      </c>
      <c r="X226" s="119" t="s">
        <v>1589</v>
      </c>
      <c r="Y226" s="119" t="s">
        <v>1349</v>
      </c>
      <c r="Z226" s="121"/>
    </row>
    <row r="227" spans="1:26" ht="12.75" customHeight="1" x14ac:dyDescent="0.25">
      <c r="A227"/>
      <c r="B227" s="130"/>
      <c r="C227" s="130"/>
      <c r="D227" s="130"/>
      <c r="E227" s="130"/>
      <c r="F227" s="127"/>
      <c r="G227" s="119" t="s">
        <v>499</v>
      </c>
      <c r="H227" s="119" t="s">
        <v>452</v>
      </c>
      <c r="I227" s="119" t="s">
        <v>682</v>
      </c>
      <c r="J227" s="119" t="s">
        <v>1590</v>
      </c>
      <c r="K227" s="119" t="s">
        <v>663</v>
      </c>
      <c r="L227" s="119" t="s">
        <v>738</v>
      </c>
      <c r="M227" s="119" t="s">
        <v>665</v>
      </c>
      <c r="N227" s="119" t="s">
        <v>666</v>
      </c>
      <c r="O227" s="119" t="s">
        <v>667</v>
      </c>
      <c r="P227" s="119" t="s">
        <v>937</v>
      </c>
      <c r="Q227" s="144">
        <v>44020</v>
      </c>
      <c r="R227" s="119"/>
      <c r="S227" s="119" t="s">
        <v>669</v>
      </c>
      <c r="T227" s="119">
        <v>1000000000</v>
      </c>
      <c r="U227" s="119">
        <v>745712156</v>
      </c>
      <c r="V227" s="119">
        <v>0</v>
      </c>
      <c r="W227" s="119">
        <v>0</v>
      </c>
      <c r="X227" s="119" t="s">
        <v>1591</v>
      </c>
      <c r="Y227" s="122" t="s">
        <v>1592</v>
      </c>
      <c r="Z227" s="119"/>
    </row>
    <row r="228" spans="1:26" ht="12.75" customHeight="1" x14ac:dyDescent="0.25">
      <c r="G228" s="119" t="s">
        <v>499</v>
      </c>
      <c r="H228" s="119" t="s">
        <v>429</v>
      </c>
      <c r="I228" s="119" t="s">
        <v>682</v>
      </c>
      <c r="J228" s="119" t="s">
        <v>1593</v>
      </c>
      <c r="K228" s="119" t="s">
        <v>663</v>
      </c>
      <c r="L228" s="119" t="s">
        <v>690</v>
      </c>
      <c r="M228" s="119" t="s">
        <v>665</v>
      </c>
      <c r="N228" s="119" t="s">
        <v>666</v>
      </c>
      <c r="O228" s="121"/>
      <c r="P228" s="119" t="s">
        <v>1594</v>
      </c>
      <c r="Q228" s="144">
        <v>43959</v>
      </c>
      <c r="R228" s="119"/>
      <c r="S228" s="119" t="s">
        <v>669</v>
      </c>
      <c r="T228" s="119">
        <v>2000000</v>
      </c>
      <c r="U228" s="119">
        <v>1491425</v>
      </c>
      <c r="V228" s="119">
        <v>0</v>
      </c>
      <c r="W228" s="119">
        <v>0</v>
      </c>
      <c r="X228" s="119" t="s">
        <v>1595</v>
      </c>
      <c r="Y228" s="119" t="s">
        <v>1596</v>
      </c>
      <c r="Z228" s="121"/>
    </row>
    <row r="229" spans="1:26" ht="12.75" customHeight="1" x14ac:dyDescent="0.25">
      <c r="A229"/>
      <c r="B229" s="129"/>
      <c r="C229" s="129"/>
      <c r="D229" s="129"/>
      <c r="E229" s="129"/>
      <c r="F229" s="127"/>
      <c r="G229" s="119" t="s">
        <v>499</v>
      </c>
      <c r="H229" s="119" t="s">
        <v>67</v>
      </c>
      <c r="I229" s="119" t="s">
        <v>693</v>
      </c>
      <c r="J229" s="119" t="s">
        <v>1597</v>
      </c>
      <c r="K229" s="119" t="s">
        <v>663</v>
      </c>
      <c r="L229" s="119" t="s">
        <v>738</v>
      </c>
      <c r="M229" s="119" t="s">
        <v>665</v>
      </c>
      <c r="N229" s="119" t="s">
        <v>666</v>
      </c>
      <c r="O229" s="119" t="s">
        <v>936</v>
      </c>
      <c r="P229" s="119" t="s">
        <v>937</v>
      </c>
      <c r="Q229" s="145"/>
      <c r="R229" s="121"/>
      <c r="S229" s="119" t="s">
        <v>669</v>
      </c>
      <c r="T229" s="119">
        <v>185176744</v>
      </c>
      <c r="U229" s="119">
        <v>138088549</v>
      </c>
      <c r="V229" s="119">
        <v>0</v>
      </c>
      <c r="W229" s="119">
        <v>0</v>
      </c>
      <c r="X229" s="119" t="s">
        <v>1598</v>
      </c>
      <c r="Y229" s="119" t="s">
        <v>1564</v>
      </c>
      <c r="Z229" s="121"/>
    </row>
    <row r="230" spans="1:26" ht="12.75" customHeight="1" x14ac:dyDescent="0.25">
      <c r="A230"/>
      <c r="B230" s="126"/>
      <c r="C230" s="126"/>
      <c r="D230" s="126"/>
      <c r="E230" s="126"/>
      <c r="F230" s="127"/>
      <c r="G230" s="119" t="s">
        <v>499</v>
      </c>
      <c r="H230" s="119" t="s">
        <v>429</v>
      </c>
      <c r="I230" s="119" t="s">
        <v>682</v>
      </c>
      <c r="J230" s="119" t="s">
        <v>1599</v>
      </c>
      <c r="K230" s="119" t="s">
        <v>663</v>
      </c>
      <c r="L230" s="119" t="s">
        <v>738</v>
      </c>
      <c r="M230" s="119" t="s">
        <v>665</v>
      </c>
      <c r="N230" s="119" t="s">
        <v>666</v>
      </c>
      <c r="O230" s="119" t="s">
        <v>695</v>
      </c>
      <c r="P230" s="119" t="s">
        <v>1600</v>
      </c>
      <c r="Q230" s="146" t="s">
        <v>1601</v>
      </c>
      <c r="R230" s="119"/>
      <c r="S230" s="119" t="s">
        <v>669</v>
      </c>
      <c r="T230" s="119">
        <v>519000000</v>
      </c>
      <c r="U230" s="119">
        <v>387024609</v>
      </c>
      <c r="V230" s="119">
        <v>0</v>
      </c>
      <c r="W230" s="119">
        <v>0</v>
      </c>
      <c r="X230" s="119" t="s">
        <v>1602</v>
      </c>
      <c r="Y230" s="122" t="s">
        <v>1603</v>
      </c>
      <c r="Z230" s="119"/>
    </row>
    <row r="231" spans="1:26" ht="12.75" customHeight="1" x14ac:dyDescent="0.25">
      <c r="A231"/>
      <c r="B231" s="126"/>
      <c r="C231" s="126"/>
      <c r="D231" s="126"/>
      <c r="E231" s="126"/>
      <c r="F231" s="127"/>
      <c r="G231" s="119" t="s">
        <v>499</v>
      </c>
      <c r="H231" s="119" t="s">
        <v>418</v>
      </c>
      <c r="I231" s="119" t="s">
        <v>661</v>
      </c>
      <c r="J231" s="119" t="s">
        <v>1604</v>
      </c>
      <c r="K231" s="119" t="s">
        <v>674</v>
      </c>
      <c r="L231" s="119" t="s">
        <v>675</v>
      </c>
      <c r="M231" s="119" t="s">
        <v>819</v>
      </c>
      <c r="N231" s="119" t="s">
        <v>666</v>
      </c>
      <c r="O231" s="119" t="s">
        <v>1605</v>
      </c>
      <c r="P231" s="119" t="s">
        <v>1606</v>
      </c>
      <c r="Q231" s="146" t="s">
        <v>1404</v>
      </c>
      <c r="R231" s="119"/>
      <c r="S231" s="119" t="s">
        <v>669</v>
      </c>
      <c r="T231" s="119">
        <v>58000000</v>
      </c>
      <c r="U231" s="119">
        <v>43251305</v>
      </c>
      <c r="V231" s="119">
        <v>0</v>
      </c>
      <c r="W231" s="119">
        <v>0</v>
      </c>
      <c r="X231" s="119" t="s">
        <v>1607</v>
      </c>
      <c r="Y231" s="119" t="s">
        <v>1608</v>
      </c>
      <c r="Z231" s="121"/>
    </row>
    <row r="232" spans="1:26" ht="12.75" customHeight="1" x14ac:dyDescent="0.25">
      <c r="A232"/>
      <c r="B232" s="126"/>
      <c r="C232" s="126"/>
      <c r="D232" s="126"/>
      <c r="E232" s="126"/>
      <c r="F232" s="127"/>
      <c r="G232" s="119" t="s">
        <v>499</v>
      </c>
      <c r="H232" s="119" t="s">
        <v>418</v>
      </c>
      <c r="I232" s="119" t="s">
        <v>693</v>
      </c>
      <c r="J232" s="119" t="s">
        <v>1609</v>
      </c>
      <c r="K232" s="119" t="s">
        <v>674</v>
      </c>
      <c r="L232" s="119" t="s">
        <v>701</v>
      </c>
      <c r="M232" s="119" t="s">
        <v>676</v>
      </c>
      <c r="N232" s="119" t="s">
        <v>666</v>
      </c>
      <c r="O232" s="119" t="s">
        <v>1605</v>
      </c>
      <c r="P232" s="121"/>
      <c r="Q232" s="144">
        <v>44111</v>
      </c>
      <c r="R232" s="119"/>
      <c r="S232" s="119" t="s">
        <v>669</v>
      </c>
      <c r="T232" s="119">
        <v>16000000</v>
      </c>
      <c r="U232" s="119">
        <v>11931395</v>
      </c>
      <c r="V232" s="119">
        <v>0</v>
      </c>
      <c r="W232" s="119">
        <v>0</v>
      </c>
      <c r="X232" s="119" t="s">
        <v>1610</v>
      </c>
      <c r="Y232" s="119" t="s">
        <v>1611</v>
      </c>
      <c r="Z232" s="121"/>
    </row>
    <row r="233" spans="1:26" ht="12.75" customHeight="1" x14ac:dyDescent="0.25">
      <c r="A233"/>
      <c r="B233" s="126"/>
      <c r="C233" s="126"/>
      <c r="D233" s="126"/>
      <c r="E233" s="126"/>
      <c r="F233" s="127"/>
      <c r="G233" s="119" t="s">
        <v>499</v>
      </c>
      <c r="H233" s="119" t="s">
        <v>1612</v>
      </c>
      <c r="I233" s="119" t="s">
        <v>790</v>
      </c>
      <c r="J233" s="119" t="s">
        <v>1613</v>
      </c>
      <c r="K233" s="119" t="s">
        <v>674</v>
      </c>
      <c r="L233" s="119" t="s">
        <v>738</v>
      </c>
      <c r="M233" s="119" t="s">
        <v>676</v>
      </c>
      <c r="N233" s="119" t="s">
        <v>677</v>
      </c>
      <c r="O233" s="121"/>
      <c r="P233" s="119" t="s">
        <v>1614</v>
      </c>
      <c r="Q233" s="146" t="s">
        <v>1615</v>
      </c>
      <c r="R233" s="119" t="s">
        <v>1615</v>
      </c>
      <c r="S233" s="119" t="s">
        <v>669</v>
      </c>
      <c r="T233" s="119">
        <v>0</v>
      </c>
      <c r="U233" s="119">
        <v>0</v>
      </c>
      <c r="V233" s="119">
        <v>0</v>
      </c>
      <c r="W233" s="119">
        <v>0</v>
      </c>
      <c r="X233" s="122" t="s">
        <v>1616</v>
      </c>
      <c r="Y233" s="119" t="s">
        <v>1617</v>
      </c>
      <c r="Z233" s="121"/>
    </row>
    <row r="234" spans="1:26" ht="12.75" customHeight="1" x14ac:dyDescent="0.25">
      <c r="A234"/>
      <c r="B234" s="128"/>
      <c r="C234" s="128"/>
      <c r="D234" s="128"/>
      <c r="E234" s="128"/>
      <c r="F234" s="127"/>
      <c r="G234" s="119" t="s">
        <v>499</v>
      </c>
      <c r="H234" s="119" t="s">
        <v>418</v>
      </c>
      <c r="I234" s="119" t="s">
        <v>693</v>
      </c>
      <c r="J234" s="119" t="s">
        <v>1618</v>
      </c>
      <c r="K234" s="119" t="s">
        <v>749</v>
      </c>
      <c r="L234" s="119" t="s">
        <v>738</v>
      </c>
      <c r="M234" s="119" t="s">
        <v>665</v>
      </c>
      <c r="N234" s="119" t="s">
        <v>677</v>
      </c>
      <c r="O234" s="119" t="s">
        <v>1619</v>
      </c>
      <c r="P234" s="119" t="s">
        <v>1620</v>
      </c>
      <c r="Q234" s="146" t="s">
        <v>1615</v>
      </c>
      <c r="R234" s="119" t="s">
        <v>1615</v>
      </c>
      <c r="S234" s="119" t="s">
        <v>669</v>
      </c>
      <c r="T234" s="119">
        <v>0</v>
      </c>
      <c r="U234" s="119">
        <v>0</v>
      </c>
      <c r="V234" s="119">
        <v>0</v>
      </c>
      <c r="W234" s="119">
        <v>0</v>
      </c>
      <c r="X234" s="119" t="s">
        <v>1621</v>
      </c>
      <c r="Y234" s="119" t="s">
        <v>1622</v>
      </c>
      <c r="Z234" s="121"/>
    </row>
    <row r="235" spans="1:26" ht="12.75" customHeight="1" x14ac:dyDescent="0.25">
      <c r="G235" s="119" t="s">
        <v>499</v>
      </c>
      <c r="H235" s="119" t="s">
        <v>67</v>
      </c>
      <c r="I235" s="119" t="s">
        <v>672</v>
      </c>
      <c r="J235" s="119" t="s">
        <v>607</v>
      </c>
      <c r="K235" s="119" t="s">
        <v>584</v>
      </c>
      <c r="L235" s="119" t="s">
        <v>1116</v>
      </c>
      <c r="M235" s="119" t="s">
        <v>676</v>
      </c>
      <c r="N235" s="119" t="s">
        <v>666</v>
      </c>
      <c r="O235" s="119" t="s">
        <v>949</v>
      </c>
      <c r="P235" s="121"/>
      <c r="Q235" s="144">
        <v>44289</v>
      </c>
      <c r="R235" s="119"/>
      <c r="S235" s="119" t="s">
        <v>669</v>
      </c>
      <c r="T235" s="119">
        <v>2000000</v>
      </c>
      <c r="U235" s="119">
        <v>1491425</v>
      </c>
      <c r="V235" s="119">
        <v>0</v>
      </c>
      <c r="W235" s="119">
        <v>0</v>
      </c>
      <c r="X235" s="119" t="s">
        <v>1623</v>
      </c>
      <c r="Y235" s="119" t="s">
        <v>1624</v>
      </c>
      <c r="Z235" s="121"/>
    </row>
    <row r="236" spans="1:26" ht="12.75" customHeight="1" x14ac:dyDescent="0.25">
      <c r="A236"/>
      <c r="B236" s="129"/>
      <c r="C236" s="129"/>
      <c r="D236" s="129"/>
      <c r="E236" s="129"/>
      <c r="F236" s="127"/>
      <c r="G236" s="119" t="s">
        <v>499</v>
      </c>
      <c r="H236" s="119" t="s">
        <v>67</v>
      </c>
      <c r="I236" s="119" t="s">
        <v>682</v>
      </c>
      <c r="J236" s="119" t="s">
        <v>1625</v>
      </c>
      <c r="K236" s="119" t="s">
        <v>749</v>
      </c>
      <c r="L236" s="119" t="s">
        <v>738</v>
      </c>
      <c r="M236" s="119" t="s">
        <v>691</v>
      </c>
      <c r="N236" s="119" t="s">
        <v>666</v>
      </c>
      <c r="O236" s="119" t="s">
        <v>1626</v>
      </c>
      <c r="P236" s="119" t="s">
        <v>1627</v>
      </c>
      <c r="Q236" s="146" t="s">
        <v>634</v>
      </c>
      <c r="R236" s="119" t="s">
        <v>634</v>
      </c>
      <c r="S236" s="119" t="s">
        <v>669</v>
      </c>
      <c r="T236" s="119">
        <v>7348387</v>
      </c>
      <c r="U236" s="119">
        <v>5479782</v>
      </c>
      <c r="V236" s="119">
        <v>0</v>
      </c>
      <c r="W236" s="119">
        <v>0</v>
      </c>
      <c r="X236" s="119" t="s">
        <v>1628</v>
      </c>
      <c r="Y236" s="119" t="s">
        <v>1629</v>
      </c>
      <c r="Z236" s="119" t="s">
        <v>1630</v>
      </c>
    </row>
    <row r="237" spans="1:26" ht="12.75" customHeight="1" x14ac:dyDescent="0.25">
      <c r="A237"/>
      <c r="B237" s="126"/>
      <c r="C237" s="126"/>
      <c r="D237" s="126"/>
      <c r="E237" s="126"/>
      <c r="F237" s="127"/>
      <c r="G237" s="119" t="s">
        <v>499</v>
      </c>
      <c r="H237" s="119" t="s">
        <v>67</v>
      </c>
      <c r="I237" s="119" t="s">
        <v>682</v>
      </c>
      <c r="J237" s="119" t="s">
        <v>1631</v>
      </c>
      <c r="K237" s="119" t="s">
        <v>663</v>
      </c>
      <c r="L237" s="119" t="s">
        <v>738</v>
      </c>
      <c r="M237" s="119" t="s">
        <v>665</v>
      </c>
      <c r="N237" s="119" t="s">
        <v>666</v>
      </c>
      <c r="O237" s="121"/>
      <c r="P237" s="119" t="s">
        <v>1632</v>
      </c>
      <c r="Q237" s="146" t="s">
        <v>1633</v>
      </c>
      <c r="R237" s="119" t="s">
        <v>1633</v>
      </c>
      <c r="S237" s="119" t="s">
        <v>669</v>
      </c>
      <c r="T237" s="119">
        <v>1800000000</v>
      </c>
      <c r="U237" s="119">
        <v>1342281880</v>
      </c>
      <c r="V237" s="119">
        <v>0</v>
      </c>
      <c r="W237" s="119">
        <v>0</v>
      </c>
      <c r="X237" s="119" t="s">
        <v>1634</v>
      </c>
      <c r="Y237" s="122" t="s">
        <v>1635</v>
      </c>
      <c r="Z237" s="119" t="s">
        <v>1636</v>
      </c>
    </row>
    <row r="238" spans="1:26" ht="12.75" customHeight="1" x14ac:dyDescent="0.25">
      <c r="A238"/>
      <c r="B238" s="126"/>
      <c r="C238" s="126"/>
      <c r="D238" s="126"/>
      <c r="E238" s="126"/>
      <c r="F238" s="127"/>
      <c r="G238" s="119" t="s">
        <v>499</v>
      </c>
      <c r="H238" s="119" t="s">
        <v>461</v>
      </c>
      <c r="I238" s="119" t="s">
        <v>682</v>
      </c>
      <c r="J238" s="119" t="s">
        <v>1637</v>
      </c>
      <c r="K238" s="119" t="s">
        <v>674</v>
      </c>
      <c r="L238" s="119" t="s">
        <v>1355</v>
      </c>
      <c r="M238" s="119" t="s">
        <v>676</v>
      </c>
      <c r="N238" s="119" t="s">
        <v>666</v>
      </c>
      <c r="O238" s="121"/>
      <c r="P238" s="119" t="s">
        <v>1638</v>
      </c>
      <c r="Q238" s="144">
        <v>44019</v>
      </c>
      <c r="R238" s="119"/>
      <c r="S238" s="119" t="s">
        <v>669</v>
      </c>
      <c r="T238" s="119">
        <v>70000000</v>
      </c>
      <c r="U238" s="119">
        <v>52199851</v>
      </c>
      <c r="V238" s="119">
        <v>0</v>
      </c>
      <c r="W238" s="119">
        <v>0</v>
      </c>
      <c r="X238" s="119" t="s">
        <v>1639</v>
      </c>
      <c r="Y238" s="119" t="s">
        <v>1640</v>
      </c>
      <c r="Z238" s="121"/>
    </row>
    <row r="239" spans="1:26" ht="12.75" customHeight="1" x14ac:dyDescent="0.25">
      <c r="A239"/>
      <c r="B239" s="126"/>
      <c r="C239" s="126"/>
      <c r="D239" s="126"/>
      <c r="E239" s="126"/>
      <c r="F239" s="127"/>
      <c r="G239" s="119" t="s">
        <v>499</v>
      </c>
      <c r="H239" s="119" t="s">
        <v>429</v>
      </c>
      <c r="I239" s="119" t="s">
        <v>693</v>
      </c>
      <c r="J239" s="119" t="s">
        <v>305</v>
      </c>
      <c r="K239" s="119" t="s">
        <v>674</v>
      </c>
      <c r="L239" s="119" t="s">
        <v>675</v>
      </c>
      <c r="M239" s="119" t="s">
        <v>676</v>
      </c>
      <c r="N239" s="119" t="s">
        <v>1392</v>
      </c>
      <c r="O239" s="121"/>
      <c r="P239" s="119" t="s">
        <v>1641</v>
      </c>
      <c r="Q239" s="146" t="s">
        <v>1642</v>
      </c>
      <c r="R239" s="119" t="s">
        <v>1642</v>
      </c>
      <c r="S239" s="119" t="s">
        <v>669</v>
      </c>
      <c r="T239" s="119">
        <v>11000000</v>
      </c>
      <c r="U239" s="119">
        <v>8202834</v>
      </c>
      <c r="V239" s="119">
        <v>0</v>
      </c>
      <c r="W239" s="119">
        <v>0</v>
      </c>
      <c r="X239" s="122" t="s">
        <v>1643</v>
      </c>
      <c r="Y239" s="119" t="s">
        <v>1644</v>
      </c>
      <c r="Z239" s="119" t="s">
        <v>1645</v>
      </c>
    </row>
    <row r="240" spans="1:26" ht="12.75" customHeight="1" x14ac:dyDescent="0.25">
      <c r="A240"/>
      <c r="B240" s="128"/>
      <c r="C240" s="128"/>
      <c r="D240" s="128"/>
      <c r="E240" s="128"/>
      <c r="F240" s="127"/>
      <c r="G240" s="119" t="s">
        <v>499</v>
      </c>
      <c r="H240" s="119" t="s">
        <v>452</v>
      </c>
      <c r="I240" s="119" t="s">
        <v>693</v>
      </c>
      <c r="J240" s="119" t="s">
        <v>1646</v>
      </c>
      <c r="K240" s="119" t="s">
        <v>663</v>
      </c>
      <c r="L240" s="119" t="s">
        <v>664</v>
      </c>
      <c r="M240" s="119" t="s">
        <v>665</v>
      </c>
      <c r="N240" s="119" t="s">
        <v>666</v>
      </c>
      <c r="O240" s="121"/>
      <c r="P240" s="119" t="s">
        <v>1647</v>
      </c>
      <c r="Q240" s="144">
        <v>43989</v>
      </c>
      <c r="R240" s="119"/>
      <c r="S240" s="119" t="s">
        <v>669</v>
      </c>
      <c r="T240" s="119">
        <v>2600000000</v>
      </c>
      <c r="U240" s="119">
        <v>1938851604</v>
      </c>
      <c r="V240" s="119">
        <v>0</v>
      </c>
      <c r="W240" s="119">
        <v>0</v>
      </c>
      <c r="X240" s="119" t="s">
        <v>1648</v>
      </c>
      <c r="Y240" s="119" t="s">
        <v>1649</v>
      </c>
      <c r="Z240" s="121"/>
    </row>
    <row r="241" spans="1:26" ht="12.75" customHeight="1" x14ac:dyDescent="0.25">
      <c r="G241" s="119" t="s">
        <v>499</v>
      </c>
      <c r="H241" s="119" t="s">
        <v>445</v>
      </c>
      <c r="I241" s="119" t="s">
        <v>693</v>
      </c>
      <c r="J241" s="119" t="s">
        <v>1650</v>
      </c>
      <c r="K241" s="119" t="s">
        <v>663</v>
      </c>
      <c r="L241" s="119" t="s">
        <v>664</v>
      </c>
      <c r="M241" s="119" t="s">
        <v>665</v>
      </c>
      <c r="N241" s="119" t="s">
        <v>1392</v>
      </c>
      <c r="O241" s="119" t="s">
        <v>1339</v>
      </c>
      <c r="P241" s="119" t="s">
        <v>1651</v>
      </c>
      <c r="Q241" s="144">
        <v>44048</v>
      </c>
      <c r="R241" s="119"/>
      <c r="S241" s="119" t="s">
        <v>669</v>
      </c>
      <c r="T241" s="119">
        <v>2000000</v>
      </c>
      <c r="U241" s="119">
        <v>1491425</v>
      </c>
      <c r="V241" s="119">
        <v>0</v>
      </c>
      <c r="W241" s="119">
        <v>0</v>
      </c>
      <c r="X241" s="119" t="s">
        <v>1652</v>
      </c>
      <c r="Y241" s="119" t="s">
        <v>1653</v>
      </c>
      <c r="Z241" s="121"/>
    </row>
    <row r="242" spans="1:26" ht="12.75" customHeight="1" x14ac:dyDescent="0.25">
      <c r="A242"/>
      <c r="B242" s="129"/>
      <c r="C242" s="129"/>
      <c r="D242" s="129"/>
      <c r="E242" s="129"/>
      <c r="F242" s="127"/>
      <c r="G242" s="119" t="s">
        <v>499</v>
      </c>
      <c r="H242" s="119" t="s">
        <v>429</v>
      </c>
      <c r="I242" s="119" t="s">
        <v>672</v>
      </c>
      <c r="J242" s="119" t="s">
        <v>1654</v>
      </c>
      <c r="K242" s="119" t="s">
        <v>798</v>
      </c>
      <c r="L242" s="119" t="s">
        <v>819</v>
      </c>
      <c r="M242" s="119" t="s">
        <v>819</v>
      </c>
      <c r="N242" s="119" t="s">
        <v>666</v>
      </c>
      <c r="O242" s="121"/>
      <c r="P242" s="119" t="s">
        <v>1655</v>
      </c>
      <c r="Q242" s="146" t="s">
        <v>1656</v>
      </c>
      <c r="R242" s="119"/>
      <c r="S242" s="119" t="s">
        <v>669</v>
      </c>
      <c r="T242" s="119">
        <v>4100000</v>
      </c>
      <c r="U242" s="119">
        <v>3057420</v>
      </c>
      <c r="V242" s="119">
        <v>0</v>
      </c>
      <c r="W242" s="119">
        <v>0</v>
      </c>
      <c r="X242" s="119" t="s">
        <v>1657</v>
      </c>
      <c r="Y242" s="119" t="s">
        <v>1658</v>
      </c>
      <c r="Z242" s="121"/>
    </row>
    <row r="243" spans="1:26" ht="12.75" customHeight="1" x14ac:dyDescent="0.25">
      <c r="A243"/>
      <c r="B243" s="128"/>
      <c r="C243" s="128"/>
      <c r="D243" s="128"/>
      <c r="E243" s="128"/>
      <c r="F243" s="127"/>
      <c r="G243" s="119" t="s">
        <v>499</v>
      </c>
      <c r="H243" s="119" t="s">
        <v>67</v>
      </c>
      <c r="I243" s="119" t="s">
        <v>661</v>
      </c>
      <c r="J243" s="119" t="s">
        <v>1659</v>
      </c>
      <c r="K243" s="119" t="s">
        <v>674</v>
      </c>
      <c r="L243" s="119" t="s">
        <v>675</v>
      </c>
      <c r="M243" s="119" t="s">
        <v>819</v>
      </c>
      <c r="N243" s="119" t="s">
        <v>666</v>
      </c>
      <c r="O243" s="121"/>
      <c r="P243" s="119" t="s">
        <v>1660</v>
      </c>
      <c r="Q243" s="144">
        <v>44019</v>
      </c>
      <c r="R243" s="119"/>
      <c r="S243" s="119" t="s">
        <v>669</v>
      </c>
      <c r="T243" s="119">
        <v>6000000</v>
      </c>
      <c r="U243" s="119">
        <v>4474273</v>
      </c>
      <c r="V243" s="119">
        <v>0</v>
      </c>
      <c r="W243" s="119">
        <v>0</v>
      </c>
      <c r="X243" s="119" t="s">
        <v>1661</v>
      </c>
      <c r="Y243" s="119" t="s">
        <v>1662</v>
      </c>
      <c r="Z243" s="121"/>
    </row>
    <row r="244" spans="1:26" ht="12.75" customHeight="1" x14ac:dyDescent="0.25">
      <c r="G244" s="119" t="s">
        <v>499</v>
      </c>
      <c r="H244" s="119" t="s">
        <v>67</v>
      </c>
      <c r="I244" s="119" t="s">
        <v>682</v>
      </c>
      <c r="J244" s="119" t="s">
        <v>590</v>
      </c>
      <c r="K244" s="119" t="s">
        <v>584</v>
      </c>
      <c r="L244" s="119" t="s">
        <v>738</v>
      </c>
      <c r="M244" s="119" t="s">
        <v>702</v>
      </c>
      <c r="N244" s="119" t="s">
        <v>666</v>
      </c>
      <c r="O244" s="119" t="s">
        <v>709</v>
      </c>
      <c r="P244" s="119" t="s">
        <v>800</v>
      </c>
      <c r="Q244" s="146" t="s">
        <v>592</v>
      </c>
      <c r="R244" s="119"/>
      <c r="S244" s="119" t="s">
        <v>669</v>
      </c>
      <c r="T244" s="119">
        <v>1315220</v>
      </c>
      <c r="U244" s="119">
        <v>980776</v>
      </c>
      <c r="V244" s="119">
        <v>0</v>
      </c>
      <c r="W244" s="119">
        <v>0</v>
      </c>
      <c r="X244" s="119" t="s">
        <v>1663</v>
      </c>
      <c r="Y244" s="122" t="s">
        <v>1664</v>
      </c>
      <c r="Z244" s="119"/>
    </row>
    <row r="245" spans="1:26" ht="12.75" customHeight="1" x14ac:dyDescent="0.25">
      <c r="A245"/>
      <c r="B245" s="129"/>
      <c r="C245" s="129"/>
      <c r="D245" s="129"/>
      <c r="E245" s="129"/>
      <c r="F245" s="127"/>
      <c r="G245" s="119" t="s">
        <v>499</v>
      </c>
      <c r="H245" s="119" t="s">
        <v>470</v>
      </c>
      <c r="I245" s="119" t="s">
        <v>693</v>
      </c>
      <c r="J245" s="119" t="s">
        <v>1665</v>
      </c>
      <c r="K245" s="119" t="s">
        <v>749</v>
      </c>
      <c r="L245" s="119" t="s">
        <v>738</v>
      </c>
      <c r="M245" s="119" t="s">
        <v>665</v>
      </c>
      <c r="N245" s="119" t="s">
        <v>1666</v>
      </c>
      <c r="O245" s="119" t="s">
        <v>1667</v>
      </c>
      <c r="P245" s="119" t="s">
        <v>1668</v>
      </c>
      <c r="Q245" s="144">
        <v>43836</v>
      </c>
      <c r="R245" s="119"/>
      <c r="S245" s="119" t="s">
        <v>669</v>
      </c>
      <c r="T245" s="119">
        <v>0</v>
      </c>
      <c r="U245" s="119">
        <v>0</v>
      </c>
      <c r="V245" s="119">
        <v>0</v>
      </c>
      <c r="W245" s="119">
        <v>0</v>
      </c>
      <c r="X245" s="119" t="s">
        <v>1669</v>
      </c>
      <c r="Y245" s="119" t="s">
        <v>1670</v>
      </c>
      <c r="Z245" s="121"/>
    </row>
    <row r="246" spans="1:26" ht="12.75" customHeight="1" x14ac:dyDescent="0.25">
      <c r="A246"/>
      <c r="B246" s="126"/>
      <c r="C246" s="126"/>
      <c r="D246" s="126"/>
      <c r="E246" s="126"/>
      <c r="F246" s="127"/>
      <c r="G246" s="119" t="s">
        <v>499</v>
      </c>
      <c r="H246" s="119" t="s">
        <v>470</v>
      </c>
      <c r="I246" s="119" t="s">
        <v>693</v>
      </c>
      <c r="J246" s="119" t="s">
        <v>1671</v>
      </c>
      <c r="K246" s="119" t="s">
        <v>749</v>
      </c>
      <c r="L246" s="119" t="s">
        <v>738</v>
      </c>
      <c r="M246" s="119" t="s">
        <v>691</v>
      </c>
      <c r="N246" s="119" t="s">
        <v>1666</v>
      </c>
      <c r="O246" s="119" t="s">
        <v>1667</v>
      </c>
      <c r="P246" s="119" t="s">
        <v>1668</v>
      </c>
      <c r="Q246" s="146" t="s">
        <v>1672</v>
      </c>
      <c r="R246" s="119"/>
      <c r="S246" s="119" t="s">
        <v>669</v>
      </c>
      <c r="T246" s="119">
        <v>0</v>
      </c>
      <c r="U246" s="119">
        <v>0</v>
      </c>
      <c r="V246" s="119">
        <v>0</v>
      </c>
      <c r="W246" s="119">
        <v>0</v>
      </c>
      <c r="X246" s="119" t="s">
        <v>1673</v>
      </c>
      <c r="Y246" s="119" t="s">
        <v>1670</v>
      </c>
      <c r="Z246" s="121"/>
    </row>
    <row r="247" spans="1:26" ht="12.75" customHeight="1" x14ac:dyDescent="0.25">
      <c r="A247"/>
      <c r="B247" s="126"/>
      <c r="C247" s="126"/>
      <c r="D247" s="126"/>
      <c r="E247" s="126"/>
      <c r="F247" s="127"/>
      <c r="G247" s="119" t="s">
        <v>499</v>
      </c>
      <c r="H247" s="119" t="s">
        <v>470</v>
      </c>
      <c r="I247" s="119" t="s">
        <v>693</v>
      </c>
      <c r="J247" s="119" t="s">
        <v>312</v>
      </c>
      <c r="K247" s="119" t="s">
        <v>674</v>
      </c>
      <c r="L247" s="119" t="s">
        <v>675</v>
      </c>
      <c r="M247" s="119" t="s">
        <v>676</v>
      </c>
      <c r="N247" s="119" t="s">
        <v>1666</v>
      </c>
      <c r="O247" s="119" t="s">
        <v>1667</v>
      </c>
      <c r="P247" s="119" t="s">
        <v>1668</v>
      </c>
      <c r="Q247" s="146" t="s">
        <v>1672</v>
      </c>
      <c r="R247" s="119"/>
      <c r="S247" s="119" t="s">
        <v>669</v>
      </c>
      <c r="T247" s="119">
        <v>0</v>
      </c>
      <c r="U247" s="119">
        <v>0</v>
      </c>
      <c r="V247" s="119">
        <v>0</v>
      </c>
      <c r="W247" s="119">
        <v>0</v>
      </c>
      <c r="X247" s="119" t="s">
        <v>1674</v>
      </c>
      <c r="Y247" s="119" t="s">
        <v>1675</v>
      </c>
      <c r="Z247" s="121"/>
    </row>
    <row r="248" spans="1:26" ht="12.75" customHeight="1" x14ac:dyDescent="0.25">
      <c r="A248"/>
      <c r="B248" s="126"/>
      <c r="C248" s="126"/>
      <c r="D248" s="126"/>
      <c r="E248" s="126"/>
      <c r="F248" s="127"/>
      <c r="G248" s="119" t="s">
        <v>499</v>
      </c>
      <c r="H248" s="119" t="s">
        <v>470</v>
      </c>
      <c r="I248" s="119" t="s">
        <v>693</v>
      </c>
      <c r="J248" s="119" t="s">
        <v>1676</v>
      </c>
      <c r="K248" s="119" t="s">
        <v>749</v>
      </c>
      <c r="L248" s="119" t="s">
        <v>738</v>
      </c>
      <c r="M248" s="119" t="s">
        <v>691</v>
      </c>
      <c r="N248" s="119" t="s">
        <v>1666</v>
      </c>
      <c r="O248" s="119" t="s">
        <v>1667</v>
      </c>
      <c r="P248" s="119" t="s">
        <v>1668</v>
      </c>
      <c r="Q248" s="144">
        <v>43836</v>
      </c>
      <c r="R248" s="119"/>
      <c r="S248" s="119" t="s">
        <v>669</v>
      </c>
      <c r="T248" s="119">
        <v>0</v>
      </c>
      <c r="U248" s="119">
        <v>0</v>
      </c>
      <c r="V248" s="119">
        <v>0</v>
      </c>
      <c r="W248" s="119">
        <v>0</v>
      </c>
      <c r="X248" s="119" t="s">
        <v>1677</v>
      </c>
      <c r="Y248" s="119" t="s">
        <v>1670</v>
      </c>
      <c r="Z248" s="121"/>
    </row>
    <row r="249" spans="1:26" ht="12.75" customHeight="1" x14ac:dyDescent="0.25">
      <c r="A249"/>
      <c r="B249" s="126"/>
      <c r="C249" s="126"/>
      <c r="D249" s="126"/>
      <c r="E249" s="126"/>
      <c r="F249" s="127"/>
      <c r="G249" s="119" t="s">
        <v>499</v>
      </c>
      <c r="H249" s="119" t="s">
        <v>461</v>
      </c>
      <c r="I249" s="119" t="s">
        <v>693</v>
      </c>
      <c r="J249" s="119" t="s">
        <v>1678</v>
      </c>
      <c r="K249" s="119" t="s">
        <v>749</v>
      </c>
      <c r="L249" s="119" t="s">
        <v>738</v>
      </c>
      <c r="M249" s="119" t="s">
        <v>691</v>
      </c>
      <c r="N249" s="119" t="s">
        <v>1666</v>
      </c>
      <c r="O249" s="119" t="s">
        <v>1679</v>
      </c>
      <c r="P249" s="119" t="s">
        <v>1668</v>
      </c>
      <c r="Q249" s="144">
        <v>43836</v>
      </c>
      <c r="R249" s="119"/>
      <c r="S249" s="119" t="s">
        <v>669</v>
      </c>
      <c r="T249" s="119">
        <v>0</v>
      </c>
      <c r="U249" s="119">
        <v>0</v>
      </c>
      <c r="V249" s="119">
        <v>0</v>
      </c>
      <c r="W249" s="119">
        <v>0</v>
      </c>
      <c r="X249" s="119" t="s">
        <v>1680</v>
      </c>
      <c r="Y249" s="119" t="s">
        <v>1681</v>
      </c>
      <c r="Z249" s="121"/>
    </row>
    <row r="250" spans="1:26" ht="12.75" customHeight="1" x14ac:dyDescent="0.25">
      <c r="A250"/>
      <c r="B250" s="126"/>
      <c r="C250" s="126"/>
      <c r="D250" s="126"/>
      <c r="E250" s="126"/>
      <c r="F250" s="127"/>
      <c r="G250" s="119" t="s">
        <v>499</v>
      </c>
      <c r="H250" s="119" t="s">
        <v>450</v>
      </c>
      <c r="I250" s="119" t="s">
        <v>693</v>
      </c>
      <c r="J250" s="119" t="s">
        <v>1682</v>
      </c>
      <c r="K250" s="119" t="s">
        <v>674</v>
      </c>
      <c r="L250" s="119" t="s">
        <v>664</v>
      </c>
      <c r="M250" s="119" t="s">
        <v>676</v>
      </c>
      <c r="N250" s="119" t="s">
        <v>1666</v>
      </c>
      <c r="O250" s="119" t="s">
        <v>685</v>
      </c>
      <c r="P250" s="119" t="s">
        <v>1668</v>
      </c>
      <c r="Q250" s="144">
        <v>43836</v>
      </c>
      <c r="R250" s="119"/>
      <c r="S250" s="119" t="s">
        <v>669</v>
      </c>
      <c r="T250" s="119">
        <v>0</v>
      </c>
      <c r="U250" s="119">
        <v>0</v>
      </c>
      <c r="V250" s="119">
        <v>0</v>
      </c>
      <c r="W250" s="119">
        <v>0</v>
      </c>
      <c r="X250" s="119" t="s">
        <v>1683</v>
      </c>
      <c r="Y250" s="119" t="s">
        <v>1684</v>
      </c>
      <c r="Z250" s="121"/>
    </row>
    <row r="251" spans="1:26" ht="12.75" customHeight="1" x14ac:dyDescent="0.25">
      <c r="A251"/>
      <c r="B251" s="126"/>
      <c r="C251" s="126"/>
      <c r="D251" s="126"/>
      <c r="E251" s="126"/>
      <c r="F251" s="127"/>
      <c r="G251" s="119" t="s">
        <v>499</v>
      </c>
      <c r="H251" s="119" t="s">
        <v>450</v>
      </c>
      <c r="I251" s="119" t="s">
        <v>693</v>
      </c>
      <c r="J251" s="119" t="s">
        <v>1685</v>
      </c>
      <c r="K251" s="119" t="s">
        <v>749</v>
      </c>
      <c r="L251" s="119" t="s">
        <v>738</v>
      </c>
      <c r="M251" s="119" t="s">
        <v>691</v>
      </c>
      <c r="N251" s="119" t="s">
        <v>1666</v>
      </c>
      <c r="O251" s="119" t="s">
        <v>685</v>
      </c>
      <c r="P251" s="119" t="s">
        <v>1668</v>
      </c>
      <c r="Q251" s="144">
        <v>43836</v>
      </c>
      <c r="R251" s="119"/>
      <c r="S251" s="119" t="s">
        <v>669</v>
      </c>
      <c r="T251" s="119">
        <v>0</v>
      </c>
      <c r="U251" s="119">
        <v>0</v>
      </c>
      <c r="V251" s="119">
        <v>0</v>
      </c>
      <c r="W251" s="119">
        <v>0</v>
      </c>
      <c r="X251" s="119" t="s">
        <v>1686</v>
      </c>
      <c r="Y251" s="119" t="s">
        <v>1684</v>
      </c>
      <c r="Z251" s="121"/>
    </row>
    <row r="252" spans="1:26" ht="12.75" customHeight="1" x14ac:dyDescent="0.25">
      <c r="A252"/>
      <c r="B252" s="126"/>
      <c r="C252" s="126"/>
      <c r="D252" s="126"/>
      <c r="E252" s="126"/>
      <c r="F252" s="127"/>
      <c r="G252" s="119" t="s">
        <v>499</v>
      </c>
      <c r="H252" s="119" t="s">
        <v>67</v>
      </c>
      <c r="I252" s="119" t="s">
        <v>693</v>
      </c>
      <c r="J252" s="119" t="s">
        <v>1687</v>
      </c>
      <c r="K252" s="119" t="s">
        <v>663</v>
      </c>
      <c r="L252" s="119" t="s">
        <v>664</v>
      </c>
      <c r="M252" s="119" t="s">
        <v>665</v>
      </c>
      <c r="N252" s="119" t="s">
        <v>666</v>
      </c>
      <c r="O252" s="119" t="s">
        <v>709</v>
      </c>
      <c r="P252" s="119" t="s">
        <v>1651</v>
      </c>
      <c r="Q252" s="144">
        <v>44113</v>
      </c>
      <c r="R252" s="119"/>
      <c r="S252" s="119" t="s">
        <v>669</v>
      </c>
      <c r="T252" s="119">
        <v>0</v>
      </c>
      <c r="U252" s="119">
        <v>0</v>
      </c>
      <c r="V252" s="119">
        <v>0</v>
      </c>
      <c r="W252" s="119">
        <v>0</v>
      </c>
      <c r="X252" s="119" t="s">
        <v>1688</v>
      </c>
      <c r="Y252" s="122" t="s">
        <v>1689</v>
      </c>
      <c r="Z252" s="119"/>
    </row>
    <row r="253" spans="1:26" ht="12.75" customHeight="1" x14ac:dyDescent="0.25">
      <c r="A253"/>
      <c r="B253" s="126"/>
      <c r="C253" s="126"/>
      <c r="D253" s="126"/>
      <c r="E253" s="126"/>
      <c r="F253" s="127"/>
      <c r="G253" s="119" t="s">
        <v>499</v>
      </c>
      <c r="H253" s="119" t="s">
        <v>434</v>
      </c>
      <c r="I253" s="119" t="s">
        <v>693</v>
      </c>
      <c r="J253" s="119" t="s">
        <v>1690</v>
      </c>
      <c r="K253" s="119" t="s">
        <v>663</v>
      </c>
      <c r="L253" s="119" t="s">
        <v>664</v>
      </c>
      <c r="M253" s="119" t="s">
        <v>665</v>
      </c>
      <c r="N253" s="119" t="s">
        <v>666</v>
      </c>
      <c r="O253" s="119" t="s">
        <v>1691</v>
      </c>
      <c r="P253" s="119" t="s">
        <v>1111</v>
      </c>
      <c r="Q253" s="144">
        <v>44170</v>
      </c>
      <c r="R253" s="119"/>
      <c r="S253" s="119" t="s">
        <v>669</v>
      </c>
      <c r="T253" s="119">
        <v>215000000</v>
      </c>
      <c r="U253" s="119">
        <v>160328114</v>
      </c>
      <c r="V253" s="119">
        <v>0</v>
      </c>
      <c r="W253" s="119">
        <v>0</v>
      </c>
      <c r="X253" s="122" t="s">
        <v>1692</v>
      </c>
      <c r="Y253" s="119" t="s">
        <v>1693</v>
      </c>
      <c r="Z253" s="121"/>
    </row>
    <row r="254" spans="1:26" ht="12.75" customHeight="1" x14ac:dyDescent="0.25">
      <c r="A254"/>
      <c r="B254" s="126"/>
      <c r="C254" s="126"/>
      <c r="D254" s="126"/>
      <c r="E254" s="126"/>
      <c r="F254" s="127"/>
      <c r="G254" s="119" t="s">
        <v>499</v>
      </c>
      <c r="H254" s="119" t="s">
        <v>434</v>
      </c>
      <c r="I254" s="119" t="s">
        <v>693</v>
      </c>
      <c r="J254" s="119" t="s">
        <v>1694</v>
      </c>
      <c r="K254" s="119" t="s">
        <v>663</v>
      </c>
      <c r="L254" s="119" t="s">
        <v>664</v>
      </c>
      <c r="M254" s="119" t="s">
        <v>665</v>
      </c>
      <c r="N254" s="119" t="s">
        <v>1392</v>
      </c>
      <c r="O254" s="119" t="s">
        <v>1691</v>
      </c>
      <c r="P254" s="119" t="s">
        <v>1695</v>
      </c>
      <c r="Q254" s="144">
        <v>44170</v>
      </c>
      <c r="R254" s="119"/>
      <c r="S254" s="119" t="s">
        <v>669</v>
      </c>
      <c r="T254" s="119">
        <v>11000000</v>
      </c>
      <c r="U254" s="119">
        <v>8202834</v>
      </c>
      <c r="V254" s="119">
        <v>0</v>
      </c>
      <c r="W254" s="119">
        <v>0</v>
      </c>
      <c r="X254" s="119" t="s">
        <v>1696</v>
      </c>
      <c r="Y254" s="119" t="s">
        <v>1697</v>
      </c>
      <c r="Z254" s="121"/>
    </row>
    <row r="255" spans="1:26" ht="12.75" customHeight="1" x14ac:dyDescent="0.25">
      <c r="A255"/>
      <c r="B255" s="126"/>
      <c r="C255" s="126"/>
      <c r="D255" s="126"/>
      <c r="E255" s="126"/>
      <c r="F255" s="127"/>
      <c r="G255" s="119" t="s">
        <v>499</v>
      </c>
      <c r="H255" s="119" t="s">
        <v>429</v>
      </c>
      <c r="I255" s="119" t="s">
        <v>693</v>
      </c>
      <c r="J255" s="119" t="s">
        <v>1698</v>
      </c>
      <c r="K255" s="119" t="s">
        <v>674</v>
      </c>
      <c r="L255" s="119" t="s">
        <v>738</v>
      </c>
      <c r="M255" s="119" t="s">
        <v>676</v>
      </c>
      <c r="N255" s="119" t="s">
        <v>1666</v>
      </c>
      <c r="O255" s="119" t="s">
        <v>695</v>
      </c>
      <c r="P255" s="119" t="s">
        <v>1668</v>
      </c>
      <c r="Q255" s="146" t="s">
        <v>1699</v>
      </c>
      <c r="R255" s="119"/>
      <c r="S255" s="119" t="s">
        <v>669</v>
      </c>
      <c r="T255" s="119">
        <v>0</v>
      </c>
      <c r="U255" s="119">
        <v>0</v>
      </c>
      <c r="V255" s="119">
        <v>0</v>
      </c>
      <c r="W255" s="119">
        <v>0</v>
      </c>
      <c r="X255" s="119" t="s">
        <v>1700</v>
      </c>
      <c r="Y255" s="119" t="s">
        <v>1701</v>
      </c>
      <c r="Z255" s="121"/>
    </row>
    <row r="256" spans="1:26" ht="12.75" customHeight="1" x14ac:dyDescent="0.25">
      <c r="A256"/>
      <c r="B256" s="126"/>
      <c r="C256" s="126"/>
      <c r="D256" s="126"/>
      <c r="E256" s="126"/>
      <c r="F256" s="127"/>
      <c r="G256" s="119" t="s">
        <v>499</v>
      </c>
      <c r="H256" s="119" t="s">
        <v>429</v>
      </c>
      <c r="I256" s="119" t="s">
        <v>693</v>
      </c>
      <c r="J256" s="119" t="s">
        <v>1702</v>
      </c>
      <c r="K256" s="119" t="s">
        <v>674</v>
      </c>
      <c r="L256" s="119" t="s">
        <v>701</v>
      </c>
      <c r="M256" s="119" t="s">
        <v>676</v>
      </c>
      <c r="N256" s="119" t="s">
        <v>1392</v>
      </c>
      <c r="O256" s="119" t="s">
        <v>1703</v>
      </c>
      <c r="P256" s="119" t="s">
        <v>1704</v>
      </c>
      <c r="Q256" s="144">
        <v>43834</v>
      </c>
      <c r="R256" s="119"/>
      <c r="S256" s="119" t="s">
        <v>669</v>
      </c>
      <c r="T256" s="119">
        <v>0</v>
      </c>
      <c r="U256" s="119">
        <v>0</v>
      </c>
      <c r="V256" s="119">
        <v>0</v>
      </c>
      <c r="W256" s="119">
        <v>0</v>
      </c>
      <c r="X256" s="119" t="s">
        <v>1705</v>
      </c>
      <c r="Y256" s="119" t="s">
        <v>1706</v>
      </c>
      <c r="Z256" s="121"/>
    </row>
    <row r="257" spans="1:26" ht="12.75" customHeight="1" x14ac:dyDescent="0.25">
      <c r="A257"/>
      <c r="B257" s="126"/>
      <c r="C257" s="126"/>
      <c r="D257" s="126"/>
      <c r="E257" s="126"/>
      <c r="F257" s="127"/>
      <c r="G257" s="119" t="s">
        <v>499</v>
      </c>
      <c r="H257" s="119" t="s">
        <v>418</v>
      </c>
      <c r="I257" s="119" t="s">
        <v>693</v>
      </c>
      <c r="J257" s="119" t="s">
        <v>1707</v>
      </c>
      <c r="K257" s="119" t="s">
        <v>749</v>
      </c>
      <c r="L257" s="119" t="s">
        <v>738</v>
      </c>
      <c r="M257" s="119" t="s">
        <v>691</v>
      </c>
      <c r="N257" s="119" t="s">
        <v>1666</v>
      </c>
      <c r="O257" s="119" t="s">
        <v>1605</v>
      </c>
      <c r="P257" s="119" t="s">
        <v>1708</v>
      </c>
      <c r="Q257" s="146" t="s">
        <v>1709</v>
      </c>
      <c r="R257" s="119"/>
      <c r="S257" s="119" t="s">
        <v>669</v>
      </c>
      <c r="T257" s="119">
        <v>0</v>
      </c>
      <c r="U257" s="119">
        <v>0</v>
      </c>
      <c r="V257" s="119">
        <v>0</v>
      </c>
      <c r="W257" s="119">
        <v>0</v>
      </c>
      <c r="X257" s="119" t="s">
        <v>1710</v>
      </c>
      <c r="Y257" s="122" t="s">
        <v>1711</v>
      </c>
      <c r="Z257" s="119"/>
    </row>
    <row r="258" spans="1:26" ht="12.75" customHeight="1" x14ac:dyDescent="0.25">
      <c r="A258"/>
      <c r="B258" s="126"/>
      <c r="C258" s="126"/>
      <c r="D258" s="126"/>
      <c r="E258" s="126"/>
      <c r="F258" s="127"/>
      <c r="G258" s="119" t="s">
        <v>499</v>
      </c>
      <c r="H258" s="119" t="s">
        <v>418</v>
      </c>
      <c r="I258" s="119" t="s">
        <v>693</v>
      </c>
      <c r="J258" s="119" t="s">
        <v>1712</v>
      </c>
      <c r="K258" s="119" t="s">
        <v>674</v>
      </c>
      <c r="L258" s="119" t="s">
        <v>738</v>
      </c>
      <c r="M258" s="119" t="s">
        <v>691</v>
      </c>
      <c r="N258" s="119" t="s">
        <v>1666</v>
      </c>
      <c r="O258" s="119" t="s">
        <v>1605</v>
      </c>
      <c r="P258" s="119" t="s">
        <v>1708</v>
      </c>
      <c r="Q258" s="146" t="s">
        <v>1713</v>
      </c>
      <c r="R258" s="119"/>
      <c r="S258" s="119" t="s">
        <v>669</v>
      </c>
      <c r="T258" s="119">
        <v>0</v>
      </c>
      <c r="U258" s="119">
        <v>0</v>
      </c>
      <c r="V258" s="119">
        <v>0</v>
      </c>
      <c r="W258" s="119">
        <v>0</v>
      </c>
      <c r="X258" s="119" t="s">
        <v>1714</v>
      </c>
      <c r="Y258" s="119" t="s">
        <v>1715</v>
      </c>
      <c r="Z258" s="121"/>
    </row>
    <row r="259" spans="1:26" ht="12.75" customHeight="1" x14ac:dyDescent="0.25">
      <c r="A259"/>
      <c r="B259" s="126"/>
      <c r="C259" s="126"/>
      <c r="D259" s="126"/>
      <c r="E259" s="126"/>
      <c r="F259" s="127"/>
      <c r="G259" s="119" t="s">
        <v>499</v>
      </c>
      <c r="H259" s="119" t="s">
        <v>418</v>
      </c>
      <c r="I259" s="119" t="s">
        <v>693</v>
      </c>
      <c r="J259" s="119" t="s">
        <v>1716</v>
      </c>
      <c r="K259" s="119" t="s">
        <v>674</v>
      </c>
      <c r="L259" s="119" t="s">
        <v>388</v>
      </c>
      <c r="M259" s="119" t="s">
        <v>676</v>
      </c>
      <c r="N259" s="119" t="s">
        <v>1666</v>
      </c>
      <c r="O259" s="119" t="s">
        <v>1605</v>
      </c>
      <c r="P259" s="119" t="s">
        <v>1717</v>
      </c>
      <c r="Q259" s="146" t="s">
        <v>1718</v>
      </c>
      <c r="R259" s="119"/>
      <c r="S259" s="119" t="s">
        <v>669</v>
      </c>
      <c r="T259" s="119">
        <v>0</v>
      </c>
      <c r="U259" s="119">
        <v>0</v>
      </c>
      <c r="V259" s="119">
        <v>0</v>
      </c>
      <c r="W259" s="119">
        <v>0</v>
      </c>
      <c r="X259" s="119" t="s">
        <v>1719</v>
      </c>
      <c r="Y259" s="122" t="s">
        <v>1720</v>
      </c>
      <c r="Z259" s="119"/>
    </row>
    <row r="260" spans="1:26" ht="12.75" customHeight="1" x14ac:dyDescent="0.25">
      <c r="A260"/>
      <c r="B260" s="126"/>
      <c r="C260" s="126"/>
      <c r="D260" s="126"/>
      <c r="E260" s="126"/>
      <c r="F260" s="127"/>
      <c r="G260" s="119" t="s">
        <v>499</v>
      </c>
      <c r="H260" s="119" t="s">
        <v>443</v>
      </c>
      <c r="I260" s="119" t="s">
        <v>693</v>
      </c>
      <c r="J260" s="119" t="s">
        <v>1721</v>
      </c>
      <c r="K260" s="119" t="s">
        <v>749</v>
      </c>
      <c r="L260" s="119" t="s">
        <v>664</v>
      </c>
      <c r="M260" s="119" t="s">
        <v>665</v>
      </c>
      <c r="N260" s="119" t="s">
        <v>1392</v>
      </c>
      <c r="O260" s="119" t="s">
        <v>809</v>
      </c>
      <c r="P260" s="119" t="s">
        <v>1722</v>
      </c>
      <c r="Q260" s="146" t="s">
        <v>1713</v>
      </c>
      <c r="R260" s="119"/>
      <c r="S260" s="119" t="s">
        <v>669</v>
      </c>
      <c r="T260" s="119">
        <v>0</v>
      </c>
      <c r="U260" s="119">
        <v>0</v>
      </c>
      <c r="V260" s="119">
        <v>0</v>
      </c>
      <c r="W260" s="119">
        <v>0</v>
      </c>
      <c r="X260" s="119" t="s">
        <v>1723</v>
      </c>
      <c r="Y260" s="119" t="s">
        <v>1724</v>
      </c>
      <c r="Z260" s="121"/>
    </row>
    <row r="261" spans="1:26" ht="12.75" customHeight="1" x14ac:dyDescent="0.25">
      <c r="A261"/>
      <c r="B261" s="126"/>
      <c r="C261" s="126"/>
      <c r="D261" s="126"/>
      <c r="E261" s="126"/>
      <c r="F261" s="127"/>
      <c r="G261" s="119" t="s">
        <v>499</v>
      </c>
      <c r="H261" s="119" t="s">
        <v>67</v>
      </c>
      <c r="I261" s="119" t="s">
        <v>661</v>
      </c>
      <c r="J261" s="119" t="s">
        <v>1725</v>
      </c>
      <c r="K261" s="119" t="s">
        <v>749</v>
      </c>
      <c r="L261" s="119" t="s">
        <v>855</v>
      </c>
      <c r="M261" s="119" t="s">
        <v>691</v>
      </c>
      <c r="N261" s="119" t="s">
        <v>1666</v>
      </c>
      <c r="O261" s="119" t="s">
        <v>709</v>
      </c>
      <c r="P261" s="119" t="s">
        <v>1726</v>
      </c>
      <c r="Q261" s="146" t="s">
        <v>1727</v>
      </c>
      <c r="R261" s="119"/>
      <c r="S261" s="119" t="s">
        <v>669</v>
      </c>
      <c r="T261" s="119">
        <v>0</v>
      </c>
      <c r="U261" s="119">
        <v>0</v>
      </c>
      <c r="V261" s="119">
        <v>0</v>
      </c>
      <c r="W261" s="119">
        <v>0</v>
      </c>
      <c r="X261" s="119" t="s">
        <v>1728</v>
      </c>
      <c r="Y261" s="122" t="s">
        <v>1729</v>
      </c>
      <c r="Z261" s="119" t="s">
        <v>1730</v>
      </c>
    </row>
    <row r="262" spans="1:26" ht="12.75" customHeight="1" x14ac:dyDescent="0.25">
      <c r="A262"/>
      <c r="B262" s="126"/>
      <c r="C262" s="126"/>
      <c r="D262" s="126"/>
      <c r="E262" s="126"/>
      <c r="F262" s="127"/>
      <c r="G262" s="119" t="s">
        <v>499</v>
      </c>
      <c r="H262" s="119" t="s">
        <v>67</v>
      </c>
      <c r="I262" s="119" t="s">
        <v>693</v>
      </c>
      <c r="J262" s="119" t="s">
        <v>1731</v>
      </c>
      <c r="K262" s="119" t="s">
        <v>674</v>
      </c>
      <c r="L262" s="119" t="s">
        <v>738</v>
      </c>
      <c r="M262" s="119" t="s">
        <v>691</v>
      </c>
      <c r="N262" s="119" t="s">
        <v>1666</v>
      </c>
      <c r="O262" s="119" t="s">
        <v>709</v>
      </c>
      <c r="P262" s="119" t="s">
        <v>1668</v>
      </c>
      <c r="Q262" s="144">
        <v>43836</v>
      </c>
      <c r="R262" s="119"/>
      <c r="S262" s="119" t="s">
        <v>669</v>
      </c>
      <c r="T262" s="119">
        <v>0</v>
      </c>
      <c r="U262" s="119">
        <v>0</v>
      </c>
      <c r="V262" s="119">
        <v>0</v>
      </c>
      <c r="W262" s="119">
        <v>0</v>
      </c>
      <c r="X262" s="119" t="s">
        <v>1732</v>
      </c>
      <c r="Y262" s="119" t="s">
        <v>1733</v>
      </c>
      <c r="Z262" s="121"/>
    </row>
    <row r="263" spans="1:26" ht="12.75" customHeight="1" x14ac:dyDescent="0.25">
      <c r="A263"/>
      <c r="B263" s="126"/>
      <c r="C263" s="126"/>
      <c r="D263" s="126"/>
      <c r="E263" s="126"/>
      <c r="F263" s="127"/>
      <c r="G263" s="119" t="s">
        <v>499</v>
      </c>
      <c r="H263" s="119" t="s">
        <v>67</v>
      </c>
      <c r="I263" s="119" t="s">
        <v>693</v>
      </c>
      <c r="J263" s="119" t="s">
        <v>1734</v>
      </c>
      <c r="K263" s="119" t="s">
        <v>674</v>
      </c>
      <c r="L263" s="119" t="s">
        <v>738</v>
      </c>
      <c r="M263" s="119" t="s">
        <v>691</v>
      </c>
      <c r="N263" s="119" t="s">
        <v>1666</v>
      </c>
      <c r="O263" s="119" t="s">
        <v>709</v>
      </c>
      <c r="P263" s="119" t="s">
        <v>1668</v>
      </c>
      <c r="Q263" s="144">
        <v>43866</v>
      </c>
      <c r="R263" s="120">
        <v>43866</v>
      </c>
      <c r="S263" s="119" t="s">
        <v>669</v>
      </c>
      <c r="T263" s="119">
        <v>0</v>
      </c>
      <c r="U263" s="119">
        <v>0</v>
      </c>
      <c r="V263" s="119">
        <v>0</v>
      </c>
      <c r="W263" s="119">
        <v>0</v>
      </c>
      <c r="X263" s="119" t="s">
        <v>1735</v>
      </c>
      <c r="Y263" s="119" t="s">
        <v>1736</v>
      </c>
      <c r="Z263" s="121"/>
    </row>
    <row r="264" spans="1:26" ht="12.75" customHeight="1" x14ac:dyDescent="0.25">
      <c r="A264"/>
      <c r="B264" s="126"/>
      <c r="C264" s="126"/>
      <c r="D264" s="126"/>
      <c r="E264" s="126"/>
      <c r="F264" s="127"/>
      <c r="G264" s="119" t="s">
        <v>499</v>
      </c>
      <c r="H264" s="119" t="s">
        <v>67</v>
      </c>
      <c r="I264" s="119" t="s">
        <v>693</v>
      </c>
      <c r="J264" s="119" t="s">
        <v>1737</v>
      </c>
      <c r="K264" s="119" t="s">
        <v>674</v>
      </c>
      <c r="L264" s="119" t="s">
        <v>675</v>
      </c>
      <c r="M264" s="119" t="s">
        <v>676</v>
      </c>
      <c r="N264" s="119" t="s">
        <v>677</v>
      </c>
      <c r="O264" s="119" t="s">
        <v>1182</v>
      </c>
      <c r="P264" s="119" t="s">
        <v>1738</v>
      </c>
      <c r="Q264" s="144">
        <v>43927</v>
      </c>
      <c r="R264" s="119"/>
      <c r="S264" s="119" t="s">
        <v>669</v>
      </c>
      <c r="T264" s="119">
        <v>0</v>
      </c>
      <c r="U264" s="119">
        <v>0</v>
      </c>
      <c r="V264" s="119">
        <v>0</v>
      </c>
      <c r="W264" s="119">
        <v>0</v>
      </c>
      <c r="X264" s="119" t="s">
        <v>1739</v>
      </c>
      <c r="Y264" s="119" t="s">
        <v>1740</v>
      </c>
      <c r="Z264" s="121"/>
    </row>
    <row r="265" spans="1:26" ht="12.75" customHeight="1" x14ac:dyDescent="0.25">
      <c r="A265"/>
      <c r="B265" s="126"/>
      <c r="C265" s="126"/>
      <c r="D265" s="126"/>
      <c r="E265" s="126"/>
      <c r="F265" s="127"/>
      <c r="G265" s="119" t="s">
        <v>499</v>
      </c>
      <c r="H265" s="119" t="s">
        <v>418</v>
      </c>
      <c r="I265" s="119" t="s">
        <v>693</v>
      </c>
      <c r="J265" s="119" t="s">
        <v>1741</v>
      </c>
      <c r="K265" s="119" t="s">
        <v>674</v>
      </c>
      <c r="L265" s="119" t="s">
        <v>855</v>
      </c>
      <c r="M265" s="119" t="s">
        <v>676</v>
      </c>
      <c r="N265" s="119" t="s">
        <v>1666</v>
      </c>
      <c r="O265" s="119" t="s">
        <v>1605</v>
      </c>
      <c r="P265" s="119" t="s">
        <v>1708</v>
      </c>
      <c r="Q265" s="144">
        <v>43986</v>
      </c>
      <c r="R265" s="119" t="s">
        <v>1709</v>
      </c>
      <c r="S265" s="119" t="s">
        <v>669</v>
      </c>
      <c r="T265" s="119">
        <v>0</v>
      </c>
      <c r="U265" s="119">
        <v>0</v>
      </c>
      <c r="V265" s="119">
        <v>0</v>
      </c>
      <c r="W265" s="119">
        <v>0</v>
      </c>
      <c r="X265" s="119" t="s">
        <v>1742</v>
      </c>
      <c r="Y265" s="122" t="s">
        <v>1743</v>
      </c>
      <c r="Z265" s="119"/>
    </row>
    <row r="266" spans="1:26" ht="12.75" customHeight="1" x14ac:dyDescent="0.25">
      <c r="A266"/>
      <c r="B266" s="126"/>
      <c r="C266" s="126"/>
      <c r="D266" s="126"/>
      <c r="E266" s="126"/>
      <c r="F266" s="127"/>
      <c r="G266" s="119" t="s">
        <v>499</v>
      </c>
      <c r="H266" s="119" t="s">
        <v>452</v>
      </c>
      <c r="I266" s="119" t="s">
        <v>790</v>
      </c>
      <c r="J266" s="119" t="s">
        <v>1744</v>
      </c>
      <c r="K266" s="119" t="s">
        <v>749</v>
      </c>
      <c r="L266" s="119" t="s">
        <v>738</v>
      </c>
      <c r="M266" s="119" t="s">
        <v>665</v>
      </c>
      <c r="N266" s="119" t="s">
        <v>666</v>
      </c>
      <c r="O266" s="119" t="s">
        <v>1745</v>
      </c>
      <c r="P266" s="119" t="s">
        <v>1746</v>
      </c>
      <c r="Q266" s="146" t="s">
        <v>1747</v>
      </c>
      <c r="R266" s="120">
        <v>43836</v>
      </c>
      <c r="S266" s="119" t="s">
        <v>669</v>
      </c>
      <c r="T266" s="119">
        <v>0</v>
      </c>
      <c r="U266" s="119">
        <v>0</v>
      </c>
      <c r="V266" s="119">
        <v>0</v>
      </c>
      <c r="W266" s="119">
        <v>0</v>
      </c>
      <c r="X266" s="119" t="s">
        <v>1748</v>
      </c>
      <c r="Y266" s="119" t="s">
        <v>1749</v>
      </c>
      <c r="Z266" s="121"/>
    </row>
    <row r="267" spans="1:26" ht="12.75" customHeight="1" x14ac:dyDescent="0.25">
      <c r="A267"/>
      <c r="B267" s="126"/>
      <c r="C267" s="126"/>
      <c r="D267" s="126"/>
      <c r="E267" s="126"/>
      <c r="F267" s="127"/>
      <c r="G267" s="119" t="s">
        <v>499</v>
      </c>
      <c r="H267" s="119" t="s">
        <v>452</v>
      </c>
      <c r="I267" s="119" t="s">
        <v>790</v>
      </c>
      <c r="J267" s="119" t="s">
        <v>1750</v>
      </c>
      <c r="K267" s="119" t="s">
        <v>749</v>
      </c>
      <c r="L267" s="119" t="s">
        <v>738</v>
      </c>
      <c r="M267" s="119" t="s">
        <v>665</v>
      </c>
      <c r="N267" s="119" t="s">
        <v>666</v>
      </c>
      <c r="O267" s="119" t="s">
        <v>1745</v>
      </c>
      <c r="P267" s="119" t="s">
        <v>1746</v>
      </c>
      <c r="Q267" s="146" t="s">
        <v>1751</v>
      </c>
      <c r="R267" s="119" t="s">
        <v>1752</v>
      </c>
      <c r="S267" s="119" t="s">
        <v>669</v>
      </c>
      <c r="T267" s="119">
        <v>17000000</v>
      </c>
      <c r="U267" s="119">
        <v>12677107</v>
      </c>
      <c r="V267" s="119">
        <v>17000000</v>
      </c>
      <c r="W267" s="119">
        <v>12677107</v>
      </c>
      <c r="X267" s="119" t="s">
        <v>1753</v>
      </c>
      <c r="Y267" s="122" t="s">
        <v>1754</v>
      </c>
      <c r="Z267" s="119"/>
    </row>
    <row r="268" spans="1:26" ht="12.75" customHeight="1" x14ac:dyDescent="0.25">
      <c r="A268"/>
      <c r="B268" s="128"/>
      <c r="C268" s="128"/>
      <c r="D268" s="128"/>
      <c r="E268" s="128"/>
      <c r="F268" s="127"/>
      <c r="G268" s="119" t="s">
        <v>499</v>
      </c>
      <c r="H268" s="119" t="s">
        <v>445</v>
      </c>
      <c r="I268" s="119" t="s">
        <v>693</v>
      </c>
      <c r="J268" s="119" t="s">
        <v>1755</v>
      </c>
      <c r="K268" s="119" t="s">
        <v>663</v>
      </c>
      <c r="L268" s="119" t="s">
        <v>664</v>
      </c>
      <c r="M268" s="119" t="s">
        <v>665</v>
      </c>
      <c r="N268" s="119" t="s">
        <v>666</v>
      </c>
      <c r="O268" s="119" t="s">
        <v>1339</v>
      </c>
      <c r="P268" s="121"/>
      <c r="Q268" s="144">
        <v>44048</v>
      </c>
      <c r="R268" s="120">
        <v>44048</v>
      </c>
      <c r="S268" s="119" t="s">
        <v>669</v>
      </c>
      <c r="T268" s="119">
        <v>14621000</v>
      </c>
      <c r="U268" s="119">
        <v>10903058</v>
      </c>
      <c r="V268" s="119">
        <v>0</v>
      </c>
      <c r="W268" s="119">
        <v>0</v>
      </c>
      <c r="X268" s="122" t="s">
        <v>1756</v>
      </c>
      <c r="Y268" s="122" t="s">
        <v>1757</v>
      </c>
      <c r="Z268" s="122" t="s">
        <v>1758</v>
      </c>
    </row>
    <row r="269" spans="1:26" ht="12.75" customHeight="1" x14ac:dyDescent="0.25">
      <c r="G269" s="119" t="s">
        <v>499</v>
      </c>
      <c r="H269" s="119" t="s">
        <v>67</v>
      </c>
      <c r="I269" s="119" t="s">
        <v>672</v>
      </c>
      <c r="J269" s="119" t="s">
        <v>1759</v>
      </c>
      <c r="K269" s="119" t="s">
        <v>584</v>
      </c>
      <c r="L269" s="119" t="s">
        <v>690</v>
      </c>
      <c r="M269" s="119" t="s">
        <v>691</v>
      </c>
      <c r="N269" s="119" t="s">
        <v>666</v>
      </c>
      <c r="O269" s="119" t="s">
        <v>949</v>
      </c>
      <c r="P269" s="119" t="s">
        <v>1760</v>
      </c>
      <c r="Q269" s="146" t="s">
        <v>614</v>
      </c>
      <c r="R269" s="119"/>
      <c r="S269" s="119" t="s">
        <v>669</v>
      </c>
      <c r="T269" s="119">
        <v>500000</v>
      </c>
      <c r="U269" s="119">
        <v>372857</v>
      </c>
      <c r="V269" s="119">
        <v>0</v>
      </c>
      <c r="W269" s="119">
        <v>0</v>
      </c>
      <c r="X269" s="119" t="s">
        <v>1761</v>
      </c>
      <c r="Y269" s="119" t="s">
        <v>1762</v>
      </c>
      <c r="Z269" s="121"/>
    </row>
    <row r="270" spans="1:26" ht="12.75" customHeight="1" x14ac:dyDescent="0.25">
      <c r="A270"/>
      <c r="B270" s="129"/>
      <c r="C270" s="129"/>
      <c r="D270" s="129"/>
      <c r="E270" s="129"/>
      <c r="F270" s="127"/>
      <c r="G270" s="119" t="s">
        <v>499</v>
      </c>
      <c r="H270" s="119" t="s">
        <v>445</v>
      </c>
      <c r="I270" s="119" t="s">
        <v>693</v>
      </c>
      <c r="J270" s="119" t="s">
        <v>1763</v>
      </c>
      <c r="K270" s="119" t="s">
        <v>749</v>
      </c>
      <c r="L270" s="119" t="s">
        <v>738</v>
      </c>
      <c r="M270" s="119" t="s">
        <v>691</v>
      </c>
      <c r="N270" s="119" t="s">
        <v>1392</v>
      </c>
      <c r="O270" s="119" t="s">
        <v>1339</v>
      </c>
      <c r="P270" s="119" t="s">
        <v>1764</v>
      </c>
      <c r="Q270" s="144">
        <v>43834</v>
      </c>
      <c r="R270" s="119"/>
      <c r="S270" s="119" t="s">
        <v>669</v>
      </c>
      <c r="T270" s="119">
        <v>2700000</v>
      </c>
      <c r="U270" s="119">
        <v>2013423</v>
      </c>
      <c r="V270" s="119">
        <v>0</v>
      </c>
      <c r="W270" s="119">
        <v>0</v>
      </c>
      <c r="X270" s="119" t="s">
        <v>1765</v>
      </c>
      <c r="Y270" s="119" t="s">
        <v>1766</v>
      </c>
      <c r="Z270" s="121"/>
    </row>
    <row r="271" spans="1:26" ht="12.75" customHeight="1" x14ac:dyDescent="0.25">
      <c r="A271"/>
      <c r="B271" s="126"/>
      <c r="C271" s="126"/>
      <c r="D271" s="126"/>
      <c r="E271" s="126"/>
      <c r="F271" s="127"/>
      <c r="G271" s="119" t="s">
        <v>499</v>
      </c>
      <c r="H271" s="119" t="s">
        <v>67</v>
      </c>
      <c r="I271" s="119" t="s">
        <v>790</v>
      </c>
      <c r="J271" s="119" t="s">
        <v>1767</v>
      </c>
      <c r="K271" s="119" t="s">
        <v>749</v>
      </c>
      <c r="L271" s="119" t="s">
        <v>738</v>
      </c>
      <c r="M271" s="119" t="s">
        <v>691</v>
      </c>
      <c r="N271" s="119" t="s">
        <v>846</v>
      </c>
      <c r="O271" s="119" t="s">
        <v>1768</v>
      </c>
      <c r="P271" s="119" t="s">
        <v>1769</v>
      </c>
      <c r="Q271" s="144">
        <v>44140</v>
      </c>
      <c r="R271" s="119"/>
      <c r="S271" s="119" t="s">
        <v>669</v>
      </c>
      <c r="T271" s="119">
        <v>0</v>
      </c>
      <c r="U271" s="119">
        <v>0</v>
      </c>
      <c r="V271" s="119">
        <v>0</v>
      </c>
      <c r="W271" s="119">
        <v>0</v>
      </c>
      <c r="X271" s="119" t="s">
        <v>1770</v>
      </c>
      <c r="Y271" s="122" t="s">
        <v>1771</v>
      </c>
      <c r="Z271" s="119"/>
    </row>
    <row r="272" spans="1:26" ht="12.75" customHeight="1" x14ac:dyDescent="0.25">
      <c r="A272"/>
      <c r="B272" s="126"/>
      <c r="C272" s="126"/>
      <c r="D272" s="126"/>
      <c r="E272" s="126"/>
      <c r="F272" s="127"/>
      <c r="G272" s="119" t="s">
        <v>499</v>
      </c>
      <c r="H272" s="119" t="s">
        <v>67</v>
      </c>
      <c r="I272" s="119" t="s">
        <v>693</v>
      </c>
      <c r="J272" s="119" t="s">
        <v>1772</v>
      </c>
      <c r="K272" s="119" t="s">
        <v>749</v>
      </c>
      <c r="L272" s="119" t="s">
        <v>738</v>
      </c>
      <c r="M272" s="119" t="s">
        <v>691</v>
      </c>
      <c r="N272" s="119" t="s">
        <v>846</v>
      </c>
      <c r="O272" s="119" t="s">
        <v>1773</v>
      </c>
      <c r="P272" s="119" t="s">
        <v>1774</v>
      </c>
      <c r="Q272" s="146" t="s">
        <v>1775</v>
      </c>
      <c r="R272" s="119"/>
      <c r="S272" s="119" t="s">
        <v>669</v>
      </c>
      <c r="T272" s="119">
        <v>0</v>
      </c>
      <c r="U272" s="119">
        <v>0</v>
      </c>
      <c r="V272" s="119">
        <v>0</v>
      </c>
      <c r="W272" s="119">
        <v>0</v>
      </c>
      <c r="X272" s="122" t="s">
        <v>1776</v>
      </c>
      <c r="Y272" s="122" t="s">
        <v>1777</v>
      </c>
      <c r="Z272" s="119"/>
    </row>
    <row r="273" spans="1:26" ht="12.75" customHeight="1" x14ac:dyDescent="0.25">
      <c r="A273"/>
      <c r="B273" s="126"/>
      <c r="C273" s="126"/>
      <c r="D273" s="126"/>
      <c r="E273" s="126"/>
      <c r="F273" s="127"/>
      <c r="G273" s="119" t="s">
        <v>499</v>
      </c>
      <c r="H273" s="119" t="s">
        <v>418</v>
      </c>
      <c r="I273" s="119" t="s">
        <v>693</v>
      </c>
      <c r="J273" s="119" t="s">
        <v>1778</v>
      </c>
      <c r="K273" s="119" t="s">
        <v>749</v>
      </c>
      <c r="L273" s="119" t="s">
        <v>855</v>
      </c>
      <c r="M273" s="119" t="s">
        <v>665</v>
      </c>
      <c r="N273" s="119" t="s">
        <v>1392</v>
      </c>
      <c r="O273" s="119" t="s">
        <v>1779</v>
      </c>
      <c r="P273" s="119" t="s">
        <v>1780</v>
      </c>
      <c r="Q273" s="146" t="s">
        <v>1781</v>
      </c>
      <c r="R273" s="119"/>
      <c r="S273" s="119" t="s">
        <v>669</v>
      </c>
      <c r="T273" s="119">
        <v>0</v>
      </c>
      <c r="U273" s="119">
        <v>0</v>
      </c>
      <c r="V273" s="119">
        <v>0</v>
      </c>
      <c r="W273" s="119">
        <v>0</v>
      </c>
      <c r="X273" s="119" t="s">
        <v>1782</v>
      </c>
      <c r="Y273" s="122" t="s">
        <v>1783</v>
      </c>
      <c r="Z273" s="119"/>
    </row>
    <row r="274" spans="1:26" ht="12.75" customHeight="1" x14ac:dyDescent="0.25">
      <c r="A274"/>
      <c r="B274" s="126"/>
      <c r="C274" s="126"/>
      <c r="D274" s="126"/>
      <c r="E274" s="126"/>
      <c r="F274" s="127"/>
      <c r="G274" s="119" t="s">
        <v>499</v>
      </c>
      <c r="H274" s="119" t="s">
        <v>452</v>
      </c>
      <c r="I274" s="119" t="s">
        <v>790</v>
      </c>
      <c r="J274" s="119" t="s">
        <v>1784</v>
      </c>
      <c r="K274" s="119" t="s">
        <v>749</v>
      </c>
      <c r="L274" s="119" t="s">
        <v>738</v>
      </c>
      <c r="M274" s="119" t="s">
        <v>665</v>
      </c>
      <c r="N274" s="119" t="s">
        <v>1392</v>
      </c>
      <c r="O274" s="119" t="s">
        <v>1745</v>
      </c>
      <c r="P274" s="119" t="s">
        <v>1785</v>
      </c>
      <c r="Q274" s="144">
        <v>43835</v>
      </c>
      <c r="R274" s="120">
        <v>43835</v>
      </c>
      <c r="S274" s="119" t="s">
        <v>669</v>
      </c>
      <c r="T274" s="119">
        <v>0</v>
      </c>
      <c r="U274" s="119">
        <v>0</v>
      </c>
      <c r="V274" s="119">
        <v>0</v>
      </c>
      <c r="W274" s="119">
        <v>0</v>
      </c>
      <c r="X274" s="119" t="s">
        <v>1786</v>
      </c>
      <c r="Y274" s="122" t="s">
        <v>1787</v>
      </c>
      <c r="Z274" s="119"/>
    </row>
    <row r="275" spans="1:26" ht="12.75" customHeight="1" x14ac:dyDescent="0.25">
      <c r="A275"/>
      <c r="B275" s="126"/>
      <c r="C275" s="126"/>
      <c r="D275" s="126"/>
      <c r="E275" s="126"/>
      <c r="F275" s="127"/>
      <c r="G275" s="119" t="s">
        <v>499</v>
      </c>
      <c r="H275" s="119" t="s">
        <v>484</v>
      </c>
      <c r="I275" s="119" t="s">
        <v>693</v>
      </c>
      <c r="J275" s="119" t="s">
        <v>1788</v>
      </c>
      <c r="K275" s="119" t="s">
        <v>663</v>
      </c>
      <c r="L275" s="119" t="s">
        <v>664</v>
      </c>
      <c r="M275" s="119" t="s">
        <v>665</v>
      </c>
      <c r="N275" s="119" t="s">
        <v>666</v>
      </c>
      <c r="O275" s="119" t="s">
        <v>1789</v>
      </c>
      <c r="P275" s="119" t="s">
        <v>1790</v>
      </c>
      <c r="Q275" s="144">
        <v>43926</v>
      </c>
      <c r="R275" s="119"/>
      <c r="S275" s="119" t="s">
        <v>669</v>
      </c>
      <c r="T275" s="119">
        <v>2780000</v>
      </c>
      <c r="U275" s="119">
        <v>2073080</v>
      </c>
      <c r="V275" s="119">
        <v>0</v>
      </c>
      <c r="W275" s="119">
        <v>0</v>
      </c>
      <c r="X275" s="122" t="s">
        <v>1791</v>
      </c>
      <c r="Y275" s="122" t="s">
        <v>1792</v>
      </c>
      <c r="Z275" s="119"/>
    </row>
    <row r="276" spans="1:26" ht="12.75" customHeight="1" x14ac:dyDescent="0.25">
      <c r="A276"/>
      <c r="B276" s="126"/>
      <c r="C276" s="126"/>
      <c r="D276" s="126"/>
      <c r="E276" s="126"/>
      <c r="F276" s="127"/>
      <c r="G276" s="119" t="s">
        <v>499</v>
      </c>
      <c r="H276" s="119" t="s">
        <v>484</v>
      </c>
      <c r="I276" s="119" t="s">
        <v>693</v>
      </c>
      <c r="J276" s="119" t="s">
        <v>1793</v>
      </c>
      <c r="K276" s="119" t="s">
        <v>663</v>
      </c>
      <c r="L276" s="119" t="s">
        <v>664</v>
      </c>
      <c r="M276" s="119" t="s">
        <v>665</v>
      </c>
      <c r="N276" s="119" t="s">
        <v>1392</v>
      </c>
      <c r="O276" s="119" t="s">
        <v>1789</v>
      </c>
      <c r="P276" s="119" t="s">
        <v>1794</v>
      </c>
      <c r="Q276" s="146" t="s">
        <v>1795</v>
      </c>
      <c r="R276" s="119"/>
      <c r="S276" s="119" t="s">
        <v>669</v>
      </c>
      <c r="T276" s="119">
        <v>780000</v>
      </c>
      <c r="U276" s="119">
        <v>581656</v>
      </c>
      <c r="V276" s="119">
        <v>0</v>
      </c>
      <c r="W276" s="119">
        <v>0</v>
      </c>
      <c r="X276" s="119" t="s">
        <v>1796</v>
      </c>
      <c r="Y276" s="122" t="s">
        <v>1797</v>
      </c>
      <c r="Z276" s="119"/>
    </row>
    <row r="277" spans="1:26" ht="12.75" customHeight="1" x14ac:dyDescent="0.25">
      <c r="A277"/>
      <c r="B277" s="126"/>
      <c r="C277" s="126"/>
      <c r="D277" s="126"/>
      <c r="E277" s="126"/>
      <c r="F277" s="127"/>
      <c r="G277" s="119" t="s">
        <v>499</v>
      </c>
      <c r="H277" s="119" t="s">
        <v>429</v>
      </c>
      <c r="I277" s="119" t="s">
        <v>693</v>
      </c>
      <c r="J277" s="119" t="s">
        <v>1798</v>
      </c>
      <c r="K277" s="119" t="s">
        <v>674</v>
      </c>
      <c r="L277" s="119" t="s">
        <v>855</v>
      </c>
      <c r="M277" s="119" t="s">
        <v>665</v>
      </c>
      <c r="N277" s="119" t="s">
        <v>1666</v>
      </c>
      <c r="O277" s="119" t="s">
        <v>695</v>
      </c>
      <c r="P277" s="119" t="s">
        <v>1799</v>
      </c>
      <c r="Q277" s="144">
        <v>43834</v>
      </c>
      <c r="R277" s="120">
        <v>43834</v>
      </c>
      <c r="S277" s="119" t="s">
        <v>669</v>
      </c>
      <c r="T277" s="119">
        <v>0</v>
      </c>
      <c r="U277" s="119">
        <v>0</v>
      </c>
      <c r="V277" s="119">
        <v>0</v>
      </c>
      <c r="W277" s="119">
        <v>0</v>
      </c>
      <c r="X277" s="119" t="s">
        <v>1800</v>
      </c>
      <c r="Y277" s="119" t="s">
        <v>1801</v>
      </c>
      <c r="Z277" s="121"/>
    </row>
    <row r="278" spans="1:26" ht="12.75" customHeight="1" x14ac:dyDescent="0.25">
      <c r="A278"/>
      <c r="B278" s="126"/>
      <c r="C278" s="126"/>
      <c r="D278" s="126"/>
      <c r="E278" s="126"/>
      <c r="F278" s="127"/>
      <c r="G278" s="119" t="s">
        <v>499</v>
      </c>
      <c r="H278" s="119" t="s">
        <v>429</v>
      </c>
      <c r="I278" s="119" t="s">
        <v>693</v>
      </c>
      <c r="J278" s="119" t="s">
        <v>1802</v>
      </c>
      <c r="K278" s="119" t="s">
        <v>749</v>
      </c>
      <c r="L278" s="119" t="s">
        <v>855</v>
      </c>
      <c r="M278" s="119" t="s">
        <v>665</v>
      </c>
      <c r="N278" s="119" t="s">
        <v>1392</v>
      </c>
      <c r="O278" s="119" t="s">
        <v>695</v>
      </c>
      <c r="P278" s="119" t="s">
        <v>1803</v>
      </c>
      <c r="Q278" s="144">
        <v>43834</v>
      </c>
      <c r="R278" s="120">
        <v>43834</v>
      </c>
      <c r="S278" s="119" t="s">
        <v>669</v>
      </c>
      <c r="T278" s="119">
        <v>0</v>
      </c>
      <c r="U278" s="119">
        <v>0</v>
      </c>
      <c r="V278" s="119">
        <v>0</v>
      </c>
      <c r="W278" s="119">
        <v>0</v>
      </c>
      <c r="X278" s="119" t="s">
        <v>1804</v>
      </c>
      <c r="Y278" s="122" t="s">
        <v>1805</v>
      </c>
      <c r="Z278" s="119"/>
    </row>
    <row r="279" spans="1:26" ht="12.75" customHeight="1" x14ac:dyDescent="0.25">
      <c r="A279"/>
      <c r="B279" s="126"/>
      <c r="C279" s="126"/>
      <c r="D279" s="126"/>
      <c r="E279" s="126"/>
      <c r="F279" s="127"/>
      <c r="G279" s="119" t="s">
        <v>499</v>
      </c>
      <c r="H279" s="119" t="s">
        <v>470</v>
      </c>
      <c r="I279" s="119" t="s">
        <v>693</v>
      </c>
      <c r="J279" s="119" t="s">
        <v>267</v>
      </c>
      <c r="K279" s="119" t="s">
        <v>674</v>
      </c>
      <c r="L279" s="119" t="s">
        <v>675</v>
      </c>
      <c r="M279" s="119" t="s">
        <v>676</v>
      </c>
      <c r="N279" s="119" t="s">
        <v>1392</v>
      </c>
      <c r="O279" s="119" t="s">
        <v>1667</v>
      </c>
      <c r="P279" s="119" t="s">
        <v>1806</v>
      </c>
      <c r="Q279" s="146" t="s">
        <v>1672</v>
      </c>
      <c r="R279" s="119" t="s">
        <v>1672</v>
      </c>
      <c r="S279" s="119" t="s">
        <v>669</v>
      </c>
      <c r="T279" s="119">
        <v>26000000</v>
      </c>
      <c r="U279" s="119">
        <v>19388517</v>
      </c>
      <c r="V279" s="119">
        <v>0</v>
      </c>
      <c r="W279" s="119">
        <v>0</v>
      </c>
      <c r="X279" s="122" t="s">
        <v>1807</v>
      </c>
      <c r="Y279" s="122" t="s">
        <v>1808</v>
      </c>
      <c r="Z279" s="119"/>
    </row>
    <row r="280" spans="1:26" ht="12.75" customHeight="1" x14ac:dyDescent="0.25">
      <c r="A280"/>
      <c r="B280" s="126"/>
      <c r="C280" s="126"/>
      <c r="D280" s="126"/>
      <c r="E280" s="126"/>
      <c r="F280" s="127"/>
      <c r="G280" s="119" t="s">
        <v>499</v>
      </c>
      <c r="H280" s="119" t="s">
        <v>67</v>
      </c>
      <c r="I280" s="119" t="s">
        <v>661</v>
      </c>
      <c r="J280" s="119" t="s">
        <v>1809</v>
      </c>
      <c r="K280" s="119" t="s">
        <v>674</v>
      </c>
      <c r="L280" s="119" t="s">
        <v>675</v>
      </c>
      <c r="M280" s="119" t="s">
        <v>1810</v>
      </c>
      <c r="N280" s="119" t="s">
        <v>666</v>
      </c>
      <c r="O280" s="119" t="s">
        <v>709</v>
      </c>
      <c r="P280" s="119" t="s">
        <v>1811</v>
      </c>
      <c r="Q280" s="146" t="s">
        <v>1775</v>
      </c>
      <c r="R280" s="119"/>
      <c r="S280" s="119" t="s">
        <v>669</v>
      </c>
      <c r="T280" s="119">
        <v>750000000</v>
      </c>
      <c r="U280" s="119">
        <v>559284117</v>
      </c>
      <c r="V280" s="119">
        <v>750000000</v>
      </c>
      <c r="W280" s="119">
        <v>559284117</v>
      </c>
      <c r="X280" s="119" t="s">
        <v>1812</v>
      </c>
      <c r="Y280" s="122" t="s">
        <v>1813</v>
      </c>
      <c r="Z280" s="119"/>
    </row>
    <row r="281" spans="1:26" ht="12.75" customHeight="1" x14ac:dyDescent="0.25">
      <c r="A281"/>
      <c r="B281" s="126"/>
      <c r="C281" s="126"/>
      <c r="D281" s="126"/>
      <c r="E281" s="126"/>
      <c r="F281" s="127"/>
      <c r="G281" s="119" t="s">
        <v>499</v>
      </c>
      <c r="H281" s="119" t="s">
        <v>67</v>
      </c>
      <c r="I281" s="119" t="s">
        <v>661</v>
      </c>
      <c r="J281" s="119" t="s">
        <v>1814</v>
      </c>
      <c r="K281" s="119" t="s">
        <v>674</v>
      </c>
      <c r="L281" s="119" t="s">
        <v>664</v>
      </c>
      <c r="M281" s="119" t="s">
        <v>1810</v>
      </c>
      <c r="N281" s="119" t="s">
        <v>666</v>
      </c>
      <c r="O281" s="119" t="s">
        <v>709</v>
      </c>
      <c r="P281" s="119" t="s">
        <v>1815</v>
      </c>
      <c r="Q281" s="146" t="s">
        <v>1775</v>
      </c>
      <c r="R281" s="119"/>
      <c r="S281" s="119" t="s">
        <v>669</v>
      </c>
      <c r="T281" s="119">
        <v>1720000000</v>
      </c>
      <c r="U281" s="119">
        <v>1282624907</v>
      </c>
      <c r="V281" s="119">
        <v>0</v>
      </c>
      <c r="W281" s="119">
        <v>0</v>
      </c>
      <c r="X281" s="119" t="s">
        <v>1816</v>
      </c>
      <c r="Y281" s="122" t="s">
        <v>1813</v>
      </c>
      <c r="Z281" s="122" t="s">
        <v>1817</v>
      </c>
    </row>
    <row r="282" spans="1:26" ht="12.75" customHeight="1" x14ac:dyDescent="0.25">
      <c r="A282"/>
      <c r="B282" s="126"/>
      <c r="C282" s="126"/>
      <c r="D282" s="126"/>
      <c r="E282" s="126"/>
      <c r="F282" s="127"/>
      <c r="G282" s="119" t="s">
        <v>499</v>
      </c>
      <c r="H282" s="119" t="s">
        <v>418</v>
      </c>
      <c r="I282" s="119" t="s">
        <v>790</v>
      </c>
      <c r="J282" s="119" t="s">
        <v>1818</v>
      </c>
      <c r="K282" s="119" t="s">
        <v>674</v>
      </c>
      <c r="L282" s="119" t="s">
        <v>738</v>
      </c>
      <c r="M282" s="119" t="s">
        <v>1819</v>
      </c>
      <c r="N282" s="119" t="s">
        <v>1210</v>
      </c>
      <c r="O282" s="119" t="s">
        <v>1605</v>
      </c>
      <c r="P282" s="119" t="s">
        <v>1820</v>
      </c>
      <c r="Q282" s="146" t="s">
        <v>1821</v>
      </c>
      <c r="R282" s="119" t="s">
        <v>1821</v>
      </c>
      <c r="S282" s="119" t="s">
        <v>669</v>
      </c>
      <c r="T282" s="119">
        <v>0</v>
      </c>
      <c r="U282" s="119">
        <v>0</v>
      </c>
      <c r="V282" s="119">
        <v>0</v>
      </c>
      <c r="W282" s="119">
        <v>0</v>
      </c>
      <c r="X282" s="119" t="s">
        <v>1822</v>
      </c>
      <c r="Y282" s="119" t="s">
        <v>1823</v>
      </c>
      <c r="Z282" s="121"/>
    </row>
    <row r="283" spans="1:26" ht="12.75" customHeight="1" x14ac:dyDescent="0.25">
      <c r="A283"/>
      <c r="B283" s="126"/>
      <c r="C283" s="126"/>
      <c r="D283" s="126"/>
      <c r="E283" s="126"/>
      <c r="F283" s="127"/>
      <c r="G283" s="119" t="s">
        <v>499</v>
      </c>
      <c r="H283" s="119" t="s">
        <v>67</v>
      </c>
      <c r="I283" s="119" t="s">
        <v>693</v>
      </c>
      <c r="J283" s="119" t="s">
        <v>1824</v>
      </c>
      <c r="K283" s="119" t="s">
        <v>663</v>
      </c>
      <c r="L283" s="119" t="s">
        <v>664</v>
      </c>
      <c r="M283" s="119" t="s">
        <v>665</v>
      </c>
      <c r="N283" s="119" t="s">
        <v>1392</v>
      </c>
      <c r="O283" s="119" t="s">
        <v>709</v>
      </c>
      <c r="P283" s="119" t="s">
        <v>1825</v>
      </c>
      <c r="Q283" s="146" t="s">
        <v>1713</v>
      </c>
      <c r="R283" s="119" t="s">
        <v>1713</v>
      </c>
      <c r="S283" s="119" t="s">
        <v>669</v>
      </c>
      <c r="T283" s="119">
        <v>331400000</v>
      </c>
      <c r="U283" s="119">
        <v>247129009</v>
      </c>
      <c r="V283" s="119">
        <v>0</v>
      </c>
      <c r="W283" s="119">
        <v>0</v>
      </c>
      <c r="X283" s="119" t="s">
        <v>1826</v>
      </c>
      <c r="Y283" s="122" t="s">
        <v>1827</v>
      </c>
      <c r="Z283" s="119"/>
    </row>
    <row r="284" spans="1:26" ht="12.75" customHeight="1" x14ac:dyDescent="0.25">
      <c r="A284"/>
      <c r="B284" s="128"/>
      <c r="C284" s="128"/>
      <c r="D284" s="128"/>
      <c r="E284" s="128"/>
      <c r="F284" s="127"/>
      <c r="G284" s="119" t="s">
        <v>499</v>
      </c>
      <c r="H284" s="119" t="s">
        <v>67</v>
      </c>
      <c r="I284" s="119" t="s">
        <v>693</v>
      </c>
      <c r="J284" s="119" t="s">
        <v>1828</v>
      </c>
      <c r="K284" s="119" t="s">
        <v>749</v>
      </c>
      <c r="L284" s="119" t="s">
        <v>738</v>
      </c>
      <c r="M284" s="119" t="s">
        <v>691</v>
      </c>
      <c r="N284" s="119" t="s">
        <v>1205</v>
      </c>
      <c r="O284" s="119" t="s">
        <v>1829</v>
      </c>
      <c r="P284" s="119" t="s">
        <v>1830</v>
      </c>
      <c r="Q284" s="146" t="s">
        <v>1752</v>
      </c>
      <c r="R284" s="119" t="s">
        <v>1752</v>
      </c>
      <c r="S284" s="119" t="s">
        <v>669</v>
      </c>
      <c r="T284" s="119">
        <v>0</v>
      </c>
      <c r="U284" s="119">
        <v>0</v>
      </c>
      <c r="V284" s="119">
        <v>0</v>
      </c>
      <c r="W284" s="119">
        <v>0</v>
      </c>
      <c r="X284" s="119" t="s">
        <v>1831</v>
      </c>
      <c r="Y284" s="122" t="s">
        <v>1832</v>
      </c>
      <c r="Z284" s="122" t="s">
        <v>1833</v>
      </c>
    </row>
    <row r="285" spans="1:26" ht="12.75" customHeight="1" x14ac:dyDescent="0.25">
      <c r="A285"/>
      <c r="G285" s="119" t="s">
        <v>499</v>
      </c>
      <c r="H285" s="119" t="s">
        <v>429</v>
      </c>
      <c r="I285" s="119" t="s">
        <v>682</v>
      </c>
      <c r="J285" s="119" t="s">
        <v>638</v>
      </c>
      <c r="K285" s="119" t="s">
        <v>584</v>
      </c>
      <c r="L285" s="119" t="s">
        <v>556</v>
      </c>
      <c r="M285" s="119" t="s">
        <v>665</v>
      </c>
      <c r="N285" s="119" t="s">
        <v>1666</v>
      </c>
      <c r="O285" s="119" t="s">
        <v>1834</v>
      </c>
      <c r="P285" s="119" t="s">
        <v>1803</v>
      </c>
      <c r="Q285" s="144">
        <v>43834</v>
      </c>
      <c r="R285" s="119"/>
      <c r="S285" s="119" t="s">
        <v>669</v>
      </c>
      <c r="T285" s="119">
        <v>0</v>
      </c>
      <c r="U285" s="119">
        <v>0</v>
      </c>
      <c r="V285" s="119">
        <v>0</v>
      </c>
      <c r="W285" s="119">
        <v>0</v>
      </c>
      <c r="X285" s="119" t="s">
        <v>1835</v>
      </c>
      <c r="Y285" s="119" t="s">
        <v>1836</v>
      </c>
      <c r="Z285" s="119" t="s">
        <v>1836</v>
      </c>
    </row>
    <row r="286" spans="1:26" ht="12.75" customHeight="1" x14ac:dyDescent="0.25">
      <c r="A286"/>
      <c r="B286" s="129"/>
      <c r="C286" s="129"/>
      <c r="D286" s="129"/>
      <c r="E286" s="129"/>
      <c r="F286" s="127"/>
      <c r="G286" s="119" t="s">
        <v>499</v>
      </c>
      <c r="H286" s="119" t="s">
        <v>418</v>
      </c>
      <c r="I286" s="119" t="s">
        <v>693</v>
      </c>
      <c r="J286" s="119" t="s">
        <v>1837</v>
      </c>
      <c r="K286" s="119" t="s">
        <v>674</v>
      </c>
      <c r="L286" s="119" t="s">
        <v>675</v>
      </c>
      <c r="M286" s="119" t="s">
        <v>676</v>
      </c>
      <c r="N286" s="119" t="s">
        <v>677</v>
      </c>
      <c r="O286" s="119" t="s">
        <v>1605</v>
      </c>
      <c r="P286" s="119" t="s">
        <v>1838</v>
      </c>
      <c r="Q286" s="146" t="s">
        <v>1839</v>
      </c>
      <c r="R286" s="119" t="s">
        <v>1839</v>
      </c>
      <c r="S286" s="119" t="s">
        <v>669</v>
      </c>
      <c r="T286" s="119">
        <v>0</v>
      </c>
      <c r="U286" s="119">
        <v>0</v>
      </c>
      <c r="V286" s="119">
        <v>0</v>
      </c>
      <c r="W286" s="119">
        <v>0</v>
      </c>
      <c r="X286" s="122" t="s">
        <v>1840</v>
      </c>
      <c r="Y286" s="119" t="s">
        <v>1841</v>
      </c>
      <c r="Z286" s="121"/>
    </row>
    <row r="287" spans="1:26" ht="12.75" customHeight="1" x14ac:dyDescent="0.25">
      <c r="A287"/>
      <c r="B287" s="126"/>
      <c r="C287" s="126"/>
      <c r="D287" s="126"/>
      <c r="E287" s="126"/>
      <c r="F287" s="127"/>
      <c r="G287" s="119" t="s">
        <v>499</v>
      </c>
      <c r="H287" s="119" t="s">
        <v>418</v>
      </c>
      <c r="I287" s="119" t="s">
        <v>693</v>
      </c>
      <c r="J287" s="119" t="s">
        <v>1842</v>
      </c>
      <c r="K287" s="119" t="s">
        <v>674</v>
      </c>
      <c r="L287" s="119" t="s">
        <v>675</v>
      </c>
      <c r="M287" s="119" t="s">
        <v>676</v>
      </c>
      <c r="N287" s="119" t="s">
        <v>1392</v>
      </c>
      <c r="O287" s="119" t="s">
        <v>1605</v>
      </c>
      <c r="P287" s="119" t="s">
        <v>1843</v>
      </c>
      <c r="Q287" s="146" t="s">
        <v>1839</v>
      </c>
      <c r="R287" s="119" t="s">
        <v>1839</v>
      </c>
      <c r="S287" s="119" t="s">
        <v>669</v>
      </c>
      <c r="T287" s="119">
        <v>113000000</v>
      </c>
      <c r="U287" s="119">
        <v>84265474</v>
      </c>
      <c r="V287" s="119">
        <v>0</v>
      </c>
      <c r="W287" s="119">
        <v>0</v>
      </c>
      <c r="X287" s="119" t="s">
        <v>1844</v>
      </c>
      <c r="Y287" s="119" t="s">
        <v>1841</v>
      </c>
      <c r="Z287" s="121"/>
    </row>
    <row r="288" spans="1:26" ht="12.75" customHeight="1" x14ac:dyDescent="0.25">
      <c r="A288"/>
      <c r="B288" s="126"/>
      <c r="C288" s="126"/>
      <c r="D288" s="126"/>
      <c r="E288" s="126"/>
      <c r="F288" s="127"/>
      <c r="G288" s="119" t="s">
        <v>499</v>
      </c>
      <c r="H288" s="119" t="s">
        <v>418</v>
      </c>
      <c r="I288" s="119" t="s">
        <v>693</v>
      </c>
      <c r="J288" s="119" t="s">
        <v>1845</v>
      </c>
      <c r="K288" s="119" t="s">
        <v>674</v>
      </c>
      <c r="L288" s="119" t="s">
        <v>675</v>
      </c>
      <c r="M288" s="119" t="s">
        <v>1846</v>
      </c>
      <c r="N288" s="119" t="s">
        <v>666</v>
      </c>
      <c r="O288" s="119" t="s">
        <v>1605</v>
      </c>
      <c r="P288" s="119" t="s">
        <v>1847</v>
      </c>
      <c r="Q288" s="146" t="s">
        <v>1713</v>
      </c>
      <c r="R288" s="119" t="s">
        <v>1713</v>
      </c>
      <c r="S288" s="119" t="s">
        <v>669</v>
      </c>
      <c r="T288" s="119">
        <v>-6700000</v>
      </c>
      <c r="U288" s="119">
        <v>-4996271</v>
      </c>
      <c r="V288" s="119">
        <v>0</v>
      </c>
      <c r="W288" s="119">
        <v>0</v>
      </c>
      <c r="X288" s="119" t="s">
        <v>1848</v>
      </c>
      <c r="Y288" s="119" t="s">
        <v>1849</v>
      </c>
      <c r="Z288" s="121"/>
    </row>
    <row r="289" spans="1:26" ht="12.75" customHeight="1" x14ac:dyDescent="0.25">
      <c r="A289"/>
      <c r="B289" s="126"/>
      <c r="C289" s="126"/>
      <c r="D289" s="126"/>
      <c r="E289" s="126"/>
      <c r="F289" s="127"/>
      <c r="G289" s="119" t="s">
        <v>499</v>
      </c>
      <c r="H289" s="119" t="s">
        <v>418</v>
      </c>
      <c r="I289" s="119" t="s">
        <v>693</v>
      </c>
      <c r="J289" s="119" t="s">
        <v>1850</v>
      </c>
      <c r="K289" s="119" t="s">
        <v>674</v>
      </c>
      <c r="L289" s="119" t="s">
        <v>675</v>
      </c>
      <c r="M289" s="119" t="s">
        <v>676</v>
      </c>
      <c r="N289" s="119" t="s">
        <v>1666</v>
      </c>
      <c r="O289" s="119" t="s">
        <v>1851</v>
      </c>
      <c r="P289" s="119" t="s">
        <v>1852</v>
      </c>
      <c r="Q289" s="146" t="s">
        <v>1709</v>
      </c>
      <c r="R289" s="119" t="s">
        <v>1709</v>
      </c>
      <c r="S289" s="119" t="s">
        <v>669</v>
      </c>
      <c r="T289" s="119">
        <v>0</v>
      </c>
      <c r="U289" s="119">
        <v>0</v>
      </c>
      <c r="V289" s="119">
        <v>0</v>
      </c>
      <c r="W289" s="119">
        <v>0</v>
      </c>
      <c r="X289" s="119" t="s">
        <v>1853</v>
      </c>
      <c r="Y289" s="122" t="s">
        <v>1854</v>
      </c>
      <c r="Z289" s="122" t="s">
        <v>1855</v>
      </c>
    </row>
    <row r="290" spans="1:26" ht="12.75" customHeight="1" x14ac:dyDescent="0.25">
      <c r="A290"/>
      <c r="B290" s="126"/>
      <c r="C290" s="126"/>
      <c r="D290" s="126"/>
      <c r="E290" s="126"/>
      <c r="F290" s="127"/>
      <c r="G290" s="119" t="s">
        <v>499</v>
      </c>
      <c r="H290" s="119" t="s">
        <v>418</v>
      </c>
      <c r="I290" s="119" t="s">
        <v>693</v>
      </c>
      <c r="J290" s="119" t="s">
        <v>1856</v>
      </c>
      <c r="K290" s="119" t="s">
        <v>674</v>
      </c>
      <c r="L290" s="119" t="s">
        <v>664</v>
      </c>
      <c r="M290" s="119" t="s">
        <v>676</v>
      </c>
      <c r="N290" s="119" t="s">
        <v>1857</v>
      </c>
      <c r="O290" s="119" t="s">
        <v>1605</v>
      </c>
      <c r="P290" s="119" t="s">
        <v>1858</v>
      </c>
      <c r="Q290" s="146" t="s">
        <v>1709</v>
      </c>
      <c r="R290" s="119"/>
      <c r="S290" s="119" t="s">
        <v>669</v>
      </c>
      <c r="T290" s="119">
        <v>6000000000</v>
      </c>
      <c r="U290" s="119">
        <v>4474272931</v>
      </c>
      <c r="V290" s="119">
        <v>0</v>
      </c>
      <c r="W290" s="119">
        <v>0</v>
      </c>
      <c r="X290" s="119" t="s">
        <v>1859</v>
      </c>
      <c r="Y290" s="119" t="s">
        <v>1860</v>
      </c>
      <c r="Z290" s="121"/>
    </row>
    <row r="291" spans="1:26" ht="12.75" customHeight="1" x14ac:dyDescent="0.25">
      <c r="A291"/>
      <c r="B291" s="128"/>
      <c r="C291" s="128"/>
      <c r="D291" s="128"/>
      <c r="E291" s="128"/>
      <c r="F291" s="127"/>
      <c r="G291" s="119" t="s">
        <v>499</v>
      </c>
      <c r="H291" s="119" t="s">
        <v>418</v>
      </c>
      <c r="I291" s="119" t="s">
        <v>693</v>
      </c>
      <c r="J291" s="119" t="s">
        <v>1861</v>
      </c>
      <c r="K291" s="119" t="s">
        <v>674</v>
      </c>
      <c r="L291" s="119" t="s">
        <v>664</v>
      </c>
      <c r="M291" s="119" t="s">
        <v>676</v>
      </c>
      <c r="N291" s="119" t="s">
        <v>703</v>
      </c>
      <c r="O291" s="119" t="s">
        <v>1605</v>
      </c>
      <c r="P291" s="119" t="s">
        <v>1862</v>
      </c>
      <c r="Q291" s="146" t="s">
        <v>1709</v>
      </c>
      <c r="R291" s="119"/>
      <c r="S291" s="119" t="s">
        <v>1863</v>
      </c>
      <c r="T291" s="119">
        <v>1100000000</v>
      </c>
      <c r="U291" s="119">
        <v>1100000000</v>
      </c>
      <c r="V291" s="119">
        <v>0</v>
      </c>
      <c r="W291" s="119">
        <v>0</v>
      </c>
      <c r="X291" s="119" t="s">
        <v>1864</v>
      </c>
      <c r="Y291" s="119" t="s">
        <v>1860</v>
      </c>
      <c r="Z291" s="121"/>
    </row>
  </sheetData>
  <autoFilter ref="B1:Z291" xr:uid="{FAD56D28-B96B-4E51-BDA1-4A8978573A76}"/>
  <sortState xmlns:xlrd2="http://schemas.microsoft.com/office/spreadsheetml/2017/richdata2" ref="A2:Z291">
    <sortCondition descending="1" ref="T2:T291"/>
  </sortState>
  <hyperlinks>
    <hyperlink ref="Y183" r:id="rId1" xr:uid="{EA1A833B-4C92-4F16-9C8B-A8540292CE6B}"/>
    <hyperlink ref="Y7" r:id="rId2" xr:uid="{2DCA9505-313B-44AE-9340-0D539B378992}"/>
    <hyperlink ref="Y23" r:id="rId3" xr:uid="{24DCA25D-834D-4C81-9FE0-1BF71BBA328D}"/>
    <hyperlink ref="Y21" r:id="rId4" xr:uid="{144DDC11-16A8-4286-8A33-5B232BE2DC7B}"/>
    <hyperlink ref="Y30" r:id="rId5" xr:uid="{461D91F0-7D65-491B-8C1C-1DE08FAC3F0F}"/>
    <hyperlink ref="Y51" r:id="rId6" xr:uid="{372D019E-2125-4EC4-8380-79F3F8F6727E}"/>
    <hyperlink ref="Y60" r:id="rId7" xr:uid="{4D4D772F-0875-44C0-A3BF-FECD473FFE87}"/>
    <hyperlink ref="Y106" r:id="rId8" xr:uid="{5B86C003-82E1-4ECD-ACB3-DB31CB0FE447}"/>
    <hyperlink ref="Y142" r:id="rId9" xr:uid="{BDFE5A18-8DB2-454D-B30E-147E5285C163}"/>
    <hyperlink ref="Y181" r:id="rId10" xr:uid="{1E551B26-029B-4B6B-A300-BB2CF2FFD7C2}"/>
    <hyperlink ref="Y169" r:id="rId11" xr:uid="{FF734F44-55EB-41A1-8501-D9EDAF3F61C0}"/>
    <hyperlink ref="Y190" r:id="rId12" xr:uid="{CF00DA8D-2904-4ECD-8CF8-9AC74F63FDE8}"/>
    <hyperlink ref="Y192" r:id="rId13" xr:uid="{6E51B719-3EB5-48EB-8B6A-5747E4A8CA9C}"/>
    <hyperlink ref="Y193" r:id="rId14" xr:uid="{9B8A8376-C377-4A6E-818C-9649B860631C}"/>
    <hyperlink ref="Y203" r:id="rId15" xr:uid="{7B4C6C22-A6FC-43A0-8535-C670AB4A4947}"/>
    <hyperlink ref="Y207" r:id="rId16" xr:uid="{5A489F1C-8B75-4EBE-9A89-ED154C811D9B}"/>
    <hyperlink ref="Y212" r:id="rId17" xr:uid="{AF760423-0550-4AC5-96DA-D1899243D654}"/>
  </hyperlinks>
  <pageMargins left="0.7" right="0.7" top="0.75" bottom="0.75" header="0.3" footer="0.3"/>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22"/>
  <sheetViews>
    <sheetView workbookViewId="0">
      <selection activeCell="D3" sqref="D3"/>
    </sheetView>
  </sheetViews>
  <sheetFormatPr defaultColWidth="9.140625" defaultRowHeight="15" x14ac:dyDescent="0.25"/>
  <cols>
    <col min="1" max="1" width="26.5703125" customWidth="1"/>
    <col min="2" max="3" width="10.140625" customWidth="1"/>
  </cols>
  <sheetData>
    <row r="1" spans="1:34" x14ac:dyDescent="0.25">
      <c r="A1" t="s">
        <v>1865</v>
      </c>
      <c r="B1">
        <v>2018</v>
      </c>
      <c r="C1">
        <v>2019</v>
      </c>
      <c r="D1" s="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553</v>
      </c>
      <c r="B2">
        <f>C2</f>
        <v>0</v>
      </c>
      <c r="C2">
        <f>D2</f>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s="150" customFormat="1" x14ac:dyDescent="0.25">
      <c r="A3" s="150" t="s">
        <v>1866</v>
      </c>
      <c r="B3" s="150">
        <f t="shared" ref="B3:C22" si="0">C3</f>
        <v>2.794277499025946E-9</v>
      </c>
      <c r="C3" s="150">
        <f t="shared" si="0"/>
        <v>2.794277499025946E-9</v>
      </c>
      <c r="D3" s="151">
        <f>'Fossil Fuel Calculations'!B26</f>
        <v>2.794277499025946E-9</v>
      </c>
      <c r="E3" s="151">
        <f>'Fossil Fuel Calculations'!C26</f>
        <v>2.2522135625040922E-9</v>
      </c>
      <c r="F3" s="151">
        <f>'Fossil Fuel Calculations'!D26</f>
        <v>2.2522135625040922E-9</v>
      </c>
      <c r="G3" s="151">
        <f>'Fossil Fuel Calculations'!E26</f>
        <v>2.2522135625040922E-9</v>
      </c>
      <c r="H3" s="151">
        <f>'Fossil Fuel Calculations'!F26</f>
        <v>2.2522135625040922E-9</v>
      </c>
      <c r="I3" s="151">
        <f>'Fossil Fuel Calculations'!G26</f>
        <v>2.2522135625040922E-9</v>
      </c>
      <c r="J3" s="151">
        <f>'Fossil Fuel Calculations'!H26</f>
        <v>2.2522135625040922E-9</v>
      </c>
      <c r="K3" s="151">
        <f>'Fossil Fuel Calculations'!I26</f>
        <v>2.2522135625040922E-9</v>
      </c>
      <c r="L3" s="151">
        <f>'Fossil Fuel Calculations'!J26</f>
        <v>2.2522135625040922E-9</v>
      </c>
      <c r="M3" s="151">
        <f>'Fossil Fuel Calculations'!K26</f>
        <v>2.2522135625040922E-9</v>
      </c>
      <c r="N3" s="151">
        <f>'Fossil Fuel Calculations'!L26</f>
        <v>2.2522135625040922E-9</v>
      </c>
      <c r="O3" s="151">
        <f>'Fossil Fuel Calculations'!$M$26</f>
        <v>2.5821153522474293E-8</v>
      </c>
      <c r="P3" s="151">
        <f>'Fossil Fuel Calculations'!$M$26</f>
        <v>2.5821153522474293E-8</v>
      </c>
      <c r="Q3" s="151">
        <f>'Fossil Fuel Calculations'!$M$26</f>
        <v>2.5821153522474293E-8</v>
      </c>
      <c r="R3" s="151">
        <f>'Fossil Fuel Calculations'!$M$26</f>
        <v>2.5821153522474293E-8</v>
      </c>
      <c r="S3" s="151">
        <f>'Fossil Fuel Calculations'!$M$26</f>
        <v>2.5821153522474293E-8</v>
      </c>
      <c r="T3" s="151">
        <f>'Fossil Fuel Calculations'!$M$26</f>
        <v>2.5821153522474293E-8</v>
      </c>
      <c r="U3" s="151">
        <f>'Fossil Fuel Calculations'!$M$26</f>
        <v>2.5821153522474293E-8</v>
      </c>
      <c r="V3" s="151">
        <f>'Fossil Fuel Calculations'!$M$26</f>
        <v>2.5821153522474293E-8</v>
      </c>
      <c r="W3" s="151">
        <f>'Fossil Fuel Calculations'!$M$26</f>
        <v>2.5821153522474293E-8</v>
      </c>
      <c r="X3" s="151">
        <f>'Fossil Fuel Calculations'!$M$26</f>
        <v>2.5821153522474293E-8</v>
      </c>
      <c r="Y3" s="151">
        <f>'Fossil Fuel Calculations'!$M$26</f>
        <v>2.5821153522474293E-8</v>
      </c>
      <c r="Z3" s="151">
        <f>'Fossil Fuel Calculations'!$M$26</f>
        <v>2.5821153522474293E-8</v>
      </c>
      <c r="AA3" s="151">
        <f>'Fossil Fuel Calculations'!$M$26</f>
        <v>2.5821153522474293E-8</v>
      </c>
      <c r="AB3" s="151">
        <f>'Fossil Fuel Calculations'!$M$26</f>
        <v>2.5821153522474293E-8</v>
      </c>
      <c r="AC3" s="151">
        <f>'Fossil Fuel Calculations'!$M$26</f>
        <v>2.5821153522474293E-8</v>
      </c>
      <c r="AD3" s="151">
        <f>'Fossil Fuel Calculations'!$M$26</f>
        <v>2.5821153522474293E-8</v>
      </c>
      <c r="AE3" s="151">
        <f>'Fossil Fuel Calculations'!$M$26</f>
        <v>2.5821153522474293E-8</v>
      </c>
      <c r="AF3" s="151">
        <f>'Fossil Fuel Calculations'!$M$26</f>
        <v>2.5821153522474293E-8</v>
      </c>
      <c r="AG3" s="151">
        <f>'Fossil Fuel Calculations'!$M$26</f>
        <v>2.5821153522474293E-8</v>
      </c>
      <c r="AH3" s="151">
        <f>'Fossil Fuel Calculations'!$M$26</f>
        <v>2.5821153522474293E-8</v>
      </c>
    </row>
    <row r="4" spans="1:34" s="150" customFormat="1" x14ac:dyDescent="0.25">
      <c r="A4" s="150" t="s">
        <v>1867</v>
      </c>
      <c r="B4" s="150">
        <f t="shared" si="0"/>
        <v>7.9645655701622563E-7</v>
      </c>
      <c r="C4" s="150">
        <f t="shared" si="0"/>
        <v>7.9645655701622563E-7</v>
      </c>
      <c r="D4" s="151">
        <f>'Fossil Fuel Calculations'!B27</f>
        <v>7.9645655701622563E-7</v>
      </c>
      <c r="E4" s="151">
        <f>'Fossil Fuel Calculations'!C27</f>
        <v>7.170966389267385E-7</v>
      </c>
      <c r="F4" s="151">
        <f>'Fossil Fuel Calculations'!D27</f>
        <v>6.7885675294980801E-7</v>
      </c>
      <c r="G4" s="151">
        <f>'Fossil Fuel Calculations'!E27</f>
        <v>6.7065775879493425E-7</v>
      </c>
      <c r="H4" s="151">
        <f>'Fossil Fuel Calculations'!F27</f>
        <v>6.680698985585695E-7</v>
      </c>
      <c r="I4" s="151">
        <f>'Fossil Fuel Calculations'!G27</f>
        <v>6.6833997342586527E-7</v>
      </c>
      <c r="J4" s="151">
        <f>'Fossil Fuel Calculations'!H27</f>
        <v>6.6861004829316135E-7</v>
      </c>
      <c r="K4" s="151">
        <f>'Fossil Fuel Calculations'!I27</f>
        <v>6.6888012316045733E-7</v>
      </c>
      <c r="L4" s="151">
        <f>'Fossil Fuel Calculations'!J27</f>
        <v>6.691501980277532E-7</v>
      </c>
      <c r="M4" s="151">
        <f>'Fossil Fuel Calculations'!K27</f>
        <v>6.5551927655084305E-7</v>
      </c>
      <c r="N4" s="151">
        <f>'Fossil Fuel Calculations'!L27</f>
        <v>6.5578935141813882E-7</v>
      </c>
      <c r="O4" s="151">
        <f>'Fossil Fuel Calculations'!$M$27</f>
        <v>6.9268013420629465E-7</v>
      </c>
      <c r="P4" s="151">
        <f>'Fossil Fuel Calculations'!$M$27</f>
        <v>6.9268013420629465E-7</v>
      </c>
      <c r="Q4" s="151">
        <f>'Fossil Fuel Calculations'!$M$27</f>
        <v>6.9268013420629465E-7</v>
      </c>
      <c r="R4" s="151">
        <f>'Fossil Fuel Calculations'!$M$27</f>
        <v>6.9268013420629465E-7</v>
      </c>
      <c r="S4" s="151">
        <f>'Fossil Fuel Calculations'!$M$27</f>
        <v>6.9268013420629465E-7</v>
      </c>
      <c r="T4" s="151">
        <f>'Fossil Fuel Calculations'!$M$27</f>
        <v>6.9268013420629465E-7</v>
      </c>
      <c r="U4" s="151">
        <f>'Fossil Fuel Calculations'!$M$27</f>
        <v>6.9268013420629465E-7</v>
      </c>
      <c r="V4" s="151">
        <f>'Fossil Fuel Calculations'!$M$27</f>
        <v>6.9268013420629465E-7</v>
      </c>
      <c r="W4" s="151">
        <f>'Fossil Fuel Calculations'!$M$27</f>
        <v>6.9268013420629465E-7</v>
      </c>
      <c r="X4" s="151">
        <f>'Fossil Fuel Calculations'!$M$27</f>
        <v>6.9268013420629465E-7</v>
      </c>
      <c r="Y4" s="151">
        <f>'Fossil Fuel Calculations'!$M$27</f>
        <v>6.9268013420629465E-7</v>
      </c>
      <c r="Z4" s="151">
        <f>'Fossil Fuel Calculations'!$M$27</f>
        <v>6.9268013420629465E-7</v>
      </c>
      <c r="AA4" s="151">
        <f>'Fossil Fuel Calculations'!$M$27</f>
        <v>6.9268013420629465E-7</v>
      </c>
      <c r="AB4" s="151">
        <f>'Fossil Fuel Calculations'!$M$27</f>
        <v>6.9268013420629465E-7</v>
      </c>
      <c r="AC4" s="151">
        <f>'Fossil Fuel Calculations'!$M$27</f>
        <v>6.9268013420629465E-7</v>
      </c>
      <c r="AD4" s="151">
        <f>'Fossil Fuel Calculations'!$M$27</f>
        <v>6.9268013420629465E-7</v>
      </c>
      <c r="AE4" s="151">
        <f>'Fossil Fuel Calculations'!$M$27</f>
        <v>6.9268013420629465E-7</v>
      </c>
      <c r="AF4" s="151">
        <f>'Fossil Fuel Calculations'!$M$27</f>
        <v>6.9268013420629465E-7</v>
      </c>
      <c r="AG4" s="151">
        <f>'Fossil Fuel Calculations'!$M$27</f>
        <v>6.9268013420629465E-7</v>
      </c>
      <c r="AH4" s="151">
        <f>'Fossil Fuel Calculations'!$M$27</f>
        <v>6.9268013420629465E-7</v>
      </c>
    </row>
    <row r="5" spans="1:34" x14ac:dyDescent="0.25">
      <c r="A5" t="s">
        <v>555</v>
      </c>
      <c r="B5">
        <f t="shared" si="0"/>
        <v>0</v>
      </c>
      <c r="C5">
        <f t="shared" si="0"/>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4" x14ac:dyDescent="0.25">
      <c r="A6" t="s">
        <v>556</v>
      </c>
      <c r="B6">
        <f t="shared" si="0"/>
        <v>0</v>
      </c>
      <c r="C6">
        <f t="shared" si="0"/>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25">
      <c r="A7" t="s">
        <v>557</v>
      </c>
      <c r="B7">
        <f t="shared" si="0"/>
        <v>0</v>
      </c>
      <c r="C7">
        <f t="shared" si="0"/>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25">
      <c r="A8" t="s">
        <v>558</v>
      </c>
      <c r="B8">
        <f t="shared" si="0"/>
        <v>0</v>
      </c>
      <c r="C8">
        <f t="shared" si="0"/>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25">
      <c r="A9" t="s">
        <v>1868</v>
      </c>
      <c r="B9">
        <f t="shared" si="0"/>
        <v>0</v>
      </c>
      <c r="C9">
        <f t="shared" si="0"/>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s="150" customFormat="1" x14ac:dyDescent="0.25">
      <c r="A10" s="150" t="s">
        <v>1869</v>
      </c>
      <c r="B10" s="150">
        <f t="shared" si="0"/>
        <v>1.3798614226564513E-6</v>
      </c>
      <c r="C10" s="150">
        <f t="shared" si="0"/>
        <v>1.3798614226564513E-6</v>
      </c>
      <c r="D10" s="151">
        <f>'Fossil Fuel Calculations'!B28</f>
        <v>1.3798614226564513E-6</v>
      </c>
      <c r="E10" s="151">
        <f>'Fossil Fuel Calculations'!C28</f>
        <v>1.3148073207400491E-6</v>
      </c>
      <c r="F10" s="151">
        <f>'Fossil Fuel Calculations'!D28</f>
        <v>1.2750133243733015E-6</v>
      </c>
      <c r="G10" s="151">
        <f>'Fossil Fuel Calculations'!E28</f>
        <v>1.2508603534959226E-6</v>
      </c>
      <c r="H10" s="151">
        <f>'Fossil Fuel Calculations'!F28</f>
        <v>1.2482724932595582E-6</v>
      </c>
      <c r="I10" s="151">
        <f>'Fossil Fuel Calculations'!G28</f>
        <v>1.2485425681268536E-6</v>
      </c>
      <c r="J10" s="151">
        <f>'Fossil Fuel Calculations'!H28</f>
        <v>1.2488126429941496E-6</v>
      </c>
      <c r="K10" s="151">
        <f>'Fossil Fuel Calculations'!I28</f>
        <v>1.2490827178614458E-6</v>
      </c>
      <c r="L10" s="151">
        <f>'Fossil Fuel Calculations'!J28</f>
        <v>1.246708807413986E-6</v>
      </c>
      <c r="M10" s="151">
        <f>'Fossil Fuel Calculations'!K28</f>
        <v>1.2266831307572013E-6</v>
      </c>
      <c r="N10" s="151">
        <f>'Fossil Fuel Calculations'!L28</f>
        <v>1.2269532056244969E-6</v>
      </c>
      <c r="O10" s="151">
        <f>'Fossil Fuel Calculations'!$M$28</f>
        <v>1.2800439172574605E-6</v>
      </c>
      <c r="P10" s="151">
        <f>'Fossil Fuel Calculations'!$M$28</f>
        <v>1.2800439172574605E-6</v>
      </c>
      <c r="Q10" s="151">
        <f>'Fossil Fuel Calculations'!$M$28</f>
        <v>1.2800439172574605E-6</v>
      </c>
      <c r="R10" s="151">
        <f>'Fossil Fuel Calculations'!$M$28</f>
        <v>1.2800439172574605E-6</v>
      </c>
      <c r="S10" s="151">
        <f>'Fossil Fuel Calculations'!$M$28</f>
        <v>1.2800439172574605E-6</v>
      </c>
      <c r="T10" s="151">
        <f>'Fossil Fuel Calculations'!$M$28</f>
        <v>1.2800439172574605E-6</v>
      </c>
      <c r="U10" s="151">
        <f>'Fossil Fuel Calculations'!$M$28</f>
        <v>1.2800439172574605E-6</v>
      </c>
      <c r="V10" s="151">
        <f>'Fossil Fuel Calculations'!$M$28</f>
        <v>1.2800439172574605E-6</v>
      </c>
      <c r="W10" s="151">
        <f>'Fossil Fuel Calculations'!$M$28</f>
        <v>1.2800439172574605E-6</v>
      </c>
      <c r="X10" s="151">
        <f>'Fossil Fuel Calculations'!$M$28</f>
        <v>1.2800439172574605E-6</v>
      </c>
      <c r="Y10" s="151">
        <f>'Fossil Fuel Calculations'!$M$28</f>
        <v>1.2800439172574605E-6</v>
      </c>
      <c r="Z10" s="151">
        <f>'Fossil Fuel Calculations'!$M$28</f>
        <v>1.2800439172574605E-6</v>
      </c>
      <c r="AA10" s="151">
        <f>'Fossil Fuel Calculations'!$M$28</f>
        <v>1.2800439172574605E-6</v>
      </c>
      <c r="AB10" s="151">
        <f>'Fossil Fuel Calculations'!$M$28</f>
        <v>1.2800439172574605E-6</v>
      </c>
      <c r="AC10" s="151">
        <f>'Fossil Fuel Calculations'!$M$28</f>
        <v>1.2800439172574605E-6</v>
      </c>
      <c r="AD10" s="151">
        <f>'Fossil Fuel Calculations'!$M$28</f>
        <v>1.2800439172574605E-6</v>
      </c>
      <c r="AE10" s="151">
        <f>'Fossil Fuel Calculations'!$M$28</f>
        <v>1.2800439172574605E-6</v>
      </c>
      <c r="AF10" s="151">
        <f>'Fossil Fuel Calculations'!$M$28</f>
        <v>1.2800439172574605E-6</v>
      </c>
      <c r="AG10" s="151">
        <f>'Fossil Fuel Calculations'!$M$28</f>
        <v>1.2800439172574605E-6</v>
      </c>
      <c r="AH10" s="151">
        <f>'Fossil Fuel Calculations'!$M$28</f>
        <v>1.2800439172574605E-6</v>
      </c>
    </row>
    <row r="11" spans="1:34" s="150" customFormat="1" x14ac:dyDescent="0.25">
      <c r="A11" s="150" t="s">
        <v>1870</v>
      </c>
      <c r="B11" s="150">
        <f t="shared" si="0"/>
        <v>1.3798614226564513E-6</v>
      </c>
      <c r="C11" s="150">
        <f t="shared" si="0"/>
        <v>1.3798614226564513E-6</v>
      </c>
      <c r="D11" s="151">
        <f>'Fossil Fuel Calculations'!B28</f>
        <v>1.3798614226564513E-6</v>
      </c>
      <c r="E11" s="151">
        <f>'Fossil Fuel Calculations'!C28</f>
        <v>1.3148073207400491E-6</v>
      </c>
      <c r="F11" s="151">
        <f>'Fossil Fuel Calculations'!D28</f>
        <v>1.2750133243733015E-6</v>
      </c>
      <c r="G11" s="151">
        <f>'Fossil Fuel Calculations'!E28</f>
        <v>1.2508603534959226E-6</v>
      </c>
      <c r="H11" s="151">
        <f>'Fossil Fuel Calculations'!F28</f>
        <v>1.2482724932595582E-6</v>
      </c>
      <c r="I11" s="151">
        <f>'Fossil Fuel Calculations'!G28</f>
        <v>1.2485425681268536E-6</v>
      </c>
      <c r="J11" s="151">
        <f>'Fossil Fuel Calculations'!H28</f>
        <v>1.2488126429941496E-6</v>
      </c>
      <c r="K11" s="151">
        <f>'Fossil Fuel Calculations'!I28</f>
        <v>1.2490827178614458E-6</v>
      </c>
      <c r="L11" s="151">
        <f>'Fossil Fuel Calculations'!J28</f>
        <v>1.246708807413986E-6</v>
      </c>
      <c r="M11" s="151">
        <f>'Fossil Fuel Calculations'!K28</f>
        <v>1.2266831307572013E-6</v>
      </c>
      <c r="N11" s="151">
        <f>'Fossil Fuel Calculations'!L28</f>
        <v>1.2269532056244969E-6</v>
      </c>
      <c r="O11" s="151">
        <f>'Fossil Fuel Calculations'!$M$28</f>
        <v>1.2800439172574605E-6</v>
      </c>
      <c r="P11" s="151">
        <f>'Fossil Fuel Calculations'!$M$28</f>
        <v>1.2800439172574605E-6</v>
      </c>
      <c r="Q11" s="151">
        <f>'Fossil Fuel Calculations'!$M$28</f>
        <v>1.2800439172574605E-6</v>
      </c>
      <c r="R11" s="151">
        <f>'Fossil Fuel Calculations'!$M$28</f>
        <v>1.2800439172574605E-6</v>
      </c>
      <c r="S11" s="151">
        <f>'Fossil Fuel Calculations'!$M$28</f>
        <v>1.2800439172574605E-6</v>
      </c>
      <c r="T11" s="151">
        <f>'Fossil Fuel Calculations'!$M$28</f>
        <v>1.2800439172574605E-6</v>
      </c>
      <c r="U11" s="151">
        <f>'Fossil Fuel Calculations'!$M$28</f>
        <v>1.2800439172574605E-6</v>
      </c>
      <c r="V11" s="151">
        <f>'Fossil Fuel Calculations'!$M$28</f>
        <v>1.2800439172574605E-6</v>
      </c>
      <c r="W11" s="151">
        <f>'Fossil Fuel Calculations'!$M$28</f>
        <v>1.2800439172574605E-6</v>
      </c>
      <c r="X11" s="151">
        <f>'Fossil Fuel Calculations'!$M$28</f>
        <v>1.2800439172574605E-6</v>
      </c>
      <c r="Y11" s="151">
        <f>'Fossil Fuel Calculations'!$M$28</f>
        <v>1.2800439172574605E-6</v>
      </c>
      <c r="Z11" s="151">
        <f>'Fossil Fuel Calculations'!$M$28</f>
        <v>1.2800439172574605E-6</v>
      </c>
      <c r="AA11" s="151">
        <f>'Fossil Fuel Calculations'!$M$28</f>
        <v>1.2800439172574605E-6</v>
      </c>
      <c r="AB11" s="151">
        <f>'Fossil Fuel Calculations'!$M$28</f>
        <v>1.2800439172574605E-6</v>
      </c>
      <c r="AC11" s="151">
        <f>'Fossil Fuel Calculations'!$M$28</f>
        <v>1.2800439172574605E-6</v>
      </c>
      <c r="AD11" s="151">
        <f>'Fossil Fuel Calculations'!$M$28</f>
        <v>1.2800439172574605E-6</v>
      </c>
      <c r="AE11" s="151">
        <f>'Fossil Fuel Calculations'!$M$28</f>
        <v>1.2800439172574605E-6</v>
      </c>
      <c r="AF11" s="151">
        <f>'Fossil Fuel Calculations'!$M$28</f>
        <v>1.2800439172574605E-6</v>
      </c>
      <c r="AG11" s="151">
        <f>'Fossil Fuel Calculations'!$M$28</f>
        <v>1.2800439172574605E-6</v>
      </c>
      <c r="AH11" s="151">
        <f>'Fossil Fuel Calculations'!$M$28</f>
        <v>1.2800439172574605E-6</v>
      </c>
    </row>
    <row r="12" spans="1:34" x14ac:dyDescent="0.25">
      <c r="A12" t="s">
        <v>562</v>
      </c>
      <c r="B12">
        <f t="shared" si="0"/>
        <v>0</v>
      </c>
      <c r="C12">
        <f t="shared" si="0"/>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row>
    <row r="13" spans="1:34" x14ac:dyDescent="0.25">
      <c r="A13" t="s">
        <v>563</v>
      </c>
      <c r="B13">
        <f t="shared" si="0"/>
        <v>0</v>
      </c>
      <c r="C13">
        <f t="shared" si="0"/>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s="150" customFormat="1" x14ac:dyDescent="0.25">
      <c r="A14" s="150" t="s">
        <v>1871</v>
      </c>
      <c r="B14" s="150">
        <f t="shared" si="0"/>
        <v>1.3798614226564513E-6</v>
      </c>
      <c r="C14" s="150">
        <f t="shared" si="0"/>
        <v>1.3798614226564513E-6</v>
      </c>
      <c r="D14" s="151">
        <f>'Fossil Fuel Calculations'!B28</f>
        <v>1.3798614226564513E-6</v>
      </c>
      <c r="E14" s="151">
        <f>'Fossil Fuel Calculations'!C28</f>
        <v>1.3148073207400491E-6</v>
      </c>
      <c r="F14" s="151">
        <f>'Fossil Fuel Calculations'!D28</f>
        <v>1.2750133243733015E-6</v>
      </c>
      <c r="G14" s="151">
        <f>'Fossil Fuel Calculations'!E28</f>
        <v>1.2508603534959226E-6</v>
      </c>
      <c r="H14" s="151">
        <f>'Fossil Fuel Calculations'!F28</f>
        <v>1.2482724932595582E-6</v>
      </c>
      <c r="I14" s="151">
        <f>'Fossil Fuel Calculations'!G28</f>
        <v>1.2485425681268536E-6</v>
      </c>
      <c r="J14" s="151">
        <f>'Fossil Fuel Calculations'!H28</f>
        <v>1.2488126429941496E-6</v>
      </c>
      <c r="K14" s="151">
        <f>'Fossil Fuel Calculations'!I28</f>
        <v>1.2490827178614458E-6</v>
      </c>
      <c r="L14" s="151">
        <f>'Fossil Fuel Calculations'!J28</f>
        <v>1.246708807413986E-6</v>
      </c>
      <c r="M14" s="151">
        <f>'Fossil Fuel Calculations'!K28</f>
        <v>1.2266831307572013E-6</v>
      </c>
      <c r="N14" s="151">
        <f>'Fossil Fuel Calculations'!L28</f>
        <v>1.2269532056244969E-6</v>
      </c>
      <c r="O14" s="151">
        <f>'Fossil Fuel Calculations'!$M$28</f>
        <v>1.2800439172574605E-6</v>
      </c>
      <c r="P14" s="151">
        <f>'Fossil Fuel Calculations'!$M$28</f>
        <v>1.2800439172574605E-6</v>
      </c>
      <c r="Q14" s="151">
        <f>'Fossil Fuel Calculations'!$M$28</f>
        <v>1.2800439172574605E-6</v>
      </c>
      <c r="R14" s="151">
        <f>'Fossil Fuel Calculations'!$M$28</f>
        <v>1.2800439172574605E-6</v>
      </c>
      <c r="S14" s="151">
        <f>'Fossil Fuel Calculations'!$M$28</f>
        <v>1.2800439172574605E-6</v>
      </c>
      <c r="T14" s="151">
        <f>'Fossil Fuel Calculations'!$M$28</f>
        <v>1.2800439172574605E-6</v>
      </c>
      <c r="U14" s="151">
        <f>'Fossil Fuel Calculations'!$M$28</f>
        <v>1.2800439172574605E-6</v>
      </c>
      <c r="V14" s="151">
        <f>'Fossil Fuel Calculations'!$M$28</f>
        <v>1.2800439172574605E-6</v>
      </c>
      <c r="W14" s="151">
        <f>'Fossil Fuel Calculations'!$M$28</f>
        <v>1.2800439172574605E-6</v>
      </c>
      <c r="X14" s="151">
        <f>'Fossil Fuel Calculations'!$M$28</f>
        <v>1.2800439172574605E-6</v>
      </c>
      <c r="Y14" s="151">
        <f>'Fossil Fuel Calculations'!$M$28</f>
        <v>1.2800439172574605E-6</v>
      </c>
      <c r="Z14" s="151">
        <f>'Fossil Fuel Calculations'!$M$28</f>
        <v>1.2800439172574605E-6</v>
      </c>
      <c r="AA14" s="151">
        <f>'Fossil Fuel Calculations'!$M$28</f>
        <v>1.2800439172574605E-6</v>
      </c>
      <c r="AB14" s="151">
        <f>'Fossil Fuel Calculations'!$M$28</f>
        <v>1.2800439172574605E-6</v>
      </c>
      <c r="AC14" s="151">
        <f>'Fossil Fuel Calculations'!$M$28</f>
        <v>1.2800439172574605E-6</v>
      </c>
      <c r="AD14" s="151">
        <f>'Fossil Fuel Calculations'!$M$28</f>
        <v>1.2800439172574605E-6</v>
      </c>
      <c r="AE14" s="151">
        <f>'Fossil Fuel Calculations'!$M$28</f>
        <v>1.2800439172574605E-6</v>
      </c>
      <c r="AF14" s="151">
        <f>'Fossil Fuel Calculations'!$M$28</f>
        <v>1.2800439172574605E-6</v>
      </c>
      <c r="AG14" s="151">
        <f>'Fossil Fuel Calculations'!$M$28</f>
        <v>1.2800439172574605E-6</v>
      </c>
      <c r="AH14" s="151">
        <f>'Fossil Fuel Calculations'!$M$28</f>
        <v>1.2800439172574605E-6</v>
      </c>
    </row>
    <row r="15" spans="1:34" x14ac:dyDescent="0.25">
      <c r="A15" t="s">
        <v>565</v>
      </c>
      <c r="B15">
        <f t="shared" si="0"/>
        <v>0</v>
      </c>
      <c r="C15">
        <f t="shared" si="0"/>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566</v>
      </c>
      <c r="B16">
        <f t="shared" si="0"/>
        <v>0</v>
      </c>
      <c r="C16">
        <f t="shared" si="0"/>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s="150" customFormat="1" x14ac:dyDescent="0.25">
      <c r="A17" s="150" t="s">
        <v>1872</v>
      </c>
      <c r="B17" s="150">
        <f t="shared" si="0"/>
        <v>2.794277499025946E-9</v>
      </c>
      <c r="C17" s="150">
        <f t="shared" si="0"/>
        <v>2.794277499025946E-9</v>
      </c>
      <c r="D17" s="151">
        <f>D3</f>
        <v>2.794277499025946E-9</v>
      </c>
      <c r="E17" s="151">
        <f t="shared" ref="E17:N17" si="1">E3</f>
        <v>2.2522135625040922E-9</v>
      </c>
      <c r="F17" s="151">
        <f t="shared" si="1"/>
        <v>2.2522135625040922E-9</v>
      </c>
      <c r="G17" s="151">
        <f t="shared" si="1"/>
        <v>2.2522135625040922E-9</v>
      </c>
      <c r="H17" s="151">
        <f t="shared" si="1"/>
        <v>2.2522135625040922E-9</v>
      </c>
      <c r="I17" s="151">
        <f t="shared" si="1"/>
        <v>2.2522135625040922E-9</v>
      </c>
      <c r="J17" s="151">
        <f t="shared" si="1"/>
        <v>2.2522135625040922E-9</v>
      </c>
      <c r="K17" s="151">
        <f t="shared" si="1"/>
        <v>2.2522135625040922E-9</v>
      </c>
      <c r="L17" s="151">
        <f t="shared" si="1"/>
        <v>2.2522135625040922E-9</v>
      </c>
      <c r="M17" s="151">
        <f t="shared" si="1"/>
        <v>2.2522135625040922E-9</v>
      </c>
      <c r="N17" s="151">
        <f t="shared" si="1"/>
        <v>2.2522135625040922E-9</v>
      </c>
      <c r="O17" s="151">
        <f t="shared" ref="O17:AH17" si="2">O3</f>
        <v>2.5821153522474293E-8</v>
      </c>
      <c r="P17" s="151">
        <f t="shared" si="2"/>
        <v>2.5821153522474293E-8</v>
      </c>
      <c r="Q17" s="151">
        <f t="shared" si="2"/>
        <v>2.5821153522474293E-8</v>
      </c>
      <c r="R17" s="151">
        <f t="shared" si="2"/>
        <v>2.5821153522474293E-8</v>
      </c>
      <c r="S17" s="151">
        <f t="shared" si="2"/>
        <v>2.5821153522474293E-8</v>
      </c>
      <c r="T17" s="151">
        <f t="shared" si="2"/>
        <v>2.5821153522474293E-8</v>
      </c>
      <c r="U17" s="151">
        <f t="shared" si="2"/>
        <v>2.5821153522474293E-8</v>
      </c>
      <c r="V17" s="151">
        <f t="shared" si="2"/>
        <v>2.5821153522474293E-8</v>
      </c>
      <c r="W17" s="151">
        <f t="shared" si="2"/>
        <v>2.5821153522474293E-8</v>
      </c>
      <c r="X17" s="151">
        <f t="shared" si="2"/>
        <v>2.5821153522474293E-8</v>
      </c>
      <c r="Y17" s="151">
        <f t="shared" si="2"/>
        <v>2.5821153522474293E-8</v>
      </c>
      <c r="Z17" s="151">
        <f t="shared" si="2"/>
        <v>2.5821153522474293E-8</v>
      </c>
      <c r="AA17" s="151">
        <f t="shared" si="2"/>
        <v>2.5821153522474293E-8</v>
      </c>
      <c r="AB17" s="151">
        <f t="shared" si="2"/>
        <v>2.5821153522474293E-8</v>
      </c>
      <c r="AC17" s="151">
        <f t="shared" si="2"/>
        <v>2.5821153522474293E-8</v>
      </c>
      <c r="AD17" s="151">
        <f t="shared" si="2"/>
        <v>2.5821153522474293E-8</v>
      </c>
      <c r="AE17" s="151">
        <f t="shared" si="2"/>
        <v>2.5821153522474293E-8</v>
      </c>
      <c r="AF17" s="151">
        <f t="shared" si="2"/>
        <v>2.5821153522474293E-8</v>
      </c>
      <c r="AG17" s="151">
        <f t="shared" si="2"/>
        <v>2.5821153522474293E-8</v>
      </c>
      <c r="AH17" s="151">
        <f t="shared" si="2"/>
        <v>2.5821153522474293E-8</v>
      </c>
    </row>
    <row r="18" spans="1:34" s="150" customFormat="1" x14ac:dyDescent="0.25">
      <c r="A18" s="150" t="s">
        <v>568</v>
      </c>
      <c r="B18" s="150">
        <f t="shared" si="0"/>
        <v>1.3798614226564513E-6</v>
      </c>
      <c r="C18" s="150">
        <f t="shared" si="0"/>
        <v>1.3798614226564513E-6</v>
      </c>
      <c r="D18" s="151">
        <f>D10</f>
        <v>1.3798614226564513E-6</v>
      </c>
      <c r="E18" s="151">
        <f t="shared" ref="E18:N18" si="3">E10</f>
        <v>1.3148073207400491E-6</v>
      </c>
      <c r="F18" s="151">
        <f t="shared" si="3"/>
        <v>1.2750133243733015E-6</v>
      </c>
      <c r="G18" s="151">
        <f t="shared" si="3"/>
        <v>1.2508603534959226E-6</v>
      </c>
      <c r="H18" s="151">
        <f t="shared" si="3"/>
        <v>1.2482724932595582E-6</v>
      </c>
      <c r="I18" s="151">
        <f t="shared" si="3"/>
        <v>1.2485425681268536E-6</v>
      </c>
      <c r="J18" s="151">
        <f t="shared" si="3"/>
        <v>1.2488126429941496E-6</v>
      </c>
      <c r="K18" s="151">
        <f t="shared" si="3"/>
        <v>1.2490827178614458E-6</v>
      </c>
      <c r="L18" s="151">
        <f t="shared" si="3"/>
        <v>1.246708807413986E-6</v>
      </c>
      <c r="M18" s="151">
        <f t="shared" si="3"/>
        <v>1.2266831307572013E-6</v>
      </c>
      <c r="N18" s="151">
        <f t="shared" si="3"/>
        <v>1.2269532056244969E-6</v>
      </c>
      <c r="O18" s="151">
        <f t="shared" ref="O18:AH18" si="4">O10</f>
        <v>1.2800439172574605E-6</v>
      </c>
      <c r="P18" s="151">
        <f t="shared" si="4"/>
        <v>1.2800439172574605E-6</v>
      </c>
      <c r="Q18" s="151">
        <f t="shared" si="4"/>
        <v>1.2800439172574605E-6</v>
      </c>
      <c r="R18" s="151">
        <f t="shared" si="4"/>
        <v>1.2800439172574605E-6</v>
      </c>
      <c r="S18" s="151">
        <f t="shared" si="4"/>
        <v>1.2800439172574605E-6</v>
      </c>
      <c r="T18" s="151">
        <f t="shared" si="4"/>
        <v>1.2800439172574605E-6</v>
      </c>
      <c r="U18" s="151">
        <f t="shared" si="4"/>
        <v>1.2800439172574605E-6</v>
      </c>
      <c r="V18" s="151">
        <f t="shared" si="4"/>
        <v>1.2800439172574605E-6</v>
      </c>
      <c r="W18" s="151">
        <f t="shared" si="4"/>
        <v>1.2800439172574605E-6</v>
      </c>
      <c r="X18" s="151">
        <f t="shared" si="4"/>
        <v>1.2800439172574605E-6</v>
      </c>
      <c r="Y18" s="151">
        <f t="shared" si="4"/>
        <v>1.2800439172574605E-6</v>
      </c>
      <c r="Z18" s="151">
        <f t="shared" si="4"/>
        <v>1.2800439172574605E-6</v>
      </c>
      <c r="AA18" s="151">
        <f t="shared" si="4"/>
        <v>1.2800439172574605E-6</v>
      </c>
      <c r="AB18" s="151">
        <f t="shared" si="4"/>
        <v>1.2800439172574605E-6</v>
      </c>
      <c r="AC18" s="151">
        <f t="shared" si="4"/>
        <v>1.2800439172574605E-6</v>
      </c>
      <c r="AD18" s="151">
        <f t="shared" si="4"/>
        <v>1.2800439172574605E-6</v>
      </c>
      <c r="AE18" s="151">
        <f t="shared" si="4"/>
        <v>1.2800439172574605E-6</v>
      </c>
      <c r="AF18" s="151">
        <f t="shared" si="4"/>
        <v>1.2800439172574605E-6</v>
      </c>
      <c r="AG18" s="151">
        <f t="shared" si="4"/>
        <v>1.2800439172574605E-6</v>
      </c>
      <c r="AH18" s="151">
        <f t="shared" si="4"/>
        <v>1.2800439172574605E-6</v>
      </c>
    </row>
    <row r="19" spans="1:34" s="150" customFormat="1" x14ac:dyDescent="0.25">
      <c r="A19" s="150" t="s">
        <v>569</v>
      </c>
      <c r="B19" s="150">
        <f t="shared" si="0"/>
        <v>1.3798614226564513E-6</v>
      </c>
      <c r="C19" s="150">
        <f t="shared" si="0"/>
        <v>1.3798614226564513E-6</v>
      </c>
      <c r="D19" s="151">
        <f>D11</f>
        <v>1.3798614226564513E-6</v>
      </c>
      <c r="E19" s="151">
        <f t="shared" ref="E19:N19" si="5">E11</f>
        <v>1.3148073207400491E-6</v>
      </c>
      <c r="F19" s="151">
        <f t="shared" si="5"/>
        <v>1.2750133243733015E-6</v>
      </c>
      <c r="G19" s="151">
        <f t="shared" si="5"/>
        <v>1.2508603534959226E-6</v>
      </c>
      <c r="H19" s="151">
        <f t="shared" si="5"/>
        <v>1.2482724932595582E-6</v>
      </c>
      <c r="I19" s="151">
        <f t="shared" si="5"/>
        <v>1.2485425681268536E-6</v>
      </c>
      <c r="J19" s="151">
        <f t="shared" si="5"/>
        <v>1.2488126429941496E-6</v>
      </c>
      <c r="K19" s="151">
        <f t="shared" si="5"/>
        <v>1.2490827178614458E-6</v>
      </c>
      <c r="L19" s="151">
        <f t="shared" si="5"/>
        <v>1.246708807413986E-6</v>
      </c>
      <c r="M19" s="151">
        <f t="shared" si="5"/>
        <v>1.2266831307572013E-6</v>
      </c>
      <c r="N19" s="151">
        <f t="shared" si="5"/>
        <v>1.2269532056244969E-6</v>
      </c>
      <c r="O19" s="151">
        <f t="shared" ref="O19:AH19" si="6">O11</f>
        <v>1.2800439172574605E-6</v>
      </c>
      <c r="P19" s="151">
        <f t="shared" si="6"/>
        <v>1.2800439172574605E-6</v>
      </c>
      <c r="Q19" s="151">
        <f t="shared" si="6"/>
        <v>1.2800439172574605E-6</v>
      </c>
      <c r="R19" s="151">
        <f t="shared" si="6"/>
        <v>1.2800439172574605E-6</v>
      </c>
      <c r="S19" s="151">
        <f t="shared" si="6"/>
        <v>1.2800439172574605E-6</v>
      </c>
      <c r="T19" s="151">
        <f t="shared" si="6"/>
        <v>1.2800439172574605E-6</v>
      </c>
      <c r="U19" s="151">
        <f t="shared" si="6"/>
        <v>1.2800439172574605E-6</v>
      </c>
      <c r="V19" s="151">
        <f t="shared" si="6"/>
        <v>1.2800439172574605E-6</v>
      </c>
      <c r="W19" s="151">
        <f t="shared" si="6"/>
        <v>1.2800439172574605E-6</v>
      </c>
      <c r="X19" s="151">
        <f t="shared" si="6"/>
        <v>1.2800439172574605E-6</v>
      </c>
      <c r="Y19" s="151">
        <f t="shared" si="6"/>
        <v>1.2800439172574605E-6</v>
      </c>
      <c r="Z19" s="151">
        <f t="shared" si="6"/>
        <v>1.2800439172574605E-6</v>
      </c>
      <c r="AA19" s="151">
        <f t="shared" si="6"/>
        <v>1.2800439172574605E-6</v>
      </c>
      <c r="AB19" s="151">
        <f t="shared" si="6"/>
        <v>1.2800439172574605E-6</v>
      </c>
      <c r="AC19" s="151">
        <f t="shared" si="6"/>
        <v>1.2800439172574605E-6</v>
      </c>
      <c r="AD19" s="151">
        <f t="shared" si="6"/>
        <v>1.2800439172574605E-6</v>
      </c>
      <c r="AE19" s="151">
        <f t="shared" si="6"/>
        <v>1.2800439172574605E-6</v>
      </c>
      <c r="AF19" s="151">
        <f t="shared" si="6"/>
        <v>1.2800439172574605E-6</v>
      </c>
      <c r="AG19" s="151">
        <f t="shared" si="6"/>
        <v>1.2800439172574605E-6</v>
      </c>
      <c r="AH19" s="151">
        <f t="shared" si="6"/>
        <v>1.2800439172574605E-6</v>
      </c>
    </row>
    <row r="20" spans="1:34" x14ac:dyDescent="0.25">
      <c r="A20" t="s">
        <v>570</v>
      </c>
      <c r="B20">
        <f t="shared" si="0"/>
        <v>0</v>
      </c>
      <c r="C20">
        <f t="shared" si="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x14ac:dyDescent="0.25">
      <c r="A21" t="s">
        <v>571</v>
      </c>
      <c r="B21">
        <f t="shared" si="0"/>
        <v>0</v>
      </c>
      <c r="C21">
        <f t="shared" si="0"/>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
        <v>574</v>
      </c>
      <c r="B22">
        <f t="shared" si="0"/>
        <v>0</v>
      </c>
      <c r="C22">
        <f t="shared" si="0"/>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4B7-C283-499D-831D-606126DCD176}">
  <sheetPr>
    <tabColor theme="3"/>
  </sheetPr>
  <dimension ref="A1:AH17"/>
  <sheetViews>
    <sheetView tabSelected="1"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E70E-DE70-408B-8F7B-EF6E1A491A64}">
  <sheetPr>
    <tabColor theme="3"/>
  </sheetPr>
  <dimension ref="A1:AH17"/>
  <sheetViews>
    <sheetView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3A13-A10F-4FCE-8FF2-79F74D493044}">
  <sheetPr>
    <tabColor theme="3"/>
  </sheetPr>
  <dimension ref="A1:AH17"/>
  <sheetViews>
    <sheetView workbookViewId="0">
      <selection activeCell="K26" sqref="K26"/>
    </sheetView>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H17"/>
  <sheetViews>
    <sheetView workbookViewId="0">
      <selection activeCell="B1" sqref="B1"/>
    </sheetView>
  </sheetViews>
  <sheetFormatPr defaultColWidth="9.140625"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1889</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1890</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1891</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1892</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1893</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1894</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1895</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1896</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1897</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1898</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1899</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1900</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1901</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E3A4A-39C8-4551-BDDC-89311EE448C8}">
  <dimension ref="A4:D6"/>
  <sheetViews>
    <sheetView workbookViewId="0">
      <selection activeCell="B14" sqref="B14"/>
    </sheetView>
  </sheetViews>
  <sheetFormatPr defaultRowHeight="15" x14ac:dyDescent="0.25"/>
  <cols>
    <col min="2" max="2" width="89.85546875" customWidth="1"/>
  </cols>
  <sheetData>
    <row r="4" spans="1:4" x14ac:dyDescent="0.25">
      <c r="B4" s="152" t="s">
        <v>1902</v>
      </c>
    </row>
    <row r="5" spans="1:4" x14ac:dyDescent="0.25">
      <c r="B5" s="152" t="s">
        <v>1903</v>
      </c>
      <c r="C5" t="s">
        <v>1904</v>
      </c>
      <c r="D5" t="s">
        <v>1905</v>
      </c>
    </row>
    <row r="6" spans="1:4" x14ac:dyDescent="0.25">
      <c r="A6" s="153" t="s">
        <v>1906</v>
      </c>
      <c r="B6" s="153" t="s">
        <v>1907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I51"/>
  <sheetViews>
    <sheetView workbookViewId="0">
      <pane xSplit="1" ySplit="5" topLeftCell="B23" activePane="bottomRight" state="frozen"/>
      <selection pane="topRight" activeCell="A3" sqref="A3:G4"/>
      <selection pane="bottomLeft" activeCell="A3" sqref="A3:G4"/>
      <selection pane="bottomRight" activeCell="A35" sqref="A35"/>
    </sheetView>
  </sheetViews>
  <sheetFormatPr defaultColWidth="12.42578125" defaultRowHeight="12.75" x14ac:dyDescent="0.2"/>
  <cols>
    <col min="1" max="1" width="43.5703125" style="9" customWidth="1"/>
    <col min="2" max="2" width="24" style="9" customWidth="1"/>
    <col min="3" max="3" width="19.42578125" style="9" customWidth="1"/>
    <col min="4" max="4" width="17.140625" style="9" customWidth="1"/>
    <col min="5" max="6" width="12.42578125" style="9"/>
    <col min="7" max="7" width="23.5703125" style="9" customWidth="1"/>
    <col min="8" max="8" width="67.42578125" style="9" customWidth="1"/>
    <col min="9" max="9" width="15" style="9" customWidth="1"/>
    <col min="10" max="16384" width="12.42578125" style="9"/>
  </cols>
  <sheetData>
    <row r="1" spans="1:9" x14ac:dyDescent="0.2">
      <c r="A1" s="8" t="s">
        <v>55</v>
      </c>
      <c r="C1" s="66" t="s">
        <v>56</v>
      </c>
    </row>
    <row r="2" spans="1:9" x14ac:dyDescent="0.2">
      <c r="C2" s="65" t="s">
        <v>57</v>
      </c>
    </row>
    <row r="3" spans="1:9" ht="36" customHeight="1" x14ac:dyDescent="0.2">
      <c r="A3" s="154" t="s">
        <v>58</v>
      </c>
      <c r="B3" s="154" t="s">
        <v>59</v>
      </c>
      <c r="C3" s="155" t="s">
        <v>60</v>
      </c>
      <c r="D3" s="156" t="s">
        <v>61</v>
      </c>
      <c r="E3" s="157" t="s">
        <v>62</v>
      </c>
      <c r="F3" s="157" t="s">
        <v>63</v>
      </c>
      <c r="G3" s="154" t="s">
        <v>64</v>
      </c>
      <c r="H3" s="154" t="s">
        <v>65</v>
      </c>
    </row>
    <row r="4" spans="1:9" x14ac:dyDescent="0.2">
      <c r="A4" s="154"/>
      <c r="B4" s="154"/>
      <c r="C4" s="155"/>
      <c r="D4" s="156"/>
      <c r="E4" s="157"/>
      <c r="F4" s="157"/>
      <c r="G4" s="154"/>
      <c r="H4" s="154"/>
    </row>
    <row r="5" spans="1:9" x14ac:dyDescent="0.2">
      <c r="A5" s="26" t="s">
        <v>66</v>
      </c>
      <c r="B5" s="26"/>
      <c r="C5" s="26"/>
      <c r="D5" s="26"/>
      <c r="E5" s="26"/>
      <c r="F5" s="26"/>
      <c r="G5" s="26"/>
      <c r="H5" s="26"/>
    </row>
    <row r="6" spans="1:9" x14ac:dyDescent="0.2">
      <c r="A6" s="27" t="s">
        <v>67</v>
      </c>
      <c r="B6" s="28"/>
      <c r="C6" s="28"/>
      <c r="D6" s="28"/>
      <c r="E6" s="29"/>
      <c r="F6" s="29"/>
      <c r="G6" s="28"/>
      <c r="H6" s="28"/>
    </row>
    <row r="7" spans="1:9" x14ac:dyDescent="0.2">
      <c r="A7" s="59" t="s">
        <v>68</v>
      </c>
      <c r="B7" s="59" t="s">
        <v>69</v>
      </c>
      <c r="C7" s="59" t="s">
        <v>70</v>
      </c>
      <c r="D7" s="60">
        <v>785</v>
      </c>
      <c r="E7" s="30">
        <f>845*0.929</f>
        <v>785.005</v>
      </c>
      <c r="F7" s="31" t="s">
        <v>71</v>
      </c>
      <c r="G7" s="28" t="s">
        <v>72</v>
      </c>
      <c r="H7" s="28" t="s">
        <v>73</v>
      </c>
    </row>
    <row r="8" spans="1:9" x14ac:dyDescent="0.2">
      <c r="A8" s="59" t="s">
        <v>68</v>
      </c>
      <c r="B8" s="59" t="s">
        <v>69</v>
      </c>
      <c r="C8" s="59" t="s">
        <v>74</v>
      </c>
      <c r="D8" s="60">
        <v>196</v>
      </c>
      <c r="E8" s="30">
        <f>211*0.929</f>
        <v>196.01900000000001</v>
      </c>
      <c r="F8" s="31" t="s">
        <v>71</v>
      </c>
      <c r="G8" s="28" t="s">
        <v>72</v>
      </c>
      <c r="H8" s="28" t="s">
        <v>73</v>
      </c>
    </row>
    <row r="9" spans="1:9" x14ac:dyDescent="0.2">
      <c r="A9" s="61" t="s">
        <v>75</v>
      </c>
      <c r="B9" s="28" t="s">
        <v>76</v>
      </c>
      <c r="C9" s="28" t="s">
        <v>77</v>
      </c>
      <c r="D9" s="32">
        <f>(E9+F9)/2</f>
        <v>136.26724999999999</v>
      </c>
      <c r="E9" s="30">
        <f>215.5*0.929</f>
        <v>200.1995</v>
      </c>
      <c r="F9" s="30">
        <f>85*0.851</f>
        <v>72.334999999999994</v>
      </c>
      <c r="G9" s="28" t="s">
        <v>78</v>
      </c>
      <c r="H9" s="28" t="s">
        <v>79</v>
      </c>
    </row>
    <row r="10" spans="1:9" x14ac:dyDescent="0.2">
      <c r="A10" s="61" t="s">
        <v>80</v>
      </c>
      <c r="B10" s="28" t="s">
        <v>81</v>
      </c>
      <c r="C10" s="28" t="s">
        <v>70</v>
      </c>
      <c r="D10" s="30">
        <v>127</v>
      </c>
      <c r="E10" s="30">
        <f>137*0.929</f>
        <v>127.27300000000001</v>
      </c>
      <c r="F10" s="31" t="s">
        <v>71</v>
      </c>
      <c r="G10" s="28" t="s">
        <v>82</v>
      </c>
      <c r="H10" s="28" t="s">
        <v>73</v>
      </c>
      <c r="I10" s="9" t="s">
        <v>83</v>
      </c>
    </row>
    <row r="11" spans="1:9" x14ac:dyDescent="0.2">
      <c r="A11" s="61" t="s">
        <v>84</v>
      </c>
      <c r="B11" s="28" t="s">
        <v>85</v>
      </c>
      <c r="C11" s="28" t="s">
        <v>70</v>
      </c>
      <c r="D11" s="32">
        <f>(E11+F11)/2</f>
        <v>121.905</v>
      </c>
      <c r="E11" s="30">
        <f>180*0.929</f>
        <v>167.22</v>
      </c>
      <c r="F11" s="30">
        <f>90*0.851</f>
        <v>76.59</v>
      </c>
      <c r="G11" s="28" t="s">
        <v>78</v>
      </c>
      <c r="H11" s="28" t="s">
        <v>86</v>
      </c>
      <c r="I11" s="9" t="s">
        <v>87</v>
      </c>
    </row>
    <row r="12" spans="1:9" x14ac:dyDescent="0.2">
      <c r="A12" s="59" t="s">
        <v>88</v>
      </c>
      <c r="B12" s="59" t="s">
        <v>89</v>
      </c>
      <c r="C12" s="59" t="s">
        <v>90</v>
      </c>
      <c r="D12" s="64">
        <f>(E12+F12)/2</f>
        <v>118.91249999999999</v>
      </c>
      <c r="E12" s="31">
        <f>136*0.929</f>
        <v>126.34400000000001</v>
      </c>
      <c r="F12" s="31">
        <f>131*0.851</f>
        <v>111.48099999999999</v>
      </c>
      <c r="G12" s="28" t="s">
        <v>78</v>
      </c>
      <c r="H12" s="28" t="s">
        <v>91</v>
      </c>
    </row>
    <row r="13" spans="1:9" x14ac:dyDescent="0.2">
      <c r="A13" s="61" t="s">
        <v>80</v>
      </c>
      <c r="B13" s="28" t="s">
        <v>81</v>
      </c>
      <c r="C13" s="28" t="s">
        <v>74</v>
      </c>
      <c r="D13" s="30">
        <v>32</v>
      </c>
      <c r="E13" s="30">
        <f>34*0.929</f>
        <v>31.586000000000002</v>
      </c>
      <c r="F13" s="31" t="s">
        <v>71</v>
      </c>
      <c r="G13" s="28" t="s">
        <v>82</v>
      </c>
      <c r="H13" s="28" t="s">
        <v>73</v>
      </c>
      <c r="I13" s="9" t="s">
        <v>83</v>
      </c>
    </row>
    <row r="14" spans="1:9" x14ac:dyDescent="0.2">
      <c r="A14" s="59" t="s">
        <v>92</v>
      </c>
      <c r="B14" s="59" t="s">
        <v>93</v>
      </c>
      <c r="C14" s="59" t="s">
        <v>70</v>
      </c>
      <c r="D14" s="63">
        <v>28</v>
      </c>
      <c r="E14" s="31">
        <f>30*0.929</f>
        <v>27.87</v>
      </c>
      <c r="F14" s="31" t="s">
        <v>71</v>
      </c>
      <c r="G14" s="28" t="s">
        <v>82</v>
      </c>
      <c r="H14" s="28" t="s">
        <v>73</v>
      </c>
    </row>
    <row r="15" spans="1:9" x14ac:dyDescent="0.2">
      <c r="A15" s="59" t="s">
        <v>92</v>
      </c>
      <c r="B15" s="59" t="s">
        <v>93</v>
      </c>
      <c r="C15" s="59" t="s">
        <v>77</v>
      </c>
      <c r="D15" s="63">
        <v>7</v>
      </c>
      <c r="E15" s="31">
        <f>8*0.929</f>
        <v>7.4320000000000004</v>
      </c>
      <c r="F15" s="31" t="s">
        <v>71</v>
      </c>
      <c r="G15" s="28" t="s">
        <v>82</v>
      </c>
      <c r="H15" s="28" t="s">
        <v>73</v>
      </c>
    </row>
    <row r="16" spans="1:9" x14ac:dyDescent="0.2">
      <c r="A16" s="28" t="s">
        <v>94</v>
      </c>
      <c r="B16" s="28" t="s">
        <v>81</v>
      </c>
      <c r="C16" s="28" t="s">
        <v>77</v>
      </c>
      <c r="D16" s="31" t="s">
        <v>71</v>
      </c>
      <c r="E16" s="31" t="s">
        <v>71</v>
      </c>
      <c r="F16" s="31" t="s">
        <v>71</v>
      </c>
      <c r="G16" s="28" t="s">
        <v>95</v>
      </c>
      <c r="H16" s="28" t="s">
        <v>96</v>
      </c>
    </row>
    <row r="17" spans="1:9" x14ac:dyDescent="0.2">
      <c r="A17" s="59" t="s">
        <v>97</v>
      </c>
      <c r="B17" s="59" t="s">
        <v>98</v>
      </c>
      <c r="C17" s="59" t="s">
        <v>90</v>
      </c>
      <c r="D17" s="31" t="s">
        <v>71</v>
      </c>
      <c r="E17" s="31" t="s">
        <v>71</v>
      </c>
      <c r="F17" s="31" t="s">
        <v>71</v>
      </c>
      <c r="G17" s="28" t="s">
        <v>99</v>
      </c>
      <c r="H17" s="28"/>
    </row>
    <row r="18" spans="1:9" x14ac:dyDescent="0.2">
      <c r="A18" s="28" t="s">
        <v>100</v>
      </c>
      <c r="B18" s="28" t="s">
        <v>81</v>
      </c>
      <c r="C18" s="28" t="s">
        <v>90</v>
      </c>
      <c r="D18" s="31" t="s">
        <v>71</v>
      </c>
      <c r="E18" s="31" t="s">
        <v>71</v>
      </c>
      <c r="F18" s="31" t="s">
        <v>71</v>
      </c>
      <c r="G18" s="28" t="s">
        <v>95</v>
      </c>
      <c r="H18" s="28"/>
    </row>
    <row r="19" spans="1:9" x14ac:dyDescent="0.2">
      <c r="A19" s="28" t="s">
        <v>101</v>
      </c>
      <c r="B19" s="28" t="s">
        <v>85</v>
      </c>
      <c r="C19" s="28" t="s">
        <v>74</v>
      </c>
      <c r="D19" s="33" t="s">
        <v>102</v>
      </c>
      <c r="E19" s="33" t="s">
        <v>102</v>
      </c>
      <c r="F19" s="33" t="s">
        <v>102</v>
      </c>
      <c r="G19" s="28" t="s">
        <v>78</v>
      </c>
      <c r="H19" s="28"/>
    </row>
    <row r="20" spans="1:9" x14ac:dyDescent="0.2">
      <c r="A20" s="28" t="s">
        <v>103</v>
      </c>
      <c r="B20" s="28" t="s">
        <v>81</v>
      </c>
      <c r="C20" s="28" t="s">
        <v>70</v>
      </c>
      <c r="D20" s="33" t="s">
        <v>102</v>
      </c>
      <c r="E20" s="33" t="s">
        <v>102</v>
      </c>
      <c r="F20" s="33" t="s">
        <v>102</v>
      </c>
      <c r="G20" s="28" t="s">
        <v>82</v>
      </c>
      <c r="H20" s="28"/>
    </row>
    <row r="21" spans="1:9" x14ac:dyDescent="0.2">
      <c r="A21" s="27" t="s">
        <v>104</v>
      </c>
      <c r="B21" s="28"/>
      <c r="C21" s="28"/>
      <c r="D21" s="32">
        <f>SUM(D7:D15)</f>
        <v>1552.0847499999998</v>
      </c>
      <c r="E21" s="30">
        <f>SUM(E7:E15)</f>
        <v>1668.9485</v>
      </c>
      <c r="F21" s="30">
        <f>SUM(F7:F15)</f>
        <v>260.40600000000001</v>
      </c>
      <c r="G21" s="28"/>
      <c r="H21" s="28"/>
    </row>
    <row r="22" spans="1:9" x14ac:dyDescent="0.2">
      <c r="A22" s="28"/>
      <c r="B22" s="28"/>
      <c r="C22" s="28"/>
      <c r="D22" s="28"/>
      <c r="E22" s="29"/>
      <c r="F22" s="29"/>
      <c r="G22" s="28"/>
      <c r="H22" s="28"/>
    </row>
    <row r="23" spans="1:9" x14ac:dyDescent="0.2">
      <c r="A23" s="27" t="s">
        <v>105</v>
      </c>
      <c r="B23" s="28"/>
      <c r="C23" s="28"/>
      <c r="D23" s="28"/>
      <c r="E23" s="29"/>
      <c r="F23" s="29"/>
      <c r="G23" s="28"/>
      <c r="H23" s="28"/>
    </row>
    <row r="24" spans="1:9" x14ac:dyDescent="0.2">
      <c r="A24" s="28" t="s">
        <v>106</v>
      </c>
      <c r="B24" s="28" t="s">
        <v>107</v>
      </c>
      <c r="C24" s="28" t="s">
        <v>77</v>
      </c>
      <c r="D24" s="32">
        <f>(E24+F24)/2</f>
        <v>604.30999999999995</v>
      </c>
      <c r="E24" s="30">
        <f>679*0.929</f>
        <v>630.79100000000005</v>
      </c>
      <c r="F24" s="30">
        <f>679*0.851</f>
        <v>577.82899999999995</v>
      </c>
      <c r="G24" s="28" t="s">
        <v>108</v>
      </c>
      <c r="H24" s="28" t="s">
        <v>91</v>
      </c>
    </row>
    <row r="25" spans="1:9" x14ac:dyDescent="0.2">
      <c r="A25" s="28" t="s">
        <v>109</v>
      </c>
      <c r="B25" s="28" t="s">
        <v>107</v>
      </c>
      <c r="C25" s="28" t="s">
        <v>74</v>
      </c>
      <c r="D25" s="32">
        <f>(E25+F25)/2</f>
        <v>249.2</v>
      </c>
      <c r="E25" s="30">
        <f>280*0.929</f>
        <v>260.12</v>
      </c>
      <c r="F25" s="30">
        <f>280*0.851</f>
        <v>238.28</v>
      </c>
      <c r="G25" s="28" t="s">
        <v>108</v>
      </c>
      <c r="H25" s="28" t="s">
        <v>91</v>
      </c>
    </row>
    <row r="26" spans="1:9" x14ac:dyDescent="0.2">
      <c r="A26" s="28" t="s">
        <v>110</v>
      </c>
      <c r="B26" s="28" t="s">
        <v>69</v>
      </c>
      <c r="C26" s="28" t="s">
        <v>111</v>
      </c>
      <c r="D26" s="34">
        <f>(E26+F26)/2</f>
        <v>61.41</v>
      </c>
      <c r="E26" s="30">
        <f>69*0.929</f>
        <v>64.100999999999999</v>
      </c>
      <c r="F26" s="30">
        <f>69*0.851</f>
        <v>58.719000000000001</v>
      </c>
      <c r="G26" s="28" t="s">
        <v>72</v>
      </c>
      <c r="H26" s="28" t="s">
        <v>91</v>
      </c>
    </row>
    <row r="27" spans="1:9" x14ac:dyDescent="0.2">
      <c r="A27" s="28" t="s">
        <v>112</v>
      </c>
      <c r="B27" s="28" t="s">
        <v>69</v>
      </c>
      <c r="C27" s="28" t="s">
        <v>77</v>
      </c>
      <c r="D27" s="34">
        <f>(E27+F27)/2</f>
        <v>23.14</v>
      </c>
      <c r="E27" s="30">
        <f>26*0.929</f>
        <v>24.154</v>
      </c>
      <c r="F27" s="30">
        <f>26*0.851</f>
        <v>22.125999999999998</v>
      </c>
      <c r="G27" s="35" t="s">
        <v>108</v>
      </c>
      <c r="H27" s="28" t="s">
        <v>91</v>
      </c>
      <c r="I27" s="9" t="s">
        <v>113</v>
      </c>
    </row>
    <row r="28" spans="1:9" x14ac:dyDescent="0.2">
      <c r="A28" s="28" t="s">
        <v>114</v>
      </c>
      <c r="B28" s="28" t="s">
        <v>115</v>
      </c>
      <c r="C28" s="28" t="s">
        <v>74</v>
      </c>
      <c r="D28" s="34">
        <f>(E28+F28)/2</f>
        <v>14.24</v>
      </c>
      <c r="E28" s="30">
        <f>16*0.929</f>
        <v>14.864000000000001</v>
      </c>
      <c r="F28" s="30">
        <f>16*0.851</f>
        <v>13.616</v>
      </c>
      <c r="G28" s="28" t="s">
        <v>116</v>
      </c>
      <c r="H28" s="28" t="s">
        <v>91</v>
      </c>
    </row>
    <row r="29" spans="1:9" x14ac:dyDescent="0.2">
      <c r="A29" s="28" t="s">
        <v>117</v>
      </c>
      <c r="B29" s="28" t="s">
        <v>81</v>
      </c>
      <c r="C29" s="28" t="s">
        <v>70</v>
      </c>
      <c r="D29" s="32">
        <v>7</v>
      </c>
      <c r="E29" s="30">
        <f>16*0.929</f>
        <v>14.864000000000001</v>
      </c>
      <c r="F29" s="31" t="s">
        <v>118</v>
      </c>
      <c r="G29" s="28" t="s">
        <v>82</v>
      </c>
      <c r="H29" s="28" t="s">
        <v>91</v>
      </c>
    </row>
    <row r="30" spans="1:9" x14ac:dyDescent="0.2">
      <c r="A30" s="28" t="s">
        <v>119</v>
      </c>
      <c r="B30" s="28" t="s">
        <v>107</v>
      </c>
      <c r="C30" s="28" t="s">
        <v>77</v>
      </c>
      <c r="D30" s="30">
        <v>14</v>
      </c>
      <c r="E30" s="30">
        <f>15*0.929</f>
        <v>13.935</v>
      </c>
      <c r="F30" s="31" t="s">
        <v>71</v>
      </c>
      <c r="G30" s="28" t="s">
        <v>108</v>
      </c>
      <c r="H30" s="28" t="s">
        <v>91</v>
      </c>
    </row>
    <row r="31" spans="1:9" x14ac:dyDescent="0.2">
      <c r="A31" s="28" t="s">
        <v>120</v>
      </c>
      <c r="B31" s="28" t="s">
        <v>107</v>
      </c>
      <c r="C31" s="28" t="s">
        <v>77</v>
      </c>
      <c r="D31" s="32">
        <f>(E31+F31)/2</f>
        <v>5.34</v>
      </c>
      <c r="E31" s="30">
        <f>6*0.929</f>
        <v>5.5739999999999998</v>
      </c>
      <c r="F31" s="30">
        <f>6*0.851</f>
        <v>5.1059999999999999</v>
      </c>
      <c r="G31" s="28" t="s">
        <v>108</v>
      </c>
      <c r="H31" s="28" t="s">
        <v>91</v>
      </c>
    </row>
    <row r="32" spans="1:9" s="10" customFormat="1" x14ac:dyDescent="0.2">
      <c r="A32" s="27" t="s">
        <v>121</v>
      </c>
      <c r="B32" s="27"/>
      <c r="C32" s="27"/>
      <c r="D32" s="36">
        <f>SUM(D24:D31)</f>
        <v>978.64</v>
      </c>
      <c r="E32" s="37">
        <f>SUM(E24:E31)</f>
        <v>1028.403</v>
      </c>
      <c r="F32" s="37">
        <f>SUM(F24:F31)</f>
        <v>915.67599999999993</v>
      </c>
      <c r="G32" s="27"/>
      <c r="H32" s="27"/>
    </row>
    <row r="33" spans="1:8" s="10" customFormat="1" x14ac:dyDescent="0.2">
      <c r="A33" s="27" t="s">
        <v>122</v>
      </c>
      <c r="B33" s="27"/>
      <c r="C33" s="27"/>
      <c r="D33" s="36">
        <f>SUM(D21+D32)</f>
        <v>2530.7247499999999</v>
      </c>
      <c r="E33" s="37">
        <f>SUM(E21+E32)</f>
        <v>2697.3514999999998</v>
      </c>
      <c r="F33" s="37">
        <f>SUM(F21:F32)</f>
        <v>2091.7579999999998</v>
      </c>
      <c r="G33" s="27"/>
      <c r="H33" s="27"/>
    </row>
    <row r="34" spans="1:8" ht="17.100000000000001" customHeight="1" x14ac:dyDescent="0.2">
      <c r="A34" s="26" t="s">
        <v>123</v>
      </c>
      <c r="B34" s="26"/>
      <c r="C34" s="26"/>
      <c r="D34" s="26"/>
      <c r="E34" s="26"/>
      <c r="F34" s="26"/>
      <c r="G34" s="26"/>
      <c r="H34" s="26"/>
    </row>
    <row r="35" spans="1:8" s="11" customFormat="1" ht="25.5" x14ac:dyDescent="0.2">
      <c r="A35" s="38" t="s">
        <v>124</v>
      </c>
      <c r="B35" s="39" t="s">
        <v>125</v>
      </c>
      <c r="C35" s="35" t="s">
        <v>70</v>
      </c>
      <c r="D35" s="40">
        <f t="shared" ref="D35:D40" si="0">(E35+F35)/2</f>
        <v>103.24000000000001</v>
      </c>
      <c r="E35" s="41">
        <f>116*0.929</f>
        <v>107.76400000000001</v>
      </c>
      <c r="F35" s="41">
        <f>116*0.851</f>
        <v>98.715999999999994</v>
      </c>
      <c r="G35" s="35" t="s">
        <v>126</v>
      </c>
      <c r="H35" s="35" t="s">
        <v>127</v>
      </c>
    </row>
    <row r="36" spans="1:8" s="11" customFormat="1" ht="25.5" x14ac:dyDescent="0.2">
      <c r="A36" s="38" t="s">
        <v>128</v>
      </c>
      <c r="B36" s="39" t="s">
        <v>129</v>
      </c>
      <c r="C36" s="35" t="s">
        <v>111</v>
      </c>
      <c r="D36" s="40">
        <f t="shared" si="0"/>
        <v>50.730000000000004</v>
      </c>
      <c r="E36" s="41">
        <f>57*0.929</f>
        <v>52.953000000000003</v>
      </c>
      <c r="F36" s="41">
        <f>57*0.851</f>
        <v>48.506999999999998</v>
      </c>
      <c r="G36" s="35" t="s">
        <v>116</v>
      </c>
      <c r="H36" s="35" t="s">
        <v>130</v>
      </c>
    </row>
    <row r="37" spans="1:8" s="11" customFormat="1" x14ac:dyDescent="0.2">
      <c r="A37" s="35" t="s">
        <v>131</v>
      </c>
      <c r="B37" s="35" t="s">
        <v>132</v>
      </c>
      <c r="C37" s="35" t="s">
        <v>77</v>
      </c>
      <c r="D37" s="42">
        <f t="shared" si="0"/>
        <v>17.8</v>
      </c>
      <c r="E37" s="41">
        <f>20*0.929</f>
        <v>18.580000000000002</v>
      </c>
      <c r="F37" s="41">
        <f>20*0.851</f>
        <v>17.02</v>
      </c>
      <c r="G37" s="35" t="s">
        <v>133</v>
      </c>
      <c r="H37" s="35" t="s">
        <v>91</v>
      </c>
    </row>
    <row r="38" spans="1:8" s="11" customFormat="1" x14ac:dyDescent="0.2">
      <c r="A38" s="35" t="s">
        <v>134</v>
      </c>
      <c r="B38" s="35" t="s">
        <v>135</v>
      </c>
      <c r="C38" s="35" t="s">
        <v>77</v>
      </c>
      <c r="D38" s="42">
        <f t="shared" si="0"/>
        <v>18.689999999999998</v>
      </c>
      <c r="E38" s="41">
        <f>21*0.929</f>
        <v>19.509</v>
      </c>
      <c r="F38" s="41">
        <f>21*0.851</f>
        <v>17.870999999999999</v>
      </c>
      <c r="G38" s="35" t="s">
        <v>108</v>
      </c>
      <c r="H38" s="35" t="s">
        <v>91</v>
      </c>
    </row>
    <row r="39" spans="1:8" s="11" customFormat="1" x14ac:dyDescent="0.2">
      <c r="A39" s="35" t="s">
        <v>136</v>
      </c>
      <c r="B39" s="35" t="s">
        <v>137</v>
      </c>
      <c r="C39" s="35" t="s">
        <v>77</v>
      </c>
      <c r="D39" s="42">
        <f t="shared" si="0"/>
        <v>12.846499999999999</v>
      </c>
      <c r="E39" s="41">
        <f>13*0.929</f>
        <v>12.077</v>
      </c>
      <c r="F39" s="41">
        <f>16*0.851</f>
        <v>13.616</v>
      </c>
      <c r="G39" s="35" t="s">
        <v>138</v>
      </c>
      <c r="H39" s="35" t="s">
        <v>127</v>
      </c>
    </row>
    <row r="40" spans="1:8" s="11" customFormat="1" ht="32.1" customHeight="1" x14ac:dyDescent="0.2">
      <c r="A40" s="38" t="s">
        <v>139</v>
      </c>
      <c r="B40" s="35" t="s">
        <v>132</v>
      </c>
      <c r="C40" s="38" t="s">
        <v>77</v>
      </c>
      <c r="D40" s="42">
        <f t="shared" si="0"/>
        <v>4.45</v>
      </c>
      <c r="E40" s="43">
        <f>5*0.929</f>
        <v>4.6450000000000005</v>
      </c>
      <c r="F40" s="43">
        <f>5*0.851</f>
        <v>4.2549999999999999</v>
      </c>
      <c r="G40" s="35" t="s">
        <v>108</v>
      </c>
      <c r="H40" s="35" t="s">
        <v>91</v>
      </c>
    </row>
    <row r="41" spans="1:8" s="10" customFormat="1" x14ac:dyDescent="0.2">
      <c r="A41" s="44" t="s">
        <v>140</v>
      </c>
      <c r="B41" s="44"/>
      <c r="C41" s="44"/>
      <c r="D41" s="45">
        <f>SUM(D35:D40)</f>
        <v>207.75650000000002</v>
      </c>
      <c r="E41" s="46">
        <f>SUM(E36:E40)</f>
        <v>107.764</v>
      </c>
      <c r="F41" s="46">
        <f>SUM(F36:F40)</f>
        <v>101.26899999999999</v>
      </c>
      <c r="G41" s="44"/>
      <c r="H41" s="44"/>
    </row>
    <row r="42" spans="1:8" x14ac:dyDescent="0.2">
      <c r="A42" s="47"/>
      <c r="B42" s="47"/>
      <c r="C42" s="47"/>
      <c r="D42" s="47"/>
      <c r="E42" s="48"/>
      <c r="F42" s="48"/>
      <c r="G42" s="47"/>
      <c r="H42" s="47"/>
    </row>
    <row r="43" spans="1:8" x14ac:dyDescent="0.2">
      <c r="A43" s="49" t="s">
        <v>141</v>
      </c>
      <c r="B43" s="49"/>
      <c r="C43" s="49"/>
      <c r="D43" s="50">
        <f>SUM(D33+D41)</f>
        <v>2738.4812499999998</v>
      </c>
      <c r="E43" s="50">
        <f>SUM(E33+E41)</f>
        <v>2805.1154999999999</v>
      </c>
      <c r="F43" s="50">
        <f>SUM(F33+F41)</f>
        <v>2193.0269999999996</v>
      </c>
      <c r="G43" s="47"/>
      <c r="H43" s="47"/>
    </row>
    <row r="50" spans="4:4" x14ac:dyDescent="0.2">
      <c r="D50" s="12"/>
    </row>
    <row r="51" spans="4:4" x14ac:dyDescent="0.2">
      <c r="D51" s="12"/>
    </row>
  </sheetData>
  <mergeCells count="8">
    <mergeCell ref="G3:G4"/>
    <mergeCell ref="H3:H4"/>
    <mergeCell ref="A3:A4"/>
    <mergeCell ref="B3:B4"/>
    <mergeCell ref="C3:C4"/>
    <mergeCell ref="D3:D4"/>
    <mergeCell ref="E3:E4"/>
    <mergeCell ref="F3:F4"/>
  </mergeCells>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E5-EC2F-4ED6-B903-7704560472BD}">
  <dimension ref="A1:V131"/>
  <sheetViews>
    <sheetView workbookViewId="0">
      <pane ySplit="1" topLeftCell="A22" activePane="bottomLeft" state="frozen"/>
      <selection pane="bottomLeft" activeCell="T17" sqref="T17"/>
    </sheetView>
  </sheetViews>
  <sheetFormatPr defaultRowHeight="15" x14ac:dyDescent="0.25"/>
  <cols>
    <col min="1" max="1" width="43.5703125" customWidth="1"/>
    <col min="2" max="2" width="9.85546875" bestFit="1" customWidth="1"/>
    <col min="3" max="3" width="24" hidden="1" customWidth="1"/>
    <col min="4" max="4" width="19.42578125" style="52" customWidth="1"/>
    <col min="5" max="5" width="19.42578125" style="55" customWidth="1"/>
    <col min="6" max="17" width="17.140625" style="55" customWidth="1"/>
    <col min="18" max="18" width="62.7109375" customWidth="1"/>
    <col min="19" max="19" width="38.5703125" customWidth="1"/>
    <col min="20" max="20" width="20.140625" customWidth="1"/>
  </cols>
  <sheetData>
    <row r="1" spans="1:21" ht="79.5" customHeight="1" x14ac:dyDescent="0.25">
      <c r="A1" s="28" t="s">
        <v>58</v>
      </c>
      <c r="B1" s="28" t="s">
        <v>142</v>
      </c>
      <c r="C1" s="28" t="s">
        <v>59</v>
      </c>
      <c r="D1" s="47" t="s">
        <v>60</v>
      </c>
      <c r="E1" s="25" t="s">
        <v>143</v>
      </c>
      <c r="F1" s="25" t="s">
        <v>144</v>
      </c>
      <c r="G1" s="25">
        <v>2020</v>
      </c>
      <c r="H1" s="25">
        <v>2021</v>
      </c>
      <c r="I1" s="25">
        <v>2022</v>
      </c>
      <c r="J1" s="25">
        <f>I1+1</f>
        <v>2023</v>
      </c>
      <c r="K1" s="25">
        <f t="shared" ref="K1:Q1" si="0">J1+1</f>
        <v>2024</v>
      </c>
      <c r="L1" s="25">
        <f t="shared" si="0"/>
        <v>2025</v>
      </c>
      <c r="M1" s="25">
        <f t="shared" si="0"/>
        <v>2026</v>
      </c>
      <c r="N1" s="25">
        <f t="shared" si="0"/>
        <v>2027</v>
      </c>
      <c r="O1" s="25">
        <f t="shared" si="0"/>
        <v>2028</v>
      </c>
      <c r="P1" s="25">
        <f t="shared" si="0"/>
        <v>2029</v>
      </c>
      <c r="Q1" s="25">
        <f t="shared" si="0"/>
        <v>2030</v>
      </c>
      <c r="R1" s="47" t="s">
        <v>38</v>
      </c>
      <c r="S1" s="47" t="s">
        <v>145</v>
      </c>
      <c r="T1" s="47" t="s">
        <v>65</v>
      </c>
    </row>
    <row r="2" spans="1:21" s="72" customFormat="1" x14ac:dyDescent="0.25">
      <c r="A2" s="69" t="s">
        <v>146</v>
      </c>
      <c r="B2" s="69"/>
      <c r="C2" s="69"/>
      <c r="D2" s="70"/>
      <c r="E2" s="70"/>
      <c r="F2" s="70"/>
      <c r="G2" s="71"/>
      <c r="H2" s="71"/>
      <c r="I2" s="71"/>
      <c r="J2" s="71"/>
      <c r="K2" s="71"/>
      <c r="L2" s="71"/>
      <c r="M2" s="71"/>
      <c r="N2" s="71"/>
      <c r="O2" s="71"/>
      <c r="P2" s="71"/>
      <c r="Q2" s="71"/>
    </row>
    <row r="3" spans="1:21" s="54" customFormat="1" x14ac:dyDescent="0.25">
      <c r="A3" s="27" t="s">
        <v>67</v>
      </c>
      <c r="B3" s="74"/>
      <c r="D3" s="55"/>
      <c r="E3" s="55"/>
      <c r="F3" s="55"/>
      <c r="G3" s="55"/>
      <c r="H3" s="55"/>
      <c r="I3" s="55"/>
      <c r="J3" s="55"/>
      <c r="K3" s="55"/>
      <c r="L3" s="55"/>
      <c r="M3" s="55"/>
      <c r="N3" s="55"/>
      <c r="O3" s="55"/>
      <c r="P3" s="55"/>
      <c r="Q3" s="55"/>
    </row>
    <row r="4" spans="1:21" s="54" customFormat="1" ht="90" x14ac:dyDescent="0.25">
      <c r="A4" s="54" t="s">
        <v>147</v>
      </c>
      <c r="C4" s="54" t="s">
        <v>148</v>
      </c>
      <c r="D4" s="53" t="s">
        <v>77</v>
      </c>
      <c r="E4" s="58"/>
      <c r="F4" s="55">
        <v>6</v>
      </c>
      <c r="G4" s="55">
        <f t="shared" ref="G4:Q4" si="1">$F$4</f>
        <v>6</v>
      </c>
      <c r="H4" s="55">
        <f t="shared" si="1"/>
        <v>6</v>
      </c>
      <c r="I4" s="55">
        <f t="shared" si="1"/>
        <v>6</v>
      </c>
      <c r="J4" s="55">
        <f t="shared" si="1"/>
        <v>6</v>
      </c>
      <c r="K4" s="55">
        <f t="shared" si="1"/>
        <v>6</v>
      </c>
      <c r="L4" s="55">
        <f t="shared" si="1"/>
        <v>6</v>
      </c>
      <c r="M4" s="55">
        <f t="shared" si="1"/>
        <v>6</v>
      </c>
      <c r="N4" s="55">
        <f t="shared" si="1"/>
        <v>6</v>
      </c>
      <c r="O4" s="55">
        <f t="shared" si="1"/>
        <v>6</v>
      </c>
      <c r="P4" s="55">
        <f t="shared" si="1"/>
        <v>6</v>
      </c>
      <c r="Q4" s="55">
        <f t="shared" si="1"/>
        <v>6</v>
      </c>
      <c r="R4" s="56" t="s">
        <v>149</v>
      </c>
      <c r="S4" s="56"/>
      <c r="T4" s="54" t="s">
        <v>7</v>
      </c>
    </row>
    <row r="5" spans="1:21" s="54" customFormat="1" ht="105" x14ac:dyDescent="0.25">
      <c r="A5" s="56" t="s">
        <v>150</v>
      </c>
      <c r="B5" s="56"/>
      <c r="C5" s="54" t="s">
        <v>151</v>
      </c>
      <c r="D5" s="53" t="s">
        <v>77</v>
      </c>
      <c r="E5" s="58"/>
      <c r="F5" s="55"/>
      <c r="G5" s="55">
        <v>300</v>
      </c>
      <c r="H5" s="55"/>
      <c r="I5" s="55"/>
      <c r="J5" s="55"/>
      <c r="K5" s="55"/>
      <c r="L5" s="55"/>
      <c r="M5" s="55"/>
      <c r="N5" s="55"/>
      <c r="O5" s="55"/>
      <c r="P5" s="55"/>
      <c r="Q5" s="55"/>
      <c r="R5" s="56" t="s">
        <v>152</v>
      </c>
      <c r="S5" s="56" t="s">
        <v>153</v>
      </c>
      <c r="T5" s="54" t="s">
        <v>7</v>
      </c>
    </row>
    <row r="6" spans="1:21" s="54" customFormat="1" ht="90" x14ac:dyDescent="0.25">
      <c r="A6" s="54" t="s">
        <v>154</v>
      </c>
      <c r="C6" s="54" t="s">
        <v>155</v>
      </c>
      <c r="D6" s="53" t="s">
        <v>77</v>
      </c>
      <c r="E6" s="58"/>
      <c r="F6" s="55">
        <f>AVERAGE(43.1,10,1.6)</f>
        <v>18.233333333333334</v>
      </c>
      <c r="G6" s="55">
        <f t="shared" ref="G6:Q6" si="2">$F$6</f>
        <v>18.233333333333334</v>
      </c>
      <c r="H6" s="55">
        <f t="shared" si="2"/>
        <v>18.233333333333334</v>
      </c>
      <c r="I6" s="55">
        <f t="shared" si="2"/>
        <v>18.233333333333334</v>
      </c>
      <c r="J6" s="55">
        <f t="shared" si="2"/>
        <v>18.233333333333334</v>
      </c>
      <c r="K6" s="55">
        <f t="shared" si="2"/>
        <v>18.233333333333334</v>
      </c>
      <c r="L6" s="55">
        <f t="shared" si="2"/>
        <v>18.233333333333334</v>
      </c>
      <c r="M6" s="55">
        <f t="shared" si="2"/>
        <v>18.233333333333334</v>
      </c>
      <c r="N6" s="55">
        <f t="shared" si="2"/>
        <v>18.233333333333334</v>
      </c>
      <c r="O6" s="55">
        <f t="shared" si="2"/>
        <v>18.233333333333334</v>
      </c>
      <c r="P6" s="55">
        <f t="shared" si="2"/>
        <v>18.233333333333334</v>
      </c>
      <c r="Q6" s="55">
        <f t="shared" si="2"/>
        <v>18.233333333333334</v>
      </c>
      <c r="R6" s="56" t="s">
        <v>156</v>
      </c>
      <c r="S6" s="56" t="s">
        <v>157</v>
      </c>
      <c r="T6" s="54" t="s">
        <v>7</v>
      </c>
      <c r="U6" s="54" t="s">
        <v>158</v>
      </c>
    </row>
    <row r="7" spans="1:21" s="54" customFormat="1" ht="45" x14ac:dyDescent="0.25">
      <c r="A7" s="56" t="s">
        <v>159</v>
      </c>
      <c r="B7" s="56"/>
      <c r="C7" s="54" t="s">
        <v>160</v>
      </c>
      <c r="D7" s="55" t="s">
        <v>74</v>
      </c>
      <c r="E7" s="55"/>
      <c r="F7" s="55">
        <v>8</v>
      </c>
      <c r="G7" s="55">
        <f t="shared" ref="G7:Q7" si="3">$F$7</f>
        <v>8</v>
      </c>
      <c r="H7" s="55">
        <f t="shared" si="3"/>
        <v>8</v>
      </c>
      <c r="I7" s="55">
        <f t="shared" si="3"/>
        <v>8</v>
      </c>
      <c r="J7" s="55">
        <f t="shared" si="3"/>
        <v>8</v>
      </c>
      <c r="K7" s="55">
        <f t="shared" si="3"/>
        <v>8</v>
      </c>
      <c r="L7" s="55">
        <f t="shared" si="3"/>
        <v>8</v>
      </c>
      <c r="M7" s="55">
        <f t="shared" si="3"/>
        <v>8</v>
      </c>
      <c r="N7" s="55">
        <f t="shared" si="3"/>
        <v>8</v>
      </c>
      <c r="O7" s="55">
        <f t="shared" si="3"/>
        <v>8</v>
      </c>
      <c r="P7" s="55">
        <f t="shared" si="3"/>
        <v>8</v>
      </c>
      <c r="Q7" s="55">
        <f t="shared" si="3"/>
        <v>8</v>
      </c>
      <c r="R7" s="56" t="s">
        <v>161</v>
      </c>
      <c r="S7" s="56"/>
      <c r="T7" s="54" t="s">
        <v>7</v>
      </c>
    </row>
    <row r="8" spans="1:21" s="54" customFormat="1" ht="90" x14ac:dyDescent="0.25">
      <c r="A8" s="54" t="s">
        <v>162</v>
      </c>
      <c r="C8" s="54" t="s">
        <v>163</v>
      </c>
      <c r="D8" s="53" t="s">
        <v>77</v>
      </c>
      <c r="E8" s="58"/>
      <c r="F8" s="55"/>
      <c r="G8" s="55">
        <f>750/2</f>
        <v>375</v>
      </c>
      <c r="H8" s="55">
        <f>750/2</f>
        <v>375</v>
      </c>
      <c r="I8" s="55"/>
      <c r="J8" s="55"/>
      <c r="K8" s="55"/>
      <c r="L8" s="55"/>
      <c r="M8" s="55"/>
      <c r="N8" s="55"/>
      <c r="O8" s="55"/>
      <c r="P8" s="55"/>
      <c r="Q8" s="55"/>
      <c r="R8" s="56" t="s">
        <v>164</v>
      </c>
      <c r="S8" s="54" t="s">
        <v>165</v>
      </c>
      <c r="T8" s="54" t="s">
        <v>7</v>
      </c>
    </row>
    <row r="9" spans="1:21" s="54" customFormat="1" ht="45" x14ac:dyDescent="0.25">
      <c r="A9" s="54" t="s">
        <v>166</v>
      </c>
      <c r="C9" s="54" t="s">
        <v>167</v>
      </c>
      <c r="D9" s="53" t="s">
        <v>77</v>
      </c>
      <c r="E9" s="58"/>
      <c r="F9" s="55">
        <f>AVERAGE(29.3,2.75)</f>
        <v>16.024999999999999</v>
      </c>
      <c r="G9" s="55">
        <f t="shared" ref="G9:Q9" si="4">$F$9</f>
        <v>16.024999999999999</v>
      </c>
      <c r="H9" s="55">
        <f t="shared" si="4"/>
        <v>16.024999999999999</v>
      </c>
      <c r="I9" s="55">
        <f t="shared" si="4"/>
        <v>16.024999999999999</v>
      </c>
      <c r="J9" s="55">
        <f t="shared" si="4"/>
        <v>16.024999999999999</v>
      </c>
      <c r="K9" s="55">
        <f t="shared" si="4"/>
        <v>16.024999999999999</v>
      </c>
      <c r="L9" s="55">
        <f t="shared" si="4"/>
        <v>16.024999999999999</v>
      </c>
      <c r="M9" s="55">
        <f t="shared" si="4"/>
        <v>16.024999999999999</v>
      </c>
      <c r="N9" s="55">
        <f t="shared" si="4"/>
        <v>16.024999999999999</v>
      </c>
      <c r="O9" s="55">
        <f t="shared" si="4"/>
        <v>16.024999999999999</v>
      </c>
      <c r="P9" s="55">
        <f t="shared" si="4"/>
        <v>16.024999999999999</v>
      </c>
      <c r="Q9" s="55">
        <f t="shared" si="4"/>
        <v>16.024999999999999</v>
      </c>
      <c r="R9" s="56" t="s">
        <v>168</v>
      </c>
      <c r="T9" s="54" t="s">
        <v>7</v>
      </c>
      <c r="U9" s="54" t="s">
        <v>158</v>
      </c>
    </row>
    <row r="10" spans="1:21" s="54" customFormat="1" ht="30" x14ac:dyDescent="0.25">
      <c r="A10" s="114" t="s">
        <v>169</v>
      </c>
      <c r="B10" s="114"/>
      <c r="C10" s="113" t="s">
        <v>170</v>
      </c>
      <c r="D10" s="53" t="s">
        <v>77</v>
      </c>
      <c r="E10" s="111"/>
      <c r="F10" s="117">
        <v>1700</v>
      </c>
      <c r="G10" s="55">
        <f t="shared" ref="G10:Q10" si="5">$F$10</f>
        <v>1700</v>
      </c>
      <c r="H10" s="55">
        <f t="shared" si="5"/>
        <v>1700</v>
      </c>
      <c r="I10" s="55">
        <f t="shared" si="5"/>
        <v>1700</v>
      </c>
      <c r="J10" s="55">
        <f t="shared" si="5"/>
        <v>1700</v>
      </c>
      <c r="K10" s="55">
        <f t="shared" si="5"/>
        <v>1700</v>
      </c>
      <c r="L10" s="55">
        <f t="shared" si="5"/>
        <v>1700</v>
      </c>
      <c r="M10" s="55">
        <f t="shared" si="5"/>
        <v>1700</v>
      </c>
      <c r="N10" s="55">
        <f t="shared" si="5"/>
        <v>1700</v>
      </c>
      <c r="O10" s="55">
        <f t="shared" si="5"/>
        <v>1700</v>
      </c>
      <c r="P10" s="55">
        <f t="shared" si="5"/>
        <v>1700</v>
      </c>
      <c r="Q10" s="55">
        <f t="shared" si="5"/>
        <v>1700</v>
      </c>
      <c r="R10" s="56" t="s">
        <v>171</v>
      </c>
      <c r="T10" s="54" t="s">
        <v>7</v>
      </c>
    </row>
    <row r="11" spans="1:21" s="54" customFormat="1" ht="90" x14ac:dyDescent="0.25">
      <c r="A11" s="54" t="s">
        <v>172</v>
      </c>
      <c r="C11" s="54" t="s">
        <v>173</v>
      </c>
      <c r="D11" s="53" t="s">
        <v>77</v>
      </c>
      <c r="E11" s="58"/>
      <c r="F11" s="55"/>
      <c r="G11" s="55">
        <f>100/4</f>
        <v>25</v>
      </c>
      <c r="H11" s="55">
        <f>100/4</f>
        <v>25</v>
      </c>
      <c r="I11" s="55">
        <f>100/4</f>
        <v>25</v>
      </c>
      <c r="J11" s="55">
        <f>100/4</f>
        <v>25</v>
      </c>
      <c r="K11" s="55"/>
      <c r="L11" s="55"/>
      <c r="M11" s="55"/>
      <c r="N11" s="55"/>
      <c r="O11" s="55"/>
      <c r="P11" s="55"/>
      <c r="Q11" s="55"/>
      <c r="R11" s="56" t="s">
        <v>174</v>
      </c>
      <c r="T11" s="54" t="s">
        <v>7</v>
      </c>
    </row>
    <row r="12" spans="1:21" s="54" customFormat="1" ht="60" x14ac:dyDescent="0.25">
      <c r="A12" s="54" t="s">
        <v>175</v>
      </c>
      <c r="C12" s="54" t="s">
        <v>173</v>
      </c>
      <c r="D12" s="53" t="s">
        <v>77</v>
      </c>
      <c r="E12" s="58"/>
      <c r="F12" s="55">
        <f>AVERAGE(25.5,22.5,26.7)</f>
        <v>24.900000000000002</v>
      </c>
      <c r="G12" s="55">
        <f t="shared" ref="G12:Q12" si="6">$F$12</f>
        <v>24.900000000000002</v>
      </c>
      <c r="H12" s="55">
        <f t="shared" si="6"/>
        <v>24.900000000000002</v>
      </c>
      <c r="I12" s="55">
        <f t="shared" si="6"/>
        <v>24.900000000000002</v>
      </c>
      <c r="J12" s="55">
        <f t="shared" si="6"/>
        <v>24.900000000000002</v>
      </c>
      <c r="K12" s="55">
        <f t="shared" si="6"/>
        <v>24.900000000000002</v>
      </c>
      <c r="L12" s="55">
        <f t="shared" si="6"/>
        <v>24.900000000000002</v>
      </c>
      <c r="M12" s="55">
        <f t="shared" si="6"/>
        <v>24.900000000000002</v>
      </c>
      <c r="N12" s="55">
        <f t="shared" si="6"/>
        <v>24.900000000000002</v>
      </c>
      <c r="O12" s="55">
        <f t="shared" si="6"/>
        <v>24.900000000000002</v>
      </c>
      <c r="P12" s="55">
        <f t="shared" si="6"/>
        <v>24.900000000000002</v>
      </c>
      <c r="Q12" s="55">
        <f t="shared" si="6"/>
        <v>24.900000000000002</v>
      </c>
      <c r="R12" s="56" t="s">
        <v>176</v>
      </c>
      <c r="T12" s="54" t="s">
        <v>7</v>
      </c>
      <c r="U12" s="54" t="s">
        <v>158</v>
      </c>
    </row>
    <row r="13" spans="1:21" s="54" customFormat="1" x14ac:dyDescent="0.25">
      <c r="A13" s="54" t="s">
        <v>177</v>
      </c>
      <c r="C13" s="54" t="s">
        <v>160</v>
      </c>
      <c r="D13" s="53" t="s">
        <v>74</v>
      </c>
      <c r="E13" s="58"/>
      <c r="F13" s="57" t="s">
        <v>178</v>
      </c>
      <c r="G13" s="55"/>
      <c r="H13" s="55"/>
      <c r="I13" s="55"/>
      <c r="J13" s="55"/>
      <c r="K13" s="55"/>
      <c r="L13" s="55"/>
      <c r="M13" s="55"/>
      <c r="N13" s="55"/>
      <c r="O13" s="55"/>
      <c r="P13" s="55"/>
      <c r="Q13" s="55"/>
      <c r="R13" s="67" t="s">
        <v>179</v>
      </c>
      <c r="T13" s="54" t="s">
        <v>7</v>
      </c>
    </row>
    <row r="14" spans="1:21" s="54" customFormat="1" x14ac:dyDescent="0.25">
      <c r="A14" s="54" t="s">
        <v>180</v>
      </c>
      <c r="C14" s="54" t="s">
        <v>160</v>
      </c>
      <c r="D14" s="53" t="s">
        <v>74</v>
      </c>
      <c r="E14" s="58"/>
      <c r="F14" s="57" t="s">
        <v>178</v>
      </c>
      <c r="G14" s="55"/>
      <c r="H14" s="55"/>
      <c r="I14" s="55"/>
      <c r="J14" s="55"/>
      <c r="K14" s="55"/>
      <c r="L14" s="55"/>
      <c r="M14" s="55"/>
      <c r="N14" s="55"/>
      <c r="O14" s="55"/>
      <c r="P14" s="55"/>
      <c r="Q14" s="55"/>
      <c r="R14" s="67" t="s">
        <v>179</v>
      </c>
      <c r="T14" s="54" t="s">
        <v>7</v>
      </c>
    </row>
    <row r="15" spans="1:21" s="54" customFormat="1" ht="60" x14ac:dyDescent="0.25">
      <c r="A15" s="54" t="s">
        <v>181</v>
      </c>
      <c r="C15" s="54" t="s">
        <v>160</v>
      </c>
      <c r="D15" s="53" t="s">
        <v>77</v>
      </c>
      <c r="E15" s="58"/>
      <c r="F15" s="57" t="s">
        <v>178</v>
      </c>
      <c r="G15" s="55"/>
      <c r="H15" s="55"/>
      <c r="I15" s="55"/>
      <c r="J15" s="55"/>
      <c r="K15" s="55"/>
      <c r="L15" s="55"/>
      <c r="M15" s="55"/>
      <c r="N15" s="55"/>
      <c r="O15" s="55"/>
      <c r="P15" s="55"/>
      <c r="Q15" s="55"/>
      <c r="R15" s="56" t="s">
        <v>182</v>
      </c>
      <c r="T15" s="54" t="s">
        <v>7</v>
      </c>
    </row>
    <row r="16" spans="1:21" s="54" customFormat="1" x14ac:dyDescent="0.25">
      <c r="A16" s="28" t="s">
        <v>68</v>
      </c>
      <c r="B16" s="28"/>
      <c r="C16" s="28" t="s">
        <v>69</v>
      </c>
      <c r="D16" s="28" t="s">
        <v>70</v>
      </c>
      <c r="E16" s="88">
        <v>785</v>
      </c>
      <c r="F16" s="89">
        <f>$E$16*About!$A$77*About!$A$78</f>
        <v>1179.2709600000001</v>
      </c>
      <c r="G16" s="89">
        <f t="shared" ref="G16:Q16" si="7">$F$16</f>
        <v>1179.2709600000001</v>
      </c>
      <c r="H16" s="89">
        <f t="shared" si="7"/>
        <v>1179.2709600000001</v>
      </c>
      <c r="I16" s="89">
        <f t="shared" si="7"/>
        <v>1179.2709600000001</v>
      </c>
      <c r="J16" s="89">
        <f t="shared" si="7"/>
        <v>1179.2709600000001</v>
      </c>
      <c r="K16" s="89">
        <f t="shared" si="7"/>
        <v>1179.2709600000001</v>
      </c>
      <c r="L16" s="89">
        <f t="shared" si="7"/>
        <v>1179.2709600000001</v>
      </c>
      <c r="M16" s="89">
        <f t="shared" si="7"/>
        <v>1179.2709600000001</v>
      </c>
      <c r="N16" s="89">
        <f t="shared" si="7"/>
        <v>1179.2709600000001</v>
      </c>
      <c r="O16" s="89">
        <f t="shared" si="7"/>
        <v>1179.2709600000001</v>
      </c>
      <c r="P16" s="89">
        <f t="shared" si="7"/>
        <v>1179.2709600000001</v>
      </c>
      <c r="Q16" s="89">
        <f t="shared" si="7"/>
        <v>1179.2709600000001</v>
      </c>
      <c r="T16" s="28" t="s">
        <v>73</v>
      </c>
      <c r="U16" s="54" t="s">
        <v>7</v>
      </c>
    </row>
    <row r="17" spans="1:22" s="54" customFormat="1" x14ac:dyDescent="0.25">
      <c r="A17" s="28" t="s">
        <v>68</v>
      </c>
      <c r="B17" s="28"/>
      <c r="C17" s="28" t="s">
        <v>69</v>
      </c>
      <c r="D17" s="28" t="s">
        <v>74</v>
      </c>
      <c r="E17" s="88">
        <v>196</v>
      </c>
      <c r="F17" s="89">
        <f>$E$17*About!$A$77*About!$A$78</f>
        <v>294.44217600000002</v>
      </c>
      <c r="G17" s="89">
        <f t="shared" ref="G17:Q17" si="8">$F$17</f>
        <v>294.44217600000002</v>
      </c>
      <c r="H17" s="89">
        <f t="shared" si="8"/>
        <v>294.44217600000002</v>
      </c>
      <c r="I17" s="89">
        <f t="shared" si="8"/>
        <v>294.44217600000002</v>
      </c>
      <c r="J17" s="89">
        <f t="shared" si="8"/>
        <v>294.44217600000002</v>
      </c>
      <c r="K17" s="89">
        <f t="shared" si="8"/>
        <v>294.44217600000002</v>
      </c>
      <c r="L17" s="89">
        <f t="shared" si="8"/>
        <v>294.44217600000002</v>
      </c>
      <c r="M17" s="89">
        <f t="shared" si="8"/>
        <v>294.44217600000002</v>
      </c>
      <c r="N17" s="89">
        <f t="shared" si="8"/>
        <v>294.44217600000002</v>
      </c>
      <c r="O17" s="89">
        <f t="shared" si="8"/>
        <v>294.44217600000002</v>
      </c>
      <c r="P17" s="89">
        <f t="shared" si="8"/>
        <v>294.44217600000002</v>
      </c>
      <c r="Q17" s="89">
        <f t="shared" si="8"/>
        <v>294.44217600000002</v>
      </c>
      <c r="T17" s="28" t="s">
        <v>73</v>
      </c>
      <c r="U17" s="84" t="s">
        <v>7</v>
      </c>
    </row>
    <row r="18" spans="1:22" s="54" customFormat="1" x14ac:dyDescent="0.25">
      <c r="A18" s="28" t="s">
        <v>92</v>
      </c>
      <c r="B18" s="28"/>
      <c r="C18" s="28" t="s">
        <v>93</v>
      </c>
      <c r="D18" s="28" t="s">
        <v>70</v>
      </c>
      <c r="E18" s="90">
        <v>28</v>
      </c>
      <c r="F18" s="89">
        <f>$E$18*About!$A$77*About!$A$78</f>
        <v>42.063168000000005</v>
      </c>
      <c r="G18" s="89">
        <f t="shared" ref="G18:Q18" si="9">$F$18</f>
        <v>42.063168000000005</v>
      </c>
      <c r="H18" s="89">
        <f t="shared" si="9"/>
        <v>42.063168000000005</v>
      </c>
      <c r="I18" s="89">
        <f t="shared" si="9"/>
        <v>42.063168000000005</v>
      </c>
      <c r="J18" s="89">
        <f t="shared" si="9"/>
        <v>42.063168000000005</v>
      </c>
      <c r="K18" s="89">
        <f t="shared" si="9"/>
        <v>42.063168000000005</v>
      </c>
      <c r="L18" s="89">
        <f t="shared" si="9"/>
        <v>42.063168000000005</v>
      </c>
      <c r="M18" s="89">
        <f t="shared" si="9"/>
        <v>42.063168000000005</v>
      </c>
      <c r="N18" s="89">
        <f t="shared" si="9"/>
        <v>42.063168000000005</v>
      </c>
      <c r="O18" s="89">
        <f t="shared" si="9"/>
        <v>42.063168000000005</v>
      </c>
      <c r="P18" s="89">
        <f t="shared" si="9"/>
        <v>42.063168000000005</v>
      </c>
      <c r="Q18" s="89">
        <f t="shared" si="9"/>
        <v>42.063168000000005</v>
      </c>
      <c r="T18" s="28" t="s">
        <v>73</v>
      </c>
      <c r="U18" s="54" t="s">
        <v>7</v>
      </c>
    </row>
    <row r="19" spans="1:22" s="54" customFormat="1" x14ac:dyDescent="0.25">
      <c r="A19" s="28" t="s">
        <v>92</v>
      </c>
      <c r="B19" s="28"/>
      <c r="C19" s="28" t="s">
        <v>93</v>
      </c>
      <c r="D19" s="28" t="s">
        <v>77</v>
      </c>
      <c r="E19" s="90">
        <v>7</v>
      </c>
      <c r="F19" s="89">
        <f>$E$19*About!$A$77*About!$A$78</f>
        <v>10.515792000000001</v>
      </c>
      <c r="G19" s="89">
        <f t="shared" ref="G19:Q19" si="10">$F$19</f>
        <v>10.515792000000001</v>
      </c>
      <c r="H19" s="89">
        <f t="shared" si="10"/>
        <v>10.515792000000001</v>
      </c>
      <c r="I19" s="89">
        <f t="shared" si="10"/>
        <v>10.515792000000001</v>
      </c>
      <c r="J19" s="89">
        <f t="shared" si="10"/>
        <v>10.515792000000001</v>
      </c>
      <c r="K19" s="89">
        <f t="shared" si="10"/>
        <v>10.515792000000001</v>
      </c>
      <c r="L19" s="89">
        <f t="shared" si="10"/>
        <v>10.515792000000001</v>
      </c>
      <c r="M19" s="89">
        <f t="shared" si="10"/>
        <v>10.515792000000001</v>
      </c>
      <c r="N19" s="89">
        <f t="shared" si="10"/>
        <v>10.515792000000001</v>
      </c>
      <c r="O19" s="89">
        <f t="shared" si="10"/>
        <v>10.515792000000001</v>
      </c>
      <c r="P19" s="89">
        <f t="shared" si="10"/>
        <v>10.515792000000001</v>
      </c>
      <c r="Q19" s="89">
        <f t="shared" si="10"/>
        <v>10.515792000000001</v>
      </c>
      <c r="T19" s="28" t="s">
        <v>73</v>
      </c>
      <c r="U19" s="54" t="s">
        <v>7</v>
      </c>
    </row>
    <row r="20" spans="1:22" s="54" customFormat="1" x14ac:dyDescent="0.25">
      <c r="A20" s="28" t="s">
        <v>97</v>
      </c>
      <c r="B20" s="28"/>
      <c r="C20" s="28" t="s">
        <v>98</v>
      </c>
      <c r="D20" s="28" t="s">
        <v>90</v>
      </c>
      <c r="E20" s="91"/>
      <c r="F20" s="57" t="s">
        <v>178</v>
      </c>
      <c r="G20" s="55"/>
      <c r="H20" s="55"/>
      <c r="I20" s="55"/>
      <c r="J20" s="55"/>
      <c r="K20" s="55"/>
      <c r="L20" s="55"/>
      <c r="M20" s="55"/>
      <c r="N20" s="55"/>
      <c r="O20" s="55"/>
      <c r="P20" s="55"/>
      <c r="Q20" s="55"/>
      <c r="T20" s="54" t="s">
        <v>7</v>
      </c>
    </row>
    <row r="21" spans="1:22" s="54" customFormat="1" ht="90" x14ac:dyDescent="0.25">
      <c r="A21" s="62" t="s">
        <v>88</v>
      </c>
      <c r="B21" s="62"/>
      <c r="C21" s="62" t="s">
        <v>89</v>
      </c>
      <c r="D21" s="62" t="s">
        <v>90</v>
      </c>
      <c r="E21" s="91"/>
      <c r="F21" s="55">
        <v>20</v>
      </c>
      <c r="G21" s="55">
        <f t="shared" ref="G21:Q21" si="11">$F$21</f>
        <v>20</v>
      </c>
      <c r="H21" s="55">
        <f t="shared" si="11"/>
        <v>20</v>
      </c>
      <c r="I21" s="55">
        <f t="shared" si="11"/>
        <v>20</v>
      </c>
      <c r="J21" s="55">
        <f t="shared" si="11"/>
        <v>20</v>
      </c>
      <c r="K21" s="55">
        <f t="shared" si="11"/>
        <v>20</v>
      </c>
      <c r="L21" s="55">
        <f t="shared" si="11"/>
        <v>20</v>
      </c>
      <c r="M21" s="55">
        <f t="shared" si="11"/>
        <v>20</v>
      </c>
      <c r="N21" s="55">
        <f t="shared" si="11"/>
        <v>20</v>
      </c>
      <c r="O21" s="55">
        <f t="shared" si="11"/>
        <v>20</v>
      </c>
      <c r="P21" s="55">
        <f t="shared" si="11"/>
        <v>20</v>
      </c>
      <c r="Q21" s="55">
        <f t="shared" si="11"/>
        <v>20</v>
      </c>
      <c r="R21" s="56" t="s">
        <v>183</v>
      </c>
      <c r="T21" s="54" t="s">
        <v>91</v>
      </c>
      <c r="U21" s="54" t="s">
        <v>7</v>
      </c>
    </row>
    <row r="22" spans="1:22" s="54" customFormat="1" ht="105" x14ac:dyDescent="0.25">
      <c r="A22" s="62" t="s">
        <v>184</v>
      </c>
      <c r="B22" s="62"/>
      <c r="C22" s="62"/>
      <c r="D22" s="62"/>
      <c r="E22" s="91"/>
      <c r="F22" s="57" t="s">
        <v>178</v>
      </c>
      <c r="G22" s="55"/>
      <c r="H22" s="55"/>
      <c r="I22" s="55"/>
      <c r="J22" s="55"/>
      <c r="K22" s="55"/>
      <c r="L22" s="55"/>
      <c r="M22" s="55"/>
      <c r="N22" s="55"/>
      <c r="O22" s="55"/>
      <c r="P22" s="55"/>
      <c r="Q22" s="55"/>
      <c r="R22" s="56" t="s">
        <v>185</v>
      </c>
      <c r="T22" s="54" t="s">
        <v>7</v>
      </c>
    </row>
    <row r="23" spans="1:22" s="54" customFormat="1" ht="75" x14ac:dyDescent="0.25">
      <c r="A23" s="62" t="s">
        <v>186</v>
      </c>
      <c r="B23" s="62"/>
      <c r="C23" s="62"/>
      <c r="D23" s="62"/>
      <c r="E23" s="91"/>
      <c r="F23" s="57" t="s">
        <v>178</v>
      </c>
      <c r="G23" s="55"/>
      <c r="H23" s="55"/>
      <c r="I23" s="55"/>
      <c r="J23" s="55"/>
      <c r="K23" s="55"/>
      <c r="L23" s="55"/>
      <c r="M23" s="55"/>
      <c r="N23" s="55"/>
      <c r="O23" s="55"/>
      <c r="P23" s="55"/>
      <c r="Q23" s="55"/>
      <c r="R23" s="56" t="s">
        <v>187</v>
      </c>
      <c r="T23" s="54" t="s">
        <v>7</v>
      </c>
    </row>
    <row r="24" spans="1:22" s="54" customFormat="1" ht="45" x14ac:dyDescent="0.25">
      <c r="A24" s="62" t="s">
        <v>188</v>
      </c>
      <c r="B24" s="62"/>
      <c r="C24" s="62"/>
      <c r="D24" s="62" t="s">
        <v>70</v>
      </c>
      <c r="E24" s="91"/>
      <c r="F24" s="55">
        <v>62.3</v>
      </c>
      <c r="G24" s="55">
        <f t="shared" ref="G24:Q24" si="12">$F$24</f>
        <v>62.3</v>
      </c>
      <c r="H24" s="55">
        <f t="shared" si="12"/>
        <v>62.3</v>
      </c>
      <c r="I24" s="55">
        <f t="shared" si="12"/>
        <v>62.3</v>
      </c>
      <c r="J24" s="55">
        <f t="shared" si="12"/>
        <v>62.3</v>
      </c>
      <c r="K24" s="55">
        <f t="shared" si="12"/>
        <v>62.3</v>
      </c>
      <c r="L24" s="55">
        <f t="shared" si="12"/>
        <v>62.3</v>
      </c>
      <c r="M24" s="55">
        <f t="shared" si="12"/>
        <v>62.3</v>
      </c>
      <c r="N24" s="55">
        <f t="shared" si="12"/>
        <v>62.3</v>
      </c>
      <c r="O24" s="55">
        <f t="shared" si="12"/>
        <v>62.3</v>
      </c>
      <c r="P24" s="55">
        <f t="shared" si="12"/>
        <v>62.3</v>
      </c>
      <c r="Q24" s="55">
        <f t="shared" si="12"/>
        <v>62.3</v>
      </c>
      <c r="R24" s="56" t="s">
        <v>189</v>
      </c>
      <c r="S24" s="54" t="s">
        <v>190</v>
      </c>
      <c r="T24" s="54" t="s">
        <v>158</v>
      </c>
    </row>
    <row r="25" spans="1:22" s="54" customFormat="1" ht="90" x14ac:dyDescent="0.25">
      <c r="A25" s="110" t="s">
        <v>191</v>
      </c>
      <c r="B25" s="110"/>
      <c r="C25" s="110"/>
      <c r="D25" s="110" t="s">
        <v>77</v>
      </c>
      <c r="E25" s="112"/>
      <c r="F25" s="55"/>
      <c r="G25" s="55">
        <v>121.6</v>
      </c>
      <c r="H25" s="55">
        <v>121.6</v>
      </c>
      <c r="I25" s="55">
        <v>121.6</v>
      </c>
      <c r="J25" s="55">
        <v>121.6</v>
      </c>
      <c r="K25" s="55">
        <v>121.6</v>
      </c>
      <c r="L25" s="55">
        <v>121.6</v>
      </c>
      <c r="M25" s="55">
        <v>121.6</v>
      </c>
      <c r="N25" s="55">
        <v>121.6</v>
      </c>
      <c r="O25" s="55">
        <v>121.6</v>
      </c>
      <c r="P25" s="55"/>
      <c r="Q25" s="55"/>
      <c r="R25" s="56" t="s">
        <v>192</v>
      </c>
      <c r="S25" s="54" t="s">
        <v>193</v>
      </c>
      <c r="T25" s="113" t="s">
        <v>158</v>
      </c>
    </row>
    <row r="26" spans="1:22" s="54" customFormat="1" ht="30" x14ac:dyDescent="0.25">
      <c r="A26" s="62" t="s">
        <v>194</v>
      </c>
      <c r="B26" s="62"/>
      <c r="C26" s="62"/>
      <c r="D26" s="62" t="s">
        <v>77</v>
      </c>
      <c r="E26" s="91"/>
      <c r="F26" s="55">
        <f>AVERAGE(0.9,4.8)</f>
        <v>2.85</v>
      </c>
      <c r="G26" s="55">
        <f t="shared" ref="G26:Q26" si="13">$F$26</f>
        <v>2.85</v>
      </c>
      <c r="H26" s="55">
        <f t="shared" si="13"/>
        <v>2.85</v>
      </c>
      <c r="I26" s="55">
        <f t="shared" si="13"/>
        <v>2.85</v>
      </c>
      <c r="J26" s="55">
        <f t="shared" si="13"/>
        <v>2.85</v>
      </c>
      <c r="K26" s="55">
        <f t="shared" si="13"/>
        <v>2.85</v>
      </c>
      <c r="L26" s="55">
        <f t="shared" si="13"/>
        <v>2.85</v>
      </c>
      <c r="M26" s="55">
        <f t="shared" si="13"/>
        <v>2.85</v>
      </c>
      <c r="N26" s="55">
        <f t="shared" si="13"/>
        <v>2.85</v>
      </c>
      <c r="O26" s="55">
        <f t="shared" si="13"/>
        <v>2.85</v>
      </c>
      <c r="P26" s="55">
        <f t="shared" si="13"/>
        <v>2.85</v>
      </c>
      <c r="Q26" s="55">
        <f t="shared" si="13"/>
        <v>2.85</v>
      </c>
      <c r="R26" s="56" t="s">
        <v>195</v>
      </c>
      <c r="T26" s="54" t="s">
        <v>158</v>
      </c>
    </row>
    <row r="27" spans="1:22" s="54" customFormat="1" x14ac:dyDescent="0.25">
      <c r="A27" s="62" t="s">
        <v>196</v>
      </c>
      <c r="B27" s="62"/>
      <c r="C27" s="62"/>
      <c r="D27" s="110" t="s">
        <v>70</v>
      </c>
      <c r="E27" s="91"/>
      <c r="F27" s="55">
        <v>350</v>
      </c>
      <c r="G27" s="55">
        <f t="shared" ref="G27:Q27" si="14">$F$27</f>
        <v>350</v>
      </c>
      <c r="H27" s="55">
        <f t="shared" si="14"/>
        <v>350</v>
      </c>
      <c r="I27" s="55">
        <f t="shared" si="14"/>
        <v>350</v>
      </c>
      <c r="J27" s="55">
        <f t="shared" si="14"/>
        <v>350</v>
      </c>
      <c r="K27" s="55">
        <f t="shared" si="14"/>
        <v>350</v>
      </c>
      <c r="L27" s="55">
        <f t="shared" si="14"/>
        <v>350</v>
      </c>
      <c r="M27" s="55">
        <f t="shared" si="14"/>
        <v>350</v>
      </c>
      <c r="N27" s="55">
        <f t="shared" si="14"/>
        <v>350</v>
      </c>
      <c r="O27" s="55">
        <f t="shared" si="14"/>
        <v>350</v>
      </c>
      <c r="P27" s="55">
        <f t="shared" si="14"/>
        <v>350</v>
      </c>
      <c r="Q27" s="55">
        <f t="shared" si="14"/>
        <v>350</v>
      </c>
      <c r="T27" s="54" t="s">
        <v>25</v>
      </c>
    </row>
    <row r="28" spans="1:22" s="54" customFormat="1" x14ac:dyDescent="0.25">
      <c r="A28" s="62"/>
      <c r="B28" s="62"/>
      <c r="C28" s="62"/>
      <c r="D28" s="62"/>
      <c r="E28" s="91"/>
      <c r="F28" s="55"/>
      <c r="G28" s="55"/>
      <c r="H28" s="55"/>
      <c r="I28" s="55"/>
      <c r="J28" s="55"/>
      <c r="K28" s="55"/>
      <c r="L28" s="55"/>
      <c r="M28" s="55"/>
      <c r="N28" s="55"/>
      <c r="O28" s="55"/>
      <c r="P28" s="55"/>
      <c r="Q28" s="55"/>
    </row>
    <row r="29" spans="1:22" s="54" customFormat="1" x14ac:dyDescent="0.25">
      <c r="A29" s="27" t="s">
        <v>105</v>
      </c>
      <c r="B29" s="74"/>
      <c r="D29" s="55"/>
      <c r="E29" s="55"/>
      <c r="F29" s="55"/>
      <c r="G29" s="55"/>
      <c r="H29" s="55"/>
      <c r="I29" s="55"/>
      <c r="J29" s="55"/>
      <c r="K29" s="55"/>
      <c r="L29" s="55"/>
      <c r="M29" s="55"/>
      <c r="N29" s="55"/>
      <c r="O29" s="55"/>
      <c r="P29" s="55"/>
      <c r="Q29" s="55"/>
    </row>
    <row r="30" spans="1:22" s="54" customFormat="1" x14ac:dyDescent="0.25">
      <c r="A30" s="56" t="s">
        <v>197</v>
      </c>
      <c r="B30" s="56" t="s">
        <v>198</v>
      </c>
      <c r="D30" s="53" t="s">
        <v>77</v>
      </c>
      <c r="E30" s="58"/>
      <c r="F30" s="55">
        <v>6</v>
      </c>
      <c r="G30" s="55">
        <f t="shared" ref="G30:Q30" si="15">$F$30</f>
        <v>6</v>
      </c>
      <c r="H30" s="55">
        <f t="shared" si="15"/>
        <v>6</v>
      </c>
      <c r="I30" s="55">
        <f t="shared" si="15"/>
        <v>6</v>
      </c>
      <c r="J30" s="55">
        <f t="shared" si="15"/>
        <v>6</v>
      </c>
      <c r="K30" s="55">
        <f t="shared" si="15"/>
        <v>6</v>
      </c>
      <c r="L30" s="55">
        <f t="shared" si="15"/>
        <v>6</v>
      </c>
      <c r="M30" s="55">
        <f t="shared" si="15"/>
        <v>6</v>
      </c>
      <c r="N30" s="55">
        <f t="shared" si="15"/>
        <v>6</v>
      </c>
      <c r="O30" s="55">
        <f t="shared" si="15"/>
        <v>6</v>
      </c>
      <c r="P30" s="55">
        <f t="shared" si="15"/>
        <v>6</v>
      </c>
      <c r="Q30" s="55">
        <f t="shared" si="15"/>
        <v>6</v>
      </c>
      <c r="R30" s="54" t="s">
        <v>199</v>
      </c>
      <c r="T30" s="54" t="s">
        <v>7</v>
      </c>
    </row>
    <row r="31" spans="1:22" s="54" customFormat="1" x14ac:dyDescent="0.25">
      <c r="A31" s="54" t="s">
        <v>200</v>
      </c>
      <c r="B31" s="54" t="s">
        <v>201</v>
      </c>
      <c r="C31" s="54" t="s">
        <v>202</v>
      </c>
      <c r="D31" s="55" t="s">
        <v>70</v>
      </c>
      <c r="E31" s="55"/>
      <c r="F31" s="55">
        <v>2.37</v>
      </c>
      <c r="G31" s="55">
        <f t="shared" ref="G31:Q31" si="16">$F$31</f>
        <v>2.37</v>
      </c>
      <c r="H31" s="55">
        <f t="shared" si="16"/>
        <v>2.37</v>
      </c>
      <c r="I31" s="55">
        <f t="shared" si="16"/>
        <v>2.37</v>
      </c>
      <c r="J31" s="55">
        <f t="shared" si="16"/>
        <v>2.37</v>
      </c>
      <c r="K31" s="55">
        <f t="shared" si="16"/>
        <v>2.37</v>
      </c>
      <c r="L31" s="55">
        <f t="shared" si="16"/>
        <v>2.37</v>
      </c>
      <c r="M31" s="55">
        <f t="shared" si="16"/>
        <v>2.37</v>
      </c>
      <c r="N31" s="55">
        <f t="shared" si="16"/>
        <v>2.37</v>
      </c>
      <c r="O31" s="55">
        <f t="shared" si="16"/>
        <v>2.37</v>
      </c>
      <c r="P31" s="55">
        <f t="shared" si="16"/>
        <v>2.37</v>
      </c>
      <c r="Q31" s="55">
        <f t="shared" si="16"/>
        <v>2.37</v>
      </c>
      <c r="R31" s="54" t="s">
        <v>203</v>
      </c>
      <c r="T31" s="54" t="s">
        <v>7</v>
      </c>
    </row>
    <row r="32" spans="1:22" s="54" customFormat="1" ht="30" x14ac:dyDescent="0.25">
      <c r="A32" s="56" t="s">
        <v>204</v>
      </c>
      <c r="B32" s="56" t="s">
        <v>205</v>
      </c>
      <c r="C32" s="54" t="s">
        <v>170</v>
      </c>
      <c r="D32" s="55" t="s">
        <v>70</v>
      </c>
      <c r="E32" s="55"/>
      <c r="F32" s="55"/>
      <c r="G32" s="55">
        <v>38</v>
      </c>
      <c r="H32" s="55">
        <v>35.5</v>
      </c>
      <c r="I32" s="55">
        <f>AVERAGE(G32,H32)</f>
        <v>36.75</v>
      </c>
      <c r="J32" s="55">
        <f>I32</f>
        <v>36.75</v>
      </c>
      <c r="K32" s="55">
        <f>J32</f>
        <v>36.75</v>
      </c>
      <c r="L32" s="55">
        <f>K32</f>
        <v>36.75</v>
      </c>
      <c r="M32" s="55">
        <f>L32</f>
        <v>36.75</v>
      </c>
      <c r="N32" s="55">
        <f>M32</f>
        <v>36.75</v>
      </c>
      <c r="O32" s="55">
        <f>320-SUM(G32:N32)</f>
        <v>26</v>
      </c>
      <c r="P32" s="55"/>
      <c r="Q32" s="55"/>
      <c r="R32" s="56" t="s">
        <v>206</v>
      </c>
      <c r="S32" s="54" t="s">
        <v>207</v>
      </c>
      <c r="T32" s="54" t="s">
        <v>208</v>
      </c>
      <c r="U32" s="84" t="s">
        <v>209</v>
      </c>
      <c r="V32" s="54" t="s">
        <v>7</v>
      </c>
    </row>
    <row r="33" spans="1:20" s="54" customFormat="1" ht="45" x14ac:dyDescent="0.25">
      <c r="A33" s="54" t="s">
        <v>210</v>
      </c>
      <c r="B33" s="54" t="s">
        <v>211</v>
      </c>
      <c r="D33" s="53" t="s">
        <v>77</v>
      </c>
      <c r="E33" s="55"/>
      <c r="F33" s="55">
        <v>13</v>
      </c>
      <c r="G33" s="55">
        <f t="shared" ref="G33:Q33" si="17">$F$33</f>
        <v>13</v>
      </c>
      <c r="H33" s="55">
        <f t="shared" si="17"/>
        <v>13</v>
      </c>
      <c r="I33" s="55">
        <f t="shared" si="17"/>
        <v>13</v>
      </c>
      <c r="J33" s="55">
        <f t="shared" si="17"/>
        <v>13</v>
      </c>
      <c r="K33" s="55">
        <f t="shared" si="17"/>
        <v>13</v>
      </c>
      <c r="L33" s="55">
        <f t="shared" si="17"/>
        <v>13</v>
      </c>
      <c r="M33" s="55">
        <f t="shared" si="17"/>
        <v>13</v>
      </c>
      <c r="N33" s="55">
        <f t="shared" si="17"/>
        <v>13</v>
      </c>
      <c r="O33" s="55">
        <f t="shared" si="17"/>
        <v>13</v>
      </c>
      <c r="P33" s="55">
        <f t="shared" si="17"/>
        <v>13</v>
      </c>
      <c r="Q33" s="55">
        <f t="shared" si="17"/>
        <v>13</v>
      </c>
      <c r="R33" s="56" t="s">
        <v>212</v>
      </c>
      <c r="S33" s="54" t="s">
        <v>213</v>
      </c>
      <c r="T33" s="54" t="s">
        <v>7</v>
      </c>
    </row>
    <row r="34" spans="1:20" s="54" customFormat="1" x14ac:dyDescent="0.25">
      <c r="A34" s="54" t="s">
        <v>214</v>
      </c>
      <c r="B34" s="54" t="s">
        <v>211</v>
      </c>
      <c r="C34" s="54" t="s">
        <v>160</v>
      </c>
      <c r="D34" s="53" t="s">
        <v>77</v>
      </c>
      <c r="E34" s="55"/>
      <c r="F34" s="73">
        <f>AVERAGE(G34:H34)</f>
        <v>467.5</v>
      </c>
      <c r="G34" s="73">
        <v>421</v>
      </c>
      <c r="H34" s="73">
        <v>514</v>
      </c>
      <c r="I34" s="55">
        <f t="shared" ref="I34:Q34" si="18">$F$34</f>
        <v>467.5</v>
      </c>
      <c r="J34" s="55">
        <f t="shared" si="18"/>
        <v>467.5</v>
      </c>
      <c r="K34" s="55">
        <f t="shared" si="18"/>
        <v>467.5</v>
      </c>
      <c r="L34" s="55">
        <f t="shared" si="18"/>
        <v>467.5</v>
      </c>
      <c r="M34" s="55">
        <f t="shared" si="18"/>
        <v>467.5</v>
      </c>
      <c r="N34" s="55">
        <f t="shared" si="18"/>
        <v>467.5</v>
      </c>
      <c r="O34" s="55">
        <f t="shared" si="18"/>
        <v>467.5</v>
      </c>
      <c r="P34" s="55">
        <f t="shared" si="18"/>
        <v>467.5</v>
      </c>
      <c r="Q34" s="55">
        <f t="shared" si="18"/>
        <v>467.5</v>
      </c>
      <c r="R34" s="56"/>
      <c r="T34" s="54" t="s">
        <v>13</v>
      </c>
    </row>
    <row r="35" spans="1:20" s="54" customFormat="1" x14ac:dyDescent="0.25">
      <c r="A35" s="113" t="s">
        <v>215</v>
      </c>
      <c r="B35" s="113" t="s">
        <v>211</v>
      </c>
      <c r="C35" s="113" t="s">
        <v>160</v>
      </c>
      <c r="D35" s="53" t="s">
        <v>77</v>
      </c>
      <c r="E35" s="55"/>
      <c r="F35" s="55">
        <v>71</v>
      </c>
      <c r="G35" s="55">
        <f t="shared" ref="G35:Q35" si="19">$F$35</f>
        <v>71</v>
      </c>
      <c r="H35" s="55">
        <f t="shared" si="19"/>
        <v>71</v>
      </c>
      <c r="I35" s="55">
        <f t="shared" si="19"/>
        <v>71</v>
      </c>
      <c r="J35" s="55">
        <f t="shared" si="19"/>
        <v>71</v>
      </c>
      <c r="K35" s="55">
        <f t="shared" si="19"/>
        <v>71</v>
      </c>
      <c r="L35" s="55">
        <f t="shared" si="19"/>
        <v>71</v>
      </c>
      <c r="M35" s="55">
        <f t="shared" si="19"/>
        <v>71</v>
      </c>
      <c r="N35" s="55">
        <f t="shared" si="19"/>
        <v>71</v>
      </c>
      <c r="O35" s="55">
        <f t="shared" si="19"/>
        <v>71</v>
      </c>
      <c r="P35" s="55">
        <f t="shared" si="19"/>
        <v>71</v>
      </c>
      <c r="Q35" s="55">
        <f t="shared" si="19"/>
        <v>71</v>
      </c>
      <c r="R35" s="56"/>
      <c r="T35" s="54" t="s">
        <v>13</v>
      </c>
    </row>
    <row r="36" spans="1:20" s="54" customFormat="1" x14ac:dyDescent="0.25">
      <c r="A36" s="113" t="s">
        <v>216</v>
      </c>
      <c r="B36" s="113" t="s">
        <v>211</v>
      </c>
      <c r="C36" s="113"/>
      <c r="D36" s="53" t="s">
        <v>77</v>
      </c>
      <c r="E36" s="117"/>
      <c r="F36" s="55">
        <f>631-SUM(F34:F35)</f>
        <v>92.5</v>
      </c>
      <c r="G36" s="55">
        <f t="shared" ref="G36:Q36" si="20">$F$36</f>
        <v>92.5</v>
      </c>
      <c r="H36" s="55">
        <f t="shared" si="20"/>
        <v>92.5</v>
      </c>
      <c r="I36" s="55">
        <f t="shared" si="20"/>
        <v>92.5</v>
      </c>
      <c r="J36" s="55">
        <f t="shared" si="20"/>
        <v>92.5</v>
      </c>
      <c r="K36" s="55">
        <f t="shared" si="20"/>
        <v>92.5</v>
      </c>
      <c r="L36" s="55">
        <f t="shared" si="20"/>
        <v>92.5</v>
      </c>
      <c r="M36" s="55">
        <f t="shared" si="20"/>
        <v>92.5</v>
      </c>
      <c r="N36" s="55">
        <f t="shared" si="20"/>
        <v>92.5</v>
      </c>
      <c r="O36" s="55">
        <f t="shared" si="20"/>
        <v>92.5</v>
      </c>
      <c r="P36" s="55">
        <f t="shared" si="20"/>
        <v>92.5</v>
      </c>
      <c r="Q36" s="55">
        <f t="shared" si="20"/>
        <v>92.5</v>
      </c>
      <c r="R36" s="56"/>
      <c r="T36" s="113" t="s">
        <v>217</v>
      </c>
    </row>
    <row r="37" spans="1:20" s="54" customFormat="1" x14ac:dyDescent="0.25">
      <c r="A37" s="54" t="s">
        <v>218</v>
      </c>
      <c r="B37" s="54" t="s">
        <v>211</v>
      </c>
      <c r="D37" s="82"/>
      <c r="E37" s="55"/>
      <c r="F37" s="57" t="s">
        <v>178</v>
      </c>
      <c r="G37" s="55"/>
      <c r="H37" s="55"/>
      <c r="I37" s="55"/>
      <c r="J37" s="55"/>
      <c r="K37" s="55"/>
      <c r="L37" s="55"/>
      <c r="M37" s="55"/>
      <c r="N37" s="55"/>
      <c r="O37" s="55"/>
      <c r="P37" s="55"/>
      <c r="Q37" s="55"/>
      <c r="R37" s="56"/>
      <c r="T37" s="54" t="s">
        <v>13</v>
      </c>
    </row>
    <row r="38" spans="1:20" s="54" customFormat="1" x14ac:dyDescent="0.25">
      <c r="A38" s="54" t="s">
        <v>219</v>
      </c>
      <c r="B38" s="54" t="s">
        <v>211</v>
      </c>
      <c r="D38" s="82"/>
      <c r="E38" s="55"/>
      <c r="F38" s="57" t="s">
        <v>178</v>
      </c>
      <c r="G38" s="55"/>
      <c r="H38" s="55"/>
      <c r="I38" s="55"/>
      <c r="J38" s="55"/>
      <c r="K38" s="55"/>
      <c r="L38" s="55"/>
      <c r="M38" s="55"/>
      <c r="N38" s="55"/>
      <c r="O38" s="55"/>
      <c r="P38" s="55"/>
      <c r="Q38" s="55"/>
      <c r="R38" s="56"/>
      <c r="T38" s="54" t="s">
        <v>13</v>
      </c>
    </row>
    <row r="39" spans="1:20" s="54" customFormat="1" x14ac:dyDescent="0.25">
      <c r="A39" s="54" t="s">
        <v>220</v>
      </c>
      <c r="B39" s="54" t="s">
        <v>211</v>
      </c>
      <c r="D39" s="82"/>
      <c r="E39" s="55"/>
      <c r="F39" s="57" t="s">
        <v>178</v>
      </c>
      <c r="G39" s="55"/>
      <c r="H39" s="55"/>
      <c r="I39" s="55"/>
      <c r="J39" s="55"/>
      <c r="K39" s="55"/>
      <c r="L39" s="55"/>
      <c r="M39" s="55"/>
      <c r="N39" s="55"/>
      <c r="O39" s="55"/>
      <c r="P39" s="55"/>
      <c r="Q39" s="55"/>
      <c r="R39" s="56"/>
      <c r="T39" s="54" t="s">
        <v>13</v>
      </c>
    </row>
    <row r="40" spans="1:20" s="54" customFormat="1" x14ac:dyDescent="0.25">
      <c r="A40" s="54" t="s">
        <v>221</v>
      </c>
      <c r="B40" s="54" t="s">
        <v>211</v>
      </c>
      <c r="D40" s="82"/>
      <c r="E40" s="55"/>
      <c r="F40" s="57" t="s">
        <v>178</v>
      </c>
      <c r="G40" s="55"/>
      <c r="H40" s="55"/>
      <c r="I40" s="55"/>
      <c r="J40" s="55"/>
      <c r="K40" s="55"/>
      <c r="L40" s="55"/>
      <c r="M40" s="55"/>
      <c r="N40" s="55"/>
      <c r="O40" s="55"/>
      <c r="P40" s="55"/>
      <c r="Q40" s="55"/>
      <c r="R40" s="56"/>
      <c r="T40" s="54" t="s">
        <v>13</v>
      </c>
    </row>
    <row r="41" spans="1:20" s="54" customFormat="1" x14ac:dyDescent="0.25">
      <c r="A41" s="54" t="s">
        <v>222</v>
      </c>
      <c r="B41" s="54" t="s">
        <v>211</v>
      </c>
      <c r="D41" s="82"/>
      <c r="E41" s="55"/>
      <c r="F41" s="57" t="s">
        <v>178</v>
      </c>
      <c r="G41" s="55"/>
      <c r="H41" s="55"/>
      <c r="I41" s="55"/>
      <c r="J41" s="55"/>
      <c r="K41" s="55"/>
      <c r="L41" s="55"/>
      <c r="M41" s="55"/>
      <c r="N41" s="55"/>
      <c r="O41" s="55"/>
      <c r="P41" s="55"/>
      <c r="Q41" s="55"/>
      <c r="R41" s="56"/>
      <c r="T41" s="54" t="s">
        <v>13</v>
      </c>
    </row>
    <row r="42" spans="1:20" s="54" customFormat="1" x14ac:dyDescent="0.25">
      <c r="A42" s="113" t="s">
        <v>223</v>
      </c>
      <c r="B42" s="113" t="s">
        <v>211</v>
      </c>
      <c r="C42" s="113"/>
      <c r="D42" s="53" t="s">
        <v>77</v>
      </c>
      <c r="E42" s="117"/>
      <c r="F42" s="55">
        <v>177</v>
      </c>
      <c r="G42" s="55">
        <f t="shared" ref="G42:Q42" si="21">$F$42</f>
        <v>177</v>
      </c>
      <c r="H42" s="55">
        <f t="shared" si="21"/>
        <v>177</v>
      </c>
      <c r="I42" s="55">
        <f t="shared" si="21"/>
        <v>177</v>
      </c>
      <c r="J42" s="55">
        <f t="shared" si="21"/>
        <v>177</v>
      </c>
      <c r="K42" s="55">
        <f t="shared" si="21"/>
        <v>177</v>
      </c>
      <c r="L42" s="55">
        <f t="shared" si="21"/>
        <v>177</v>
      </c>
      <c r="M42" s="55">
        <f t="shared" si="21"/>
        <v>177</v>
      </c>
      <c r="N42" s="55">
        <f t="shared" si="21"/>
        <v>177</v>
      </c>
      <c r="O42" s="55">
        <f t="shared" si="21"/>
        <v>177</v>
      </c>
      <c r="P42" s="55">
        <f t="shared" si="21"/>
        <v>177</v>
      </c>
      <c r="Q42" s="55">
        <f t="shared" si="21"/>
        <v>177</v>
      </c>
      <c r="R42" s="56"/>
      <c r="T42" s="113" t="s">
        <v>13</v>
      </c>
    </row>
    <row r="43" spans="1:20" s="54" customFormat="1" x14ac:dyDescent="0.25">
      <c r="A43" s="54" t="s">
        <v>224</v>
      </c>
      <c r="B43" s="54" t="s">
        <v>211</v>
      </c>
      <c r="D43" s="82"/>
      <c r="E43" s="55"/>
      <c r="F43" s="57" t="s">
        <v>178</v>
      </c>
      <c r="G43" s="55"/>
      <c r="H43" s="55"/>
      <c r="I43" s="55"/>
      <c r="J43" s="55"/>
      <c r="K43" s="55"/>
      <c r="L43" s="55"/>
      <c r="M43" s="55"/>
      <c r="N43" s="55"/>
      <c r="O43" s="55"/>
      <c r="P43" s="55"/>
      <c r="Q43" s="55"/>
      <c r="R43" s="56"/>
      <c r="T43" s="54" t="s">
        <v>13</v>
      </c>
    </row>
    <row r="44" spans="1:20" s="54" customFormat="1" x14ac:dyDescent="0.25">
      <c r="A44" s="54" t="s">
        <v>225</v>
      </c>
      <c r="B44" s="54" t="s">
        <v>211</v>
      </c>
      <c r="D44" s="53" t="s">
        <v>77</v>
      </c>
      <c r="E44" s="55"/>
      <c r="F44" s="55">
        <v>29.3</v>
      </c>
      <c r="G44" s="55">
        <f t="shared" ref="G44:Q44" si="22">$F$44</f>
        <v>29.3</v>
      </c>
      <c r="H44" s="55">
        <f t="shared" si="22"/>
        <v>29.3</v>
      </c>
      <c r="I44" s="55">
        <f t="shared" si="22"/>
        <v>29.3</v>
      </c>
      <c r="J44" s="55">
        <f t="shared" si="22"/>
        <v>29.3</v>
      </c>
      <c r="K44" s="55">
        <f t="shared" si="22"/>
        <v>29.3</v>
      </c>
      <c r="L44" s="55">
        <f t="shared" si="22"/>
        <v>29.3</v>
      </c>
      <c r="M44" s="55">
        <f t="shared" si="22"/>
        <v>29.3</v>
      </c>
      <c r="N44" s="55">
        <f t="shared" si="22"/>
        <v>29.3</v>
      </c>
      <c r="O44" s="55">
        <f t="shared" si="22"/>
        <v>29.3</v>
      </c>
      <c r="P44" s="55">
        <f t="shared" si="22"/>
        <v>29.3</v>
      </c>
      <c r="Q44" s="55">
        <f t="shared" si="22"/>
        <v>29.3</v>
      </c>
      <c r="R44" s="56"/>
      <c r="T44" s="54" t="s">
        <v>13</v>
      </c>
    </row>
    <row r="45" spans="1:20" s="54" customFormat="1" x14ac:dyDescent="0.25">
      <c r="A45" s="54" t="s">
        <v>226</v>
      </c>
      <c r="B45" s="54" t="s">
        <v>211</v>
      </c>
      <c r="D45" s="55" t="s">
        <v>70</v>
      </c>
      <c r="E45" s="55"/>
      <c r="F45" s="55">
        <v>11</v>
      </c>
      <c r="G45" s="55">
        <f t="shared" ref="G45:Q45" si="23">$F$45</f>
        <v>11</v>
      </c>
      <c r="H45" s="55">
        <f t="shared" si="23"/>
        <v>11</v>
      </c>
      <c r="I45" s="55">
        <f t="shared" si="23"/>
        <v>11</v>
      </c>
      <c r="J45" s="55">
        <f t="shared" si="23"/>
        <v>11</v>
      </c>
      <c r="K45" s="55">
        <f t="shared" si="23"/>
        <v>11</v>
      </c>
      <c r="L45" s="55">
        <f t="shared" si="23"/>
        <v>11</v>
      </c>
      <c r="M45" s="55">
        <f t="shared" si="23"/>
        <v>11</v>
      </c>
      <c r="N45" s="55">
        <f t="shared" si="23"/>
        <v>11</v>
      </c>
      <c r="O45" s="55">
        <f t="shared" si="23"/>
        <v>11</v>
      </c>
      <c r="P45" s="55">
        <f t="shared" si="23"/>
        <v>11</v>
      </c>
      <c r="Q45" s="55">
        <f t="shared" si="23"/>
        <v>11</v>
      </c>
      <c r="R45" s="56"/>
      <c r="S45" s="54" t="s">
        <v>227</v>
      </c>
      <c r="T45" s="54" t="s">
        <v>13</v>
      </c>
    </row>
    <row r="46" spans="1:20" s="54" customFormat="1" x14ac:dyDescent="0.25">
      <c r="A46" s="54" t="s">
        <v>228</v>
      </c>
      <c r="B46" s="54" t="s">
        <v>211</v>
      </c>
      <c r="D46" s="55" t="s">
        <v>70</v>
      </c>
      <c r="E46" s="55"/>
      <c r="F46" s="55">
        <v>3</v>
      </c>
      <c r="G46" s="55">
        <f t="shared" ref="G46:Q46" si="24">$F$46</f>
        <v>3</v>
      </c>
      <c r="H46" s="55">
        <f t="shared" si="24"/>
        <v>3</v>
      </c>
      <c r="I46" s="55">
        <f t="shared" si="24"/>
        <v>3</v>
      </c>
      <c r="J46" s="55">
        <f t="shared" si="24"/>
        <v>3</v>
      </c>
      <c r="K46" s="55">
        <f t="shared" si="24"/>
        <v>3</v>
      </c>
      <c r="L46" s="55">
        <f t="shared" si="24"/>
        <v>3</v>
      </c>
      <c r="M46" s="55">
        <f t="shared" si="24"/>
        <v>3</v>
      </c>
      <c r="N46" s="55">
        <f t="shared" si="24"/>
        <v>3</v>
      </c>
      <c r="O46" s="55">
        <f t="shared" si="24"/>
        <v>3</v>
      </c>
      <c r="P46" s="55">
        <f t="shared" si="24"/>
        <v>3</v>
      </c>
      <c r="Q46" s="55">
        <f t="shared" si="24"/>
        <v>3</v>
      </c>
      <c r="R46" s="56"/>
      <c r="T46" s="54" t="s">
        <v>13</v>
      </c>
    </row>
    <row r="47" spans="1:20" s="54" customFormat="1" x14ac:dyDescent="0.25">
      <c r="A47" s="54" t="s">
        <v>229</v>
      </c>
      <c r="B47" s="54" t="s">
        <v>211</v>
      </c>
      <c r="D47" s="55" t="s">
        <v>70</v>
      </c>
      <c r="E47" s="55"/>
      <c r="F47" s="73">
        <f>AVERAGE(G47:H47)</f>
        <v>15</v>
      </c>
      <c r="G47" s="73">
        <v>12</v>
      </c>
      <c r="H47" s="73">
        <v>18</v>
      </c>
      <c r="I47" s="55">
        <f t="shared" ref="I47:Q47" si="25">$F$47</f>
        <v>15</v>
      </c>
      <c r="J47" s="55">
        <f t="shared" si="25"/>
        <v>15</v>
      </c>
      <c r="K47" s="55">
        <f t="shared" si="25"/>
        <v>15</v>
      </c>
      <c r="L47" s="55">
        <f t="shared" si="25"/>
        <v>15</v>
      </c>
      <c r="M47" s="55">
        <f t="shared" si="25"/>
        <v>15</v>
      </c>
      <c r="N47" s="55">
        <f t="shared" si="25"/>
        <v>15</v>
      </c>
      <c r="O47" s="55">
        <f t="shared" si="25"/>
        <v>15</v>
      </c>
      <c r="P47" s="55">
        <f t="shared" si="25"/>
        <v>15</v>
      </c>
      <c r="Q47" s="55">
        <f t="shared" si="25"/>
        <v>15</v>
      </c>
      <c r="R47" s="56"/>
      <c r="T47" s="54" t="s">
        <v>13</v>
      </c>
    </row>
    <row r="48" spans="1:20" s="54" customFormat="1" x14ac:dyDescent="0.25">
      <c r="A48" s="54" t="s">
        <v>230</v>
      </c>
      <c r="B48" s="54" t="s">
        <v>211</v>
      </c>
      <c r="D48" s="82"/>
      <c r="E48" s="55"/>
      <c r="F48" s="57" t="s">
        <v>178</v>
      </c>
      <c r="G48" s="73"/>
      <c r="H48" s="73"/>
      <c r="I48" s="55"/>
      <c r="J48" s="55"/>
      <c r="K48" s="55"/>
      <c r="L48" s="55"/>
      <c r="M48" s="55"/>
      <c r="N48" s="55"/>
      <c r="O48" s="55"/>
      <c r="P48" s="55"/>
      <c r="Q48" s="55"/>
      <c r="R48" s="56"/>
      <c r="T48" s="54" t="s">
        <v>13</v>
      </c>
    </row>
    <row r="49" spans="1:20" s="54" customFormat="1" x14ac:dyDescent="0.25">
      <c r="A49" s="54" t="s">
        <v>231</v>
      </c>
      <c r="B49" s="54" t="s">
        <v>211</v>
      </c>
      <c r="D49" s="82"/>
      <c r="E49" s="55"/>
      <c r="F49" s="57" t="s">
        <v>178</v>
      </c>
      <c r="G49" s="73"/>
      <c r="H49" s="73"/>
      <c r="I49" s="55"/>
      <c r="J49" s="55"/>
      <c r="K49" s="55"/>
      <c r="L49" s="55"/>
      <c r="M49" s="55"/>
      <c r="N49" s="55"/>
      <c r="O49" s="55"/>
      <c r="P49" s="55"/>
      <c r="Q49" s="55"/>
      <c r="R49" s="56"/>
      <c r="T49" s="54" t="s">
        <v>13</v>
      </c>
    </row>
    <row r="50" spans="1:20" s="54" customFormat="1" x14ac:dyDescent="0.25">
      <c r="A50" s="54" t="s">
        <v>232</v>
      </c>
      <c r="B50" s="54" t="s">
        <v>211</v>
      </c>
      <c r="D50" s="82"/>
      <c r="E50" s="55"/>
      <c r="F50" s="57" t="s">
        <v>178</v>
      </c>
      <c r="G50" s="73"/>
      <c r="H50" s="73"/>
      <c r="I50" s="55"/>
      <c r="J50" s="55"/>
      <c r="K50" s="55"/>
      <c r="L50" s="55"/>
      <c r="M50" s="55"/>
      <c r="N50" s="55"/>
      <c r="O50" s="55"/>
      <c r="P50" s="55"/>
      <c r="Q50" s="55"/>
      <c r="R50" s="56"/>
      <c r="T50" s="54" t="s">
        <v>13</v>
      </c>
    </row>
    <row r="51" spans="1:20" s="54" customFormat="1" x14ac:dyDescent="0.25">
      <c r="A51" s="54" t="s">
        <v>233</v>
      </c>
      <c r="B51" s="54" t="s">
        <v>211</v>
      </c>
      <c r="D51" s="82"/>
      <c r="E51" s="55"/>
      <c r="F51" s="57" t="s">
        <v>178</v>
      </c>
      <c r="G51" s="73"/>
      <c r="H51" s="73"/>
      <c r="I51" s="55"/>
      <c r="J51" s="55"/>
      <c r="K51" s="55"/>
      <c r="L51" s="55"/>
      <c r="M51" s="55"/>
      <c r="N51" s="55"/>
      <c r="O51" s="55"/>
      <c r="P51" s="55"/>
      <c r="Q51" s="55"/>
      <c r="R51" s="56"/>
      <c r="T51" s="54" t="s">
        <v>13</v>
      </c>
    </row>
    <row r="52" spans="1:20" s="54" customFormat="1" x14ac:dyDescent="0.25">
      <c r="A52" s="54" t="s">
        <v>234</v>
      </c>
      <c r="B52" s="54" t="s">
        <v>211</v>
      </c>
      <c r="D52" s="82"/>
      <c r="E52" s="55"/>
      <c r="F52" s="57" t="s">
        <v>178</v>
      </c>
      <c r="G52" s="73"/>
      <c r="H52" s="73"/>
      <c r="I52" s="55"/>
      <c r="J52" s="55"/>
      <c r="K52" s="55"/>
      <c r="L52" s="55"/>
      <c r="M52" s="55"/>
      <c r="N52" s="55"/>
      <c r="O52" s="55"/>
      <c r="P52" s="55"/>
      <c r="Q52" s="55"/>
      <c r="R52" s="56"/>
      <c r="T52" s="54" t="s">
        <v>13</v>
      </c>
    </row>
    <row r="53" spans="1:20" s="54" customFormat="1" x14ac:dyDescent="0.25">
      <c r="A53" s="54" t="s">
        <v>235</v>
      </c>
      <c r="B53" s="54" t="s">
        <v>236</v>
      </c>
      <c r="C53"/>
      <c r="D53" s="115" t="s">
        <v>77</v>
      </c>
      <c r="E53" s="55"/>
      <c r="F53" s="73">
        <f t="shared" ref="F53:F61" si="26">AVERAGE(G53:H53)</f>
        <v>248.6</v>
      </c>
      <c r="G53" s="73">
        <v>354.4</v>
      </c>
      <c r="H53" s="73">
        <v>142.80000000000001</v>
      </c>
      <c r="I53" s="86">
        <f t="shared" ref="I53:Q53" si="27">$F$53</f>
        <v>248.6</v>
      </c>
      <c r="J53" s="86">
        <f t="shared" si="27"/>
        <v>248.6</v>
      </c>
      <c r="K53" s="86">
        <f t="shared" si="27"/>
        <v>248.6</v>
      </c>
      <c r="L53" s="86">
        <f t="shared" si="27"/>
        <v>248.6</v>
      </c>
      <c r="M53" s="86">
        <f t="shared" si="27"/>
        <v>248.6</v>
      </c>
      <c r="N53" s="86">
        <f t="shared" si="27"/>
        <v>248.6</v>
      </c>
      <c r="O53" s="86">
        <f t="shared" si="27"/>
        <v>248.6</v>
      </c>
      <c r="P53" s="86">
        <f t="shared" si="27"/>
        <v>248.6</v>
      </c>
      <c r="Q53" s="86">
        <f t="shared" si="27"/>
        <v>248.6</v>
      </c>
      <c r="R53" s="56"/>
      <c r="T53" s="54" t="s">
        <v>13</v>
      </c>
    </row>
    <row r="54" spans="1:20" s="54" customFormat="1" x14ac:dyDescent="0.25">
      <c r="A54" s="54" t="s">
        <v>237</v>
      </c>
      <c r="B54" s="54" t="s">
        <v>236</v>
      </c>
      <c r="C54"/>
      <c r="D54" s="52" t="s">
        <v>74</v>
      </c>
      <c r="E54" s="55"/>
      <c r="F54" s="73">
        <f t="shared" si="26"/>
        <v>37.950000000000003</v>
      </c>
      <c r="G54" s="73">
        <v>68.7</v>
      </c>
      <c r="H54" s="73">
        <v>7.2</v>
      </c>
      <c r="I54" s="86">
        <f t="shared" ref="I54:Q54" si="28">$F$54</f>
        <v>37.950000000000003</v>
      </c>
      <c r="J54" s="86">
        <f t="shared" si="28"/>
        <v>37.950000000000003</v>
      </c>
      <c r="K54" s="86">
        <f t="shared" si="28"/>
        <v>37.950000000000003</v>
      </c>
      <c r="L54" s="86">
        <f t="shared" si="28"/>
        <v>37.950000000000003</v>
      </c>
      <c r="M54" s="86">
        <f t="shared" si="28"/>
        <v>37.950000000000003</v>
      </c>
      <c r="N54" s="86">
        <f t="shared" si="28"/>
        <v>37.950000000000003</v>
      </c>
      <c r="O54" s="86">
        <f t="shared" si="28"/>
        <v>37.950000000000003</v>
      </c>
      <c r="P54" s="86">
        <f t="shared" si="28"/>
        <v>37.950000000000003</v>
      </c>
      <c r="Q54" s="86">
        <f t="shared" si="28"/>
        <v>37.950000000000003</v>
      </c>
      <c r="R54" s="56"/>
      <c r="T54" s="54" t="s">
        <v>13</v>
      </c>
    </row>
    <row r="55" spans="1:20" s="54" customFormat="1" x14ac:dyDescent="0.25">
      <c r="A55" s="54" t="s">
        <v>238</v>
      </c>
      <c r="B55" s="54" t="s">
        <v>236</v>
      </c>
      <c r="C55"/>
      <c r="D55" s="52" t="s">
        <v>70</v>
      </c>
      <c r="E55" s="55"/>
      <c r="F55" s="73">
        <f t="shared" si="26"/>
        <v>4.8499999999999996</v>
      </c>
      <c r="G55" s="73">
        <v>9.1999999999999993</v>
      </c>
      <c r="H55" s="73">
        <v>0.5</v>
      </c>
      <c r="I55" s="86">
        <f t="shared" ref="I55:Q55" si="29">$F$55</f>
        <v>4.8499999999999996</v>
      </c>
      <c r="J55" s="86">
        <f t="shared" si="29"/>
        <v>4.8499999999999996</v>
      </c>
      <c r="K55" s="86">
        <f t="shared" si="29"/>
        <v>4.8499999999999996</v>
      </c>
      <c r="L55" s="86">
        <f t="shared" si="29"/>
        <v>4.8499999999999996</v>
      </c>
      <c r="M55" s="86">
        <f t="shared" si="29"/>
        <v>4.8499999999999996</v>
      </c>
      <c r="N55" s="86">
        <f t="shared" si="29"/>
        <v>4.8499999999999996</v>
      </c>
      <c r="O55" s="86">
        <f t="shared" si="29"/>
        <v>4.8499999999999996</v>
      </c>
      <c r="P55" s="86">
        <f t="shared" si="29"/>
        <v>4.8499999999999996</v>
      </c>
      <c r="Q55" s="86">
        <f t="shared" si="29"/>
        <v>4.8499999999999996</v>
      </c>
      <c r="R55" s="56"/>
      <c r="T55" s="54" t="s">
        <v>13</v>
      </c>
    </row>
    <row r="56" spans="1:20" s="54" customFormat="1" x14ac:dyDescent="0.25">
      <c r="A56" s="54" t="s">
        <v>239</v>
      </c>
      <c r="B56" s="54" t="s">
        <v>236</v>
      </c>
      <c r="C56"/>
      <c r="D56" s="52" t="s">
        <v>77</v>
      </c>
      <c r="E56" s="55"/>
      <c r="F56" s="73">
        <f t="shared" si="26"/>
        <v>12.9</v>
      </c>
      <c r="G56" s="73">
        <v>14.5</v>
      </c>
      <c r="H56" s="73">
        <v>11.3</v>
      </c>
      <c r="I56" s="86">
        <f t="shared" ref="I56:Q56" si="30">$F$56</f>
        <v>12.9</v>
      </c>
      <c r="J56" s="86">
        <f t="shared" si="30"/>
        <v>12.9</v>
      </c>
      <c r="K56" s="86">
        <f t="shared" si="30"/>
        <v>12.9</v>
      </c>
      <c r="L56" s="86">
        <f t="shared" si="30"/>
        <v>12.9</v>
      </c>
      <c r="M56" s="86">
        <f t="shared" si="30"/>
        <v>12.9</v>
      </c>
      <c r="N56" s="86">
        <f t="shared" si="30"/>
        <v>12.9</v>
      </c>
      <c r="O56" s="86">
        <f t="shared" si="30"/>
        <v>12.9</v>
      </c>
      <c r="P56" s="86">
        <f t="shared" si="30"/>
        <v>12.9</v>
      </c>
      <c r="Q56" s="86">
        <f t="shared" si="30"/>
        <v>12.9</v>
      </c>
      <c r="R56" s="56"/>
      <c r="T56" s="54" t="s">
        <v>13</v>
      </c>
    </row>
    <row r="57" spans="1:20" s="54" customFormat="1" x14ac:dyDescent="0.25">
      <c r="A57" s="54" t="s">
        <v>240</v>
      </c>
      <c r="B57" s="54" t="s">
        <v>236</v>
      </c>
      <c r="C57"/>
      <c r="D57" s="115" t="s">
        <v>70</v>
      </c>
      <c r="E57" s="55"/>
      <c r="F57" s="73">
        <f t="shared" si="26"/>
        <v>15.549999999999999</v>
      </c>
      <c r="G57" s="73">
        <v>25.9</v>
      </c>
      <c r="H57" s="73">
        <v>5.2</v>
      </c>
      <c r="I57" s="86">
        <f t="shared" ref="I57:Q57" si="31">$F$57</f>
        <v>15.549999999999999</v>
      </c>
      <c r="J57" s="86">
        <f t="shared" si="31"/>
        <v>15.549999999999999</v>
      </c>
      <c r="K57" s="86">
        <f t="shared" si="31"/>
        <v>15.549999999999999</v>
      </c>
      <c r="L57" s="86">
        <f t="shared" si="31"/>
        <v>15.549999999999999</v>
      </c>
      <c r="M57" s="86">
        <f t="shared" si="31"/>
        <v>15.549999999999999</v>
      </c>
      <c r="N57" s="86">
        <f t="shared" si="31"/>
        <v>15.549999999999999</v>
      </c>
      <c r="O57" s="86">
        <f t="shared" si="31"/>
        <v>15.549999999999999</v>
      </c>
      <c r="P57" s="86">
        <f t="shared" si="31"/>
        <v>15.549999999999999</v>
      </c>
      <c r="Q57" s="86">
        <f t="shared" si="31"/>
        <v>15.549999999999999</v>
      </c>
      <c r="R57" s="56"/>
      <c r="T57" s="54" t="s">
        <v>13</v>
      </c>
    </row>
    <row r="58" spans="1:20" s="54" customFormat="1" x14ac:dyDescent="0.25">
      <c r="A58" s="54" t="s">
        <v>241</v>
      </c>
      <c r="B58" s="54" t="s">
        <v>236</v>
      </c>
      <c r="C58"/>
      <c r="D58" s="52" t="s">
        <v>77</v>
      </c>
      <c r="E58" s="55"/>
      <c r="F58" s="73">
        <f t="shared" si="26"/>
        <v>2.25</v>
      </c>
      <c r="G58" s="73">
        <v>2</v>
      </c>
      <c r="H58" s="73">
        <v>2.5</v>
      </c>
      <c r="I58" s="86">
        <f t="shared" ref="I58:Q58" si="32">$F$58</f>
        <v>2.25</v>
      </c>
      <c r="J58" s="86">
        <f t="shared" si="32"/>
        <v>2.25</v>
      </c>
      <c r="K58" s="86">
        <f t="shared" si="32"/>
        <v>2.25</v>
      </c>
      <c r="L58" s="86">
        <f t="shared" si="32"/>
        <v>2.25</v>
      </c>
      <c r="M58" s="86">
        <f t="shared" si="32"/>
        <v>2.25</v>
      </c>
      <c r="N58" s="86">
        <f t="shared" si="32"/>
        <v>2.25</v>
      </c>
      <c r="O58" s="86">
        <f t="shared" si="32"/>
        <v>2.25</v>
      </c>
      <c r="P58" s="86">
        <f t="shared" si="32"/>
        <v>2.25</v>
      </c>
      <c r="Q58" s="86">
        <f t="shared" si="32"/>
        <v>2.25</v>
      </c>
      <c r="R58" s="56"/>
      <c r="T58" s="54" t="s">
        <v>13</v>
      </c>
    </row>
    <row r="59" spans="1:20" s="54" customFormat="1" x14ac:dyDescent="0.25">
      <c r="A59" s="54" t="s">
        <v>242</v>
      </c>
      <c r="B59" s="54" t="s">
        <v>236</v>
      </c>
      <c r="C59"/>
      <c r="D59" s="52" t="s">
        <v>74</v>
      </c>
      <c r="E59" s="55"/>
      <c r="F59" s="73">
        <f t="shared" si="26"/>
        <v>0.7</v>
      </c>
      <c r="G59" s="73">
        <v>0.9</v>
      </c>
      <c r="H59" s="73">
        <v>0.5</v>
      </c>
      <c r="I59" s="86">
        <f t="shared" ref="I59:Q59" si="33">$F$59</f>
        <v>0.7</v>
      </c>
      <c r="J59" s="86">
        <f t="shared" si="33"/>
        <v>0.7</v>
      </c>
      <c r="K59" s="86">
        <f t="shared" si="33"/>
        <v>0.7</v>
      </c>
      <c r="L59" s="86">
        <f t="shared" si="33"/>
        <v>0.7</v>
      </c>
      <c r="M59" s="86">
        <f t="shared" si="33"/>
        <v>0.7</v>
      </c>
      <c r="N59" s="86">
        <f t="shared" si="33"/>
        <v>0.7</v>
      </c>
      <c r="O59" s="86">
        <f t="shared" si="33"/>
        <v>0.7</v>
      </c>
      <c r="P59" s="86">
        <f t="shared" si="33"/>
        <v>0.7</v>
      </c>
      <c r="Q59" s="86">
        <f t="shared" si="33"/>
        <v>0.7</v>
      </c>
      <c r="R59" s="56"/>
      <c r="T59" s="54" t="s">
        <v>13</v>
      </c>
    </row>
    <row r="60" spans="1:20" s="54" customFormat="1" x14ac:dyDescent="0.25">
      <c r="A60" s="54" t="s">
        <v>243</v>
      </c>
      <c r="B60" s="54" t="s">
        <v>236</v>
      </c>
      <c r="C60"/>
      <c r="D60" s="52" t="s">
        <v>74</v>
      </c>
      <c r="E60" s="55"/>
      <c r="F60" s="73">
        <f t="shared" si="26"/>
        <v>0.1</v>
      </c>
      <c r="G60" s="73">
        <v>0.1</v>
      </c>
      <c r="H60" s="73">
        <v>0.1</v>
      </c>
      <c r="I60" s="86">
        <f t="shared" ref="I60:Q61" si="34">F60</f>
        <v>0.1</v>
      </c>
      <c r="J60" s="86">
        <f t="shared" si="34"/>
        <v>0.1</v>
      </c>
      <c r="K60" s="86">
        <f t="shared" si="34"/>
        <v>0.1</v>
      </c>
      <c r="L60" s="86">
        <f t="shared" si="34"/>
        <v>0.1</v>
      </c>
      <c r="M60" s="86">
        <f t="shared" si="34"/>
        <v>0.1</v>
      </c>
      <c r="N60" s="86">
        <f t="shared" si="34"/>
        <v>0.1</v>
      </c>
      <c r="O60" s="86">
        <f t="shared" si="34"/>
        <v>0.1</v>
      </c>
      <c r="P60" s="86">
        <f t="shared" si="34"/>
        <v>0.1</v>
      </c>
      <c r="Q60" s="86">
        <f t="shared" si="34"/>
        <v>0.1</v>
      </c>
      <c r="R60" s="56"/>
      <c r="T60" s="54" t="s">
        <v>13</v>
      </c>
    </row>
    <row r="61" spans="1:20" s="54" customFormat="1" x14ac:dyDescent="0.25">
      <c r="A61" s="54" t="s">
        <v>244</v>
      </c>
      <c r="B61" s="54" t="s">
        <v>236</v>
      </c>
      <c r="C61"/>
      <c r="D61" s="52" t="s">
        <v>111</v>
      </c>
      <c r="E61" s="55"/>
      <c r="F61" s="73">
        <f t="shared" si="26"/>
        <v>0.04</v>
      </c>
      <c r="G61" s="73">
        <v>0.04</v>
      </c>
      <c r="H61" s="73">
        <v>0.04</v>
      </c>
      <c r="I61" s="86">
        <f t="shared" si="34"/>
        <v>0.04</v>
      </c>
      <c r="J61" s="86">
        <f t="shared" si="34"/>
        <v>0.04</v>
      </c>
      <c r="K61" s="86">
        <f t="shared" si="34"/>
        <v>0.04</v>
      </c>
      <c r="L61" s="86">
        <f t="shared" si="34"/>
        <v>0.04</v>
      </c>
      <c r="M61" s="86">
        <f t="shared" si="34"/>
        <v>0.04</v>
      </c>
      <c r="N61" s="86">
        <f t="shared" si="34"/>
        <v>0.04</v>
      </c>
      <c r="O61" s="86">
        <f t="shared" si="34"/>
        <v>0.04</v>
      </c>
      <c r="P61" s="86">
        <f t="shared" si="34"/>
        <v>0.04</v>
      </c>
      <c r="Q61" s="86">
        <f t="shared" si="34"/>
        <v>0.04</v>
      </c>
      <c r="R61" s="56"/>
      <c r="T61" s="54" t="s">
        <v>13</v>
      </c>
    </row>
    <row r="62" spans="1:20" s="54" customFormat="1" x14ac:dyDescent="0.25">
      <c r="A62" s="54" t="s">
        <v>245</v>
      </c>
      <c r="B62" s="54" t="s">
        <v>236</v>
      </c>
      <c r="C62"/>
      <c r="D62" s="115" t="s">
        <v>77</v>
      </c>
      <c r="E62" s="55"/>
      <c r="F62" s="73">
        <f>1136-SUM(F59:F61)</f>
        <v>1135.1600000000001</v>
      </c>
      <c r="G62" s="73">
        <f t="shared" ref="G62:Q62" si="35">$F$62</f>
        <v>1135.1600000000001</v>
      </c>
      <c r="H62" s="73">
        <f t="shared" si="35"/>
        <v>1135.1600000000001</v>
      </c>
      <c r="I62" s="86">
        <f t="shared" si="35"/>
        <v>1135.1600000000001</v>
      </c>
      <c r="J62" s="86">
        <f t="shared" si="35"/>
        <v>1135.1600000000001</v>
      </c>
      <c r="K62" s="86">
        <f t="shared" si="35"/>
        <v>1135.1600000000001</v>
      </c>
      <c r="L62" s="86">
        <f t="shared" si="35"/>
        <v>1135.1600000000001</v>
      </c>
      <c r="M62" s="86">
        <f t="shared" si="35"/>
        <v>1135.1600000000001</v>
      </c>
      <c r="N62" s="86">
        <f t="shared" si="35"/>
        <v>1135.1600000000001</v>
      </c>
      <c r="O62" s="86">
        <f t="shared" si="35"/>
        <v>1135.1600000000001</v>
      </c>
      <c r="P62" s="86">
        <f t="shared" si="35"/>
        <v>1135.1600000000001</v>
      </c>
      <c r="Q62" s="86">
        <f t="shared" si="35"/>
        <v>1135.1600000000001</v>
      </c>
      <c r="R62" s="56"/>
      <c r="T62" s="54" t="s">
        <v>217</v>
      </c>
    </row>
    <row r="63" spans="1:20" s="54" customFormat="1" x14ac:dyDescent="0.25">
      <c r="A63" s="54" t="s">
        <v>246</v>
      </c>
      <c r="B63" s="54" t="s">
        <v>236</v>
      </c>
      <c r="C63"/>
      <c r="D63" s="83"/>
      <c r="E63" s="55"/>
      <c r="F63" s="57" t="s">
        <v>178</v>
      </c>
      <c r="G63" s="55"/>
      <c r="H63" s="55"/>
      <c r="I63" s="55"/>
      <c r="J63" s="55"/>
      <c r="K63" s="55"/>
      <c r="L63" s="55"/>
      <c r="M63" s="55"/>
      <c r="N63" s="55"/>
      <c r="O63" s="55"/>
      <c r="P63" s="55"/>
      <c r="Q63" s="55"/>
      <c r="R63" s="56"/>
      <c r="T63" s="54" t="s">
        <v>13</v>
      </c>
    </row>
    <row r="64" spans="1:20" s="54" customFormat="1" x14ac:dyDescent="0.25">
      <c r="A64" s="54" t="s">
        <v>247</v>
      </c>
      <c r="B64" s="54" t="s">
        <v>236</v>
      </c>
      <c r="C64"/>
      <c r="D64" s="83"/>
      <c r="E64" s="55"/>
      <c r="F64" s="57" t="s">
        <v>178</v>
      </c>
      <c r="G64" s="55"/>
      <c r="H64" s="55"/>
      <c r="I64" s="55"/>
      <c r="J64" s="55"/>
      <c r="K64" s="55"/>
      <c r="L64" s="55"/>
      <c r="M64" s="55"/>
      <c r="N64" s="55"/>
      <c r="O64" s="55"/>
      <c r="P64" s="55"/>
      <c r="Q64" s="55"/>
      <c r="R64" s="56"/>
      <c r="T64" s="54" t="s">
        <v>13</v>
      </c>
    </row>
    <row r="65" spans="1:21" s="54" customFormat="1" x14ac:dyDescent="0.25">
      <c r="A65" s="54" t="s">
        <v>248</v>
      </c>
      <c r="B65" s="54" t="s">
        <v>236</v>
      </c>
      <c r="C65"/>
      <c r="D65" s="83"/>
      <c r="E65" s="55"/>
      <c r="F65" s="57" t="s">
        <v>178</v>
      </c>
      <c r="G65" s="55"/>
      <c r="H65" s="55"/>
      <c r="I65" s="55"/>
      <c r="J65" s="55"/>
      <c r="K65" s="55"/>
      <c r="L65" s="55"/>
      <c r="M65" s="55"/>
      <c r="N65" s="55"/>
      <c r="O65" s="55"/>
      <c r="P65" s="55"/>
      <c r="Q65" s="55"/>
      <c r="R65" s="56"/>
      <c r="T65" s="54" t="s">
        <v>13</v>
      </c>
    </row>
    <row r="66" spans="1:21" s="54" customFormat="1" x14ac:dyDescent="0.25">
      <c r="A66" s="54" t="s">
        <v>249</v>
      </c>
      <c r="B66" s="54" t="s">
        <v>236</v>
      </c>
      <c r="D66" s="115" t="s">
        <v>77</v>
      </c>
      <c r="E66" s="55"/>
      <c r="F66" s="55">
        <f>AVERAGE(G66:H66,287)</f>
        <v>253.5</v>
      </c>
      <c r="G66" s="73">
        <v>248.5</v>
      </c>
      <c r="H66" s="73">
        <v>225</v>
      </c>
      <c r="I66" s="55">
        <f t="shared" ref="I66:Q66" si="36">$F$66</f>
        <v>253.5</v>
      </c>
      <c r="J66" s="55">
        <f t="shared" si="36"/>
        <v>253.5</v>
      </c>
      <c r="K66" s="55">
        <f t="shared" si="36"/>
        <v>253.5</v>
      </c>
      <c r="L66" s="55">
        <f t="shared" si="36"/>
        <v>253.5</v>
      </c>
      <c r="M66" s="55">
        <f t="shared" si="36"/>
        <v>253.5</v>
      </c>
      <c r="N66" s="55">
        <f t="shared" si="36"/>
        <v>253.5</v>
      </c>
      <c r="O66" s="55">
        <f t="shared" si="36"/>
        <v>253.5</v>
      </c>
      <c r="P66" s="55">
        <f t="shared" si="36"/>
        <v>253.5</v>
      </c>
      <c r="Q66" s="55">
        <f t="shared" si="36"/>
        <v>253.5</v>
      </c>
      <c r="R66" s="56"/>
      <c r="S66" s="54" t="s">
        <v>250</v>
      </c>
      <c r="T66" s="54" t="s">
        <v>13</v>
      </c>
      <c r="U66" s="54" t="s">
        <v>217</v>
      </c>
    </row>
    <row r="67" spans="1:21" s="54" customFormat="1" x14ac:dyDescent="0.25">
      <c r="A67" s="54" t="s">
        <v>251</v>
      </c>
      <c r="B67" s="54" t="s">
        <v>236</v>
      </c>
      <c r="D67" s="55" t="s">
        <v>70</v>
      </c>
      <c r="E67" s="55"/>
      <c r="F67" s="55">
        <f>AVERAGE(G67:H67)</f>
        <v>71.75</v>
      </c>
      <c r="G67" s="73">
        <v>70.5</v>
      </c>
      <c r="H67" s="73">
        <v>73</v>
      </c>
      <c r="I67" s="55">
        <f t="shared" ref="I67:Q67" si="37">$F$67</f>
        <v>71.75</v>
      </c>
      <c r="J67" s="55">
        <f t="shared" si="37"/>
        <v>71.75</v>
      </c>
      <c r="K67" s="55">
        <f t="shared" si="37"/>
        <v>71.75</v>
      </c>
      <c r="L67" s="55">
        <f t="shared" si="37"/>
        <v>71.75</v>
      </c>
      <c r="M67" s="55">
        <f t="shared" si="37"/>
        <v>71.75</v>
      </c>
      <c r="N67" s="55">
        <f t="shared" si="37"/>
        <v>71.75</v>
      </c>
      <c r="O67" s="55">
        <f t="shared" si="37"/>
        <v>71.75</v>
      </c>
      <c r="P67" s="55">
        <f t="shared" si="37"/>
        <v>71.75</v>
      </c>
      <c r="Q67" s="55">
        <f t="shared" si="37"/>
        <v>71.75</v>
      </c>
      <c r="R67" s="56"/>
      <c r="T67" s="54" t="s">
        <v>13</v>
      </c>
    </row>
    <row r="68" spans="1:21" s="54" customFormat="1" x14ac:dyDescent="0.25">
      <c r="A68" s="56" t="s">
        <v>252</v>
      </c>
      <c r="B68" s="54" t="s">
        <v>236</v>
      </c>
      <c r="D68" s="55" t="s">
        <v>70</v>
      </c>
      <c r="E68" s="55"/>
      <c r="F68" s="55">
        <f>AVERAGE(G68:H68)</f>
        <v>25.5</v>
      </c>
      <c r="G68" s="73">
        <v>25.5</v>
      </c>
      <c r="H68" s="73">
        <v>25.5</v>
      </c>
      <c r="I68" s="55">
        <f t="shared" ref="I68:Q68" si="38">$F$68</f>
        <v>25.5</v>
      </c>
      <c r="J68" s="55">
        <f t="shared" si="38"/>
        <v>25.5</v>
      </c>
      <c r="K68" s="55">
        <f t="shared" si="38"/>
        <v>25.5</v>
      </c>
      <c r="L68" s="55">
        <f t="shared" si="38"/>
        <v>25.5</v>
      </c>
      <c r="M68" s="55">
        <f t="shared" si="38"/>
        <v>25.5</v>
      </c>
      <c r="N68" s="55">
        <f t="shared" si="38"/>
        <v>25.5</v>
      </c>
      <c r="O68" s="55">
        <f t="shared" si="38"/>
        <v>25.5</v>
      </c>
      <c r="P68" s="55">
        <f t="shared" si="38"/>
        <v>25.5</v>
      </c>
      <c r="Q68" s="55">
        <f t="shared" si="38"/>
        <v>25.5</v>
      </c>
      <c r="R68" s="56"/>
      <c r="T68" s="54" t="s">
        <v>13</v>
      </c>
    </row>
    <row r="69" spans="1:21" s="54" customFormat="1" x14ac:dyDescent="0.25">
      <c r="A69" s="54" t="s">
        <v>253</v>
      </c>
      <c r="B69" s="54" t="s">
        <v>236</v>
      </c>
      <c r="D69" s="83"/>
      <c r="E69" s="55"/>
      <c r="F69" s="57" t="s">
        <v>178</v>
      </c>
      <c r="G69" s="73"/>
      <c r="H69" s="73"/>
      <c r="I69" s="55"/>
      <c r="J69" s="55"/>
      <c r="K69" s="55"/>
      <c r="L69" s="55"/>
      <c r="M69" s="55"/>
      <c r="N69" s="55"/>
      <c r="O69" s="55"/>
      <c r="P69" s="55"/>
      <c r="Q69" s="55"/>
      <c r="R69" s="56"/>
      <c r="T69" s="54" t="s">
        <v>13</v>
      </c>
    </row>
    <row r="70" spans="1:21" s="54" customFormat="1" x14ac:dyDescent="0.25">
      <c r="A70" s="54" t="s">
        <v>120</v>
      </c>
      <c r="B70" s="54" t="s">
        <v>254</v>
      </c>
      <c r="D70" s="83"/>
      <c r="E70" s="55"/>
      <c r="F70" s="57" t="s">
        <v>178</v>
      </c>
      <c r="G70" s="73"/>
      <c r="H70" s="73"/>
      <c r="I70" s="55"/>
      <c r="J70" s="55"/>
      <c r="K70" s="55"/>
      <c r="L70" s="55"/>
      <c r="M70" s="55"/>
      <c r="N70" s="55"/>
      <c r="O70" s="55"/>
      <c r="P70" s="55"/>
      <c r="Q70" s="55"/>
      <c r="R70" s="56"/>
      <c r="T70" s="54" t="s">
        <v>13</v>
      </c>
    </row>
    <row r="71" spans="1:21" s="54" customFormat="1" x14ac:dyDescent="0.25">
      <c r="A71" s="113" t="s">
        <v>255</v>
      </c>
      <c r="B71" s="113" t="s">
        <v>254</v>
      </c>
      <c r="C71" s="113"/>
      <c r="D71" s="116"/>
      <c r="E71" s="117"/>
      <c r="F71" s="118" t="s">
        <v>178</v>
      </c>
      <c r="G71" s="73"/>
      <c r="H71" s="73"/>
      <c r="I71" s="55"/>
      <c r="J71" s="55"/>
      <c r="K71" s="55"/>
      <c r="L71" s="55"/>
      <c r="M71" s="55"/>
      <c r="N71" s="55"/>
      <c r="O71" s="55"/>
      <c r="P71" s="55"/>
      <c r="Q71" s="55"/>
      <c r="R71" s="56"/>
      <c r="T71" s="54" t="s">
        <v>13</v>
      </c>
    </row>
    <row r="72" spans="1:21" s="54" customFormat="1" x14ac:dyDescent="0.25">
      <c r="A72" s="54" t="s">
        <v>256</v>
      </c>
      <c r="B72" s="54" t="s">
        <v>254</v>
      </c>
      <c r="D72" s="83"/>
      <c r="E72" s="55"/>
      <c r="F72" s="57" t="s">
        <v>178</v>
      </c>
      <c r="G72" s="73"/>
      <c r="H72" s="73"/>
      <c r="I72" s="55"/>
      <c r="J72" s="55"/>
      <c r="K72" s="55"/>
      <c r="L72" s="55"/>
      <c r="M72" s="55"/>
      <c r="N72" s="55"/>
      <c r="O72" s="55"/>
      <c r="P72" s="55"/>
      <c r="Q72" s="55"/>
      <c r="R72" s="56"/>
      <c r="T72" s="54" t="s">
        <v>13</v>
      </c>
    </row>
    <row r="73" spans="1:21" s="54" customFormat="1" x14ac:dyDescent="0.25">
      <c r="A73" s="54" t="s">
        <v>257</v>
      </c>
      <c r="B73" s="54" t="s">
        <v>254</v>
      </c>
      <c r="D73" s="83"/>
      <c r="E73" s="55"/>
      <c r="F73" s="57" t="s">
        <v>178</v>
      </c>
      <c r="G73" s="73"/>
      <c r="H73" s="73"/>
      <c r="I73" s="55"/>
      <c r="J73" s="55"/>
      <c r="K73" s="55"/>
      <c r="L73" s="55"/>
      <c r="M73" s="55"/>
      <c r="N73" s="55"/>
      <c r="O73" s="55"/>
      <c r="P73" s="55"/>
      <c r="Q73" s="55"/>
      <c r="R73" s="56"/>
      <c r="T73" s="54" t="s">
        <v>13</v>
      </c>
    </row>
    <row r="74" spans="1:21" s="54" customFormat="1" x14ac:dyDescent="0.25">
      <c r="A74" s="54" t="s">
        <v>258</v>
      </c>
      <c r="B74" s="54" t="s">
        <v>254</v>
      </c>
      <c r="D74" s="83"/>
      <c r="E74" s="55"/>
      <c r="F74" s="57" t="s">
        <v>178</v>
      </c>
      <c r="G74" s="73"/>
      <c r="H74" s="73"/>
      <c r="I74" s="55"/>
      <c r="J74" s="55"/>
      <c r="K74" s="55"/>
      <c r="L74" s="55"/>
      <c r="M74" s="55"/>
      <c r="N74" s="55"/>
      <c r="O74" s="55"/>
      <c r="P74" s="55"/>
      <c r="Q74" s="55"/>
      <c r="R74" s="56"/>
      <c r="T74" s="54" t="s">
        <v>13</v>
      </c>
    </row>
    <row r="75" spans="1:21" s="54" customFormat="1" x14ac:dyDescent="0.25">
      <c r="A75" s="54" t="s">
        <v>259</v>
      </c>
      <c r="B75" s="54" t="s">
        <v>254</v>
      </c>
      <c r="D75" s="83"/>
      <c r="E75" s="55"/>
      <c r="F75" s="57" t="s">
        <v>178</v>
      </c>
      <c r="G75" s="73"/>
      <c r="H75" s="73"/>
      <c r="I75" s="55"/>
      <c r="J75" s="55"/>
      <c r="K75" s="55"/>
      <c r="L75" s="55"/>
      <c r="M75" s="55"/>
      <c r="N75" s="55"/>
      <c r="O75" s="55"/>
      <c r="P75" s="55"/>
      <c r="Q75" s="55"/>
      <c r="R75" s="56"/>
      <c r="T75" s="54" t="s">
        <v>13</v>
      </c>
    </row>
    <row r="76" spans="1:21" s="54" customFormat="1" x14ac:dyDescent="0.25">
      <c r="A76" s="54" t="s">
        <v>260</v>
      </c>
      <c r="B76" s="54" t="s">
        <v>254</v>
      </c>
      <c r="D76" s="83"/>
      <c r="E76" s="55"/>
      <c r="F76" s="57" t="s">
        <v>178</v>
      </c>
      <c r="G76" s="73"/>
      <c r="H76" s="73"/>
      <c r="I76" s="55"/>
      <c r="J76" s="55"/>
      <c r="K76" s="55"/>
      <c r="L76" s="55"/>
      <c r="M76" s="55"/>
      <c r="N76" s="55"/>
      <c r="O76" s="55"/>
      <c r="P76" s="55"/>
      <c r="Q76" s="55"/>
      <c r="R76" s="56"/>
      <c r="T76" s="54" t="s">
        <v>13</v>
      </c>
    </row>
    <row r="77" spans="1:21" s="54" customFormat="1" x14ac:dyDescent="0.25">
      <c r="A77" s="54" t="s">
        <v>261</v>
      </c>
      <c r="B77" s="54" t="s">
        <v>254</v>
      </c>
      <c r="D77" s="52" t="s">
        <v>74</v>
      </c>
      <c r="E77" s="55"/>
      <c r="F77" s="55">
        <f>H77</f>
        <v>3.8</v>
      </c>
      <c r="G77" s="86">
        <f>$F$77</f>
        <v>3.8</v>
      </c>
      <c r="H77" s="73">
        <v>3.8</v>
      </c>
      <c r="I77" s="86">
        <f>$F$77</f>
        <v>3.8</v>
      </c>
      <c r="J77" s="55"/>
      <c r="K77" s="55"/>
      <c r="L77" s="55"/>
      <c r="M77" s="55"/>
      <c r="N77" s="55"/>
      <c r="O77" s="55"/>
      <c r="P77" s="55"/>
      <c r="Q77" s="55"/>
      <c r="R77" s="56"/>
      <c r="S77" s="54" t="s">
        <v>262</v>
      </c>
      <c r="T77" s="54" t="s">
        <v>13</v>
      </c>
    </row>
    <row r="78" spans="1:21" s="54" customFormat="1" x14ac:dyDescent="0.25">
      <c r="A78" s="113" t="s">
        <v>263</v>
      </c>
      <c r="B78" s="113" t="s">
        <v>254</v>
      </c>
      <c r="C78" s="113"/>
      <c r="D78" s="115" t="s">
        <v>70</v>
      </c>
      <c r="E78" s="117"/>
      <c r="F78" s="73">
        <f>AVERAGE(G78:H78)</f>
        <v>99.300000000000011</v>
      </c>
      <c r="G78" s="73">
        <v>93.7</v>
      </c>
      <c r="H78" s="73">
        <v>104.9</v>
      </c>
      <c r="I78" s="55">
        <f>$F$78</f>
        <v>99.300000000000011</v>
      </c>
      <c r="J78" s="55"/>
      <c r="K78" s="55"/>
      <c r="L78" s="55"/>
      <c r="M78" s="55"/>
      <c r="N78" s="55"/>
      <c r="O78" s="55"/>
      <c r="P78" s="55"/>
      <c r="Q78" s="55"/>
      <c r="R78" s="56"/>
      <c r="T78" s="113" t="s">
        <v>13</v>
      </c>
    </row>
    <row r="79" spans="1:21" s="54" customFormat="1" x14ac:dyDescent="0.25">
      <c r="A79" s="113" t="s">
        <v>264</v>
      </c>
      <c r="B79" s="54" t="s">
        <v>254</v>
      </c>
      <c r="D79" s="52" t="s">
        <v>74</v>
      </c>
      <c r="E79" s="55"/>
      <c r="F79" s="73">
        <f>AVERAGE(G79:H79)</f>
        <v>35.85</v>
      </c>
      <c r="G79" s="73">
        <v>36.200000000000003</v>
      </c>
      <c r="H79" s="73">
        <v>35.5</v>
      </c>
      <c r="I79" s="55">
        <f>$F$79</f>
        <v>35.85</v>
      </c>
      <c r="J79" s="55"/>
      <c r="K79" s="55"/>
      <c r="L79" s="55"/>
      <c r="M79" s="55"/>
      <c r="N79" s="55"/>
      <c r="O79" s="55"/>
      <c r="P79" s="55"/>
      <c r="Q79" s="55"/>
      <c r="R79" s="56"/>
      <c r="T79" s="54" t="s">
        <v>13</v>
      </c>
    </row>
    <row r="80" spans="1:21" s="54" customFormat="1" x14ac:dyDescent="0.25">
      <c r="A80" s="54" t="s">
        <v>265</v>
      </c>
      <c r="B80" s="54" t="s">
        <v>254</v>
      </c>
      <c r="D80" s="83"/>
      <c r="E80" s="55"/>
      <c r="F80" s="57" t="s">
        <v>178</v>
      </c>
      <c r="G80" s="73"/>
      <c r="H80" s="73"/>
      <c r="I80" s="55"/>
      <c r="J80" s="55"/>
      <c r="K80" s="55"/>
      <c r="L80" s="55"/>
      <c r="M80" s="55"/>
      <c r="N80" s="55"/>
      <c r="O80" s="55"/>
      <c r="P80" s="55"/>
      <c r="Q80" s="55"/>
      <c r="R80" s="56"/>
      <c r="T80" s="54" t="s">
        <v>13</v>
      </c>
    </row>
    <row r="81" spans="1:20" s="54" customFormat="1" x14ac:dyDescent="0.25">
      <c r="A81" s="54" t="s">
        <v>266</v>
      </c>
      <c r="B81" s="54" t="s">
        <v>254</v>
      </c>
      <c r="D81" s="115" t="s">
        <v>77</v>
      </c>
      <c r="E81" s="55"/>
      <c r="F81" s="73">
        <f>AVERAGE(G81:H81)</f>
        <v>28.55</v>
      </c>
      <c r="G81" s="73">
        <v>31.3</v>
      </c>
      <c r="H81" s="73">
        <v>25.8</v>
      </c>
      <c r="I81" s="55">
        <f t="shared" ref="I81:Q81" si="39">$F$81</f>
        <v>28.55</v>
      </c>
      <c r="J81" s="55">
        <f t="shared" si="39"/>
        <v>28.55</v>
      </c>
      <c r="K81" s="55">
        <f t="shared" si="39"/>
        <v>28.55</v>
      </c>
      <c r="L81" s="55">
        <f t="shared" si="39"/>
        <v>28.55</v>
      </c>
      <c r="M81" s="55">
        <f t="shared" si="39"/>
        <v>28.55</v>
      </c>
      <c r="N81" s="55">
        <f t="shared" si="39"/>
        <v>28.55</v>
      </c>
      <c r="O81" s="55">
        <f t="shared" si="39"/>
        <v>28.55</v>
      </c>
      <c r="P81" s="55">
        <f t="shared" si="39"/>
        <v>28.55</v>
      </c>
      <c r="Q81" s="55">
        <f t="shared" si="39"/>
        <v>28.55</v>
      </c>
      <c r="R81" s="56"/>
      <c r="T81" s="54" t="s">
        <v>13</v>
      </c>
    </row>
    <row r="82" spans="1:20" s="54" customFormat="1" x14ac:dyDescent="0.25">
      <c r="A82" s="54" t="s">
        <v>267</v>
      </c>
      <c r="B82" s="54" t="s">
        <v>254</v>
      </c>
      <c r="D82" s="115" t="s">
        <v>77</v>
      </c>
      <c r="E82" s="55"/>
      <c r="F82" s="55">
        <f>G82</f>
        <v>26</v>
      </c>
      <c r="G82" s="73">
        <v>26</v>
      </c>
      <c r="H82" s="55">
        <f t="shared" ref="H82:Q82" si="40">$F$82</f>
        <v>26</v>
      </c>
      <c r="I82" s="55">
        <f t="shared" si="40"/>
        <v>26</v>
      </c>
      <c r="J82" s="55">
        <f t="shared" si="40"/>
        <v>26</v>
      </c>
      <c r="K82" s="55">
        <f t="shared" si="40"/>
        <v>26</v>
      </c>
      <c r="L82" s="55">
        <f t="shared" si="40"/>
        <v>26</v>
      </c>
      <c r="M82" s="55">
        <f t="shared" si="40"/>
        <v>26</v>
      </c>
      <c r="N82" s="55">
        <f t="shared" si="40"/>
        <v>26</v>
      </c>
      <c r="O82" s="55">
        <f t="shared" si="40"/>
        <v>26</v>
      </c>
      <c r="P82" s="55">
        <f t="shared" si="40"/>
        <v>26</v>
      </c>
      <c r="Q82" s="55">
        <f t="shared" si="40"/>
        <v>26</v>
      </c>
      <c r="R82" s="56"/>
      <c r="T82" s="54" t="s">
        <v>13</v>
      </c>
    </row>
    <row r="83" spans="1:20" s="54" customFormat="1" x14ac:dyDescent="0.25">
      <c r="A83" s="54" t="s">
        <v>268</v>
      </c>
      <c r="B83" s="54" t="s">
        <v>254</v>
      </c>
      <c r="D83" s="52" t="s">
        <v>77</v>
      </c>
      <c r="E83" s="55"/>
      <c r="F83" s="73">
        <f>AVERAGE(G83:H83)</f>
        <v>1.5</v>
      </c>
      <c r="G83" s="73">
        <v>1.4</v>
      </c>
      <c r="H83" s="73">
        <v>1.6</v>
      </c>
      <c r="I83" s="55">
        <f t="shared" ref="I83:Q83" si="41">$F$83</f>
        <v>1.5</v>
      </c>
      <c r="J83" s="55">
        <f t="shared" si="41"/>
        <v>1.5</v>
      </c>
      <c r="K83" s="55">
        <f t="shared" si="41"/>
        <v>1.5</v>
      </c>
      <c r="L83" s="55">
        <f t="shared" si="41"/>
        <v>1.5</v>
      </c>
      <c r="M83" s="55">
        <f t="shared" si="41"/>
        <v>1.5</v>
      </c>
      <c r="N83" s="55">
        <f t="shared" si="41"/>
        <v>1.5</v>
      </c>
      <c r="O83" s="55">
        <f t="shared" si="41"/>
        <v>1.5</v>
      </c>
      <c r="P83" s="55">
        <f t="shared" si="41"/>
        <v>1.5</v>
      </c>
      <c r="Q83" s="55">
        <f t="shared" si="41"/>
        <v>1.5</v>
      </c>
      <c r="R83" s="56"/>
      <c r="T83" s="54" t="s">
        <v>13</v>
      </c>
    </row>
    <row r="84" spans="1:20" s="54" customFormat="1" x14ac:dyDescent="0.25">
      <c r="A84" s="54" t="s">
        <v>269</v>
      </c>
      <c r="B84" s="54" t="s">
        <v>254</v>
      </c>
      <c r="D84" s="52" t="s">
        <v>77</v>
      </c>
      <c r="E84" s="55"/>
      <c r="F84" s="73">
        <f>AVERAGE(G84:H84)</f>
        <v>0.5</v>
      </c>
      <c r="G84" s="55">
        <v>0.5</v>
      </c>
      <c r="H84" s="55">
        <v>0.5</v>
      </c>
      <c r="I84" s="55">
        <f t="shared" ref="I84:Q84" si="42">$F$84</f>
        <v>0.5</v>
      </c>
      <c r="J84" s="55">
        <f t="shared" si="42"/>
        <v>0.5</v>
      </c>
      <c r="K84" s="55">
        <f t="shared" si="42"/>
        <v>0.5</v>
      </c>
      <c r="L84" s="55">
        <f t="shared" si="42"/>
        <v>0.5</v>
      </c>
      <c r="M84" s="55">
        <f t="shared" si="42"/>
        <v>0.5</v>
      </c>
      <c r="N84" s="55">
        <f t="shared" si="42"/>
        <v>0.5</v>
      </c>
      <c r="O84" s="55">
        <f t="shared" si="42"/>
        <v>0.5</v>
      </c>
      <c r="P84" s="55">
        <f t="shared" si="42"/>
        <v>0.5</v>
      </c>
      <c r="Q84" s="55">
        <f t="shared" si="42"/>
        <v>0.5</v>
      </c>
      <c r="R84" s="56"/>
      <c r="T84" s="54" t="s">
        <v>13</v>
      </c>
    </row>
    <row r="85" spans="1:20" s="54" customFormat="1" x14ac:dyDescent="0.25">
      <c r="A85" s="54" t="s">
        <v>270</v>
      </c>
      <c r="B85" s="54" t="s">
        <v>254</v>
      </c>
      <c r="D85" s="83"/>
      <c r="E85" s="55"/>
      <c r="F85" s="57" t="s">
        <v>178</v>
      </c>
      <c r="G85" s="55"/>
      <c r="H85" s="55"/>
      <c r="I85" s="55"/>
      <c r="J85" s="55"/>
      <c r="K85" s="55"/>
      <c r="L85" s="55"/>
      <c r="M85" s="55"/>
      <c r="N85" s="55"/>
      <c r="O85" s="55"/>
      <c r="P85" s="55"/>
      <c r="Q85" s="55"/>
      <c r="R85" s="56"/>
      <c r="T85" s="54" t="s">
        <v>13</v>
      </c>
    </row>
    <row r="86" spans="1:20" s="54" customFormat="1" x14ac:dyDescent="0.25">
      <c r="A86" s="54" t="s">
        <v>271</v>
      </c>
      <c r="B86" s="54" t="s">
        <v>205</v>
      </c>
      <c r="D86" s="52" t="s">
        <v>77</v>
      </c>
      <c r="E86" s="55"/>
      <c r="F86" s="55">
        <v>2.5</v>
      </c>
      <c r="G86" s="55">
        <f t="shared" ref="G86:Q86" si="43">$F$86</f>
        <v>2.5</v>
      </c>
      <c r="H86" s="55">
        <f t="shared" si="43"/>
        <v>2.5</v>
      </c>
      <c r="I86" s="55">
        <f t="shared" si="43"/>
        <v>2.5</v>
      </c>
      <c r="J86" s="55">
        <f t="shared" si="43"/>
        <v>2.5</v>
      </c>
      <c r="K86" s="55">
        <f t="shared" si="43"/>
        <v>2.5</v>
      </c>
      <c r="L86" s="55">
        <f t="shared" si="43"/>
        <v>2.5</v>
      </c>
      <c r="M86" s="55">
        <f t="shared" si="43"/>
        <v>2.5</v>
      </c>
      <c r="N86" s="55">
        <f t="shared" si="43"/>
        <v>2.5</v>
      </c>
      <c r="O86" s="55">
        <f t="shared" si="43"/>
        <v>2.5</v>
      </c>
      <c r="P86" s="55">
        <f t="shared" si="43"/>
        <v>2.5</v>
      </c>
      <c r="Q86" s="55">
        <f t="shared" si="43"/>
        <v>2.5</v>
      </c>
      <c r="R86" s="56"/>
      <c r="T86" s="54" t="s">
        <v>13</v>
      </c>
    </row>
    <row r="87" spans="1:20" s="54" customFormat="1" x14ac:dyDescent="0.25">
      <c r="A87" s="54" t="s">
        <v>272</v>
      </c>
      <c r="B87" s="54" t="s">
        <v>205</v>
      </c>
      <c r="D87" s="83"/>
      <c r="E87" s="55"/>
      <c r="F87" s="57" t="s">
        <v>178</v>
      </c>
      <c r="G87" s="55"/>
      <c r="H87" s="55"/>
      <c r="I87" s="55"/>
      <c r="J87" s="55"/>
      <c r="K87" s="55"/>
      <c r="L87" s="55"/>
      <c r="M87" s="55"/>
      <c r="N87" s="55"/>
      <c r="O87" s="55"/>
      <c r="P87" s="55"/>
      <c r="Q87" s="55"/>
      <c r="R87" s="56"/>
      <c r="T87" s="54" t="s">
        <v>13</v>
      </c>
    </row>
    <row r="88" spans="1:20" s="54" customFormat="1" x14ac:dyDescent="0.25">
      <c r="A88" s="54" t="s">
        <v>273</v>
      </c>
      <c r="B88" s="54" t="s">
        <v>205</v>
      </c>
      <c r="D88" s="52" t="s">
        <v>77</v>
      </c>
      <c r="E88" s="55"/>
      <c r="F88" s="55">
        <v>4.5999999999999996</v>
      </c>
      <c r="G88" s="55">
        <f t="shared" ref="G88:Q88" si="44">$F$88</f>
        <v>4.5999999999999996</v>
      </c>
      <c r="H88" s="55">
        <f t="shared" si="44"/>
        <v>4.5999999999999996</v>
      </c>
      <c r="I88" s="55">
        <f t="shared" si="44"/>
        <v>4.5999999999999996</v>
      </c>
      <c r="J88" s="55">
        <f t="shared" si="44"/>
        <v>4.5999999999999996</v>
      </c>
      <c r="K88" s="55">
        <f t="shared" si="44"/>
        <v>4.5999999999999996</v>
      </c>
      <c r="L88" s="55">
        <f t="shared" si="44"/>
        <v>4.5999999999999996</v>
      </c>
      <c r="M88" s="55">
        <f t="shared" si="44"/>
        <v>4.5999999999999996</v>
      </c>
      <c r="N88" s="55">
        <f t="shared" si="44"/>
        <v>4.5999999999999996</v>
      </c>
      <c r="O88" s="55">
        <f t="shared" si="44"/>
        <v>4.5999999999999996</v>
      </c>
      <c r="P88" s="55">
        <f t="shared" si="44"/>
        <v>4.5999999999999996</v>
      </c>
      <c r="Q88" s="55">
        <f t="shared" si="44"/>
        <v>4.5999999999999996</v>
      </c>
      <c r="R88" s="56"/>
      <c r="T88" s="54" t="s">
        <v>13</v>
      </c>
    </row>
    <row r="89" spans="1:20" s="54" customFormat="1" x14ac:dyDescent="0.25">
      <c r="A89" s="54" t="s">
        <v>274</v>
      </c>
      <c r="B89" s="54" t="s">
        <v>205</v>
      </c>
      <c r="D89" s="52" t="s">
        <v>77</v>
      </c>
      <c r="E89" s="55"/>
      <c r="F89" s="55">
        <v>0.8</v>
      </c>
      <c r="G89" s="55">
        <f t="shared" ref="G89:Q89" si="45">$F$89</f>
        <v>0.8</v>
      </c>
      <c r="H89" s="55">
        <f t="shared" si="45"/>
        <v>0.8</v>
      </c>
      <c r="I89" s="55">
        <f t="shared" si="45"/>
        <v>0.8</v>
      </c>
      <c r="J89" s="55">
        <f t="shared" si="45"/>
        <v>0.8</v>
      </c>
      <c r="K89" s="55">
        <f t="shared" si="45"/>
        <v>0.8</v>
      </c>
      <c r="L89" s="55">
        <f t="shared" si="45"/>
        <v>0.8</v>
      </c>
      <c r="M89" s="55">
        <f t="shared" si="45"/>
        <v>0.8</v>
      </c>
      <c r="N89" s="55">
        <f t="shared" si="45"/>
        <v>0.8</v>
      </c>
      <c r="O89" s="55">
        <f t="shared" si="45"/>
        <v>0.8</v>
      </c>
      <c r="P89" s="55">
        <f t="shared" si="45"/>
        <v>0.8</v>
      </c>
      <c r="Q89" s="55">
        <f t="shared" si="45"/>
        <v>0.8</v>
      </c>
      <c r="R89" s="56"/>
      <c r="T89" s="54" t="s">
        <v>13</v>
      </c>
    </row>
    <row r="90" spans="1:20" s="54" customFormat="1" x14ac:dyDescent="0.25">
      <c r="A90" s="54" t="s">
        <v>275</v>
      </c>
      <c r="B90" s="54" t="s">
        <v>205</v>
      </c>
      <c r="D90" s="52" t="s">
        <v>77</v>
      </c>
      <c r="E90" s="55"/>
      <c r="F90" s="73">
        <f>AVERAGE(G90:H90)</f>
        <v>0.9</v>
      </c>
      <c r="G90" s="73">
        <v>1.1000000000000001</v>
      </c>
      <c r="H90" s="73">
        <v>0.7</v>
      </c>
      <c r="I90" s="55">
        <f t="shared" ref="I90:Q90" si="46">$F$90</f>
        <v>0.9</v>
      </c>
      <c r="J90" s="55">
        <f t="shared" si="46"/>
        <v>0.9</v>
      </c>
      <c r="K90" s="55">
        <f t="shared" si="46"/>
        <v>0.9</v>
      </c>
      <c r="L90" s="55">
        <f t="shared" si="46"/>
        <v>0.9</v>
      </c>
      <c r="M90" s="55">
        <f t="shared" si="46"/>
        <v>0.9</v>
      </c>
      <c r="N90" s="55">
        <f t="shared" si="46"/>
        <v>0.9</v>
      </c>
      <c r="O90" s="55">
        <f t="shared" si="46"/>
        <v>0.9</v>
      </c>
      <c r="P90" s="55">
        <f t="shared" si="46"/>
        <v>0.9</v>
      </c>
      <c r="Q90" s="55">
        <f t="shared" si="46"/>
        <v>0.9</v>
      </c>
      <c r="R90" s="56"/>
      <c r="T90" s="54" t="s">
        <v>13</v>
      </c>
    </row>
    <row r="91" spans="1:20" s="54" customFormat="1" x14ac:dyDescent="0.25">
      <c r="A91" s="93" t="s">
        <v>276</v>
      </c>
      <c r="B91" s="54" t="s">
        <v>205</v>
      </c>
      <c r="D91" s="52" t="s">
        <v>77</v>
      </c>
      <c r="E91" s="55"/>
      <c r="F91" s="55">
        <f>Q91</f>
        <v>10.199999999999999</v>
      </c>
      <c r="G91" s="55">
        <v>1.8</v>
      </c>
      <c r="H91" s="55">
        <v>2.4</v>
      </c>
      <c r="I91" s="55">
        <f t="shared" ref="I91:P91" si="47">$H$91/40*(50+15*(I$1-2022))</f>
        <v>3</v>
      </c>
      <c r="J91" s="55">
        <f t="shared" si="47"/>
        <v>3.9</v>
      </c>
      <c r="K91" s="55">
        <f t="shared" si="47"/>
        <v>4.8</v>
      </c>
      <c r="L91" s="55">
        <f t="shared" si="47"/>
        <v>5.7</v>
      </c>
      <c r="M91" s="55">
        <f t="shared" si="47"/>
        <v>6.6</v>
      </c>
      <c r="N91" s="55">
        <f t="shared" si="47"/>
        <v>7.5</v>
      </c>
      <c r="O91" s="55">
        <f t="shared" si="47"/>
        <v>8.4</v>
      </c>
      <c r="P91" s="55">
        <f t="shared" si="47"/>
        <v>9.2999999999999989</v>
      </c>
      <c r="Q91" s="73">
        <f>$H$91/40*170</f>
        <v>10.199999999999999</v>
      </c>
      <c r="R91" s="56"/>
      <c r="T91" s="54" t="s">
        <v>13</v>
      </c>
    </row>
    <row r="92" spans="1:20" s="54" customFormat="1" x14ac:dyDescent="0.25">
      <c r="A92" s="93" t="s">
        <v>277</v>
      </c>
      <c r="B92" s="54" t="s">
        <v>205</v>
      </c>
      <c r="D92" s="52" t="s">
        <v>77</v>
      </c>
      <c r="E92" s="55"/>
      <c r="F92" s="55">
        <f>Q92</f>
        <v>14.024999999999999</v>
      </c>
      <c r="G92" s="55">
        <v>2.5</v>
      </c>
      <c r="H92" s="55">
        <v>3.3</v>
      </c>
      <c r="I92" s="55">
        <f t="shared" ref="I92:P92" si="48">$H$92/40*(50+15*(I$1-2022))</f>
        <v>4.1249999999999991</v>
      </c>
      <c r="J92" s="55">
        <f t="shared" si="48"/>
        <v>5.3624999999999989</v>
      </c>
      <c r="K92" s="55">
        <f t="shared" si="48"/>
        <v>6.6</v>
      </c>
      <c r="L92" s="55">
        <f t="shared" si="48"/>
        <v>7.8374999999999995</v>
      </c>
      <c r="M92" s="55">
        <f t="shared" si="48"/>
        <v>9.0749999999999993</v>
      </c>
      <c r="N92" s="55">
        <f t="shared" si="48"/>
        <v>10.312499999999998</v>
      </c>
      <c r="O92" s="55">
        <f t="shared" si="48"/>
        <v>11.549999999999999</v>
      </c>
      <c r="P92" s="55">
        <f t="shared" si="48"/>
        <v>12.787499999999998</v>
      </c>
      <c r="Q92" s="73">
        <f>$H$92/40*170</f>
        <v>14.024999999999999</v>
      </c>
      <c r="R92" s="56"/>
      <c r="T92" s="54" t="s">
        <v>13</v>
      </c>
    </row>
    <row r="93" spans="1:20" s="54" customFormat="1" x14ac:dyDescent="0.25">
      <c r="A93" s="93" t="s">
        <v>278</v>
      </c>
      <c r="B93" s="54" t="s">
        <v>205</v>
      </c>
      <c r="D93" s="52" t="s">
        <v>77</v>
      </c>
      <c r="E93" s="55"/>
      <c r="F93" s="55">
        <f>Q93</f>
        <v>1.2749999999999999</v>
      </c>
      <c r="G93" s="55">
        <v>0.3</v>
      </c>
      <c r="H93" s="55">
        <v>0.3</v>
      </c>
      <c r="I93" s="55">
        <f t="shared" ref="I93:P93" si="49">$H$93/40*(50+15*(I$1-2022))</f>
        <v>0.375</v>
      </c>
      <c r="J93" s="55">
        <f t="shared" si="49"/>
        <v>0.48749999999999999</v>
      </c>
      <c r="K93" s="55">
        <f t="shared" si="49"/>
        <v>0.6</v>
      </c>
      <c r="L93" s="55">
        <f t="shared" si="49"/>
        <v>0.71250000000000002</v>
      </c>
      <c r="M93" s="55">
        <f t="shared" si="49"/>
        <v>0.82499999999999996</v>
      </c>
      <c r="N93" s="55">
        <f t="shared" si="49"/>
        <v>0.9375</v>
      </c>
      <c r="O93" s="55">
        <f t="shared" si="49"/>
        <v>1.05</v>
      </c>
      <c r="P93" s="55">
        <f t="shared" si="49"/>
        <v>1.1624999999999999</v>
      </c>
      <c r="Q93" s="73">
        <f>$H$93/40*170</f>
        <v>1.2749999999999999</v>
      </c>
      <c r="R93" s="56"/>
      <c r="T93" s="54" t="s">
        <v>13</v>
      </c>
    </row>
    <row r="94" spans="1:20" s="54" customFormat="1" x14ac:dyDescent="0.25">
      <c r="A94" s="93" t="s">
        <v>279</v>
      </c>
      <c r="B94" s="54" t="s">
        <v>205</v>
      </c>
      <c r="D94" s="52" t="s">
        <v>77</v>
      </c>
      <c r="E94" s="55"/>
      <c r="F94" s="55">
        <f>Q94</f>
        <v>1.2749999999999999</v>
      </c>
      <c r="G94" s="55">
        <v>0.2</v>
      </c>
      <c r="H94" s="55">
        <v>0.3</v>
      </c>
      <c r="I94" s="55">
        <f t="shared" ref="I94:P94" si="50">$H$94/40*(50+15*(I$1-2022))</f>
        <v>0.375</v>
      </c>
      <c r="J94" s="55">
        <f t="shared" si="50"/>
        <v>0.48749999999999999</v>
      </c>
      <c r="K94" s="55">
        <f t="shared" si="50"/>
        <v>0.6</v>
      </c>
      <c r="L94" s="55">
        <f t="shared" si="50"/>
        <v>0.71250000000000002</v>
      </c>
      <c r="M94" s="55">
        <f t="shared" si="50"/>
        <v>0.82499999999999996</v>
      </c>
      <c r="N94" s="55">
        <f t="shared" si="50"/>
        <v>0.9375</v>
      </c>
      <c r="O94" s="55">
        <f t="shared" si="50"/>
        <v>1.05</v>
      </c>
      <c r="P94" s="55">
        <f t="shared" si="50"/>
        <v>1.1624999999999999</v>
      </c>
      <c r="Q94" s="73">
        <f>$H$94/40*170</f>
        <v>1.2749999999999999</v>
      </c>
      <c r="R94" s="56"/>
      <c r="T94" s="54" t="s">
        <v>13</v>
      </c>
    </row>
    <row r="95" spans="1:20" s="54" customFormat="1" x14ac:dyDescent="0.25">
      <c r="A95" s="54" t="s">
        <v>280</v>
      </c>
      <c r="B95" s="54" t="s">
        <v>201</v>
      </c>
      <c r="D95" s="115" t="s">
        <v>70</v>
      </c>
      <c r="E95" s="55"/>
      <c r="F95" s="55">
        <v>273.5</v>
      </c>
      <c r="G95" s="55">
        <f t="shared" ref="G95:Q95" si="51">$F$95</f>
        <v>273.5</v>
      </c>
      <c r="H95" s="55">
        <f t="shared" si="51"/>
        <v>273.5</v>
      </c>
      <c r="I95" s="55">
        <f t="shared" si="51"/>
        <v>273.5</v>
      </c>
      <c r="J95" s="55">
        <f t="shared" si="51"/>
        <v>273.5</v>
      </c>
      <c r="K95" s="55">
        <f t="shared" si="51"/>
        <v>273.5</v>
      </c>
      <c r="L95" s="55">
        <f t="shared" si="51"/>
        <v>273.5</v>
      </c>
      <c r="M95" s="55">
        <f t="shared" si="51"/>
        <v>273.5</v>
      </c>
      <c r="N95" s="55">
        <f t="shared" si="51"/>
        <v>273.5</v>
      </c>
      <c r="O95" s="55">
        <f t="shared" si="51"/>
        <v>273.5</v>
      </c>
      <c r="P95" s="55">
        <f t="shared" si="51"/>
        <v>273.5</v>
      </c>
      <c r="Q95" s="55">
        <f t="shared" si="51"/>
        <v>273.5</v>
      </c>
      <c r="R95" s="56"/>
      <c r="T95" s="54" t="s">
        <v>217</v>
      </c>
    </row>
    <row r="96" spans="1:20" s="54" customFormat="1" x14ac:dyDescent="0.25">
      <c r="A96" s="54" t="s">
        <v>281</v>
      </c>
      <c r="B96" s="54" t="s">
        <v>201</v>
      </c>
      <c r="D96" s="115" t="s">
        <v>70</v>
      </c>
      <c r="E96" s="55"/>
      <c r="F96" s="55">
        <v>275</v>
      </c>
      <c r="G96" s="55">
        <f t="shared" ref="G96:Q96" si="52">$F$96</f>
        <v>275</v>
      </c>
      <c r="H96" s="55">
        <f t="shared" si="52"/>
        <v>275</v>
      </c>
      <c r="I96" s="55">
        <f t="shared" si="52"/>
        <v>275</v>
      </c>
      <c r="J96" s="55">
        <f t="shared" si="52"/>
        <v>275</v>
      </c>
      <c r="K96" s="55">
        <f t="shared" si="52"/>
        <v>275</v>
      </c>
      <c r="L96" s="55">
        <f t="shared" si="52"/>
        <v>275</v>
      </c>
      <c r="M96" s="55">
        <f t="shared" si="52"/>
        <v>275</v>
      </c>
      <c r="N96" s="55">
        <f t="shared" si="52"/>
        <v>275</v>
      </c>
      <c r="O96" s="55">
        <f t="shared" si="52"/>
        <v>275</v>
      </c>
      <c r="P96" s="55">
        <f t="shared" si="52"/>
        <v>275</v>
      </c>
      <c r="Q96" s="55">
        <f t="shared" si="52"/>
        <v>275</v>
      </c>
      <c r="R96" s="56"/>
      <c r="T96" s="54" t="s">
        <v>217</v>
      </c>
    </row>
    <row r="97" spans="1:20" s="54" customFormat="1" x14ac:dyDescent="0.25">
      <c r="A97" s="54" t="s">
        <v>282</v>
      </c>
      <c r="B97" s="54" t="s">
        <v>201</v>
      </c>
      <c r="D97" s="52" t="s">
        <v>70</v>
      </c>
      <c r="E97" s="55"/>
      <c r="F97" s="55">
        <f t="shared" ref="F97:Q97" si="53">310-F96</f>
        <v>35</v>
      </c>
      <c r="G97" s="55">
        <f t="shared" si="53"/>
        <v>35</v>
      </c>
      <c r="H97" s="55">
        <f t="shared" si="53"/>
        <v>35</v>
      </c>
      <c r="I97" s="55">
        <f t="shared" si="53"/>
        <v>35</v>
      </c>
      <c r="J97" s="55">
        <f t="shared" si="53"/>
        <v>35</v>
      </c>
      <c r="K97" s="55">
        <f t="shared" si="53"/>
        <v>35</v>
      </c>
      <c r="L97" s="55">
        <f t="shared" si="53"/>
        <v>35</v>
      </c>
      <c r="M97" s="55">
        <f t="shared" si="53"/>
        <v>35</v>
      </c>
      <c r="N97" s="55">
        <f t="shared" si="53"/>
        <v>35</v>
      </c>
      <c r="O97" s="55">
        <f t="shared" si="53"/>
        <v>35</v>
      </c>
      <c r="P97" s="55">
        <f t="shared" si="53"/>
        <v>35</v>
      </c>
      <c r="Q97" s="55">
        <f t="shared" si="53"/>
        <v>35</v>
      </c>
      <c r="R97" s="56"/>
      <c r="T97" s="54" t="s">
        <v>28</v>
      </c>
    </row>
    <row r="98" spans="1:20" s="54" customFormat="1" x14ac:dyDescent="0.25">
      <c r="A98" s="54" t="s">
        <v>283</v>
      </c>
      <c r="B98" s="54" t="s">
        <v>284</v>
      </c>
      <c r="D98" s="115" t="s">
        <v>70</v>
      </c>
      <c r="E98" s="55"/>
      <c r="F98" s="55">
        <v>303.5</v>
      </c>
      <c r="G98" s="55">
        <f t="shared" ref="G98:Q98" si="54">$F$98</f>
        <v>303.5</v>
      </c>
      <c r="H98" s="55">
        <f t="shared" si="54"/>
        <v>303.5</v>
      </c>
      <c r="I98" s="55">
        <f t="shared" si="54"/>
        <v>303.5</v>
      </c>
      <c r="J98" s="55">
        <f t="shared" si="54"/>
        <v>303.5</v>
      </c>
      <c r="K98" s="55">
        <f t="shared" si="54"/>
        <v>303.5</v>
      </c>
      <c r="L98" s="55">
        <f t="shared" si="54"/>
        <v>303.5</v>
      </c>
      <c r="M98" s="55">
        <f t="shared" si="54"/>
        <v>303.5</v>
      </c>
      <c r="N98" s="55">
        <f t="shared" si="54"/>
        <v>303.5</v>
      </c>
      <c r="O98" s="55">
        <f t="shared" si="54"/>
        <v>303.5</v>
      </c>
      <c r="P98" s="55">
        <f t="shared" si="54"/>
        <v>303.5</v>
      </c>
      <c r="Q98" s="55">
        <f t="shared" si="54"/>
        <v>303.5</v>
      </c>
      <c r="R98" s="56"/>
      <c r="T98" s="54" t="s">
        <v>217</v>
      </c>
    </row>
    <row r="99" spans="1:20" s="54" customFormat="1" x14ac:dyDescent="0.25">
      <c r="A99" s="54" t="s">
        <v>285</v>
      </c>
      <c r="B99" s="54" t="s">
        <v>201</v>
      </c>
      <c r="D99" s="52" t="s">
        <v>70</v>
      </c>
      <c r="E99" s="55"/>
      <c r="F99" s="86">
        <v>60</v>
      </c>
      <c r="G99" s="55">
        <f t="shared" ref="G99:Q99" si="55">$F$99</f>
        <v>60</v>
      </c>
      <c r="H99" s="55">
        <f t="shared" si="55"/>
        <v>60</v>
      </c>
      <c r="I99" s="55">
        <f t="shared" si="55"/>
        <v>60</v>
      </c>
      <c r="J99" s="55">
        <f t="shared" si="55"/>
        <v>60</v>
      </c>
      <c r="K99" s="55">
        <f t="shared" si="55"/>
        <v>60</v>
      </c>
      <c r="L99" s="55">
        <f t="shared" si="55"/>
        <v>60</v>
      </c>
      <c r="M99" s="55">
        <f t="shared" si="55"/>
        <v>60</v>
      </c>
      <c r="N99" s="55">
        <f t="shared" si="55"/>
        <v>60</v>
      </c>
      <c r="O99" s="55">
        <f t="shared" si="55"/>
        <v>60</v>
      </c>
      <c r="P99" s="55">
        <f t="shared" si="55"/>
        <v>60</v>
      </c>
      <c r="Q99" s="55">
        <f t="shared" si="55"/>
        <v>60</v>
      </c>
      <c r="R99" s="56"/>
      <c r="T99" s="54" t="s">
        <v>286</v>
      </c>
    </row>
    <row r="100" spans="1:20" s="54" customFormat="1" x14ac:dyDescent="0.25">
      <c r="A100" s="54" t="s">
        <v>287</v>
      </c>
      <c r="B100" s="54" t="s">
        <v>201</v>
      </c>
      <c r="D100" s="52" t="s">
        <v>70</v>
      </c>
      <c r="E100" s="55"/>
      <c r="F100" s="86">
        <v>3</v>
      </c>
      <c r="G100" s="55">
        <f t="shared" ref="G100:Q100" si="56">$F$100</f>
        <v>3</v>
      </c>
      <c r="H100" s="55">
        <f t="shared" si="56"/>
        <v>3</v>
      </c>
      <c r="I100" s="55">
        <f t="shared" si="56"/>
        <v>3</v>
      </c>
      <c r="J100" s="55">
        <f t="shared" si="56"/>
        <v>3</v>
      </c>
      <c r="K100" s="55">
        <f t="shared" si="56"/>
        <v>3</v>
      </c>
      <c r="L100" s="55">
        <f t="shared" si="56"/>
        <v>3</v>
      </c>
      <c r="M100" s="55">
        <f t="shared" si="56"/>
        <v>3</v>
      </c>
      <c r="N100" s="55">
        <f t="shared" si="56"/>
        <v>3</v>
      </c>
      <c r="O100" s="55">
        <f t="shared" si="56"/>
        <v>3</v>
      </c>
      <c r="P100" s="55">
        <f t="shared" si="56"/>
        <v>3</v>
      </c>
      <c r="Q100" s="55">
        <f t="shared" si="56"/>
        <v>3</v>
      </c>
      <c r="R100" s="56"/>
      <c r="T100" s="54" t="s">
        <v>286</v>
      </c>
    </row>
    <row r="101" spans="1:20" s="54" customFormat="1" x14ac:dyDescent="0.25">
      <c r="A101" s="54" t="s">
        <v>288</v>
      </c>
      <c r="B101" s="54" t="s">
        <v>201</v>
      </c>
      <c r="D101" s="52" t="s">
        <v>74</v>
      </c>
      <c r="E101" s="55"/>
      <c r="F101" s="86">
        <f>AVERAGE(15,15,20,25)</f>
        <v>18.75</v>
      </c>
      <c r="G101" s="55">
        <f t="shared" ref="G101:Q101" si="57">$F$101</f>
        <v>18.75</v>
      </c>
      <c r="H101" s="55">
        <f t="shared" si="57"/>
        <v>18.75</v>
      </c>
      <c r="I101" s="55">
        <f t="shared" si="57"/>
        <v>18.75</v>
      </c>
      <c r="J101" s="55">
        <f t="shared" si="57"/>
        <v>18.75</v>
      </c>
      <c r="K101" s="55">
        <f t="shared" si="57"/>
        <v>18.75</v>
      </c>
      <c r="L101" s="55">
        <f t="shared" si="57"/>
        <v>18.75</v>
      </c>
      <c r="M101" s="55">
        <f t="shared" si="57"/>
        <v>18.75</v>
      </c>
      <c r="N101" s="55">
        <f t="shared" si="57"/>
        <v>18.75</v>
      </c>
      <c r="O101" s="55">
        <f t="shared" si="57"/>
        <v>18.75</v>
      </c>
      <c r="P101" s="55">
        <f t="shared" si="57"/>
        <v>18.75</v>
      </c>
      <c r="Q101" s="55">
        <f t="shared" si="57"/>
        <v>18.75</v>
      </c>
      <c r="R101" s="56"/>
      <c r="T101" s="54" t="s">
        <v>286</v>
      </c>
    </row>
    <row r="102" spans="1:20" s="54" customFormat="1" x14ac:dyDescent="0.25">
      <c r="A102" s="54" t="s">
        <v>289</v>
      </c>
      <c r="B102" s="54" t="s">
        <v>201</v>
      </c>
      <c r="D102" s="52" t="s">
        <v>70</v>
      </c>
      <c r="E102" s="55"/>
      <c r="F102" s="86">
        <f>AVERAGE(7,8)</f>
        <v>7.5</v>
      </c>
      <c r="G102" s="55">
        <f t="shared" ref="G102:Q102" si="58">$F$102</f>
        <v>7.5</v>
      </c>
      <c r="H102" s="55">
        <f t="shared" si="58"/>
        <v>7.5</v>
      </c>
      <c r="I102" s="55">
        <f t="shared" si="58"/>
        <v>7.5</v>
      </c>
      <c r="J102" s="55">
        <f t="shared" si="58"/>
        <v>7.5</v>
      </c>
      <c r="K102" s="55">
        <f t="shared" si="58"/>
        <v>7.5</v>
      </c>
      <c r="L102" s="55">
        <f t="shared" si="58"/>
        <v>7.5</v>
      </c>
      <c r="M102" s="55">
        <f t="shared" si="58"/>
        <v>7.5</v>
      </c>
      <c r="N102" s="55">
        <f t="shared" si="58"/>
        <v>7.5</v>
      </c>
      <c r="O102" s="55">
        <f t="shared" si="58"/>
        <v>7.5</v>
      </c>
      <c r="P102" s="55">
        <f t="shared" si="58"/>
        <v>7.5</v>
      </c>
      <c r="Q102" s="55">
        <f t="shared" si="58"/>
        <v>7.5</v>
      </c>
      <c r="R102" s="56"/>
      <c r="T102" s="54" t="s">
        <v>286</v>
      </c>
    </row>
    <row r="103" spans="1:20" s="54" customFormat="1" x14ac:dyDescent="0.25">
      <c r="A103" s="54" t="s">
        <v>290</v>
      </c>
      <c r="B103" s="54" t="s">
        <v>201</v>
      </c>
      <c r="D103" s="52" t="s">
        <v>70</v>
      </c>
      <c r="E103" s="55"/>
      <c r="F103" s="86">
        <f>AVERAGE(3,3,3,2)</f>
        <v>2.75</v>
      </c>
      <c r="G103" s="55">
        <f t="shared" ref="G103:Q103" si="59">$F$103</f>
        <v>2.75</v>
      </c>
      <c r="H103" s="55">
        <f t="shared" si="59"/>
        <v>2.75</v>
      </c>
      <c r="I103" s="55">
        <f t="shared" si="59"/>
        <v>2.75</v>
      </c>
      <c r="J103" s="55">
        <f t="shared" si="59"/>
        <v>2.75</v>
      </c>
      <c r="K103" s="55">
        <f t="shared" si="59"/>
        <v>2.75</v>
      </c>
      <c r="L103" s="55">
        <f t="shared" si="59"/>
        <v>2.75</v>
      </c>
      <c r="M103" s="55">
        <f t="shared" si="59"/>
        <v>2.75</v>
      </c>
      <c r="N103" s="55">
        <f t="shared" si="59"/>
        <v>2.75</v>
      </c>
      <c r="O103" s="55">
        <f t="shared" si="59"/>
        <v>2.75</v>
      </c>
      <c r="P103" s="55">
        <f t="shared" si="59"/>
        <v>2.75</v>
      </c>
      <c r="Q103" s="55">
        <f t="shared" si="59"/>
        <v>2.75</v>
      </c>
      <c r="R103" s="56"/>
      <c r="T103" s="54" t="s">
        <v>286</v>
      </c>
    </row>
    <row r="104" spans="1:20" s="54" customFormat="1" x14ac:dyDescent="0.25">
      <c r="A104" s="54" t="s">
        <v>291</v>
      </c>
      <c r="B104" s="54" t="s">
        <v>284</v>
      </c>
      <c r="D104" s="52" t="s">
        <v>77</v>
      </c>
      <c r="E104" s="55"/>
      <c r="F104" s="86">
        <v>17.849999999999994</v>
      </c>
      <c r="G104" s="55">
        <f t="shared" ref="G104:Q104" si="60">$F$104</f>
        <v>17.849999999999994</v>
      </c>
      <c r="H104" s="55">
        <f t="shared" si="60"/>
        <v>17.849999999999994</v>
      </c>
      <c r="I104" s="55">
        <f t="shared" si="60"/>
        <v>17.849999999999994</v>
      </c>
      <c r="J104" s="55">
        <f t="shared" si="60"/>
        <v>17.849999999999994</v>
      </c>
      <c r="K104" s="55">
        <f t="shared" si="60"/>
        <v>17.849999999999994</v>
      </c>
      <c r="L104" s="55">
        <f t="shared" si="60"/>
        <v>17.849999999999994</v>
      </c>
      <c r="M104" s="55">
        <f t="shared" si="60"/>
        <v>17.849999999999994</v>
      </c>
      <c r="N104" s="55">
        <f t="shared" si="60"/>
        <v>17.849999999999994</v>
      </c>
      <c r="O104" s="55">
        <f t="shared" si="60"/>
        <v>17.849999999999994</v>
      </c>
      <c r="P104" s="55">
        <f t="shared" si="60"/>
        <v>17.849999999999994</v>
      </c>
      <c r="Q104" s="55">
        <f t="shared" si="60"/>
        <v>17.849999999999994</v>
      </c>
      <c r="R104" s="56"/>
      <c r="T104" s="54" t="s">
        <v>292</v>
      </c>
    </row>
    <row r="105" spans="1:20" s="54" customFormat="1" x14ac:dyDescent="0.25">
      <c r="D105" s="55"/>
      <c r="E105" s="55"/>
      <c r="F105" s="55"/>
      <c r="G105" s="55"/>
      <c r="H105" s="55"/>
      <c r="I105" s="55"/>
      <c r="J105" s="55"/>
      <c r="K105" s="55"/>
      <c r="L105" s="55"/>
      <c r="M105" s="55"/>
      <c r="N105" s="55"/>
      <c r="O105" s="55"/>
      <c r="P105" s="55"/>
      <c r="Q105" s="55"/>
    </row>
    <row r="106" spans="1:20" s="72" customFormat="1" x14ac:dyDescent="0.25">
      <c r="A106" s="69" t="s">
        <v>293</v>
      </c>
      <c r="B106" s="69"/>
      <c r="C106" s="69"/>
      <c r="D106" s="70"/>
      <c r="E106" s="70"/>
      <c r="F106" s="70"/>
      <c r="G106" s="71"/>
      <c r="H106" s="71"/>
      <c r="I106" s="71"/>
      <c r="J106" s="71"/>
      <c r="K106" s="71"/>
      <c r="L106" s="71"/>
      <c r="M106" s="71"/>
      <c r="N106" s="71"/>
      <c r="O106" s="71"/>
      <c r="P106" s="71"/>
      <c r="Q106" s="71"/>
    </row>
    <row r="107" spans="1:20" s="54" customFormat="1" x14ac:dyDescent="0.25">
      <c r="A107" s="54" t="s">
        <v>294</v>
      </c>
      <c r="B107" s="54" t="s">
        <v>211</v>
      </c>
      <c r="D107" s="117" t="s">
        <v>74</v>
      </c>
      <c r="E107" s="55"/>
      <c r="F107" s="55"/>
      <c r="G107" s="55">
        <v>36</v>
      </c>
      <c r="H107" s="55">
        <v>17</v>
      </c>
      <c r="I107" s="55"/>
      <c r="J107" s="55"/>
      <c r="K107" s="55"/>
      <c r="L107" s="55"/>
      <c r="M107" s="55"/>
      <c r="N107" s="55"/>
      <c r="O107" s="55"/>
      <c r="P107" s="55"/>
      <c r="Q107" s="55"/>
      <c r="T107" s="54" t="s">
        <v>13</v>
      </c>
    </row>
    <row r="108" spans="1:20" s="54" customFormat="1" x14ac:dyDescent="0.25">
      <c r="A108" s="54" t="s">
        <v>295</v>
      </c>
      <c r="B108" s="54" t="s">
        <v>211</v>
      </c>
      <c r="D108" s="62" t="s">
        <v>90</v>
      </c>
      <c r="E108" s="55"/>
      <c r="F108" s="55"/>
      <c r="G108" s="55">
        <v>5</v>
      </c>
      <c r="H108" s="55"/>
      <c r="I108" s="55"/>
      <c r="J108" s="55"/>
      <c r="K108" s="55"/>
      <c r="L108" s="55"/>
      <c r="M108" s="55"/>
      <c r="N108" s="55"/>
      <c r="O108" s="55"/>
      <c r="P108" s="55"/>
      <c r="Q108" s="55"/>
      <c r="T108" s="54" t="s">
        <v>13</v>
      </c>
    </row>
    <row r="109" spans="1:20" s="54" customFormat="1" x14ac:dyDescent="0.25">
      <c r="A109" s="54" t="s">
        <v>296</v>
      </c>
      <c r="B109" s="54" t="s">
        <v>211</v>
      </c>
      <c r="D109" s="82"/>
      <c r="E109" s="55"/>
      <c r="F109" s="57" t="s">
        <v>178</v>
      </c>
      <c r="G109" s="55"/>
      <c r="H109" s="55"/>
      <c r="I109" s="55"/>
      <c r="J109" s="55"/>
      <c r="K109" s="55"/>
      <c r="L109" s="55"/>
      <c r="M109" s="55"/>
      <c r="N109" s="55"/>
      <c r="O109" s="55"/>
      <c r="P109" s="55"/>
      <c r="Q109" s="55"/>
      <c r="T109" s="54" t="s">
        <v>13</v>
      </c>
    </row>
    <row r="110" spans="1:20" s="54" customFormat="1" x14ac:dyDescent="0.25">
      <c r="A110" s="54" t="s">
        <v>297</v>
      </c>
      <c r="B110" s="54" t="s">
        <v>211</v>
      </c>
      <c r="D110" s="82"/>
      <c r="E110" s="55"/>
      <c r="F110" s="57" t="s">
        <v>178</v>
      </c>
      <c r="G110" s="55"/>
      <c r="H110" s="55"/>
      <c r="I110" s="55"/>
      <c r="J110" s="55"/>
      <c r="K110" s="55"/>
      <c r="L110" s="55"/>
      <c r="M110" s="55"/>
      <c r="N110" s="55"/>
      <c r="O110" s="55"/>
      <c r="P110" s="55"/>
      <c r="Q110" s="55"/>
      <c r="T110" s="54" t="s">
        <v>13</v>
      </c>
    </row>
    <row r="111" spans="1:20" s="54" customFormat="1" x14ac:dyDescent="0.25">
      <c r="A111" s="54" t="s">
        <v>298</v>
      </c>
      <c r="B111" s="54" t="s">
        <v>211</v>
      </c>
      <c r="D111" s="82"/>
      <c r="E111" s="55"/>
      <c r="F111" s="57" t="s">
        <v>178</v>
      </c>
      <c r="G111" s="55"/>
      <c r="H111" s="55"/>
      <c r="I111" s="55"/>
      <c r="J111" s="55"/>
      <c r="K111" s="55"/>
      <c r="L111" s="55"/>
      <c r="M111" s="55"/>
      <c r="N111" s="55"/>
      <c r="O111" s="55"/>
      <c r="P111" s="55"/>
      <c r="Q111" s="55"/>
      <c r="T111" s="84" t="s">
        <v>13</v>
      </c>
    </row>
    <row r="112" spans="1:20" s="54" customFormat="1" ht="45" x14ac:dyDescent="0.25">
      <c r="A112" s="54" t="s">
        <v>299</v>
      </c>
      <c r="B112" s="54" t="s">
        <v>211</v>
      </c>
      <c r="D112" s="55" t="s">
        <v>74</v>
      </c>
      <c r="E112" s="55"/>
      <c r="F112" s="55">
        <f>AVERAGE(32,59)</f>
        <v>45.5</v>
      </c>
      <c r="G112" s="55">
        <f t="shared" ref="G112:Q112" si="61">$F$112</f>
        <v>45.5</v>
      </c>
      <c r="H112" s="55">
        <f t="shared" si="61"/>
        <v>45.5</v>
      </c>
      <c r="I112" s="55">
        <f t="shared" si="61"/>
        <v>45.5</v>
      </c>
      <c r="J112" s="55">
        <f t="shared" si="61"/>
        <v>45.5</v>
      </c>
      <c r="K112" s="55">
        <f t="shared" si="61"/>
        <v>45.5</v>
      </c>
      <c r="L112" s="55">
        <f t="shared" si="61"/>
        <v>45.5</v>
      </c>
      <c r="M112" s="55">
        <f t="shared" si="61"/>
        <v>45.5</v>
      </c>
      <c r="N112" s="55">
        <f t="shared" si="61"/>
        <v>45.5</v>
      </c>
      <c r="O112" s="55">
        <f t="shared" si="61"/>
        <v>45.5</v>
      </c>
      <c r="P112" s="55">
        <f t="shared" si="61"/>
        <v>45.5</v>
      </c>
      <c r="Q112" s="55">
        <f t="shared" si="61"/>
        <v>45.5</v>
      </c>
      <c r="R112" s="56" t="s">
        <v>300</v>
      </c>
      <c r="T112" s="54" t="s">
        <v>10</v>
      </c>
    </row>
    <row r="113" spans="1:20" s="54" customFormat="1" ht="75" x14ac:dyDescent="0.25">
      <c r="A113" s="54" t="s">
        <v>301</v>
      </c>
      <c r="B113" s="54" t="s">
        <v>211</v>
      </c>
      <c r="D113" s="55" t="s">
        <v>74</v>
      </c>
      <c r="E113" s="55"/>
      <c r="F113" s="55">
        <v>62</v>
      </c>
      <c r="G113" s="55">
        <f t="shared" ref="G113:Q113" si="62">$F$113</f>
        <v>62</v>
      </c>
      <c r="H113" s="55">
        <f t="shared" si="62"/>
        <v>62</v>
      </c>
      <c r="I113" s="55">
        <f t="shared" si="62"/>
        <v>62</v>
      </c>
      <c r="J113" s="55">
        <f t="shared" si="62"/>
        <v>62</v>
      </c>
      <c r="K113" s="55">
        <f t="shared" si="62"/>
        <v>62</v>
      </c>
      <c r="L113" s="55">
        <f t="shared" si="62"/>
        <v>62</v>
      </c>
      <c r="M113" s="55">
        <f t="shared" si="62"/>
        <v>62</v>
      </c>
      <c r="N113" s="55">
        <f t="shared" si="62"/>
        <v>62</v>
      </c>
      <c r="O113" s="55">
        <f t="shared" si="62"/>
        <v>62</v>
      </c>
      <c r="P113" s="55">
        <f t="shared" si="62"/>
        <v>62</v>
      </c>
      <c r="Q113" s="55">
        <f t="shared" si="62"/>
        <v>62</v>
      </c>
      <c r="R113" s="56" t="s">
        <v>302</v>
      </c>
      <c r="T113" s="54" t="s">
        <v>10</v>
      </c>
    </row>
    <row r="114" spans="1:20" s="54" customFormat="1" ht="60" x14ac:dyDescent="0.25">
      <c r="A114" s="54" t="s">
        <v>303</v>
      </c>
      <c r="B114" s="54" t="s">
        <v>211</v>
      </c>
      <c r="D114" s="117" t="s">
        <v>74</v>
      </c>
      <c r="E114" s="55"/>
      <c r="F114" s="55">
        <f>AVERAGE(17,21)</f>
        <v>19</v>
      </c>
      <c r="G114" s="55">
        <f t="shared" ref="G114:Q114" si="63">$F$114</f>
        <v>19</v>
      </c>
      <c r="H114" s="55">
        <f t="shared" si="63"/>
        <v>19</v>
      </c>
      <c r="I114" s="55">
        <f t="shared" si="63"/>
        <v>19</v>
      </c>
      <c r="J114" s="55">
        <f t="shared" si="63"/>
        <v>19</v>
      </c>
      <c r="K114" s="55">
        <f t="shared" si="63"/>
        <v>19</v>
      </c>
      <c r="L114" s="55">
        <f t="shared" si="63"/>
        <v>19</v>
      </c>
      <c r="M114" s="55">
        <f t="shared" si="63"/>
        <v>19</v>
      </c>
      <c r="N114" s="55">
        <f t="shared" si="63"/>
        <v>19</v>
      </c>
      <c r="O114" s="55">
        <f t="shared" si="63"/>
        <v>19</v>
      </c>
      <c r="P114" s="55">
        <f t="shared" si="63"/>
        <v>19</v>
      </c>
      <c r="Q114" s="55">
        <f t="shared" si="63"/>
        <v>19</v>
      </c>
      <c r="R114" s="56" t="s">
        <v>304</v>
      </c>
      <c r="T114" s="84" t="s">
        <v>10</v>
      </c>
    </row>
    <row r="115" spans="1:20" s="54" customFormat="1" x14ac:dyDescent="0.25">
      <c r="A115" s="54" t="s">
        <v>305</v>
      </c>
      <c r="B115" s="54" t="s">
        <v>211</v>
      </c>
      <c r="D115" s="82"/>
      <c r="E115" s="55"/>
      <c r="F115" s="57" t="s">
        <v>178</v>
      </c>
      <c r="G115" s="55"/>
      <c r="H115" s="55"/>
      <c r="I115" s="55"/>
      <c r="J115" s="55"/>
      <c r="K115" s="55"/>
      <c r="L115" s="55"/>
      <c r="M115" s="55"/>
      <c r="N115" s="55"/>
      <c r="O115" s="55"/>
      <c r="P115" s="55"/>
      <c r="Q115" s="55"/>
      <c r="T115" s="84" t="s">
        <v>13</v>
      </c>
    </row>
    <row r="116" spans="1:20" x14ac:dyDescent="0.25">
      <c r="A116" s="54" t="s">
        <v>306</v>
      </c>
      <c r="B116" s="54" t="s">
        <v>211</v>
      </c>
      <c r="D116" s="83"/>
      <c r="F116" s="57" t="s">
        <v>178</v>
      </c>
      <c r="T116" s="84" t="s">
        <v>13</v>
      </c>
    </row>
    <row r="117" spans="1:20" x14ac:dyDescent="0.25">
      <c r="A117" s="54" t="s">
        <v>307</v>
      </c>
      <c r="B117" s="54" t="s">
        <v>236</v>
      </c>
      <c r="D117" s="115" t="s">
        <v>77</v>
      </c>
      <c r="E117" s="73"/>
      <c r="F117" s="73">
        <f>510.5-113-16</f>
        <v>381.5</v>
      </c>
      <c r="G117" s="73">
        <v>510.5</v>
      </c>
      <c r="H117" s="55">
        <f t="shared" ref="H117:Q117" si="64">$F$117</f>
        <v>381.5</v>
      </c>
      <c r="I117" s="55">
        <f t="shared" si="64"/>
        <v>381.5</v>
      </c>
      <c r="J117" s="55">
        <f t="shared" si="64"/>
        <v>381.5</v>
      </c>
      <c r="K117" s="55">
        <f t="shared" si="64"/>
        <v>381.5</v>
      </c>
      <c r="L117" s="55">
        <f t="shared" si="64"/>
        <v>381.5</v>
      </c>
      <c r="M117" s="55">
        <f t="shared" si="64"/>
        <v>381.5</v>
      </c>
      <c r="N117" s="55">
        <f t="shared" si="64"/>
        <v>381.5</v>
      </c>
      <c r="O117" s="55">
        <f t="shared" si="64"/>
        <v>381.5</v>
      </c>
      <c r="P117" s="55">
        <f t="shared" si="64"/>
        <v>381.5</v>
      </c>
      <c r="Q117" s="55">
        <f t="shared" si="64"/>
        <v>381.5</v>
      </c>
      <c r="S117" t="s">
        <v>308</v>
      </c>
      <c r="T117" s="84" t="s">
        <v>13</v>
      </c>
    </row>
    <row r="118" spans="1:20" x14ac:dyDescent="0.25">
      <c r="A118" s="54" t="s">
        <v>309</v>
      </c>
      <c r="B118" s="54" t="s">
        <v>254</v>
      </c>
      <c r="D118" s="62" t="s">
        <v>90</v>
      </c>
      <c r="F118" s="55">
        <v>217.4</v>
      </c>
      <c r="T118" s="84" t="s">
        <v>13</v>
      </c>
    </row>
    <row r="119" spans="1:20" x14ac:dyDescent="0.25">
      <c r="A119" s="54" t="s">
        <v>310</v>
      </c>
      <c r="B119" s="54" t="s">
        <v>254</v>
      </c>
      <c r="D119" s="52" t="s">
        <v>70</v>
      </c>
      <c r="E119" s="73"/>
      <c r="F119" s="73">
        <v>1.8</v>
      </c>
      <c r="G119" s="73">
        <v>2.2999999999999998</v>
      </c>
      <c r="H119" s="55">
        <f t="shared" ref="H119:Q119" si="65">$F$119</f>
        <v>1.8</v>
      </c>
      <c r="I119" s="55">
        <f t="shared" si="65"/>
        <v>1.8</v>
      </c>
      <c r="J119" s="55">
        <f t="shared" si="65"/>
        <v>1.8</v>
      </c>
      <c r="K119" s="55">
        <f t="shared" si="65"/>
        <v>1.8</v>
      </c>
      <c r="L119" s="55">
        <f t="shared" si="65"/>
        <v>1.8</v>
      </c>
      <c r="M119" s="55">
        <f t="shared" si="65"/>
        <v>1.8</v>
      </c>
      <c r="N119" s="55">
        <f t="shared" si="65"/>
        <v>1.8</v>
      </c>
      <c r="O119" s="55">
        <f t="shared" si="65"/>
        <v>1.8</v>
      </c>
      <c r="P119" s="55">
        <f t="shared" si="65"/>
        <v>1.8</v>
      </c>
      <c r="Q119" s="55">
        <f t="shared" si="65"/>
        <v>1.8</v>
      </c>
      <c r="T119" s="84" t="s">
        <v>13</v>
      </c>
    </row>
    <row r="120" spans="1:20" x14ac:dyDescent="0.25">
      <c r="A120" s="54" t="s">
        <v>311</v>
      </c>
      <c r="B120" s="54" t="s">
        <v>254</v>
      </c>
      <c r="D120" s="52" t="s">
        <v>70</v>
      </c>
      <c r="F120" s="55">
        <v>1</v>
      </c>
      <c r="T120" s="84" t="s">
        <v>13</v>
      </c>
    </row>
    <row r="121" spans="1:20" x14ac:dyDescent="0.25">
      <c r="A121" s="54" t="s">
        <v>312</v>
      </c>
      <c r="B121" s="54" t="s">
        <v>254</v>
      </c>
      <c r="D121" s="82"/>
      <c r="F121" s="57" t="s">
        <v>178</v>
      </c>
      <c r="T121" s="84" t="s">
        <v>13</v>
      </c>
    </row>
    <row r="122" spans="1:20" x14ac:dyDescent="0.25">
      <c r="A122" t="s">
        <v>313</v>
      </c>
      <c r="B122" s="54" t="s">
        <v>254</v>
      </c>
      <c r="D122" s="82"/>
      <c r="F122" s="57" t="s">
        <v>178</v>
      </c>
      <c r="T122" s="84" t="s">
        <v>13</v>
      </c>
    </row>
    <row r="123" spans="1:20" x14ac:dyDescent="0.25">
      <c r="A123" s="54" t="s">
        <v>314</v>
      </c>
      <c r="B123" s="54" t="s">
        <v>254</v>
      </c>
      <c r="D123" s="82"/>
      <c r="F123" s="57" t="s">
        <v>178</v>
      </c>
      <c r="T123" s="84" t="s">
        <v>13</v>
      </c>
    </row>
    <row r="124" spans="1:20" x14ac:dyDescent="0.25">
      <c r="A124" s="54" t="s">
        <v>315</v>
      </c>
      <c r="B124" s="54" t="s">
        <v>205</v>
      </c>
      <c r="D124" s="82"/>
      <c r="F124" s="57" t="s">
        <v>178</v>
      </c>
      <c r="T124" s="84" t="s">
        <v>13</v>
      </c>
    </row>
    <row r="125" spans="1:20" x14ac:dyDescent="0.25">
      <c r="A125" s="54" t="s">
        <v>316</v>
      </c>
      <c r="B125" s="54" t="s">
        <v>205</v>
      </c>
      <c r="D125" s="82"/>
      <c r="F125" s="57" t="s">
        <v>178</v>
      </c>
      <c r="T125" s="84" t="s">
        <v>13</v>
      </c>
    </row>
    <row r="126" spans="1:20" x14ac:dyDescent="0.25">
      <c r="A126" s="54" t="s">
        <v>317</v>
      </c>
      <c r="B126" s="54" t="s">
        <v>205</v>
      </c>
      <c r="D126" s="52" t="s">
        <v>77</v>
      </c>
      <c r="F126" s="55">
        <f>AVERAGE(G126:H126)</f>
        <v>10.9</v>
      </c>
      <c r="G126" s="55">
        <v>10.9</v>
      </c>
      <c r="T126" s="84" t="s">
        <v>13</v>
      </c>
    </row>
    <row r="127" spans="1:20" x14ac:dyDescent="0.25">
      <c r="A127" s="54" t="s">
        <v>318</v>
      </c>
      <c r="B127" s="54" t="s">
        <v>205</v>
      </c>
      <c r="D127" s="52" t="s">
        <v>77</v>
      </c>
      <c r="F127" s="73">
        <f>AVERAGE(G127:H127)</f>
        <v>29.55</v>
      </c>
      <c r="G127" s="73">
        <v>25.9</v>
      </c>
      <c r="H127" s="73">
        <v>33.200000000000003</v>
      </c>
      <c r="T127" s="84" t="s">
        <v>13</v>
      </c>
    </row>
    <row r="128" spans="1:20" x14ac:dyDescent="0.25">
      <c r="A128" s="54" t="s">
        <v>319</v>
      </c>
      <c r="B128" s="54" t="s">
        <v>205</v>
      </c>
      <c r="D128" s="52" t="s">
        <v>77</v>
      </c>
      <c r="H128" s="55">
        <v>16.600000000000001</v>
      </c>
      <c r="T128" s="84" t="s">
        <v>13</v>
      </c>
    </row>
    <row r="129" spans="1:20" x14ac:dyDescent="0.25">
      <c r="A129" s="54" t="s">
        <v>320</v>
      </c>
      <c r="B129" s="54" t="s">
        <v>205</v>
      </c>
      <c r="D129" s="52" t="s">
        <v>77</v>
      </c>
      <c r="F129" s="55">
        <f>AVERAGE(G129:H129)</f>
        <v>32</v>
      </c>
      <c r="G129" s="55">
        <v>32</v>
      </c>
      <c r="T129" s="84" t="s">
        <v>13</v>
      </c>
    </row>
    <row r="130" spans="1:20" x14ac:dyDescent="0.25">
      <c r="A130" s="54" t="s">
        <v>321</v>
      </c>
      <c r="B130" s="54" t="s">
        <v>205</v>
      </c>
      <c r="D130" s="52" t="s">
        <v>77</v>
      </c>
      <c r="H130" s="55">
        <v>30</v>
      </c>
      <c r="T130" s="84" t="s">
        <v>13</v>
      </c>
    </row>
    <row r="131" spans="1:20" x14ac:dyDescent="0.25">
      <c r="A131" s="54" t="s">
        <v>322</v>
      </c>
      <c r="B131" s="54" t="s">
        <v>205</v>
      </c>
      <c r="D131" s="52" t="s">
        <v>77</v>
      </c>
      <c r="H131" s="55">
        <f t="shared" ref="H131:Q131" si="66">300/10</f>
        <v>30</v>
      </c>
      <c r="I131" s="55">
        <f t="shared" si="66"/>
        <v>30</v>
      </c>
      <c r="J131" s="55">
        <f t="shared" si="66"/>
        <v>30</v>
      </c>
      <c r="K131" s="55">
        <f t="shared" si="66"/>
        <v>30</v>
      </c>
      <c r="L131" s="55">
        <f t="shared" si="66"/>
        <v>30</v>
      </c>
      <c r="M131" s="55">
        <f t="shared" si="66"/>
        <v>30</v>
      </c>
      <c r="N131" s="55">
        <f t="shared" si="66"/>
        <v>30</v>
      </c>
      <c r="O131" s="55">
        <f t="shared" si="66"/>
        <v>30</v>
      </c>
      <c r="P131" s="55">
        <f t="shared" si="66"/>
        <v>30</v>
      </c>
      <c r="Q131" s="55">
        <f t="shared" si="66"/>
        <v>30</v>
      </c>
      <c r="T131" s="84" t="s">
        <v>13</v>
      </c>
    </row>
  </sheetData>
  <autoFilter ref="A1:T131" xr:uid="{E60DACE5-EC2F-4ED6-B903-7704560472BD}"/>
  <hyperlinks>
    <hyperlink ref="U32" r:id="rId1" xr:uid="{35FE986C-AF27-44D2-B325-CE3B8D979E48}"/>
    <hyperlink ref="T114" r:id="rId2" xr:uid="{DDF47A53-1CEA-4C2B-AB56-D7260FC06144}"/>
    <hyperlink ref="T111" r:id="rId3" xr:uid="{3E80C371-33AD-4A7F-AC9A-77069CD6D68D}"/>
    <hyperlink ref="T115" r:id="rId4" xr:uid="{8D54A8D2-8293-40B7-AFC7-BC13F6E47FA2}"/>
    <hyperlink ref="T116:T125" r:id="rId5" display="https://www.iisd.org/system/files/2022-02/blocking-ambition-fossil-fuel-subsidies-canadian-provinces.pdf" xr:uid="{540FB0AF-BBA8-48A5-94A8-9EC0FB345B05}"/>
    <hyperlink ref="T126" r:id="rId6" xr:uid="{08A07DD9-6C83-441A-B038-FBE6F4C5A688}"/>
    <hyperlink ref="T127:T128" r:id="rId7" display="https://www.iisd.org/system/files/2022-02/blocking-ambition-fossil-fuel-subsidies-canadian-provinces.pdf" xr:uid="{EE7E261F-13E7-4282-8C7E-8F28AA993014}"/>
    <hyperlink ref="T129" r:id="rId8" xr:uid="{1A9F615E-FCD7-4E5D-A0D6-F60A6DBD5546}"/>
    <hyperlink ref="T130" r:id="rId9" xr:uid="{5632DC71-CFCB-42A3-B6A5-A2DAF20C26C3}"/>
    <hyperlink ref="T131" r:id="rId10" xr:uid="{9749DD31-329B-440C-ACA5-64B68BB37112}"/>
    <hyperlink ref="U17" r:id="rId11" xr:uid="{2C418FD4-919A-41C2-A1BC-ECA89C190879}"/>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12B0E-EE91-4658-9AF2-96D50B2169A6}">
  <dimension ref="A1:AU28"/>
  <sheetViews>
    <sheetView workbookViewId="0">
      <selection activeCell="B14" sqref="B14"/>
    </sheetView>
  </sheetViews>
  <sheetFormatPr defaultColWidth="8.7109375" defaultRowHeight="15" x14ac:dyDescent="0.25"/>
  <cols>
    <col min="1" max="16384" width="8.7109375" style="13"/>
  </cols>
  <sheetData>
    <row r="1" spans="1:47" ht="21" x14ac:dyDescent="0.35">
      <c r="A1" s="15" t="s">
        <v>323</v>
      </c>
    </row>
    <row r="2" spans="1:47" ht="21" x14ac:dyDescent="0.35">
      <c r="A2" s="15" t="s">
        <v>324</v>
      </c>
    </row>
    <row r="3" spans="1:47" ht="21" x14ac:dyDescent="0.35">
      <c r="A3" s="15" t="s">
        <v>325</v>
      </c>
    </row>
    <row r="4" spans="1:47" ht="21" x14ac:dyDescent="0.35">
      <c r="A4" s="15" t="s">
        <v>326</v>
      </c>
    </row>
    <row r="7" spans="1:47" ht="18.75" x14ac:dyDescent="0.3">
      <c r="A7" s="14" t="s">
        <v>327</v>
      </c>
    </row>
    <row r="8" spans="1:4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25">
      <c r="A9" s="13" t="s">
        <v>375</v>
      </c>
      <c r="B9" s="13">
        <v>12988.24</v>
      </c>
      <c r="C9" s="13">
        <v>13002.58</v>
      </c>
      <c r="D9" s="13">
        <v>13375.37</v>
      </c>
      <c r="E9" s="13">
        <v>13031.28</v>
      </c>
      <c r="F9" s="13">
        <v>12398.28</v>
      </c>
      <c r="G9" s="13">
        <v>12839.85</v>
      </c>
      <c r="H9" s="13">
        <v>13251.8</v>
      </c>
      <c r="I9" s="13">
        <v>13315.53</v>
      </c>
      <c r="J9" s="13">
        <v>13592.81</v>
      </c>
      <c r="K9" s="13">
        <v>13633.52</v>
      </c>
      <c r="L9" s="13">
        <v>13767.75</v>
      </c>
      <c r="M9" s="13">
        <v>13589.92</v>
      </c>
      <c r="N9" s="13">
        <v>13825.94</v>
      </c>
      <c r="O9" s="13">
        <v>14181.9</v>
      </c>
      <c r="P9" s="13">
        <v>14218.15</v>
      </c>
      <c r="Q9" s="13">
        <v>13017.78</v>
      </c>
      <c r="R9" s="13">
        <v>13548.76</v>
      </c>
      <c r="S9" s="13">
        <v>13841.23</v>
      </c>
      <c r="T9" s="13">
        <v>13765.54</v>
      </c>
      <c r="U9" s="13">
        <v>13780.13</v>
      </c>
      <c r="V9" s="13">
        <v>13677.46</v>
      </c>
      <c r="W9" s="13">
        <v>13618.93</v>
      </c>
      <c r="X9" s="13">
        <v>13532.28</v>
      </c>
      <c r="Y9" s="13">
        <v>13445.24</v>
      </c>
      <c r="Z9" s="13">
        <v>13334.23</v>
      </c>
      <c r="AA9" s="13">
        <v>13230.24</v>
      </c>
      <c r="AB9" s="13">
        <v>13152.72</v>
      </c>
      <c r="AC9" s="13">
        <v>13023.03</v>
      </c>
      <c r="AD9" s="13">
        <v>12898.67</v>
      </c>
      <c r="AE9" s="13">
        <v>12784.66</v>
      </c>
      <c r="AF9" s="13">
        <v>12632.78</v>
      </c>
      <c r="AG9" s="13">
        <v>12401.96</v>
      </c>
      <c r="AH9" s="13">
        <v>12245.14</v>
      </c>
      <c r="AI9" s="13">
        <v>12106.36</v>
      </c>
      <c r="AJ9" s="13">
        <v>11986.58</v>
      </c>
      <c r="AK9" s="13">
        <v>11831.21</v>
      </c>
      <c r="AL9" s="13">
        <v>11631.57</v>
      </c>
      <c r="AM9" s="13">
        <v>11477.22</v>
      </c>
      <c r="AN9" s="13">
        <v>11366.07</v>
      </c>
      <c r="AO9" s="13">
        <v>11281.13</v>
      </c>
      <c r="AP9" s="13">
        <v>11155.42</v>
      </c>
      <c r="AQ9" s="13">
        <v>11031.9</v>
      </c>
      <c r="AR9" s="13">
        <v>10928</v>
      </c>
      <c r="AS9" s="13">
        <v>10822.8</v>
      </c>
      <c r="AT9" s="13">
        <v>10740.61</v>
      </c>
      <c r="AU9" s="13">
        <v>10667.53</v>
      </c>
    </row>
    <row r="10" spans="1:47" x14ac:dyDescent="0.25">
      <c r="A10" s="13" t="s">
        <v>376</v>
      </c>
      <c r="B10" s="13">
        <v>3674.64</v>
      </c>
      <c r="C10" s="13">
        <v>3695.47</v>
      </c>
      <c r="D10" s="13">
        <v>3893.64</v>
      </c>
      <c r="E10" s="13">
        <v>3908.66</v>
      </c>
      <c r="F10" s="13">
        <v>3792.06</v>
      </c>
      <c r="G10" s="13">
        <v>3956.74</v>
      </c>
      <c r="H10" s="13">
        <v>4233.88</v>
      </c>
      <c r="I10" s="13">
        <v>4323.3</v>
      </c>
      <c r="J10" s="13">
        <v>4486.18</v>
      </c>
      <c r="K10" s="13">
        <v>4578.2700000000004</v>
      </c>
      <c r="L10" s="13">
        <v>4739.4799999999996</v>
      </c>
      <c r="M10" s="13">
        <v>4608.99</v>
      </c>
      <c r="N10" s="13">
        <v>4700.43</v>
      </c>
      <c r="O10" s="13">
        <v>4984.8999999999996</v>
      </c>
      <c r="P10" s="13">
        <v>5044.71</v>
      </c>
      <c r="Q10" s="13">
        <v>4939.5</v>
      </c>
      <c r="R10" s="13">
        <v>5025.9399999999996</v>
      </c>
      <c r="S10" s="13">
        <v>5070.33</v>
      </c>
      <c r="T10" s="13">
        <v>5225.32</v>
      </c>
      <c r="U10" s="13">
        <v>5113.74</v>
      </c>
      <c r="V10" s="13">
        <v>5083.82</v>
      </c>
      <c r="W10" s="13">
        <v>5075.1499999999996</v>
      </c>
      <c r="X10" s="13">
        <v>4969.78</v>
      </c>
      <c r="Y10" s="13">
        <v>4876.28</v>
      </c>
      <c r="Z10" s="13">
        <v>4828.21</v>
      </c>
      <c r="AA10" s="13">
        <v>4700.04</v>
      </c>
      <c r="AB10" s="13">
        <v>4683.28</v>
      </c>
      <c r="AC10" s="13">
        <v>4579.38</v>
      </c>
      <c r="AD10" s="13">
        <v>4516.6499999999996</v>
      </c>
      <c r="AE10" s="13">
        <v>4411.45</v>
      </c>
      <c r="AF10" s="13">
        <v>4321.09</v>
      </c>
      <c r="AG10" s="13">
        <v>4149.78</v>
      </c>
      <c r="AH10" s="13">
        <v>4076.2</v>
      </c>
      <c r="AI10" s="13">
        <v>4001.15</v>
      </c>
      <c r="AJ10" s="13">
        <v>3954.99</v>
      </c>
      <c r="AK10" s="13">
        <v>3866.06</v>
      </c>
      <c r="AL10" s="13">
        <v>3782.88</v>
      </c>
      <c r="AM10" s="13">
        <v>3699.83</v>
      </c>
      <c r="AN10" s="13">
        <v>3633.66</v>
      </c>
      <c r="AO10" s="13">
        <v>3546.54</v>
      </c>
      <c r="AP10" s="13">
        <v>3466.73</v>
      </c>
      <c r="AQ10" s="13">
        <v>3385.8</v>
      </c>
      <c r="AR10" s="13">
        <v>3324.98</v>
      </c>
      <c r="AS10" s="13">
        <v>3261.11</v>
      </c>
      <c r="AT10" s="13">
        <v>3218.29</v>
      </c>
      <c r="AU10" s="13">
        <v>3181.5</v>
      </c>
    </row>
    <row r="11" spans="1:47" x14ac:dyDescent="0.25">
      <c r="A11" s="13" t="s">
        <v>377</v>
      </c>
      <c r="B11" s="13">
        <v>4791.0600000000004</v>
      </c>
      <c r="C11" s="13">
        <v>4845.3999999999996</v>
      </c>
      <c r="D11" s="13">
        <v>4972.97</v>
      </c>
      <c r="E11" s="13">
        <v>4837.32</v>
      </c>
      <c r="F11" s="13">
        <v>4646.3999999999996</v>
      </c>
      <c r="G11" s="13">
        <v>4803.5600000000004</v>
      </c>
      <c r="H11" s="13">
        <v>4800.1499999999996</v>
      </c>
      <c r="I11" s="13">
        <v>4912.9399999999996</v>
      </c>
      <c r="J11" s="13">
        <v>4841.17</v>
      </c>
      <c r="K11" s="13">
        <v>4755.84</v>
      </c>
      <c r="L11" s="13">
        <v>4783.32</v>
      </c>
      <c r="M11" s="13">
        <v>4846.3</v>
      </c>
      <c r="N11" s="13">
        <v>4906.71</v>
      </c>
      <c r="O11" s="13">
        <v>5038.87</v>
      </c>
      <c r="P11" s="13">
        <v>5066.6000000000004</v>
      </c>
      <c r="Q11" s="13">
        <v>4289.68</v>
      </c>
      <c r="R11" s="13">
        <v>4610.26</v>
      </c>
      <c r="S11" s="13">
        <v>4846.29</v>
      </c>
      <c r="T11" s="13">
        <v>4819.2</v>
      </c>
      <c r="U11" s="13">
        <v>4771.6000000000004</v>
      </c>
      <c r="V11" s="13">
        <v>4721.54</v>
      </c>
      <c r="W11" s="13">
        <v>4696.21</v>
      </c>
      <c r="X11" s="13">
        <v>4592.7</v>
      </c>
      <c r="Y11" s="13">
        <v>4489</v>
      </c>
      <c r="Z11" s="13">
        <v>4424.95</v>
      </c>
      <c r="AA11" s="13">
        <v>4283.6400000000003</v>
      </c>
      <c r="AB11" s="13">
        <v>4248.8999999999996</v>
      </c>
      <c r="AC11" s="13">
        <v>4124.09</v>
      </c>
      <c r="AD11" s="13">
        <v>4041.17</v>
      </c>
      <c r="AE11" s="13">
        <v>3931.5</v>
      </c>
      <c r="AF11" s="13">
        <v>3827.26</v>
      </c>
      <c r="AG11" s="13">
        <v>3742.1</v>
      </c>
      <c r="AH11" s="13">
        <v>3637.28</v>
      </c>
      <c r="AI11" s="13">
        <v>3538.33</v>
      </c>
      <c r="AJ11" s="13">
        <v>3447.07</v>
      </c>
      <c r="AK11" s="13">
        <v>3344.74</v>
      </c>
      <c r="AL11" s="13">
        <v>3276.97</v>
      </c>
      <c r="AM11" s="13">
        <v>3159.35</v>
      </c>
      <c r="AN11" s="13">
        <v>3078.74</v>
      </c>
      <c r="AO11" s="13">
        <v>2963.07</v>
      </c>
      <c r="AP11" s="13">
        <v>2890.43</v>
      </c>
      <c r="AQ11" s="13">
        <v>2817.82</v>
      </c>
      <c r="AR11" s="13">
        <v>2759.19</v>
      </c>
      <c r="AS11" s="13">
        <v>2692.64</v>
      </c>
      <c r="AT11" s="13">
        <v>2642.82</v>
      </c>
      <c r="AU11" s="13">
        <v>2601.15</v>
      </c>
    </row>
    <row r="12" spans="1:47" x14ac:dyDescent="0.25">
      <c r="A12" s="13" t="s">
        <v>378</v>
      </c>
      <c r="B12" s="13">
        <v>1275.74</v>
      </c>
      <c r="C12" s="13">
        <v>1290.98</v>
      </c>
      <c r="D12" s="13">
        <v>1284.9000000000001</v>
      </c>
      <c r="E12" s="13">
        <v>1150.9000000000001</v>
      </c>
      <c r="F12" s="13">
        <v>969.3</v>
      </c>
      <c r="G12" s="13">
        <v>936.42</v>
      </c>
      <c r="H12" s="13">
        <v>905.68</v>
      </c>
      <c r="I12" s="13">
        <v>761.85</v>
      </c>
      <c r="J12" s="13">
        <v>761.16</v>
      </c>
      <c r="K12" s="13">
        <v>725.39</v>
      </c>
      <c r="L12" s="13">
        <v>732.15</v>
      </c>
      <c r="M12" s="13">
        <v>803.59</v>
      </c>
      <c r="N12" s="13">
        <v>844.92</v>
      </c>
      <c r="O12" s="13">
        <v>750.34</v>
      </c>
      <c r="P12" s="13">
        <v>712.88</v>
      </c>
      <c r="Q12" s="13">
        <v>502.66</v>
      </c>
      <c r="R12" s="13">
        <v>582.37</v>
      </c>
      <c r="S12" s="13">
        <v>408.51</v>
      </c>
      <c r="T12" s="13">
        <v>265.14999999999998</v>
      </c>
      <c r="U12" s="13">
        <v>262.23</v>
      </c>
      <c r="V12" s="13">
        <v>243.54</v>
      </c>
      <c r="W12" s="13">
        <v>229.52</v>
      </c>
      <c r="X12" s="13">
        <v>208.8</v>
      </c>
      <c r="Y12" s="13">
        <v>191.91</v>
      </c>
      <c r="Z12" s="13">
        <v>182.58</v>
      </c>
      <c r="AA12" s="13">
        <v>159.69</v>
      </c>
      <c r="AB12" s="13">
        <v>153.62</v>
      </c>
      <c r="AC12" s="13">
        <v>133.47</v>
      </c>
      <c r="AD12" s="13">
        <v>129.77000000000001</v>
      </c>
      <c r="AE12" s="13">
        <v>126.19</v>
      </c>
      <c r="AF12" s="13">
        <v>117.99</v>
      </c>
      <c r="AG12" s="13">
        <v>114.89</v>
      </c>
      <c r="AH12" s="13">
        <v>112.28</v>
      </c>
      <c r="AI12" s="13">
        <v>108.91</v>
      </c>
      <c r="AJ12" s="13">
        <v>100.41</v>
      </c>
      <c r="AK12" s="13">
        <v>97.2</v>
      </c>
      <c r="AL12" s="13">
        <v>68.22</v>
      </c>
      <c r="AM12" s="13">
        <v>65.88</v>
      </c>
      <c r="AN12" s="13">
        <v>63.88</v>
      </c>
      <c r="AO12" s="13">
        <v>62.19</v>
      </c>
      <c r="AP12" s="13">
        <v>60.82</v>
      </c>
      <c r="AQ12" s="13">
        <v>59.64</v>
      </c>
      <c r="AR12" s="13">
        <v>58.89</v>
      </c>
      <c r="AS12" s="13">
        <v>58.33</v>
      </c>
      <c r="AT12" s="13">
        <v>58.05</v>
      </c>
      <c r="AU12" s="13">
        <v>57.93</v>
      </c>
    </row>
    <row r="13" spans="1:47" x14ac:dyDescent="0.25">
      <c r="A13" s="13" t="s">
        <v>379</v>
      </c>
      <c r="B13" s="13">
        <v>1295</v>
      </c>
      <c r="C13" s="13">
        <v>1261.69</v>
      </c>
      <c r="D13" s="13">
        <v>1314.49</v>
      </c>
      <c r="E13" s="13">
        <v>1354.8</v>
      </c>
      <c r="F13" s="13">
        <v>1313.44</v>
      </c>
      <c r="G13" s="13">
        <v>1254.43</v>
      </c>
      <c r="H13" s="13">
        <v>1340.9</v>
      </c>
      <c r="I13" s="13">
        <v>1354.64</v>
      </c>
      <c r="J13" s="13">
        <v>1394.51</v>
      </c>
      <c r="K13" s="13">
        <v>1363</v>
      </c>
      <c r="L13" s="13">
        <v>1362.02</v>
      </c>
      <c r="M13" s="13">
        <v>1373.58</v>
      </c>
      <c r="N13" s="13">
        <v>1406.16</v>
      </c>
      <c r="O13" s="13">
        <v>1375.2</v>
      </c>
      <c r="P13" s="13">
        <v>1353.01</v>
      </c>
      <c r="Q13" s="13">
        <v>1389.56</v>
      </c>
      <c r="R13" s="13">
        <v>1414.02</v>
      </c>
      <c r="S13" s="13">
        <v>1489.79</v>
      </c>
      <c r="T13" s="13">
        <v>1510.93</v>
      </c>
      <c r="U13" s="13">
        <v>1513.38</v>
      </c>
      <c r="V13" s="13">
        <v>1533.85</v>
      </c>
      <c r="W13" s="13">
        <v>1534.51</v>
      </c>
      <c r="X13" s="13">
        <v>1535.1</v>
      </c>
      <c r="Y13" s="13">
        <v>1535.21</v>
      </c>
      <c r="Z13" s="13">
        <v>1533.72</v>
      </c>
      <c r="AA13" s="13">
        <v>1564.37</v>
      </c>
      <c r="AB13" s="13">
        <v>1567.49</v>
      </c>
      <c r="AC13" s="13">
        <v>1567.37</v>
      </c>
      <c r="AD13" s="13">
        <v>1568.65</v>
      </c>
      <c r="AE13" s="13">
        <v>1572.56</v>
      </c>
      <c r="AF13" s="13">
        <v>1575.26</v>
      </c>
      <c r="AG13" s="13">
        <v>1581.03</v>
      </c>
      <c r="AH13" s="13">
        <v>1584.29</v>
      </c>
      <c r="AI13" s="13">
        <v>1586.09</v>
      </c>
      <c r="AJ13" s="13">
        <v>1587.58</v>
      </c>
      <c r="AK13" s="13">
        <v>1588.58</v>
      </c>
      <c r="AL13" s="13">
        <v>1591.7</v>
      </c>
      <c r="AM13" s="13">
        <v>1594.06</v>
      </c>
      <c r="AN13" s="13">
        <v>1595.62</v>
      </c>
      <c r="AO13" s="13">
        <v>1596.61</v>
      </c>
      <c r="AP13" s="13">
        <v>1598.11</v>
      </c>
      <c r="AQ13" s="13">
        <v>1599.52</v>
      </c>
      <c r="AR13" s="13">
        <v>1601.45</v>
      </c>
      <c r="AS13" s="13">
        <v>1602.94</v>
      </c>
      <c r="AT13" s="13">
        <v>1602.14</v>
      </c>
      <c r="AU13" s="13">
        <v>1606.54</v>
      </c>
    </row>
    <row r="14" spans="1:47" x14ac:dyDescent="0.25">
      <c r="A14" s="13" t="s">
        <v>380</v>
      </c>
      <c r="B14" s="13">
        <v>1032.8399999999999</v>
      </c>
      <c r="C14" s="13">
        <v>1032.69</v>
      </c>
      <c r="D14" s="13">
        <v>1029.53</v>
      </c>
      <c r="E14" s="13">
        <v>953.48</v>
      </c>
      <c r="F14" s="13">
        <v>940.95</v>
      </c>
      <c r="G14" s="13">
        <v>955.09</v>
      </c>
      <c r="H14" s="13">
        <v>1048.26</v>
      </c>
      <c r="I14" s="13">
        <v>1020.43</v>
      </c>
      <c r="J14" s="13">
        <v>1117.5999999999999</v>
      </c>
      <c r="K14" s="13">
        <v>1189.94</v>
      </c>
      <c r="L14" s="13">
        <v>1063.56</v>
      </c>
      <c r="M14" s="13">
        <v>1059.5899999999999</v>
      </c>
      <c r="N14" s="13">
        <v>1058.24</v>
      </c>
      <c r="O14" s="13">
        <v>1052.3</v>
      </c>
      <c r="P14" s="13">
        <v>1057.18</v>
      </c>
      <c r="Q14" s="13">
        <v>924.13</v>
      </c>
      <c r="R14" s="13">
        <v>870.78</v>
      </c>
      <c r="S14" s="13">
        <v>897.52</v>
      </c>
      <c r="T14" s="13">
        <v>774.21</v>
      </c>
      <c r="U14" s="13">
        <v>889.06</v>
      </c>
      <c r="V14" s="13">
        <v>812.64</v>
      </c>
      <c r="W14" s="13">
        <v>753.5</v>
      </c>
      <c r="X14" s="13">
        <v>823.21</v>
      </c>
      <c r="Y14" s="13">
        <v>894.5</v>
      </c>
      <c r="Z14" s="13">
        <v>839.75</v>
      </c>
      <c r="AA14" s="13">
        <v>915.52</v>
      </c>
      <c r="AB14" s="13">
        <v>841.37</v>
      </c>
      <c r="AC14" s="13">
        <v>917.15</v>
      </c>
      <c r="AD14" s="13">
        <v>917.6</v>
      </c>
      <c r="AE14" s="13">
        <v>993.38</v>
      </c>
      <c r="AF14" s="13">
        <v>1013.57</v>
      </c>
      <c r="AG14" s="13">
        <v>1013.57</v>
      </c>
      <c r="AH14" s="13">
        <v>1014.03</v>
      </c>
      <c r="AI14" s="13">
        <v>1014.03</v>
      </c>
      <c r="AJ14" s="13">
        <v>1014.95</v>
      </c>
      <c r="AK14" s="13">
        <v>1016.79</v>
      </c>
      <c r="AL14" s="13">
        <v>963.92</v>
      </c>
      <c r="AM14" s="13">
        <v>965.77</v>
      </c>
      <c r="AN14" s="13">
        <v>967.61</v>
      </c>
      <c r="AO14" s="13">
        <v>1038.23</v>
      </c>
      <c r="AP14" s="13">
        <v>1040.53</v>
      </c>
      <c r="AQ14" s="13">
        <v>1045.1400000000001</v>
      </c>
      <c r="AR14" s="13">
        <v>1054.3499999999999</v>
      </c>
      <c r="AS14" s="13">
        <v>1063.57</v>
      </c>
      <c r="AT14" s="13">
        <v>1072.78</v>
      </c>
      <c r="AU14" s="13">
        <v>1072.78</v>
      </c>
    </row>
    <row r="15" spans="1:47" x14ac:dyDescent="0.25">
      <c r="A15" s="13" t="s">
        <v>381</v>
      </c>
      <c r="B15" s="13">
        <v>918.96</v>
      </c>
      <c r="C15" s="13">
        <v>876.35</v>
      </c>
      <c r="D15" s="13">
        <v>879.83</v>
      </c>
      <c r="E15" s="13">
        <v>826.13</v>
      </c>
      <c r="F15" s="13">
        <v>736.14</v>
      </c>
      <c r="G15" s="13">
        <v>933.61</v>
      </c>
      <c r="H15" s="13">
        <v>922.94</v>
      </c>
      <c r="I15" s="13">
        <v>942.37</v>
      </c>
      <c r="J15" s="13">
        <v>992.19</v>
      </c>
      <c r="K15" s="13">
        <v>1021.07</v>
      </c>
      <c r="L15" s="13">
        <v>1087.21</v>
      </c>
      <c r="M15" s="13">
        <v>897.88</v>
      </c>
      <c r="N15" s="13">
        <v>909.48</v>
      </c>
      <c r="O15" s="13">
        <v>980.29</v>
      </c>
      <c r="P15" s="13">
        <v>983.76</v>
      </c>
      <c r="Q15" s="13">
        <v>972.24</v>
      </c>
      <c r="R15" s="13">
        <v>1045.4000000000001</v>
      </c>
      <c r="S15" s="13">
        <v>1128.78</v>
      </c>
      <c r="T15" s="13">
        <v>1170.73</v>
      </c>
      <c r="U15" s="13">
        <v>1230.1300000000001</v>
      </c>
      <c r="V15" s="13">
        <v>1282.08</v>
      </c>
      <c r="W15" s="13">
        <v>1330.04</v>
      </c>
      <c r="X15" s="13">
        <v>1402.69</v>
      </c>
      <c r="Y15" s="13">
        <v>1458.34</v>
      </c>
      <c r="Z15" s="13">
        <v>1525.04</v>
      </c>
      <c r="AA15" s="13">
        <v>1606.97</v>
      </c>
      <c r="AB15" s="13">
        <v>1658.06</v>
      </c>
      <c r="AC15" s="13">
        <v>1701.58</v>
      </c>
      <c r="AD15" s="13">
        <v>1724.83</v>
      </c>
      <c r="AE15" s="13">
        <v>1749.59</v>
      </c>
      <c r="AF15" s="13">
        <v>1777.62</v>
      </c>
      <c r="AG15" s="13">
        <v>1800.59</v>
      </c>
      <c r="AH15" s="13">
        <v>1821.06</v>
      </c>
      <c r="AI15" s="13">
        <v>1857.86</v>
      </c>
      <c r="AJ15" s="13">
        <v>1881.58</v>
      </c>
      <c r="AK15" s="13">
        <v>1917.84</v>
      </c>
      <c r="AL15" s="13">
        <v>1947.87</v>
      </c>
      <c r="AM15" s="13">
        <v>1992.33</v>
      </c>
      <c r="AN15" s="13">
        <v>2026.56</v>
      </c>
      <c r="AO15" s="13">
        <v>2074.5</v>
      </c>
      <c r="AP15" s="13">
        <v>2098.8000000000002</v>
      </c>
      <c r="AQ15" s="13">
        <v>2123.98</v>
      </c>
      <c r="AR15" s="13">
        <v>2129.14</v>
      </c>
      <c r="AS15" s="13">
        <v>2144.21</v>
      </c>
      <c r="AT15" s="13">
        <v>2146.5300000000002</v>
      </c>
      <c r="AU15" s="13">
        <v>2147.62</v>
      </c>
    </row>
    <row r="17" spans="1:47" ht="18.75" x14ac:dyDescent="0.3">
      <c r="A17" s="14" t="s">
        <v>382</v>
      </c>
    </row>
    <row r="18" spans="1:47" x14ac:dyDescent="0.25">
      <c r="A18" s="13" t="s">
        <v>328</v>
      </c>
      <c r="B18" s="13" t="s">
        <v>329</v>
      </c>
      <c r="C18" s="13" t="s">
        <v>330</v>
      </c>
      <c r="D18" s="13" t="s">
        <v>331</v>
      </c>
      <c r="E18" s="13" t="s">
        <v>332</v>
      </c>
      <c r="F18" s="13" t="s">
        <v>333</v>
      </c>
      <c r="G18" s="13" t="s">
        <v>334</v>
      </c>
      <c r="H18" s="13" t="s">
        <v>335</v>
      </c>
      <c r="I18" s="13" t="s">
        <v>336</v>
      </c>
      <c r="J18" s="13" t="s">
        <v>337</v>
      </c>
      <c r="K18" s="13" t="s">
        <v>338</v>
      </c>
      <c r="L18" s="13" t="s">
        <v>339</v>
      </c>
      <c r="M18" s="13" t="s">
        <v>340</v>
      </c>
      <c r="N18" s="13" t="s">
        <v>341</v>
      </c>
      <c r="O18" s="13" t="s">
        <v>342</v>
      </c>
      <c r="P18" s="13" t="s">
        <v>343</v>
      </c>
      <c r="Q18" s="13" t="s">
        <v>344</v>
      </c>
      <c r="R18" s="13" t="s">
        <v>345</v>
      </c>
      <c r="S18" s="13" t="s">
        <v>346</v>
      </c>
      <c r="T18" s="13" t="s">
        <v>347</v>
      </c>
      <c r="U18" s="13" t="s">
        <v>348</v>
      </c>
      <c r="V18" s="13" t="s">
        <v>349</v>
      </c>
      <c r="W18" s="13" t="s">
        <v>350</v>
      </c>
      <c r="X18" s="13" t="s">
        <v>351</v>
      </c>
      <c r="Y18" s="13" t="s">
        <v>352</v>
      </c>
      <c r="Z18" s="13" t="s">
        <v>353</v>
      </c>
      <c r="AA18" s="13" t="s">
        <v>354</v>
      </c>
      <c r="AB18" s="13" t="s">
        <v>355</v>
      </c>
      <c r="AC18" s="13" t="s">
        <v>356</v>
      </c>
      <c r="AD18" s="13" t="s">
        <v>357</v>
      </c>
      <c r="AE18" s="13" t="s">
        <v>358</v>
      </c>
      <c r="AF18" s="13" t="s">
        <v>359</v>
      </c>
      <c r="AG18" s="13" t="s">
        <v>360</v>
      </c>
      <c r="AH18" s="13" t="s">
        <v>361</v>
      </c>
      <c r="AI18" s="13" t="s">
        <v>362</v>
      </c>
      <c r="AJ18" s="13" t="s">
        <v>363</v>
      </c>
      <c r="AK18" s="13" t="s">
        <v>364</v>
      </c>
      <c r="AL18" s="13" t="s">
        <v>365</v>
      </c>
      <c r="AM18" s="13" t="s">
        <v>366</v>
      </c>
      <c r="AN18" s="13" t="s">
        <v>367</v>
      </c>
      <c r="AO18" s="13" t="s">
        <v>368</v>
      </c>
      <c r="AP18" s="13" t="s">
        <v>369</v>
      </c>
      <c r="AQ18" s="13" t="s">
        <v>370</v>
      </c>
      <c r="AR18" s="13" t="s">
        <v>371</v>
      </c>
      <c r="AS18" s="13" t="s">
        <v>372</v>
      </c>
      <c r="AT18" s="13" t="s">
        <v>373</v>
      </c>
      <c r="AU18" s="13" t="s">
        <v>374</v>
      </c>
    </row>
    <row r="19" spans="1:47" x14ac:dyDescent="0.25">
      <c r="A19" s="13" t="s">
        <v>376</v>
      </c>
      <c r="B19" s="13">
        <v>382.74</v>
      </c>
      <c r="C19" s="13">
        <v>411.14</v>
      </c>
      <c r="D19" s="13">
        <v>410.83</v>
      </c>
      <c r="E19" s="13">
        <v>430.66</v>
      </c>
      <c r="F19" s="13">
        <v>396.31</v>
      </c>
      <c r="G19" s="13">
        <v>518.97</v>
      </c>
      <c r="H19" s="13">
        <v>588.22</v>
      </c>
      <c r="I19" s="13">
        <v>617.03</v>
      </c>
      <c r="J19" s="13">
        <v>582.70000000000005</v>
      </c>
      <c r="K19" s="13">
        <v>520.17999999999995</v>
      </c>
      <c r="L19" s="13">
        <v>642.07000000000005</v>
      </c>
      <c r="M19" s="13">
        <v>635.38</v>
      </c>
      <c r="N19" s="13">
        <v>533.29999999999995</v>
      </c>
      <c r="O19" s="13">
        <v>608.62</v>
      </c>
      <c r="P19" s="13">
        <v>629.14</v>
      </c>
      <c r="Q19" s="13">
        <v>756.92</v>
      </c>
      <c r="R19" s="13">
        <v>773.03</v>
      </c>
      <c r="S19" s="13">
        <v>849.08</v>
      </c>
      <c r="T19" s="13">
        <v>1033.78</v>
      </c>
      <c r="U19" s="13">
        <v>974.95</v>
      </c>
      <c r="V19" s="13">
        <v>1014.95</v>
      </c>
      <c r="W19" s="13">
        <v>1065.8399999999999</v>
      </c>
      <c r="X19" s="13">
        <v>993.7</v>
      </c>
      <c r="Y19" s="13">
        <v>967.08</v>
      </c>
      <c r="Z19" s="13">
        <v>985.07</v>
      </c>
      <c r="AA19" s="13">
        <v>915.01</v>
      </c>
      <c r="AB19" s="13">
        <v>948.38</v>
      </c>
      <c r="AC19" s="13">
        <v>884.81</v>
      </c>
      <c r="AD19" s="13">
        <v>891.92</v>
      </c>
      <c r="AE19" s="13">
        <v>858.23</v>
      </c>
      <c r="AF19" s="13">
        <v>851.46</v>
      </c>
      <c r="AG19" s="13">
        <v>753.67</v>
      </c>
      <c r="AH19" s="13">
        <v>751.3</v>
      </c>
      <c r="AI19" s="13">
        <v>733.3</v>
      </c>
      <c r="AJ19" s="13">
        <v>737.28</v>
      </c>
      <c r="AK19" s="13">
        <v>721.5</v>
      </c>
      <c r="AL19" s="13">
        <v>723.86</v>
      </c>
      <c r="AM19" s="13">
        <v>724.94</v>
      </c>
      <c r="AN19" s="13">
        <v>740.82</v>
      </c>
      <c r="AO19" s="13">
        <v>733.24</v>
      </c>
      <c r="AP19" s="13">
        <v>738.75</v>
      </c>
      <c r="AQ19" s="13">
        <v>736.67</v>
      </c>
      <c r="AR19" s="13">
        <v>744.9</v>
      </c>
      <c r="AS19" s="13">
        <v>741.36</v>
      </c>
      <c r="AT19" s="13">
        <v>749.83</v>
      </c>
      <c r="AU19" s="13">
        <v>757.54</v>
      </c>
    </row>
    <row r="20" spans="1:47" x14ac:dyDescent="0.25">
      <c r="A20" s="13" t="s">
        <v>377</v>
      </c>
      <c r="B20" s="13">
        <v>206.32</v>
      </c>
      <c r="C20" s="13">
        <v>207.39</v>
      </c>
      <c r="D20" s="13">
        <v>207.39</v>
      </c>
      <c r="E20" s="13">
        <v>201.51</v>
      </c>
      <c r="F20" s="13">
        <v>140.75</v>
      </c>
      <c r="G20" s="13">
        <v>87.7</v>
      </c>
      <c r="H20" s="13">
        <v>53.85</v>
      </c>
      <c r="I20" s="13">
        <v>52.83</v>
      </c>
      <c r="J20" s="13">
        <v>54.72</v>
      </c>
      <c r="K20" s="13">
        <v>75.5</v>
      </c>
      <c r="L20" s="13">
        <v>40.31</v>
      </c>
      <c r="M20" s="13">
        <v>54.46</v>
      </c>
      <c r="N20" s="13">
        <v>124.79</v>
      </c>
      <c r="O20" s="13">
        <v>124.73</v>
      </c>
      <c r="P20" s="13">
        <v>113.43</v>
      </c>
      <c r="Q20" s="13">
        <v>62.83</v>
      </c>
      <c r="R20" s="13">
        <v>61.94</v>
      </c>
      <c r="S20" s="13">
        <v>60.63</v>
      </c>
      <c r="T20" s="13">
        <v>52.98</v>
      </c>
      <c r="U20" s="13">
        <v>46.51</v>
      </c>
      <c r="V20" s="13">
        <v>54.33</v>
      </c>
      <c r="W20" s="13">
        <v>94.02</v>
      </c>
      <c r="X20" s="13">
        <v>68.010000000000005</v>
      </c>
      <c r="Y20" s="13">
        <v>54.33</v>
      </c>
      <c r="Z20" s="13">
        <v>85.78</v>
      </c>
      <c r="AA20" s="13">
        <v>44.73</v>
      </c>
      <c r="AB20" s="13">
        <v>102.78</v>
      </c>
      <c r="AC20" s="13">
        <v>70.72</v>
      </c>
      <c r="AD20" s="13">
        <v>82.87</v>
      </c>
      <c r="AE20" s="13">
        <v>69.41</v>
      </c>
      <c r="AF20" s="13">
        <v>68.23</v>
      </c>
      <c r="AG20" s="13">
        <v>85.69</v>
      </c>
      <c r="AH20" s="13">
        <v>80.3</v>
      </c>
      <c r="AI20" s="13">
        <v>79.89</v>
      </c>
      <c r="AJ20" s="13">
        <v>83.89</v>
      </c>
      <c r="AK20" s="13">
        <v>76.58</v>
      </c>
      <c r="AL20" s="13">
        <v>104.72</v>
      </c>
      <c r="AM20" s="13">
        <v>80.05</v>
      </c>
      <c r="AN20" s="13">
        <v>88.9</v>
      </c>
      <c r="AO20" s="13">
        <v>59.98</v>
      </c>
      <c r="AP20" s="13">
        <v>67.11</v>
      </c>
      <c r="AQ20" s="13">
        <v>63.99</v>
      </c>
      <c r="AR20" s="13">
        <v>69.09</v>
      </c>
      <c r="AS20" s="13">
        <v>61.97</v>
      </c>
      <c r="AT20" s="13">
        <v>67.59</v>
      </c>
      <c r="AU20" s="13">
        <v>78.69</v>
      </c>
    </row>
    <row r="21" spans="1:47" x14ac:dyDescent="0.25">
      <c r="A21" s="13" t="s">
        <v>378</v>
      </c>
      <c r="B21" s="13">
        <v>1085.1600000000001</v>
      </c>
      <c r="C21" s="13">
        <v>1085.1600000000001</v>
      </c>
      <c r="D21" s="13">
        <v>1085.1600000000001</v>
      </c>
      <c r="E21" s="13">
        <v>958.55</v>
      </c>
      <c r="F21" s="13">
        <v>816.66</v>
      </c>
      <c r="G21" s="13">
        <v>763.88</v>
      </c>
      <c r="H21" s="13">
        <v>711.18</v>
      </c>
      <c r="I21" s="13">
        <v>580.27</v>
      </c>
      <c r="J21" s="13">
        <v>603.91</v>
      </c>
      <c r="K21" s="13">
        <v>562.12</v>
      </c>
      <c r="L21" s="13">
        <v>588.36</v>
      </c>
      <c r="M21" s="13">
        <v>658.9</v>
      </c>
      <c r="N21" s="13">
        <v>698.37</v>
      </c>
      <c r="O21" s="13">
        <v>593.36</v>
      </c>
      <c r="P21" s="13">
        <v>563.20000000000005</v>
      </c>
      <c r="Q21" s="13">
        <v>361.22</v>
      </c>
      <c r="R21" s="13">
        <v>419.29</v>
      </c>
      <c r="S21" s="13">
        <v>241.4</v>
      </c>
      <c r="T21" s="13">
        <v>101.79</v>
      </c>
      <c r="U21" s="13">
        <v>102.49</v>
      </c>
      <c r="V21" s="13">
        <v>93.45</v>
      </c>
      <c r="W21" s="13">
        <v>90.11</v>
      </c>
      <c r="X21" s="13">
        <v>79.180000000000007</v>
      </c>
      <c r="Y21" s="13">
        <v>71.16</v>
      </c>
      <c r="Z21" s="13">
        <v>69.91</v>
      </c>
      <c r="AA21" s="13">
        <v>54.18</v>
      </c>
      <c r="AB21" s="13">
        <v>54.02</v>
      </c>
      <c r="AC21" s="13">
        <v>38.49</v>
      </c>
      <c r="AD21" s="13">
        <v>39.07</v>
      </c>
      <c r="AE21" s="13">
        <v>39.29</v>
      </c>
      <c r="AF21" s="13">
        <v>34.9</v>
      </c>
      <c r="AG21" s="13">
        <v>35.43</v>
      </c>
      <c r="AH21" s="13">
        <v>35.83</v>
      </c>
      <c r="AI21" s="13">
        <v>35.299999999999997</v>
      </c>
      <c r="AJ21" s="13">
        <v>29.45</v>
      </c>
      <c r="AK21" s="13">
        <v>28.68</v>
      </c>
      <c r="AL21" s="13">
        <v>2.39</v>
      </c>
      <c r="AM21" s="13">
        <v>2.27</v>
      </c>
      <c r="AN21" s="13">
        <v>2.2799999999999998</v>
      </c>
      <c r="AO21" s="13">
        <v>2.16</v>
      </c>
      <c r="AP21" s="13">
        <v>2.16</v>
      </c>
      <c r="AQ21" s="13">
        <v>2.06</v>
      </c>
      <c r="AR21" s="13">
        <v>2.0699999999999998</v>
      </c>
      <c r="AS21" s="13">
        <v>1.99</v>
      </c>
      <c r="AT21" s="13">
        <v>2.0099999999999998</v>
      </c>
      <c r="AU21" s="13">
        <v>2.0299999999999998</v>
      </c>
    </row>
    <row r="22" spans="1:47" x14ac:dyDescent="0.25">
      <c r="A22" s="13" t="s">
        <v>379</v>
      </c>
      <c r="B22" s="13">
        <v>1295</v>
      </c>
      <c r="C22" s="13">
        <v>1261.69</v>
      </c>
      <c r="D22" s="13">
        <v>1314.49</v>
      </c>
      <c r="E22" s="13">
        <v>1354.8</v>
      </c>
      <c r="F22" s="13">
        <v>1313.44</v>
      </c>
      <c r="G22" s="13">
        <v>1254.43</v>
      </c>
      <c r="H22" s="13">
        <v>1340.9</v>
      </c>
      <c r="I22" s="13">
        <v>1354.64</v>
      </c>
      <c r="J22" s="13">
        <v>1394.51</v>
      </c>
      <c r="K22" s="13">
        <v>1363</v>
      </c>
      <c r="L22" s="13">
        <v>1362.02</v>
      </c>
      <c r="M22" s="13">
        <v>1373.58</v>
      </c>
      <c r="N22" s="13">
        <v>1406.16</v>
      </c>
      <c r="O22" s="13">
        <v>1375.2</v>
      </c>
      <c r="P22" s="13">
        <v>1353.01</v>
      </c>
      <c r="Q22" s="13">
        <v>1389.56</v>
      </c>
      <c r="R22" s="13">
        <v>1414.02</v>
      </c>
      <c r="S22" s="13">
        <v>1489.79</v>
      </c>
      <c r="T22" s="13">
        <v>1510.93</v>
      </c>
      <c r="U22" s="13">
        <v>1513.38</v>
      </c>
      <c r="V22" s="13">
        <v>1533.85</v>
      </c>
      <c r="W22" s="13">
        <v>1534.51</v>
      </c>
      <c r="X22" s="13">
        <v>1535.1</v>
      </c>
      <c r="Y22" s="13">
        <v>1535.21</v>
      </c>
      <c r="Z22" s="13">
        <v>1533.72</v>
      </c>
      <c r="AA22" s="13">
        <v>1564.37</v>
      </c>
      <c r="AB22" s="13">
        <v>1567.49</v>
      </c>
      <c r="AC22" s="13">
        <v>1567.37</v>
      </c>
      <c r="AD22" s="13">
        <v>1568.65</v>
      </c>
      <c r="AE22" s="13">
        <v>1572.56</v>
      </c>
      <c r="AF22" s="13">
        <v>1575.26</v>
      </c>
      <c r="AG22" s="13">
        <v>1581.03</v>
      </c>
      <c r="AH22" s="13">
        <v>1584.29</v>
      </c>
      <c r="AI22" s="13">
        <v>1586.09</v>
      </c>
      <c r="AJ22" s="13">
        <v>1587.58</v>
      </c>
      <c r="AK22" s="13">
        <v>1588.58</v>
      </c>
      <c r="AL22" s="13">
        <v>1591.7</v>
      </c>
      <c r="AM22" s="13">
        <v>1594.06</v>
      </c>
      <c r="AN22" s="13">
        <v>1595.62</v>
      </c>
      <c r="AO22" s="13">
        <v>1596.61</v>
      </c>
      <c r="AP22" s="13">
        <v>1598.11</v>
      </c>
      <c r="AQ22" s="13">
        <v>1599.52</v>
      </c>
      <c r="AR22" s="13">
        <v>1601.45</v>
      </c>
      <c r="AS22" s="13">
        <v>1602.94</v>
      </c>
      <c r="AT22" s="13">
        <v>1602.14</v>
      </c>
      <c r="AU22" s="13">
        <v>1606.54</v>
      </c>
    </row>
    <row r="23" spans="1:47" x14ac:dyDescent="0.25">
      <c r="A23" s="13" t="s">
        <v>380</v>
      </c>
      <c r="B23" s="13">
        <v>1032.8399999999999</v>
      </c>
      <c r="C23" s="13">
        <v>1032.69</v>
      </c>
      <c r="D23" s="13">
        <v>1029.53</v>
      </c>
      <c r="E23" s="13">
        <v>953.48</v>
      </c>
      <c r="F23" s="13">
        <v>940.95</v>
      </c>
      <c r="G23" s="13">
        <v>955.09</v>
      </c>
      <c r="H23" s="13">
        <v>1048.26</v>
      </c>
      <c r="I23" s="13">
        <v>1020.43</v>
      </c>
      <c r="J23" s="13">
        <v>1117.5999999999999</v>
      </c>
      <c r="K23" s="13">
        <v>1189.94</v>
      </c>
      <c r="L23" s="13">
        <v>1063.56</v>
      </c>
      <c r="M23" s="13">
        <v>1059.5899999999999</v>
      </c>
      <c r="N23" s="13">
        <v>1058.24</v>
      </c>
      <c r="O23" s="13">
        <v>1052.3</v>
      </c>
      <c r="P23" s="13">
        <v>1057.18</v>
      </c>
      <c r="Q23" s="13">
        <v>924.13</v>
      </c>
      <c r="R23" s="13">
        <v>870.78</v>
      </c>
      <c r="S23" s="13">
        <v>897.52</v>
      </c>
      <c r="T23" s="13">
        <v>774.21</v>
      </c>
      <c r="U23" s="13">
        <v>889.06</v>
      </c>
      <c r="V23" s="13">
        <v>812.64</v>
      </c>
      <c r="W23" s="13">
        <v>753.5</v>
      </c>
      <c r="X23" s="13">
        <v>823.21</v>
      </c>
      <c r="Y23" s="13">
        <v>894.5</v>
      </c>
      <c r="Z23" s="13">
        <v>839.75</v>
      </c>
      <c r="AA23" s="13">
        <v>915.52</v>
      </c>
      <c r="AB23" s="13">
        <v>841.37</v>
      </c>
      <c r="AC23" s="13">
        <v>917.15</v>
      </c>
      <c r="AD23" s="13">
        <v>917.6</v>
      </c>
      <c r="AE23" s="13">
        <v>993.38</v>
      </c>
      <c r="AF23" s="13">
        <v>1013.57</v>
      </c>
      <c r="AG23" s="13">
        <v>1013.57</v>
      </c>
      <c r="AH23" s="13">
        <v>1014.03</v>
      </c>
      <c r="AI23" s="13">
        <v>1014.03</v>
      </c>
      <c r="AJ23" s="13">
        <v>1014.95</v>
      </c>
      <c r="AK23" s="13">
        <v>1016.79</v>
      </c>
      <c r="AL23" s="13">
        <v>963.92</v>
      </c>
      <c r="AM23" s="13">
        <v>965.77</v>
      </c>
      <c r="AN23" s="13">
        <v>967.61</v>
      </c>
      <c r="AO23" s="13">
        <v>1038.23</v>
      </c>
      <c r="AP23" s="13">
        <v>1040.53</v>
      </c>
      <c r="AQ23" s="13">
        <v>1045.1400000000001</v>
      </c>
      <c r="AR23" s="13">
        <v>1054.3499999999999</v>
      </c>
      <c r="AS23" s="13">
        <v>1063.57</v>
      </c>
      <c r="AT23" s="13">
        <v>1072.78</v>
      </c>
      <c r="AU23" s="13">
        <v>1072.78</v>
      </c>
    </row>
    <row r="24" spans="1:47" x14ac:dyDescent="0.25">
      <c r="A24" s="13" t="s">
        <v>381</v>
      </c>
      <c r="B24" s="13">
        <v>196.3</v>
      </c>
      <c r="C24" s="13">
        <v>200.22</v>
      </c>
      <c r="D24" s="13">
        <v>204.32</v>
      </c>
      <c r="E24" s="13">
        <v>193.27</v>
      </c>
      <c r="F24" s="13">
        <v>122.22</v>
      </c>
      <c r="G24" s="13">
        <v>292.98</v>
      </c>
      <c r="H24" s="13">
        <v>271.04000000000002</v>
      </c>
      <c r="I24" s="13">
        <v>273.83</v>
      </c>
      <c r="J24" s="13">
        <v>289.31</v>
      </c>
      <c r="K24" s="13">
        <v>318.69</v>
      </c>
      <c r="L24" s="13">
        <v>395.67</v>
      </c>
      <c r="M24" s="13">
        <v>211.03</v>
      </c>
      <c r="N24" s="13">
        <v>198.58</v>
      </c>
      <c r="O24" s="13">
        <v>252.27</v>
      </c>
      <c r="P24" s="13">
        <v>247.87</v>
      </c>
      <c r="Q24" s="13">
        <v>232.81</v>
      </c>
      <c r="R24" s="13">
        <v>248.39</v>
      </c>
      <c r="S24" s="13">
        <v>291.27</v>
      </c>
      <c r="T24" s="13">
        <v>291.52999999999997</v>
      </c>
      <c r="U24" s="13">
        <v>301.58999999999997</v>
      </c>
      <c r="V24" s="13">
        <v>310.81</v>
      </c>
      <c r="W24" s="13">
        <v>314.52999999999997</v>
      </c>
      <c r="X24" s="13">
        <v>339.2</v>
      </c>
      <c r="Y24" s="13">
        <v>349.21</v>
      </c>
      <c r="Z24" s="13">
        <v>355.6</v>
      </c>
      <c r="AA24" s="13">
        <v>385.18</v>
      </c>
      <c r="AB24" s="13">
        <v>398.62</v>
      </c>
      <c r="AC24" s="13">
        <v>405.27</v>
      </c>
      <c r="AD24" s="13">
        <v>391.27</v>
      </c>
      <c r="AE24" s="13">
        <v>374.32</v>
      </c>
      <c r="AF24" s="13">
        <v>346.23</v>
      </c>
      <c r="AG24" s="13">
        <v>310.63</v>
      </c>
      <c r="AH24" s="13">
        <v>278.08999999999997</v>
      </c>
      <c r="AI24" s="13">
        <v>250.53</v>
      </c>
      <c r="AJ24" s="13">
        <v>222.74</v>
      </c>
      <c r="AK24" s="13">
        <v>210.39</v>
      </c>
      <c r="AL24" s="13">
        <v>177.29</v>
      </c>
      <c r="AM24" s="13">
        <v>161.44</v>
      </c>
      <c r="AN24" s="13">
        <v>141.74</v>
      </c>
      <c r="AO24" s="13">
        <v>138.5</v>
      </c>
      <c r="AP24" s="13">
        <v>126.33</v>
      </c>
      <c r="AQ24" s="13">
        <v>130.91</v>
      </c>
      <c r="AR24" s="13">
        <v>129.16</v>
      </c>
      <c r="AS24" s="13">
        <v>143.74</v>
      </c>
      <c r="AT24" s="13">
        <v>147.88</v>
      </c>
      <c r="AU24" s="13">
        <v>151.83000000000001</v>
      </c>
    </row>
    <row r="26" spans="1:47" ht="18.75" x14ac:dyDescent="0.3">
      <c r="A26" s="14" t="s">
        <v>383</v>
      </c>
    </row>
    <row r="27" spans="1:47" x14ac:dyDescent="0.25">
      <c r="A27" s="13" t="s">
        <v>328</v>
      </c>
      <c r="B27" s="13" t="s">
        <v>329</v>
      </c>
      <c r="C27" s="13" t="s">
        <v>330</v>
      </c>
      <c r="D27" s="13" t="s">
        <v>331</v>
      </c>
      <c r="E27" s="13" t="s">
        <v>332</v>
      </c>
      <c r="F27" s="13" t="s">
        <v>333</v>
      </c>
      <c r="G27" s="13" t="s">
        <v>334</v>
      </c>
      <c r="H27" s="13" t="s">
        <v>335</v>
      </c>
      <c r="I27" s="13" t="s">
        <v>336</v>
      </c>
      <c r="J27" s="13" t="s">
        <v>337</v>
      </c>
      <c r="K27" s="13" t="s">
        <v>338</v>
      </c>
      <c r="L27" s="13" t="s">
        <v>339</v>
      </c>
      <c r="M27" s="13" t="s">
        <v>340</v>
      </c>
      <c r="N27" s="13" t="s">
        <v>341</v>
      </c>
      <c r="O27" s="13" t="s">
        <v>342</v>
      </c>
      <c r="P27" s="13" t="s">
        <v>343</v>
      </c>
      <c r="Q27" s="13" t="s">
        <v>344</v>
      </c>
      <c r="R27" s="13" t="s">
        <v>345</v>
      </c>
      <c r="S27" s="13" t="s">
        <v>346</v>
      </c>
      <c r="T27" s="13" t="s">
        <v>347</v>
      </c>
      <c r="U27" s="13" t="s">
        <v>348</v>
      </c>
      <c r="V27" s="13" t="s">
        <v>349</v>
      </c>
      <c r="W27" s="13" t="s">
        <v>350</v>
      </c>
      <c r="X27" s="13" t="s">
        <v>351</v>
      </c>
      <c r="Y27" s="13" t="s">
        <v>352</v>
      </c>
      <c r="Z27" s="13" t="s">
        <v>353</v>
      </c>
      <c r="AA27" s="13" t="s">
        <v>354</v>
      </c>
      <c r="AB27" s="13" t="s">
        <v>355</v>
      </c>
      <c r="AC27" s="13" t="s">
        <v>356</v>
      </c>
      <c r="AD27" s="13" t="s">
        <v>357</v>
      </c>
      <c r="AE27" s="13" t="s">
        <v>358</v>
      </c>
      <c r="AF27" s="13" t="s">
        <v>359</v>
      </c>
      <c r="AG27" s="13" t="s">
        <v>360</v>
      </c>
      <c r="AH27" s="13" t="s">
        <v>361</v>
      </c>
      <c r="AI27" s="13" t="s">
        <v>362</v>
      </c>
      <c r="AJ27" s="13" t="s">
        <v>363</v>
      </c>
      <c r="AK27" s="13" t="s">
        <v>364</v>
      </c>
      <c r="AL27" s="13" t="s">
        <v>365</v>
      </c>
      <c r="AM27" s="13" t="s">
        <v>366</v>
      </c>
      <c r="AN27" s="13" t="s">
        <v>367</v>
      </c>
      <c r="AO27" s="13" t="s">
        <v>368</v>
      </c>
      <c r="AP27" s="13" t="s">
        <v>369</v>
      </c>
      <c r="AQ27" s="13" t="s">
        <v>370</v>
      </c>
      <c r="AR27" s="13" t="s">
        <v>371</v>
      </c>
      <c r="AS27" s="13" t="s">
        <v>372</v>
      </c>
      <c r="AT27" s="13" t="s">
        <v>373</v>
      </c>
      <c r="AU27" s="13" t="s">
        <v>374</v>
      </c>
    </row>
    <row r="28" spans="1:47" x14ac:dyDescent="0.25">
      <c r="A28" s="13" t="s">
        <v>375</v>
      </c>
      <c r="B28" s="13">
        <v>1874.74</v>
      </c>
      <c r="C28" s="13">
        <v>1854.68</v>
      </c>
      <c r="D28" s="13">
        <v>1878.45</v>
      </c>
      <c r="E28" s="13">
        <v>1882.56</v>
      </c>
      <c r="F28" s="13">
        <v>1823.08</v>
      </c>
      <c r="G28" s="13">
        <v>1839.23</v>
      </c>
      <c r="H28" s="13">
        <v>1878.7</v>
      </c>
      <c r="I28" s="13">
        <v>1860.86</v>
      </c>
      <c r="J28" s="13">
        <v>1903.74</v>
      </c>
      <c r="K28" s="13">
        <v>1936.45</v>
      </c>
      <c r="L28" s="13">
        <v>1930.29</v>
      </c>
      <c r="M28" s="13">
        <v>1932.43</v>
      </c>
      <c r="N28" s="13">
        <v>1957.7</v>
      </c>
      <c r="O28" s="13">
        <v>2017.61</v>
      </c>
      <c r="P28" s="13">
        <v>2024.83</v>
      </c>
      <c r="Q28" s="13">
        <v>1964.81</v>
      </c>
      <c r="R28" s="13">
        <v>1995.82</v>
      </c>
      <c r="S28" s="13">
        <v>2038.2</v>
      </c>
      <c r="T28" s="13">
        <v>2070.29</v>
      </c>
      <c r="U28" s="13">
        <v>2103.13</v>
      </c>
      <c r="V28" s="13">
        <v>2137.04</v>
      </c>
      <c r="W28" s="13">
        <v>2182.36</v>
      </c>
      <c r="X28" s="13">
        <v>2207.2399999999998</v>
      </c>
      <c r="Y28" s="13">
        <v>2240.52</v>
      </c>
      <c r="Z28" s="13">
        <v>2275.16</v>
      </c>
      <c r="AA28" s="13">
        <v>2296.48</v>
      </c>
      <c r="AB28" s="13">
        <v>2331.64</v>
      </c>
      <c r="AC28" s="13">
        <v>2347.56</v>
      </c>
      <c r="AD28" s="13">
        <v>2365.0700000000002</v>
      </c>
      <c r="AE28" s="13">
        <v>2363.36</v>
      </c>
      <c r="AF28" s="13">
        <v>2389.6999999999998</v>
      </c>
      <c r="AG28" s="13">
        <v>2392.7199999999998</v>
      </c>
      <c r="AH28" s="13">
        <v>2407.67</v>
      </c>
      <c r="AI28" s="13">
        <v>2429.9299999999998</v>
      </c>
      <c r="AJ28" s="13">
        <v>2452.17</v>
      </c>
      <c r="AK28" s="13">
        <v>2467.41</v>
      </c>
      <c r="AL28" s="13">
        <v>2483.52</v>
      </c>
      <c r="AM28" s="13">
        <v>2486.0100000000002</v>
      </c>
      <c r="AN28" s="13">
        <v>2514.13</v>
      </c>
      <c r="AO28" s="13">
        <v>2538.75</v>
      </c>
      <c r="AP28" s="13">
        <v>2563.2199999999998</v>
      </c>
      <c r="AQ28" s="13">
        <v>2590.7199999999998</v>
      </c>
      <c r="AR28" s="13">
        <v>2617.11</v>
      </c>
      <c r="AS28" s="13">
        <v>2643.38</v>
      </c>
      <c r="AT28" s="13">
        <v>2666.09</v>
      </c>
      <c r="AU28" s="13">
        <v>2691.13</v>
      </c>
    </row>
  </sheetData>
  <pageMargins left="0.75" right="0.75" top="0.75" bottom="0.5" header="0.5" footer="0.75"/>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00AD-4249-41EB-8339-2A707BD60B33}">
  <dimension ref="A1:AJ28"/>
  <sheetViews>
    <sheetView workbookViewId="0">
      <selection activeCell="B20" sqref="B20"/>
    </sheetView>
  </sheetViews>
  <sheetFormatPr defaultRowHeight="15" x14ac:dyDescent="0.25"/>
  <cols>
    <col min="1" max="1" width="22.140625" customWidth="1"/>
    <col min="2" max="2" width="10.28515625" bestFit="1" customWidth="1"/>
    <col min="3" max="3" width="9" bestFit="1" customWidth="1"/>
    <col min="13" max="13" width="10.5703125" customWidth="1"/>
  </cols>
  <sheetData>
    <row r="1" spans="1:36" x14ac:dyDescent="0.25">
      <c r="A1" s="92" t="s">
        <v>384</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row>
    <row r="2" spans="1:36" x14ac:dyDescent="0.25">
      <c r="A2" s="1" t="s">
        <v>385</v>
      </c>
      <c r="B2">
        <v>2020</v>
      </c>
      <c r="C2">
        <f>B2+1</f>
        <v>2021</v>
      </c>
      <c r="D2">
        <f t="shared" ref="D2:L2" si="0">C2+1</f>
        <v>2022</v>
      </c>
      <c r="E2">
        <f t="shared" si="0"/>
        <v>2023</v>
      </c>
      <c r="F2">
        <f t="shared" si="0"/>
        <v>2024</v>
      </c>
      <c r="G2">
        <f t="shared" si="0"/>
        <v>2025</v>
      </c>
      <c r="H2">
        <f t="shared" si="0"/>
        <v>2026</v>
      </c>
      <c r="I2">
        <f t="shared" si="0"/>
        <v>2027</v>
      </c>
      <c r="J2">
        <f t="shared" si="0"/>
        <v>2028</v>
      </c>
      <c r="K2">
        <f t="shared" si="0"/>
        <v>2029</v>
      </c>
      <c r="L2">
        <f t="shared" si="0"/>
        <v>2030</v>
      </c>
      <c r="M2" t="s">
        <v>386</v>
      </c>
    </row>
    <row r="3" spans="1:36" x14ac:dyDescent="0.25">
      <c r="A3" s="1"/>
    </row>
    <row r="4" spans="1:36" x14ac:dyDescent="0.25">
      <c r="A4" t="s">
        <v>70</v>
      </c>
      <c r="B4">
        <f>SUMIF('Fossil Subsidies'!$D$4:$D$131,'Fossil Fuel Calculations'!$A$4,'Fossil Subsidies'!G$4:G$131)</f>
        <v>2887.3541279999999</v>
      </c>
      <c r="C4">
        <f>SUMIF('Fossil Subsidies'!$D$4:$D$131,'Fossil Fuel Calculations'!$A$4,'Fossil Subsidies'!H$4:H$131)</f>
        <v>2874.6541280000001</v>
      </c>
      <c r="D4">
        <f>SUMIF('Fossil Subsidies'!$D$4:$D$131,'Fossil Fuel Calculations'!$A$4,'Fossil Subsidies'!I$4:I$131)</f>
        <v>2880.7541279999996</v>
      </c>
      <c r="E4">
        <f>SUMIF('Fossil Subsidies'!$D$4:$D$131,'Fossil Fuel Calculations'!$A$4,'Fossil Subsidies'!J$4:J$131)</f>
        <v>2781.4541279999999</v>
      </c>
      <c r="F4">
        <f>SUMIF('Fossil Subsidies'!$D$4:$D$131,'Fossil Fuel Calculations'!$A$4,'Fossil Subsidies'!K$4:K$131)</f>
        <v>2781.4541279999999</v>
      </c>
      <c r="G4">
        <f>SUMIF('Fossil Subsidies'!$D$4:$D$131,'Fossil Fuel Calculations'!$A$4,'Fossil Subsidies'!L$4:L$131)</f>
        <v>2781.4541279999999</v>
      </c>
      <c r="H4">
        <f>SUMIF('Fossil Subsidies'!$D$4:$D$131,'Fossil Fuel Calculations'!$A$4,'Fossil Subsidies'!M$4:M$131)</f>
        <v>2781.4541279999999</v>
      </c>
      <c r="I4">
        <f>SUMIF('Fossil Subsidies'!$D$4:$D$131,'Fossil Fuel Calculations'!$A$4,'Fossil Subsidies'!N$4:N$131)</f>
        <v>2781.4541279999999</v>
      </c>
      <c r="J4">
        <f>SUMIF('Fossil Subsidies'!$D$4:$D$131,'Fossil Fuel Calculations'!$A$4,'Fossil Subsidies'!O$4:O$131)</f>
        <v>2770.7041279999999</v>
      </c>
      <c r="K4">
        <f>SUMIF('Fossil Subsidies'!$D$4:$D$131,'Fossil Fuel Calculations'!$A$4,'Fossil Subsidies'!P$4:P$131)</f>
        <v>2744.7041279999999</v>
      </c>
      <c r="L4">
        <f>SUMIF('Fossil Subsidies'!$D$4:$D$131,'Fossil Fuel Calculations'!$A$4,'Fossil Subsidies'!Q$4:Q$131)</f>
        <v>2744.7041279999999</v>
      </c>
      <c r="M4">
        <f>SUMIF('Fossil Subsidies'!$D$4:$D$131,'Fossil Fuel Calculations'!$A$4,'Fossil Subsidies'!F$4:F$131)</f>
        <v>2845.0041279999996</v>
      </c>
    </row>
    <row r="5" spans="1:36" x14ac:dyDescent="0.25">
      <c r="A5" t="s">
        <v>74</v>
      </c>
      <c r="B5">
        <f>SUMIF('Fossil Subsidies'!$D$4:$D$131,'Fossil Fuel Calculations'!$A$5,'Fossil Subsidies'!G$4:G$131)</f>
        <v>593.39217600000006</v>
      </c>
      <c r="C5">
        <f>SUMIF('Fossil Subsidies'!$D$4:$D$131,'Fossil Fuel Calculations'!$A$5,'Fossil Subsidies'!H$4:H$131)</f>
        <v>511.79217600000004</v>
      </c>
      <c r="D5">
        <f>SUMIF('Fossil Subsidies'!$D$4:$D$131,'Fossil Fuel Calculations'!$A$5,'Fossil Subsidies'!I$4:I$131)</f>
        <v>526.09217600000011</v>
      </c>
      <c r="E5">
        <f>SUMIF('Fossil Subsidies'!$D$4:$D$131,'Fossil Fuel Calculations'!$A$5,'Fossil Subsidies'!J$4:J$131)</f>
        <v>486.44217600000002</v>
      </c>
      <c r="F5">
        <f>SUMIF('Fossil Subsidies'!$D$4:$D$131,'Fossil Fuel Calculations'!$A$5,'Fossil Subsidies'!K$4:K$131)</f>
        <v>486.44217600000002</v>
      </c>
      <c r="G5">
        <f>SUMIF('Fossil Subsidies'!$D$4:$D$131,'Fossil Fuel Calculations'!$A$5,'Fossil Subsidies'!L$4:L$131)</f>
        <v>486.44217600000002</v>
      </c>
      <c r="H5">
        <f>SUMIF('Fossil Subsidies'!$D$4:$D$131,'Fossil Fuel Calculations'!$A$5,'Fossil Subsidies'!M$4:M$131)</f>
        <v>486.44217600000002</v>
      </c>
      <c r="I5">
        <f>SUMIF('Fossil Subsidies'!$D$4:$D$131,'Fossil Fuel Calculations'!$A$5,'Fossil Subsidies'!N$4:N$131)</f>
        <v>486.44217600000002</v>
      </c>
      <c r="J5">
        <f>SUMIF('Fossil Subsidies'!$D$4:$D$131,'Fossil Fuel Calculations'!$A$5,'Fossil Subsidies'!O$4:O$131)</f>
        <v>486.44217600000002</v>
      </c>
      <c r="K5">
        <f>SUMIF('Fossil Subsidies'!$D$4:$D$131,'Fossil Fuel Calculations'!$A$5,'Fossil Subsidies'!P$4:P$131)</f>
        <v>486.44217600000002</v>
      </c>
      <c r="L5">
        <f>SUMIF('Fossil Subsidies'!$D$4:$D$131,'Fossil Fuel Calculations'!$A$5,'Fossil Subsidies'!Q$4:Q$131)</f>
        <v>486.44217600000002</v>
      </c>
      <c r="M5">
        <f>SUMIF('Fossil Subsidies'!$D$4:$D$131,'Fossil Fuel Calculations'!$A$5,'Fossil Subsidies'!F$4:F$131)</f>
        <v>526.09217600000011</v>
      </c>
    </row>
    <row r="6" spans="1:36" x14ac:dyDescent="0.25">
      <c r="A6" t="s">
        <v>77</v>
      </c>
      <c r="B6">
        <f>SUMIF('Fossil Subsidies'!$D$4:$D$131,'Fossil Fuel Calculations'!$A$6,'Fossil Subsidies'!G$4:G$131)</f>
        <v>5834.6341253333339</v>
      </c>
      <c r="C6">
        <f>SUMIF('Fossil Subsidies'!$D$4:$D$131,'Fossil Fuel Calculations'!$A$6,'Fossil Subsidies'!H$4:H$131)</f>
        <v>5297.6341253333358</v>
      </c>
      <c r="D6">
        <f>SUMIF('Fossil Subsidies'!$D$4:$D$131,'Fossil Fuel Calculations'!$A$6,'Fossil Subsidies'!I$4:I$131)</f>
        <v>4936.4091253333345</v>
      </c>
      <c r="E6">
        <f>SUMIF('Fossil Subsidies'!$D$4:$D$131,'Fossil Fuel Calculations'!$A$6,'Fossil Subsidies'!J$4:J$131)</f>
        <v>4938.7716253333347</v>
      </c>
      <c r="F6">
        <f>SUMIF('Fossil Subsidies'!$D$4:$D$131,'Fossil Fuel Calculations'!$A$6,'Fossil Subsidies'!K$4:K$131)</f>
        <v>4916.1341253333358</v>
      </c>
      <c r="G6">
        <f>SUMIF('Fossil Subsidies'!$D$4:$D$131,'Fossil Fuel Calculations'!$A$6,'Fossil Subsidies'!L$4:L$131)</f>
        <v>4918.4966253333332</v>
      </c>
      <c r="H6">
        <f>SUMIF('Fossil Subsidies'!$D$4:$D$131,'Fossil Fuel Calculations'!$A$6,'Fossil Subsidies'!M$4:M$131)</f>
        <v>4920.8591253333343</v>
      </c>
      <c r="I6">
        <f>SUMIF('Fossil Subsidies'!$D$4:$D$131,'Fossil Fuel Calculations'!$A$6,'Fossil Subsidies'!N$4:N$131)</f>
        <v>4923.2216253333345</v>
      </c>
      <c r="J6">
        <f>SUMIF('Fossil Subsidies'!$D$4:$D$131,'Fossil Fuel Calculations'!$A$6,'Fossil Subsidies'!O$4:O$131)</f>
        <v>4925.5841253333347</v>
      </c>
      <c r="K6">
        <f>SUMIF('Fossil Subsidies'!$D$4:$D$131,'Fossil Fuel Calculations'!$A$6,'Fossil Subsidies'!P$4:P$131)</f>
        <v>4806.3466253333354</v>
      </c>
      <c r="L6">
        <f>SUMIF('Fossil Subsidies'!$D$4:$D$131,'Fossil Fuel Calculations'!$A$6,'Fossil Subsidies'!Q$4:Q$131)</f>
        <v>4808.7091253333328</v>
      </c>
      <c r="M6">
        <f>SUMIF('Fossil Subsidies'!$D$4:$D$131,'Fossil Fuel Calculations'!$A$6,'Fossil Subsidies'!F$4:F$131)</f>
        <v>4851.1591253333327</v>
      </c>
    </row>
    <row r="7" spans="1:36" x14ac:dyDescent="0.25">
      <c r="A7" t="s">
        <v>111</v>
      </c>
      <c r="B7">
        <f>SUMIF('Fossil Subsidies'!$D$4:$D$131,'Fossil Fuel Calculations'!$A$7,'Fossil Subsidies'!G$4:G$131)</f>
        <v>0.04</v>
      </c>
      <c r="C7">
        <f>SUMIF('Fossil Subsidies'!$D$4:$D$131,'Fossil Fuel Calculations'!$A$7,'Fossil Subsidies'!H$4:H$131)</f>
        <v>0.04</v>
      </c>
      <c r="D7">
        <f>SUMIF('Fossil Subsidies'!$D$4:$D$131,'Fossil Fuel Calculations'!$A$7,'Fossil Subsidies'!I$4:I$131)</f>
        <v>0.04</v>
      </c>
      <c r="E7">
        <f>SUMIF('Fossil Subsidies'!$D$4:$D$131,'Fossil Fuel Calculations'!$A$7,'Fossil Subsidies'!J$4:J$131)</f>
        <v>0.04</v>
      </c>
      <c r="F7">
        <f>SUMIF('Fossil Subsidies'!$D$4:$D$131,'Fossil Fuel Calculations'!$A$7,'Fossil Subsidies'!K$4:K$131)</f>
        <v>0.04</v>
      </c>
      <c r="G7">
        <f>SUMIF('Fossil Subsidies'!$D$4:$D$131,'Fossil Fuel Calculations'!$A$7,'Fossil Subsidies'!L$4:L$131)</f>
        <v>0.04</v>
      </c>
      <c r="H7">
        <f>SUMIF('Fossil Subsidies'!$D$4:$D$131,'Fossil Fuel Calculations'!$A$7,'Fossil Subsidies'!M$4:M$131)</f>
        <v>0.04</v>
      </c>
      <c r="I7">
        <f>SUMIF('Fossil Subsidies'!$D$4:$D$131,'Fossil Fuel Calculations'!$A$7,'Fossil Subsidies'!N$4:N$131)</f>
        <v>0.04</v>
      </c>
      <c r="J7">
        <f>SUMIF('Fossil Subsidies'!$D$4:$D$131,'Fossil Fuel Calculations'!$A$7,'Fossil Subsidies'!O$4:O$131)</f>
        <v>0.04</v>
      </c>
      <c r="K7">
        <f>SUMIF('Fossil Subsidies'!$D$4:$D$131,'Fossil Fuel Calculations'!$A$7,'Fossil Subsidies'!P$4:P$131)</f>
        <v>0.04</v>
      </c>
      <c r="L7">
        <f>SUMIF('Fossil Subsidies'!$D$4:$D$131,'Fossil Fuel Calculations'!$A$7,'Fossil Subsidies'!Q$4:Q$131)</f>
        <v>0.04</v>
      </c>
      <c r="M7">
        <f>SUMIF('Fossil Subsidies'!$D$4:$D$131,'Fossil Fuel Calculations'!$A$7,'Fossil Subsidies'!F$4:F$131)</f>
        <v>0.04</v>
      </c>
    </row>
    <row r="8" spans="1:36" x14ac:dyDescent="0.25">
      <c r="A8" t="s">
        <v>90</v>
      </c>
      <c r="B8">
        <f>SUMIF('Fossil Subsidies'!$D$4:$D$131,'Fossil Fuel Calculations'!$A$8,'Fossil Subsidies'!G$4:G$131)</f>
        <v>25</v>
      </c>
      <c r="C8">
        <f>SUMIF('Fossil Subsidies'!$D$4:$D$131,'Fossil Fuel Calculations'!$A$8,'Fossil Subsidies'!H$4:H$131)</f>
        <v>20</v>
      </c>
      <c r="D8">
        <f>SUMIF('Fossil Subsidies'!$D$4:$D$131,'Fossil Fuel Calculations'!$A$8,'Fossil Subsidies'!I$4:I$131)</f>
        <v>20</v>
      </c>
      <c r="E8">
        <f>SUMIF('Fossil Subsidies'!$D$4:$D$131,'Fossil Fuel Calculations'!$A$8,'Fossil Subsidies'!J$4:J$131)</f>
        <v>20</v>
      </c>
      <c r="F8">
        <f>SUMIF('Fossil Subsidies'!$D$4:$D$131,'Fossil Fuel Calculations'!$A$8,'Fossil Subsidies'!K$4:K$131)</f>
        <v>20</v>
      </c>
      <c r="G8">
        <f>SUMIF('Fossil Subsidies'!$D$4:$D$131,'Fossil Fuel Calculations'!$A$8,'Fossil Subsidies'!L$4:L$131)</f>
        <v>20</v>
      </c>
      <c r="H8">
        <f>SUMIF('Fossil Subsidies'!$D$4:$D$131,'Fossil Fuel Calculations'!$A$8,'Fossil Subsidies'!M$4:M$131)</f>
        <v>20</v>
      </c>
      <c r="I8">
        <f>SUMIF('Fossil Subsidies'!$D$4:$D$131,'Fossil Fuel Calculations'!$A$8,'Fossil Subsidies'!N$4:N$131)</f>
        <v>20</v>
      </c>
      <c r="J8">
        <f>SUMIF('Fossil Subsidies'!$D$4:$D$131,'Fossil Fuel Calculations'!$A$8,'Fossil Subsidies'!O$4:O$131)</f>
        <v>20</v>
      </c>
      <c r="K8">
        <f>SUMIF('Fossil Subsidies'!$D$4:$D$131,'Fossil Fuel Calculations'!$A$8,'Fossil Subsidies'!P$4:P$131)</f>
        <v>20</v>
      </c>
      <c r="L8">
        <f>SUMIF('Fossil Subsidies'!$D$4:$D$131,'Fossil Fuel Calculations'!$A$8,'Fossil Subsidies'!Q$4:Q$131)</f>
        <v>20</v>
      </c>
      <c r="M8">
        <f>SUMIF('Fossil Subsidies'!$D$4:$D$131,'Fossil Fuel Calculations'!$A$8,'Fossil Subsidies'!F$4:F$131)</f>
        <v>237.4</v>
      </c>
    </row>
    <row r="10" spans="1:36" x14ac:dyDescent="0.25">
      <c r="A10" s="1" t="s">
        <v>387</v>
      </c>
    </row>
    <row r="11" spans="1:36" x14ac:dyDescent="0.25">
      <c r="A11" s="1"/>
      <c r="B11">
        <v>2020</v>
      </c>
    </row>
    <row r="12" spans="1:36" x14ac:dyDescent="0.25">
      <c r="A12" t="s">
        <v>388</v>
      </c>
      <c r="B12">
        <f>'Primary Energy Demand'!Q12</f>
        <v>502.66</v>
      </c>
    </row>
    <row r="13" spans="1:36" x14ac:dyDescent="0.25">
      <c r="A13" t="s">
        <v>389</v>
      </c>
      <c r="B13">
        <f>'Primary Energy Demand'!Q10</f>
        <v>4939.5</v>
      </c>
    </row>
    <row r="14" spans="1:36" x14ac:dyDescent="0.25">
      <c r="A14" t="s">
        <v>390</v>
      </c>
      <c r="B14">
        <f>'Primary Energy Demand'!Q11</f>
        <v>4289.68</v>
      </c>
    </row>
    <row r="16" spans="1:36" x14ac:dyDescent="0.25">
      <c r="A16" s="1" t="s">
        <v>391</v>
      </c>
    </row>
    <row r="17" spans="1:13" x14ac:dyDescent="0.25">
      <c r="A17" t="s">
        <v>392</v>
      </c>
    </row>
    <row r="18" spans="1:13" x14ac:dyDescent="0.25">
      <c r="A18" t="s">
        <v>393</v>
      </c>
    </row>
    <row r="19" spans="1:13" x14ac:dyDescent="0.25">
      <c r="B19">
        <v>2020</v>
      </c>
      <c r="C19">
        <f>B19+1</f>
        <v>2021</v>
      </c>
      <c r="D19">
        <f t="shared" ref="D19:L19" si="1">C19+1</f>
        <v>2022</v>
      </c>
      <c r="E19">
        <f t="shared" si="1"/>
        <v>2023</v>
      </c>
      <c r="F19">
        <f t="shared" si="1"/>
        <v>2024</v>
      </c>
      <c r="G19">
        <f t="shared" si="1"/>
        <v>2025</v>
      </c>
      <c r="H19">
        <f t="shared" si="1"/>
        <v>2026</v>
      </c>
      <c r="I19">
        <f t="shared" si="1"/>
        <v>2027</v>
      </c>
      <c r="J19">
        <f t="shared" si="1"/>
        <v>2028</v>
      </c>
      <c r="K19">
        <f t="shared" si="1"/>
        <v>2029</v>
      </c>
      <c r="L19">
        <f t="shared" si="1"/>
        <v>2030</v>
      </c>
      <c r="M19" t="s">
        <v>386</v>
      </c>
    </row>
    <row r="20" spans="1:13" x14ac:dyDescent="0.25">
      <c r="A20" t="s">
        <v>388</v>
      </c>
      <c r="B20" s="16">
        <f>B7+B8*($B$12/SUM($B$12:$B$14))</f>
        <v>1.3312768808365121</v>
      </c>
      <c r="C20" s="17">
        <f t="shared" ref="C20:M20" si="2">C7+C8*($B$12/SUM($B$12:$B$14))</f>
        <v>1.0730215046692095</v>
      </c>
      <c r="D20" s="17">
        <f t="shared" si="2"/>
        <v>1.0730215046692095</v>
      </c>
      <c r="E20" s="17">
        <f t="shared" si="2"/>
        <v>1.0730215046692095</v>
      </c>
      <c r="F20" s="17">
        <f t="shared" si="2"/>
        <v>1.0730215046692095</v>
      </c>
      <c r="G20" s="17">
        <f t="shared" si="2"/>
        <v>1.0730215046692095</v>
      </c>
      <c r="H20" s="17">
        <f t="shared" si="2"/>
        <v>1.0730215046692095</v>
      </c>
      <c r="I20" s="17">
        <f t="shared" si="2"/>
        <v>1.0730215046692095</v>
      </c>
      <c r="J20" s="17">
        <f t="shared" si="2"/>
        <v>1.0730215046692095</v>
      </c>
      <c r="K20" s="17">
        <f t="shared" si="2"/>
        <v>1.0730215046692095</v>
      </c>
      <c r="L20" s="17">
        <f t="shared" si="2"/>
        <v>1.0730215046692095</v>
      </c>
      <c r="M20" s="17">
        <f t="shared" si="2"/>
        <v>12.301965260423517</v>
      </c>
    </row>
    <row r="21" spans="1:13" x14ac:dyDescent="0.25">
      <c r="A21" t="s">
        <v>389</v>
      </c>
      <c r="B21" s="17">
        <f>B5+B6*($B$13/SUM($B$13:$B$14))+B8*($B$13/SUM($B$12:$B$14))</f>
        <v>3728.8044769770222</v>
      </c>
      <c r="C21" s="17">
        <f t="shared" ref="C21:M21" si="3">C5+C6*($B$13/SUM($B$13:$B$14))+C8*($B$13/SUM($B$12:$B$14))</f>
        <v>3357.2617791891998</v>
      </c>
      <c r="D21" s="17">
        <f t="shared" si="3"/>
        <v>3178.23248151595</v>
      </c>
      <c r="E21" s="17">
        <f t="shared" si="3"/>
        <v>3139.8469024883439</v>
      </c>
      <c r="F21" s="17">
        <f t="shared" si="3"/>
        <v>3127.7312073507483</v>
      </c>
      <c r="G21" s="17">
        <f t="shared" si="3"/>
        <v>3128.9956283231409</v>
      </c>
      <c r="H21" s="17">
        <f t="shared" si="3"/>
        <v>3130.2600492955357</v>
      </c>
      <c r="I21" s="17">
        <f t="shared" si="3"/>
        <v>3131.5244702679297</v>
      </c>
      <c r="J21" s="17">
        <f t="shared" si="3"/>
        <v>3132.7888912403241</v>
      </c>
      <c r="K21" s="17">
        <f t="shared" si="3"/>
        <v>3068.9724274537257</v>
      </c>
      <c r="L21" s="17">
        <f t="shared" si="3"/>
        <v>3070.2368484261187</v>
      </c>
      <c r="M21" s="17">
        <f t="shared" si="3"/>
        <v>3242.9499924235756</v>
      </c>
    </row>
    <row r="22" spans="1:13" x14ac:dyDescent="0.25">
      <c r="A22" t="s">
        <v>390</v>
      </c>
      <c r="B22" s="17">
        <f>B4+B6*($B$14/SUM($B$13:$B$14))+B8*($B$14/SUM($B$12:$B$14))</f>
        <v>5610.2846754754755</v>
      </c>
      <c r="C22" s="17">
        <f t="shared" ref="C22:M22" si="4">C4+C6*($B$14/SUM($B$13:$B$14))+C8*($B$14/SUM($B$12:$B$14))</f>
        <v>5345.7856286394672</v>
      </c>
      <c r="D22" s="17">
        <f t="shared" si="4"/>
        <v>5183.9899263127154</v>
      </c>
      <c r="E22" s="17">
        <f t="shared" si="4"/>
        <v>5085.7880053403214</v>
      </c>
      <c r="F22" s="17">
        <f t="shared" si="4"/>
        <v>5075.2662004779186</v>
      </c>
      <c r="G22" s="17">
        <f t="shared" si="4"/>
        <v>5076.364279505523</v>
      </c>
      <c r="H22" s="17">
        <f t="shared" si="4"/>
        <v>5077.4623585331292</v>
      </c>
      <c r="I22" s="17">
        <f t="shared" si="4"/>
        <v>5078.5604375607354</v>
      </c>
      <c r="J22" s="17">
        <f t="shared" si="4"/>
        <v>5068.9085165883416</v>
      </c>
      <c r="K22" s="17">
        <f t="shared" si="4"/>
        <v>4987.4874803749408</v>
      </c>
      <c r="L22" s="17">
        <f t="shared" si="4"/>
        <v>4988.5855594025452</v>
      </c>
      <c r="M22" s="17">
        <f t="shared" si="4"/>
        <v>5204.4434716493333</v>
      </c>
    </row>
    <row r="24" spans="1:13" x14ac:dyDescent="0.25">
      <c r="A24" s="1" t="s">
        <v>394</v>
      </c>
    </row>
    <row r="25" spans="1:13" x14ac:dyDescent="0.25">
      <c r="A25" s="1"/>
      <c r="B25">
        <v>2020</v>
      </c>
      <c r="C25">
        <f>B25+1</f>
        <v>2021</v>
      </c>
      <c r="D25">
        <f t="shared" ref="D25:L25" si="5">C25+1</f>
        <v>2022</v>
      </c>
      <c r="E25">
        <f t="shared" si="5"/>
        <v>2023</v>
      </c>
      <c r="F25">
        <f t="shared" si="5"/>
        <v>2024</v>
      </c>
      <c r="G25">
        <f t="shared" si="5"/>
        <v>2025</v>
      </c>
      <c r="H25">
        <f t="shared" si="5"/>
        <v>2026</v>
      </c>
      <c r="I25">
        <f t="shared" si="5"/>
        <v>2027</v>
      </c>
      <c r="J25">
        <f t="shared" si="5"/>
        <v>2028</v>
      </c>
      <c r="K25">
        <f t="shared" si="5"/>
        <v>2029</v>
      </c>
      <c r="L25">
        <f t="shared" si="5"/>
        <v>2030</v>
      </c>
      <c r="M25" t="s">
        <v>386</v>
      </c>
    </row>
    <row r="26" spans="1:13" x14ac:dyDescent="0.25">
      <c r="A26" t="s">
        <v>388</v>
      </c>
      <c r="B26" s="19">
        <f>B20/$B$12*10^6/About!$A$79</f>
        <v>2.794277499025946E-9</v>
      </c>
      <c r="C26" s="19">
        <f>C20/$B$12*10^6/About!$A$79</f>
        <v>2.2522135625040922E-9</v>
      </c>
      <c r="D26" s="19">
        <f>D20/$B$12*10^6/About!$A$79</f>
        <v>2.2522135625040922E-9</v>
      </c>
      <c r="E26" s="19">
        <f>E20/$B$12*10^6/About!$A$79</f>
        <v>2.2522135625040922E-9</v>
      </c>
      <c r="F26" s="19">
        <f>F20/$B$12*10^6/About!$A$79</f>
        <v>2.2522135625040922E-9</v>
      </c>
      <c r="G26" s="19">
        <f>G20/$B$12*10^6/About!$A$79</f>
        <v>2.2522135625040922E-9</v>
      </c>
      <c r="H26" s="19">
        <f>H20/$B$12*10^6/About!$A$79</f>
        <v>2.2522135625040922E-9</v>
      </c>
      <c r="I26" s="19">
        <f>I20/$B$12*10^6/About!$A$79</f>
        <v>2.2522135625040922E-9</v>
      </c>
      <c r="J26" s="19">
        <f>J20/$B$12*10^6/About!$A$79</f>
        <v>2.2522135625040922E-9</v>
      </c>
      <c r="K26" s="19">
        <f>K20/$B$12*10^6/About!$A$79</f>
        <v>2.2522135625040922E-9</v>
      </c>
      <c r="L26" s="19">
        <f>L20/$B$12*10^6/About!$A$79</f>
        <v>2.2522135625040922E-9</v>
      </c>
      <c r="M26" s="19">
        <f>M20/$B$12*10^6/About!$A$79</f>
        <v>2.5821153522474293E-8</v>
      </c>
    </row>
    <row r="27" spans="1:13" x14ac:dyDescent="0.25">
      <c r="A27" t="s">
        <v>389</v>
      </c>
      <c r="B27" s="19">
        <f>B21/$B$13*10^6/About!$A$79</f>
        <v>7.9645655701622563E-7</v>
      </c>
      <c r="C27" s="19">
        <f>C21/$B$13*10^6/About!$A$79</f>
        <v>7.170966389267385E-7</v>
      </c>
      <c r="D27" s="19">
        <f>D21/$B$13*10^6/About!$A$79</f>
        <v>6.7885675294980801E-7</v>
      </c>
      <c r="E27" s="19">
        <f>E21/$B$13*10^6/About!$A$79</f>
        <v>6.7065775879493425E-7</v>
      </c>
      <c r="F27" s="19">
        <f>F21/$B$13*10^6/About!$A$79</f>
        <v>6.680698985585695E-7</v>
      </c>
      <c r="G27" s="19">
        <f>G21/$B$13*10^6/About!$A$79</f>
        <v>6.6833997342586527E-7</v>
      </c>
      <c r="H27" s="19">
        <f>H21/$B$13*10^6/About!$A$79</f>
        <v>6.6861004829316135E-7</v>
      </c>
      <c r="I27" s="19">
        <f>I21/$B$13*10^6/About!$A$79</f>
        <v>6.6888012316045733E-7</v>
      </c>
      <c r="J27" s="19">
        <f>J21/$B$13*10^6/About!$A$79</f>
        <v>6.691501980277532E-7</v>
      </c>
      <c r="K27" s="19">
        <f>K21/$B$13*10^6/About!$A$79</f>
        <v>6.5551927655084305E-7</v>
      </c>
      <c r="L27" s="19">
        <f>L21/$B$13*10^6/About!$A$79</f>
        <v>6.5578935141813882E-7</v>
      </c>
      <c r="M27" s="19">
        <f>M21/$B$13*10^6/About!$A$79</f>
        <v>6.9268013420629465E-7</v>
      </c>
    </row>
    <row r="28" spans="1:13" x14ac:dyDescent="0.25">
      <c r="A28" t="s">
        <v>390</v>
      </c>
      <c r="B28" s="19">
        <f>B22/$B$14*10^6/About!$A$79</f>
        <v>1.3798614226564513E-6</v>
      </c>
      <c r="C28" s="19">
        <f>C22/$B$14*10^6/About!$A$79</f>
        <v>1.3148073207400491E-6</v>
      </c>
      <c r="D28" s="19">
        <f>D22/$B$14*10^6/About!$A$79</f>
        <v>1.2750133243733015E-6</v>
      </c>
      <c r="E28" s="19">
        <f>E22/$B$14*10^6/About!$A$79</f>
        <v>1.2508603534959226E-6</v>
      </c>
      <c r="F28" s="19">
        <f>F22/$B$14*10^6/About!$A$79</f>
        <v>1.2482724932595582E-6</v>
      </c>
      <c r="G28" s="19">
        <f>G22/$B$14*10^6/About!$A$79</f>
        <v>1.2485425681268536E-6</v>
      </c>
      <c r="H28" s="19">
        <f>H22/$B$14*10^6/About!$A$79</f>
        <v>1.2488126429941496E-6</v>
      </c>
      <c r="I28" s="19">
        <f>I22/$B$14*10^6/About!$A$79</f>
        <v>1.2490827178614458E-6</v>
      </c>
      <c r="J28" s="19">
        <f>J22/$B$14*10^6/About!$A$79</f>
        <v>1.246708807413986E-6</v>
      </c>
      <c r="K28" s="19">
        <f>K22/$B$14*10^6/About!$A$79</f>
        <v>1.2266831307572013E-6</v>
      </c>
      <c r="L28" s="19">
        <f>L22/$B$14*10^6/About!$A$79</f>
        <v>1.2269532056244969E-6</v>
      </c>
      <c r="M28" s="19">
        <f>M22/$B$14*10^6/About!$A$79</f>
        <v>1.2800439172574605E-6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AK28"/>
  <sheetViews>
    <sheetView workbookViewId="0">
      <selection activeCell="B3" sqref="B3"/>
    </sheetView>
  </sheetViews>
  <sheetFormatPr defaultColWidth="8.5703125" defaultRowHeight="15" x14ac:dyDescent="0.25"/>
  <cols>
    <col min="1" max="1" width="31.85546875" style="13" customWidth="1"/>
    <col min="2" max="16384" width="8.5703125" style="13"/>
  </cols>
  <sheetData>
    <row r="1" spans="1:37" ht="21" x14ac:dyDescent="0.35">
      <c r="A1" s="15" t="s">
        <v>395</v>
      </c>
    </row>
    <row r="2" spans="1:37" ht="21" x14ac:dyDescent="0.35">
      <c r="A2" s="15" t="s">
        <v>324</v>
      </c>
    </row>
    <row r="3" spans="1:37" ht="21" x14ac:dyDescent="0.35">
      <c r="A3" s="15" t="s">
        <v>396</v>
      </c>
    </row>
    <row r="4" spans="1:37" ht="21" x14ac:dyDescent="0.35">
      <c r="A4" s="15" t="s">
        <v>326</v>
      </c>
    </row>
    <row r="7" spans="1:37" ht="18.75" x14ac:dyDescent="0.3">
      <c r="A7" s="14" t="s">
        <v>397</v>
      </c>
    </row>
    <row r="8" spans="1:3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row>
    <row r="9" spans="1:37" x14ac:dyDescent="0.25">
      <c r="A9" s="13" t="s">
        <v>376</v>
      </c>
      <c r="B9" s="13">
        <v>401.87</v>
      </c>
      <c r="C9" s="13">
        <v>432.9</v>
      </c>
      <c r="D9" s="13">
        <v>434.18</v>
      </c>
      <c r="E9" s="13">
        <v>458.3</v>
      </c>
      <c r="F9" s="13">
        <v>437.59</v>
      </c>
      <c r="G9" s="13">
        <v>535.89</v>
      </c>
      <c r="H9" s="13">
        <v>596.80999999999995</v>
      </c>
      <c r="I9" s="13">
        <v>639.61</v>
      </c>
      <c r="J9" s="13">
        <v>586.95000000000005</v>
      </c>
      <c r="K9" s="13">
        <v>558.42999999999995</v>
      </c>
      <c r="L9" s="13">
        <v>649.4</v>
      </c>
      <c r="M9" s="13">
        <v>681.26</v>
      </c>
      <c r="N9" s="13">
        <v>696.31</v>
      </c>
      <c r="O9" s="13">
        <v>755.7</v>
      </c>
      <c r="P9" s="13">
        <v>741.32</v>
      </c>
      <c r="Q9" s="13">
        <v>801.35</v>
      </c>
      <c r="R9" s="13">
        <v>896.35</v>
      </c>
      <c r="S9" s="13">
        <v>906.79</v>
      </c>
      <c r="T9" s="13">
        <v>952.73</v>
      </c>
      <c r="U9" s="13">
        <v>954.91</v>
      </c>
      <c r="V9" s="13">
        <v>988.56</v>
      </c>
      <c r="W9" s="13">
        <v>1055.83</v>
      </c>
      <c r="X9" s="13">
        <v>1068.3699999999999</v>
      </c>
      <c r="Y9" s="13">
        <v>1079.5999999999999</v>
      </c>
      <c r="Z9" s="13">
        <v>1215.32</v>
      </c>
      <c r="AA9" s="13">
        <v>1184.96</v>
      </c>
      <c r="AB9" s="13">
        <v>1206.98</v>
      </c>
      <c r="AC9" s="13">
        <v>1207.82</v>
      </c>
      <c r="AD9" s="13">
        <v>1224.24</v>
      </c>
      <c r="AE9" s="13">
        <v>1235.53</v>
      </c>
      <c r="AF9" s="13">
        <v>1259.25</v>
      </c>
      <c r="AG9" s="13">
        <v>1280.71</v>
      </c>
      <c r="AH9" s="13">
        <v>1305.8</v>
      </c>
      <c r="AI9" s="13">
        <v>1324.72</v>
      </c>
      <c r="AJ9" s="13">
        <v>1345.37</v>
      </c>
      <c r="AK9" s="13">
        <v>1361.02</v>
      </c>
    </row>
    <row r="10" spans="1:37" x14ac:dyDescent="0.25">
      <c r="A10" s="13" t="s">
        <v>377</v>
      </c>
      <c r="B10" s="13">
        <v>209.8</v>
      </c>
      <c r="C10" s="13">
        <v>209.76</v>
      </c>
      <c r="D10" s="13">
        <v>209.63</v>
      </c>
      <c r="E10" s="13">
        <v>203.29</v>
      </c>
      <c r="F10" s="13">
        <v>143.33000000000001</v>
      </c>
      <c r="G10" s="13">
        <v>88.53</v>
      </c>
      <c r="H10" s="13">
        <v>54.19</v>
      </c>
      <c r="I10" s="13">
        <v>53.18</v>
      </c>
      <c r="J10" s="13">
        <v>54.93</v>
      </c>
      <c r="K10" s="13">
        <v>58.66</v>
      </c>
      <c r="L10" s="13">
        <v>56.61</v>
      </c>
      <c r="M10" s="13">
        <v>57.6</v>
      </c>
      <c r="N10" s="13">
        <v>57.98</v>
      </c>
      <c r="O10" s="13">
        <v>42.15</v>
      </c>
      <c r="P10" s="13">
        <v>41.01</v>
      </c>
      <c r="Q10" s="13">
        <v>40.880000000000003</v>
      </c>
      <c r="R10" s="13">
        <v>44.95</v>
      </c>
      <c r="S10" s="13">
        <v>45.29</v>
      </c>
      <c r="T10" s="13">
        <v>46.97</v>
      </c>
      <c r="U10" s="13">
        <v>47.03</v>
      </c>
      <c r="V10" s="13">
        <v>48.19</v>
      </c>
      <c r="W10" s="13">
        <v>45.36</v>
      </c>
      <c r="X10" s="13">
        <v>50.27</v>
      </c>
      <c r="Y10" s="13">
        <v>46.62</v>
      </c>
      <c r="Z10" s="13">
        <v>47.87</v>
      </c>
      <c r="AA10" s="13">
        <v>45.21</v>
      </c>
      <c r="AB10" s="13">
        <v>41.69</v>
      </c>
      <c r="AC10" s="13">
        <v>41.23</v>
      </c>
      <c r="AD10" s="13">
        <v>41.52</v>
      </c>
      <c r="AE10" s="13">
        <v>42.64</v>
      </c>
      <c r="AF10" s="13">
        <v>41.52</v>
      </c>
      <c r="AG10" s="13">
        <v>40.99</v>
      </c>
      <c r="AH10" s="13">
        <v>41.33</v>
      </c>
      <c r="AI10" s="13">
        <v>42.01</v>
      </c>
      <c r="AJ10" s="13">
        <v>42.4</v>
      </c>
      <c r="AK10" s="13">
        <v>44.04</v>
      </c>
    </row>
    <row r="11" spans="1:37" x14ac:dyDescent="0.25">
      <c r="A11" s="13" t="s">
        <v>378</v>
      </c>
      <c r="B11" s="13">
        <v>1089.19</v>
      </c>
      <c r="C11" s="13">
        <v>1089.19</v>
      </c>
      <c r="D11" s="13">
        <v>1089.19</v>
      </c>
      <c r="E11" s="13">
        <v>962.67</v>
      </c>
      <c r="F11" s="13">
        <v>817.72</v>
      </c>
      <c r="G11" s="13">
        <v>824.74</v>
      </c>
      <c r="H11" s="13">
        <v>711.26</v>
      </c>
      <c r="I11" s="13">
        <v>593.28</v>
      </c>
      <c r="J11" s="13">
        <v>612.79999999999995</v>
      </c>
      <c r="K11" s="13">
        <v>720.07</v>
      </c>
      <c r="L11" s="13">
        <v>672.88</v>
      </c>
      <c r="M11" s="13">
        <v>673.06</v>
      </c>
      <c r="N11" s="13">
        <v>664.08</v>
      </c>
      <c r="O11" s="13">
        <v>591.23</v>
      </c>
      <c r="P11" s="13">
        <v>610.71</v>
      </c>
      <c r="Q11" s="13">
        <v>584.11</v>
      </c>
      <c r="R11" s="13">
        <v>550.48</v>
      </c>
      <c r="S11" s="13">
        <v>571.86</v>
      </c>
      <c r="T11" s="13">
        <v>563.34</v>
      </c>
      <c r="U11" s="13">
        <v>533.83000000000004</v>
      </c>
      <c r="V11" s="13">
        <v>518.04999999999995</v>
      </c>
      <c r="W11" s="13">
        <v>498.77</v>
      </c>
      <c r="X11" s="13">
        <v>472.41</v>
      </c>
      <c r="Y11" s="13">
        <v>466.78</v>
      </c>
      <c r="Z11" s="13">
        <v>369.91</v>
      </c>
      <c r="AA11" s="13">
        <v>343.33</v>
      </c>
      <c r="AB11" s="13">
        <v>355.75</v>
      </c>
      <c r="AC11" s="13">
        <v>375.08</v>
      </c>
      <c r="AD11" s="13">
        <v>375.4</v>
      </c>
      <c r="AE11" s="13">
        <v>412.81</v>
      </c>
      <c r="AF11" s="13">
        <v>404.75</v>
      </c>
      <c r="AG11" s="13">
        <v>403.06</v>
      </c>
      <c r="AH11" s="13">
        <v>380.39</v>
      </c>
      <c r="AI11" s="13">
        <v>380.47</v>
      </c>
      <c r="AJ11" s="13">
        <v>376.36</v>
      </c>
      <c r="AK11" s="13">
        <v>376.38</v>
      </c>
    </row>
    <row r="12" spans="1:37" x14ac:dyDescent="0.25">
      <c r="A12" s="13" t="s">
        <v>379</v>
      </c>
      <c r="B12" s="13">
        <v>1294.6300000000001</v>
      </c>
      <c r="C12" s="13">
        <v>1303.29</v>
      </c>
      <c r="D12" s="13">
        <v>1308.5899999999999</v>
      </c>
      <c r="E12" s="13">
        <v>1352.34</v>
      </c>
      <c r="F12" s="13">
        <v>1306.48</v>
      </c>
      <c r="G12" s="13">
        <v>1245.47</v>
      </c>
      <c r="H12" s="13">
        <v>1333.93</v>
      </c>
      <c r="I12" s="13">
        <v>1343.6</v>
      </c>
      <c r="J12" s="13">
        <v>1383.41</v>
      </c>
      <c r="K12" s="13">
        <v>1364.02</v>
      </c>
      <c r="L12" s="13">
        <v>1386.01</v>
      </c>
      <c r="M12" s="13">
        <v>1391.81</v>
      </c>
      <c r="N12" s="13">
        <v>1408.68</v>
      </c>
      <c r="O12" s="13">
        <v>1429.71</v>
      </c>
      <c r="P12" s="13">
        <v>1440.5</v>
      </c>
      <c r="Q12" s="13">
        <v>1451.2</v>
      </c>
      <c r="R12" s="13">
        <v>1471.8</v>
      </c>
      <c r="S12" s="13">
        <v>1477.8</v>
      </c>
      <c r="T12" s="13">
        <v>1482.99</v>
      </c>
      <c r="U12" s="13">
        <v>1504.13</v>
      </c>
      <c r="V12" s="13">
        <v>1512.23</v>
      </c>
      <c r="W12" s="13">
        <v>1518.45</v>
      </c>
      <c r="X12" s="13">
        <v>1520.37</v>
      </c>
      <c r="Y12" s="13">
        <v>1513.66</v>
      </c>
      <c r="Z12" s="13">
        <v>1520.99</v>
      </c>
      <c r="AA12" s="13">
        <v>1531.26</v>
      </c>
      <c r="AB12" s="13">
        <v>1539.83</v>
      </c>
      <c r="AC12" s="13">
        <v>1548.07</v>
      </c>
      <c r="AD12" s="13">
        <v>1555.51</v>
      </c>
      <c r="AE12" s="13">
        <v>1565.96</v>
      </c>
      <c r="AF12" s="13">
        <v>1573.28</v>
      </c>
      <c r="AG12" s="13">
        <v>1579.11</v>
      </c>
      <c r="AH12" s="13">
        <v>1585.37</v>
      </c>
      <c r="AI12" s="13">
        <v>1591.11</v>
      </c>
      <c r="AJ12" s="13">
        <v>1597.46</v>
      </c>
      <c r="AK12" s="13">
        <v>1603.27</v>
      </c>
    </row>
    <row r="13" spans="1:37" x14ac:dyDescent="0.25">
      <c r="A13" s="13" t="s">
        <v>380</v>
      </c>
      <c r="B13" s="13">
        <v>1029.53</v>
      </c>
      <c r="C13" s="13">
        <v>1029.53</v>
      </c>
      <c r="D13" s="13">
        <v>1029.53</v>
      </c>
      <c r="E13" s="13">
        <v>953.48</v>
      </c>
      <c r="F13" s="13">
        <v>940.95</v>
      </c>
      <c r="G13" s="13">
        <v>955.09</v>
      </c>
      <c r="H13" s="13">
        <v>1048.26</v>
      </c>
      <c r="I13" s="13">
        <v>1020.43</v>
      </c>
      <c r="J13" s="13">
        <v>1099.6099999999999</v>
      </c>
      <c r="K13" s="13">
        <v>1208.82</v>
      </c>
      <c r="L13" s="13">
        <v>1178.45</v>
      </c>
      <c r="M13" s="13">
        <v>1119.72</v>
      </c>
      <c r="N13" s="13">
        <v>956.09</v>
      </c>
      <c r="O13" s="13">
        <v>935.41</v>
      </c>
      <c r="P13" s="13">
        <v>940.8</v>
      </c>
      <c r="Q13" s="13">
        <v>862.15</v>
      </c>
      <c r="R13" s="13">
        <v>809.96</v>
      </c>
      <c r="S13" s="13">
        <v>812.23</v>
      </c>
      <c r="T13" s="13">
        <v>795.37</v>
      </c>
      <c r="U13" s="13">
        <v>797.27</v>
      </c>
      <c r="V13" s="13">
        <v>796.75</v>
      </c>
      <c r="W13" s="13">
        <v>797.97</v>
      </c>
      <c r="X13" s="13">
        <v>803.12</v>
      </c>
      <c r="Y13" s="13">
        <v>840.87</v>
      </c>
      <c r="Z13" s="13">
        <v>845.65</v>
      </c>
      <c r="AA13" s="13">
        <v>892.02</v>
      </c>
      <c r="AB13" s="13">
        <v>933.84</v>
      </c>
      <c r="AC13" s="13">
        <v>941.56</v>
      </c>
      <c r="AD13" s="13">
        <v>945.09</v>
      </c>
      <c r="AE13" s="13">
        <v>927.65</v>
      </c>
      <c r="AF13" s="13">
        <v>924.95</v>
      </c>
      <c r="AG13" s="13">
        <v>930.58</v>
      </c>
      <c r="AH13" s="13">
        <v>934.58</v>
      </c>
      <c r="AI13" s="13">
        <v>940.89</v>
      </c>
      <c r="AJ13" s="13">
        <v>946.96</v>
      </c>
      <c r="AK13" s="13">
        <v>954.69</v>
      </c>
    </row>
    <row r="14" spans="1:37" x14ac:dyDescent="0.25">
      <c r="A14" s="13" t="s">
        <v>381</v>
      </c>
      <c r="B14" s="13">
        <v>208.85</v>
      </c>
      <c r="C14" s="13">
        <v>214.77</v>
      </c>
      <c r="D14" s="13">
        <v>215.8</v>
      </c>
      <c r="E14" s="13">
        <v>204.65</v>
      </c>
      <c r="F14" s="13">
        <v>128.16999999999999</v>
      </c>
      <c r="G14" s="13">
        <v>305.45</v>
      </c>
      <c r="H14" s="13">
        <v>276.89999999999998</v>
      </c>
      <c r="I14" s="13">
        <v>276.68</v>
      </c>
      <c r="J14" s="13">
        <v>280.33999999999997</v>
      </c>
      <c r="K14" s="13">
        <v>290.7</v>
      </c>
      <c r="L14" s="13">
        <v>312.36</v>
      </c>
      <c r="M14" s="13">
        <v>351.14</v>
      </c>
      <c r="N14" s="13">
        <v>370.09</v>
      </c>
      <c r="O14" s="13">
        <v>375.34</v>
      </c>
      <c r="P14" s="13">
        <v>390.86</v>
      </c>
      <c r="Q14" s="13">
        <v>405.66</v>
      </c>
      <c r="R14" s="13">
        <v>411.96</v>
      </c>
      <c r="S14" s="13">
        <v>417.29</v>
      </c>
      <c r="T14" s="13">
        <v>424.88</v>
      </c>
      <c r="U14" s="13">
        <v>425.69</v>
      </c>
      <c r="V14" s="13">
        <v>436.01</v>
      </c>
      <c r="W14" s="13">
        <v>438.14</v>
      </c>
      <c r="X14" s="13">
        <v>445.74</v>
      </c>
      <c r="Y14" s="13">
        <v>450.3</v>
      </c>
      <c r="Z14" s="13">
        <v>456.54</v>
      </c>
      <c r="AA14" s="13">
        <v>460.62</v>
      </c>
      <c r="AB14" s="13">
        <v>467.43</v>
      </c>
      <c r="AC14" s="13">
        <v>472.09</v>
      </c>
      <c r="AD14" s="13">
        <v>478.86</v>
      </c>
      <c r="AE14" s="13">
        <v>480.12</v>
      </c>
      <c r="AF14" s="13">
        <v>486.5</v>
      </c>
      <c r="AG14" s="13">
        <v>488.4</v>
      </c>
      <c r="AH14" s="13">
        <v>494.89</v>
      </c>
      <c r="AI14" s="13">
        <v>496.52</v>
      </c>
      <c r="AJ14" s="13">
        <v>497.72</v>
      </c>
      <c r="AK14" s="13">
        <v>498.67</v>
      </c>
    </row>
    <row r="16" spans="1:37" ht="18.75" x14ac:dyDescent="0.3">
      <c r="A16" s="14" t="s">
        <v>398</v>
      </c>
    </row>
    <row r="17" spans="1:37" x14ac:dyDescent="0.25">
      <c r="A17" s="13" t="s">
        <v>328</v>
      </c>
      <c r="B17" s="13" t="s">
        <v>329</v>
      </c>
      <c r="C17" s="13" t="s">
        <v>330</v>
      </c>
      <c r="D17" s="13" t="s">
        <v>331</v>
      </c>
      <c r="E17" s="13" t="s">
        <v>332</v>
      </c>
      <c r="F17" s="13" t="s">
        <v>333</v>
      </c>
      <c r="G17" s="13" t="s">
        <v>334</v>
      </c>
      <c r="H17" s="13" t="s">
        <v>335</v>
      </c>
      <c r="I17" s="13" t="s">
        <v>336</v>
      </c>
      <c r="J17" s="13" t="s">
        <v>337</v>
      </c>
      <c r="K17" s="13" t="s">
        <v>338</v>
      </c>
      <c r="L17" s="13" t="s">
        <v>339</v>
      </c>
      <c r="M17" s="13" t="s">
        <v>340</v>
      </c>
      <c r="N17" s="13" t="s">
        <v>341</v>
      </c>
      <c r="O17" s="13" t="s">
        <v>342</v>
      </c>
      <c r="P17" s="13" t="s">
        <v>343</v>
      </c>
      <c r="Q17" s="13" t="s">
        <v>344</v>
      </c>
      <c r="R17" s="13" t="s">
        <v>345</v>
      </c>
      <c r="S17" s="13" t="s">
        <v>346</v>
      </c>
      <c r="T17" s="13" t="s">
        <v>347</v>
      </c>
      <c r="U17" s="13" t="s">
        <v>348</v>
      </c>
      <c r="V17" s="13" t="s">
        <v>349</v>
      </c>
      <c r="W17" s="13" t="s">
        <v>350</v>
      </c>
      <c r="X17" s="13" t="s">
        <v>351</v>
      </c>
      <c r="Y17" s="13" t="s">
        <v>352</v>
      </c>
      <c r="Z17" s="13" t="s">
        <v>353</v>
      </c>
      <c r="AA17" s="13" t="s">
        <v>354</v>
      </c>
      <c r="AB17" s="13" t="s">
        <v>355</v>
      </c>
      <c r="AC17" s="13" t="s">
        <v>356</v>
      </c>
      <c r="AD17" s="13" t="s">
        <v>357</v>
      </c>
      <c r="AE17" s="13" t="s">
        <v>358</v>
      </c>
      <c r="AF17" s="13" t="s">
        <v>359</v>
      </c>
      <c r="AG17" s="13" t="s">
        <v>360</v>
      </c>
      <c r="AH17" s="13" t="s">
        <v>361</v>
      </c>
      <c r="AI17" s="13" t="s">
        <v>362</v>
      </c>
      <c r="AJ17" s="13" t="s">
        <v>363</v>
      </c>
      <c r="AK17" s="13" t="s">
        <v>364</v>
      </c>
    </row>
    <row r="18" spans="1:37" x14ac:dyDescent="0.25">
      <c r="A18" s="13" t="s">
        <v>375</v>
      </c>
      <c r="B18" s="13">
        <v>1971.93</v>
      </c>
      <c r="C18" s="13">
        <v>1944.82</v>
      </c>
      <c r="D18" s="13">
        <v>2015.84</v>
      </c>
      <c r="E18" s="13">
        <v>2035.86</v>
      </c>
      <c r="F18" s="13">
        <v>1881.99</v>
      </c>
      <c r="G18" s="13">
        <v>1867.78</v>
      </c>
      <c r="H18" s="13">
        <v>1913.14</v>
      </c>
      <c r="I18" s="13">
        <v>1911.16</v>
      </c>
      <c r="J18" s="13">
        <v>1980.52</v>
      </c>
      <c r="K18" s="13">
        <v>1997.89</v>
      </c>
      <c r="L18" s="13">
        <v>2016.85</v>
      </c>
      <c r="M18" s="13">
        <v>2038.2</v>
      </c>
      <c r="N18" s="13">
        <v>2059.44</v>
      </c>
      <c r="O18" s="13">
        <v>2074.17</v>
      </c>
      <c r="P18" s="13">
        <v>2101.86</v>
      </c>
      <c r="Q18" s="13">
        <v>2117.9499999999998</v>
      </c>
      <c r="R18" s="13">
        <v>2131.16</v>
      </c>
      <c r="S18" s="13">
        <v>2145.17</v>
      </c>
      <c r="T18" s="13">
        <v>2162.66</v>
      </c>
      <c r="U18" s="13">
        <v>2180.38</v>
      </c>
      <c r="V18" s="13">
        <v>2197.16</v>
      </c>
      <c r="W18" s="13">
        <v>2214.29</v>
      </c>
      <c r="X18" s="13">
        <v>2233.08</v>
      </c>
      <c r="Y18" s="13">
        <v>2251.54</v>
      </c>
      <c r="Z18" s="13">
        <v>2270.63</v>
      </c>
      <c r="AA18" s="13">
        <v>2290.75</v>
      </c>
      <c r="AB18" s="13">
        <v>2311.58</v>
      </c>
      <c r="AC18" s="13">
        <v>2331.79</v>
      </c>
      <c r="AD18" s="13">
        <v>2351.1</v>
      </c>
      <c r="AE18" s="13">
        <v>2370.2600000000002</v>
      </c>
      <c r="AF18" s="13">
        <v>2389.25</v>
      </c>
      <c r="AG18" s="13">
        <v>2406.56</v>
      </c>
      <c r="AH18" s="13">
        <v>2423.9899999999998</v>
      </c>
      <c r="AI18" s="13">
        <v>2440.7399999999998</v>
      </c>
      <c r="AJ18" s="13">
        <v>2456.62</v>
      </c>
      <c r="AK18" s="13">
        <v>2472.81</v>
      </c>
    </row>
    <row r="20" spans="1:37" ht="18.75" x14ac:dyDescent="0.3">
      <c r="A20" s="14" t="s">
        <v>327</v>
      </c>
    </row>
    <row r="21" spans="1:37" x14ac:dyDescent="0.25">
      <c r="A21" s="13" t="s">
        <v>328</v>
      </c>
      <c r="B21" s="13" t="s">
        <v>329</v>
      </c>
      <c r="C21" s="13" t="s">
        <v>330</v>
      </c>
      <c r="D21" s="13" t="s">
        <v>331</v>
      </c>
      <c r="E21" s="13" t="s">
        <v>332</v>
      </c>
      <c r="F21" s="13" t="s">
        <v>333</v>
      </c>
      <c r="G21" s="13" t="s">
        <v>334</v>
      </c>
      <c r="H21" s="13" t="s">
        <v>335</v>
      </c>
      <c r="I21" s="13" t="s">
        <v>336</v>
      </c>
      <c r="J21" s="13" t="s">
        <v>337</v>
      </c>
      <c r="K21" s="13" t="s">
        <v>338</v>
      </c>
      <c r="L21" s="13" t="s">
        <v>339</v>
      </c>
      <c r="M21" s="13" t="s">
        <v>340</v>
      </c>
      <c r="N21" s="13" t="s">
        <v>341</v>
      </c>
      <c r="O21" s="13" t="s">
        <v>342</v>
      </c>
      <c r="P21" s="13" t="s">
        <v>343</v>
      </c>
      <c r="Q21" s="13" t="s">
        <v>344</v>
      </c>
      <c r="R21" s="13" t="s">
        <v>345</v>
      </c>
      <c r="S21" s="13" t="s">
        <v>346</v>
      </c>
      <c r="T21" s="13" t="s">
        <v>347</v>
      </c>
      <c r="U21" s="13" t="s">
        <v>348</v>
      </c>
      <c r="V21" s="13" t="s">
        <v>349</v>
      </c>
      <c r="W21" s="13" t="s">
        <v>350</v>
      </c>
      <c r="X21" s="13" t="s">
        <v>351</v>
      </c>
      <c r="Y21" s="13" t="s">
        <v>352</v>
      </c>
      <c r="Z21" s="13" t="s">
        <v>353</v>
      </c>
      <c r="AA21" s="13" t="s">
        <v>354</v>
      </c>
      <c r="AB21" s="13" t="s">
        <v>355</v>
      </c>
      <c r="AC21" s="13" t="s">
        <v>356</v>
      </c>
      <c r="AD21" s="13" t="s">
        <v>357</v>
      </c>
      <c r="AE21" s="13" t="s">
        <v>358</v>
      </c>
      <c r="AF21" s="13" t="s">
        <v>359</v>
      </c>
      <c r="AG21" s="13" t="s">
        <v>360</v>
      </c>
      <c r="AH21" s="13" t="s">
        <v>361</v>
      </c>
      <c r="AI21" s="13" t="s">
        <v>362</v>
      </c>
      <c r="AJ21" s="13" t="s">
        <v>363</v>
      </c>
      <c r="AK21" s="13" t="s">
        <v>364</v>
      </c>
    </row>
    <row r="22" spans="1:37" x14ac:dyDescent="0.25">
      <c r="A22" s="13" t="s">
        <v>375</v>
      </c>
      <c r="B22" s="13">
        <v>12990.4</v>
      </c>
      <c r="C22" s="13">
        <v>13032.79</v>
      </c>
      <c r="D22" s="13">
        <v>13383.27</v>
      </c>
      <c r="E22" s="13">
        <v>12951.57</v>
      </c>
      <c r="F22" s="13">
        <v>12402.22</v>
      </c>
      <c r="G22" s="13">
        <v>12806.8</v>
      </c>
      <c r="H22" s="13">
        <v>13095.34</v>
      </c>
      <c r="I22" s="13">
        <v>13184.57</v>
      </c>
      <c r="J22" s="13">
        <v>13444.43</v>
      </c>
      <c r="K22" s="13">
        <v>13828.8</v>
      </c>
      <c r="L22" s="13">
        <v>14169.12</v>
      </c>
      <c r="M22" s="13">
        <v>14431.95</v>
      </c>
      <c r="N22" s="13">
        <v>14513.48</v>
      </c>
      <c r="O22" s="13">
        <v>14631.56</v>
      </c>
      <c r="P22" s="13">
        <v>14781.87</v>
      </c>
      <c r="Q22" s="13">
        <v>14835.57</v>
      </c>
      <c r="R22" s="13">
        <v>14941.95</v>
      </c>
      <c r="S22" s="13">
        <v>15057.32</v>
      </c>
      <c r="T22" s="13">
        <v>15186.06</v>
      </c>
      <c r="U22" s="13">
        <v>15253.85</v>
      </c>
      <c r="V22" s="13">
        <v>15341.86</v>
      </c>
      <c r="W22" s="13">
        <v>15435.34</v>
      </c>
      <c r="X22" s="13">
        <v>15490.86</v>
      </c>
      <c r="Y22" s="13">
        <v>15574.04</v>
      </c>
      <c r="Z22" s="13">
        <v>15672.72</v>
      </c>
      <c r="AA22" s="13">
        <v>15714.77</v>
      </c>
      <c r="AB22" s="13">
        <v>15845.86</v>
      </c>
      <c r="AC22" s="13">
        <v>15922.38</v>
      </c>
      <c r="AD22" s="13">
        <v>15984.23</v>
      </c>
      <c r="AE22" s="13">
        <v>16045.4</v>
      </c>
      <c r="AF22" s="13">
        <v>16085.3</v>
      </c>
      <c r="AG22" s="13">
        <v>16127.89</v>
      </c>
      <c r="AH22" s="13">
        <v>16147.07</v>
      </c>
      <c r="AI22" s="13">
        <v>16176.49</v>
      </c>
      <c r="AJ22" s="13">
        <v>16203.2</v>
      </c>
      <c r="AK22" s="13">
        <v>16233.21</v>
      </c>
    </row>
    <row r="23" spans="1:37" x14ac:dyDescent="0.25">
      <c r="A23" s="13" t="s">
        <v>376</v>
      </c>
      <c r="B23" s="13">
        <v>3712.85</v>
      </c>
      <c r="C23" s="13">
        <v>3731.63</v>
      </c>
      <c r="D23" s="13">
        <v>3933.28</v>
      </c>
      <c r="E23" s="13">
        <v>3878.87</v>
      </c>
      <c r="F23" s="13">
        <v>3859.97</v>
      </c>
      <c r="G23" s="13">
        <v>3929.05</v>
      </c>
      <c r="H23" s="13">
        <v>4186.57</v>
      </c>
      <c r="I23" s="13">
        <v>4339.1499999999996</v>
      </c>
      <c r="J23" s="13">
        <v>4539.49</v>
      </c>
      <c r="K23" s="13">
        <v>4693.3999999999996</v>
      </c>
      <c r="L23" s="13">
        <v>4992.6899999999996</v>
      </c>
      <c r="M23" s="13">
        <v>5200.37</v>
      </c>
      <c r="N23" s="13">
        <v>5375.67</v>
      </c>
      <c r="O23" s="13">
        <v>5529.09</v>
      </c>
      <c r="P23" s="13">
        <v>5597.75</v>
      </c>
      <c r="Q23" s="13">
        <v>5734.95</v>
      </c>
      <c r="R23" s="13">
        <v>5902.44</v>
      </c>
      <c r="S23" s="13">
        <v>6001.4</v>
      </c>
      <c r="T23" s="13">
        <v>6154.69</v>
      </c>
      <c r="U23" s="13">
        <v>6237.04</v>
      </c>
      <c r="V23" s="13">
        <v>6330.47</v>
      </c>
      <c r="W23" s="13">
        <v>6449.18</v>
      </c>
      <c r="X23" s="13">
        <v>6514.26</v>
      </c>
      <c r="Y23" s="13">
        <v>6576.89</v>
      </c>
      <c r="Z23" s="13">
        <v>6752.99</v>
      </c>
      <c r="AA23" s="13">
        <v>6761.38</v>
      </c>
      <c r="AB23" s="13">
        <v>6822.46</v>
      </c>
      <c r="AC23" s="13">
        <v>6868.75</v>
      </c>
      <c r="AD23" s="13">
        <v>6914.65</v>
      </c>
      <c r="AE23" s="13">
        <v>6949.9</v>
      </c>
      <c r="AF23" s="13">
        <v>6996.43</v>
      </c>
      <c r="AG23" s="13">
        <v>7048.41</v>
      </c>
      <c r="AH23" s="13">
        <v>7087.68</v>
      </c>
      <c r="AI23" s="13">
        <v>7118.22</v>
      </c>
      <c r="AJ23" s="13">
        <v>7150.04</v>
      </c>
      <c r="AK23" s="13">
        <v>7177.01</v>
      </c>
    </row>
    <row r="24" spans="1:37" x14ac:dyDescent="0.25">
      <c r="A24" s="13" t="s">
        <v>377</v>
      </c>
      <c r="B24" s="13">
        <v>4755.3</v>
      </c>
      <c r="C24" s="13">
        <v>4800.5200000000004</v>
      </c>
      <c r="D24" s="13">
        <v>4942.43</v>
      </c>
      <c r="E24" s="13">
        <v>4799.16</v>
      </c>
      <c r="F24" s="13">
        <v>4619.8500000000004</v>
      </c>
      <c r="G24" s="13">
        <v>4789.01</v>
      </c>
      <c r="H24" s="13">
        <v>4753.21</v>
      </c>
      <c r="I24" s="13">
        <v>4853.16</v>
      </c>
      <c r="J24" s="13">
        <v>4748.18</v>
      </c>
      <c r="K24" s="13">
        <v>4766.22</v>
      </c>
      <c r="L24" s="13">
        <v>4836.04</v>
      </c>
      <c r="M24" s="13">
        <v>4902.3100000000004</v>
      </c>
      <c r="N24" s="13">
        <v>4944.79</v>
      </c>
      <c r="O24" s="13">
        <v>4979.04</v>
      </c>
      <c r="P24" s="13">
        <v>5011.2</v>
      </c>
      <c r="Q24" s="13">
        <v>5011.28</v>
      </c>
      <c r="R24" s="13">
        <v>5015.1099999999997</v>
      </c>
      <c r="S24" s="13">
        <v>5003.47</v>
      </c>
      <c r="T24" s="13">
        <v>4997.72</v>
      </c>
      <c r="U24" s="13">
        <v>4993.49</v>
      </c>
      <c r="V24" s="13">
        <v>4990.67</v>
      </c>
      <c r="W24" s="13">
        <v>4980.24</v>
      </c>
      <c r="X24" s="13">
        <v>4986.4399999999996</v>
      </c>
      <c r="Y24" s="13">
        <v>4981.38</v>
      </c>
      <c r="Z24" s="13">
        <v>4987</v>
      </c>
      <c r="AA24" s="13">
        <v>4990.95</v>
      </c>
      <c r="AB24" s="13">
        <v>4996.04</v>
      </c>
      <c r="AC24" s="13">
        <v>4991.63</v>
      </c>
      <c r="AD24" s="13">
        <v>4994.91</v>
      </c>
      <c r="AE24" s="13">
        <v>4994.92</v>
      </c>
      <c r="AF24" s="13">
        <v>4991.33</v>
      </c>
      <c r="AG24" s="13">
        <v>4976.3900000000003</v>
      </c>
      <c r="AH24" s="13">
        <v>4968.37</v>
      </c>
      <c r="AI24" s="13">
        <v>4959.57</v>
      </c>
      <c r="AJ24" s="13">
        <v>4950.88</v>
      </c>
      <c r="AK24" s="13">
        <v>4945.05</v>
      </c>
    </row>
    <row r="25" spans="1:37" x14ac:dyDescent="0.25">
      <c r="A25" s="13" t="s">
        <v>378</v>
      </c>
      <c r="B25" s="13">
        <v>1333.6</v>
      </c>
      <c r="C25" s="13">
        <v>1334.05</v>
      </c>
      <c r="D25" s="13">
        <v>1330.22</v>
      </c>
      <c r="E25" s="13">
        <v>1193.24</v>
      </c>
      <c r="F25" s="13">
        <v>1000.9</v>
      </c>
      <c r="G25" s="13">
        <v>1018.75</v>
      </c>
      <c r="H25" s="13">
        <v>906.76</v>
      </c>
      <c r="I25" s="13">
        <v>772.89</v>
      </c>
      <c r="J25" s="13">
        <v>791.03</v>
      </c>
      <c r="K25" s="13">
        <v>901.59</v>
      </c>
      <c r="L25" s="13">
        <v>849.68</v>
      </c>
      <c r="M25" s="13">
        <v>848.08</v>
      </c>
      <c r="N25" s="13">
        <v>837</v>
      </c>
      <c r="O25" s="13">
        <v>762.13</v>
      </c>
      <c r="P25" s="13">
        <v>780.42</v>
      </c>
      <c r="Q25" s="13">
        <v>752.3</v>
      </c>
      <c r="R25" s="13">
        <v>716.8</v>
      </c>
      <c r="S25" s="13">
        <v>736.16</v>
      </c>
      <c r="T25" s="13">
        <v>725.98</v>
      </c>
      <c r="U25" s="13">
        <v>695.5</v>
      </c>
      <c r="V25" s="13">
        <v>678.67</v>
      </c>
      <c r="W25" s="13">
        <v>658.43</v>
      </c>
      <c r="X25" s="13">
        <v>631.17999999999995</v>
      </c>
      <c r="Y25" s="13">
        <v>624.58000000000004</v>
      </c>
      <c r="Z25" s="13">
        <v>526.74</v>
      </c>
      <c r="AA25" s="13">
        <v>499.29</v>
      </c>
      <c r="AB25" s="13">
        <v>510.78</v>
      </c>
      <c r="AC25" s="13">
        <v>529.02</v>
      </c>
      <c r="AD25" s="13">
        <v>528.34</v>
      </c>
      <c r="AE25" s="13">
        <v>564.69000000000005</v>
      </c>
      <c r="AF25" s="13">
        <v>555.58000000000004</v>
      </c>
      <c r="AG25" s="13">
        <v>552.88</v>
      </c>
      <c r="AH25" s="13">
        <v>529.23</v>
      </c>
      <c r="AI25" s="13">
        <v>528.42999999999995</v>
      </c>
      <c r="AJ25" s="13">
        <v>523.52</v>
      </c>
      <c r="AK25" s="13">
        <v>522.86</v>
      </c>
    </row>
    <row r="26" spans="1:37" x14ac:dyDescent="0.25">
      <c r="A26" s="13" t="s">
        <v>379</v>
      </c>
      <c r="B26" s="13">
        <v>1294.6300000000001</v>
      </c>
      <c r="C26" s="13">
        <v>1303.29</v>
      </c>
      <c r="D26" s="13">
        <v>1308.5899999999999</v>
      </c>
      <c r="E26" s="13">
        <v>1352.34</v>
      </c>
      <c r="F26" s="13">
        <v>1306.48</v>
      </c>
      <c r="G26" s="13">
        <v>1245.47</v>
      </c>
      <c r="H26" s="13">
        <v>1333.93</v>
      </c>
      <c r="I26" s="13">
        <v>1343.6</v>
      </c>
      <c r="J26" s="13">
        <v>1383.41</v>
      </c>
      <c r="K26" s="13">
        <v>1364.02</v>
      </c>
      <c r="L26" s="13">
        <v>1386.01</v>
      </c>
      <c r="M26" s="13">
        <v>1391.81</v>
      </c>
      <c r="N26" s="13">
        <v>1408.68</v>
      </c>
      <c r="O26" s="13">
        <v>1429.71</v>
      </c>
      <c r="P26" s="13">
        <v>1440.5</v>
      </c>
      <c r="Q26" s="13">
        <v>1451.2</v>
      </c>
      <c r="R26" s="13">
        <v>1471.8</v>
      </c>
      <c r="S26" s="13">
        <v>1477.8</v>
      </c>
      <c r="T26" s="13">
        <v>1482.99</v>
      </c>
      <c r="U26" s="13">
        <v>1504.13</v>
      </c>
      <c r="V26" s="13">
        <v>1512.23</v>
      </c>
      <c r="W26" s="13">
        <v>1518.45</v>
      </c>
      <c r="X26" s="13">
        <v>1520.37</v>
      </c>
      <c r="Y26" s="13">
        <v>1513.66</v>
      </c>
      <c r="Z26" s="13">
        <v>1520.99</v>
      </c>
      <c r="AA26" s="13">
        <v>1531.26</v>
      </c>
      <c r="AB26" s="13">
        <v>1539.83</v>
      </c>
      <c r="AC26" s="13">
        <v>1548.07</v>
      </c>
      <c r="AD26" s="13">
        <v>1555.51</v>
      </c>
      <c r="AE26" s="13">
        <v>1565.96</v>
      </c>
      <c r="AF26" s="13">
        <v>1573.28</v>
      </c>
      <c r="AG26" s="13">
        <v>1579.11</v>
      </c>
      <c r="AH26" s="13">
        <v>1585.37</v>
      </c>
      <c r="AI26" s="13">
        <v>1591.11</v>
      </c>
      <c r="AJ26" s="13">
        <v>1597.46</v>
      </c>
      <c r="AK26" s="13">
        <v>1603.27</v>
      </c>
    </row>
    <row r="27" spans="1:37" x14ac:dyDescent="0.25">
      <c r="A27" s="13" t="s">
        <v>380</v>
      </c>
      <c r="B27" s="13">
        <v>1029.53</v>
      </c>
      <c r="C27" s="13">
        <v>1029.53</v>
      </c>
      <c r="D27" s="13">
        <v>1029.53</v>
      </c>
      <c r="E27" s="13">
        <v>953.48</v>
      </c>
      <c r="F27" s="13">
        <v>940.95</v>
      </c>
      <c r="G27" s="13">
        <v>955.09</v>
      </c>
      <c r="H27" s="13">
        <v>1048.26</v>
      </c>
      <c r="I27" s="13">
        <v>1020.43</v>
      </c>
      <c r="J27" s="13">
        <v>1099.6099999999999</v>
      </c>
      <c r="K27" s="13">
        <v>1208.82</v>
      </c>
      <c r="L27" s="13">
        <v>1178.45</v>
      </c>
      <c r="M27" s="13">
        <v>1119.72</v>
      </c>
      <c r="N27" s="13">
        <v>956.09</v>
      </c>
      <c r="O27" s="13">
        <v>935.41</v>
      </c>
      <c r="P27" s="13">
        <v>940.8</v>
      </c>
      <c r="Q27" s="13">
        <v>862.15</v>
      </c>
      <c r="R27" s="13">
        <v>809.96</v>
      </c>
      <c r="S27" s="13">
        <v>812.23</v>
      </c>
      <c r="T27" s="13">
        <v>795.37</v>
      </c>
      <c r="U27" s="13">
        <v>797.27</v>
      </c>
      <c r="V27" s="13">
        <v>796.75</v>
      </c>
      <c r="W27" s="13">
        <v>797.97</v>
      </c>
      <c r="X27" s="13">
        <v>803.12</v>
      </c>
      <c r="Y27" s="13">
        <v>840.87</v>
      </c>
      <c r="Z27" s="13">
        <v>845.65</v>
      </c>
      <c r="AA27" s="13">
        <v>892.02</v>
      </c>
      <c r="AB27" s="13">
        <v>933.84</v>
      </c>
      <c r="AC27" s="13">
        <v>941.56</v>
      </c>
      <c r="AD27" s="13">
        <v>945.09</v>
      </c>
      <c r="AE27" s="13">
        <v>927.65</v>
      </c>
      <c r="AF27" s="13">
        <v>924.95</v>
      </c>
      <c r="AG27" s="13">
        <v>930.58</v>
      </c>
      <c r="AH27" s="13">
        <v>934.58</v>
      </c>
      <c r="AI27" s="13">
        <v>940.89</v>
      </c>
      <c r="AJ27" s="13">
        <v>946.96</v>
      </c>
      <c r="AK27" s="13">
        <v>954.69</v>
      </c>
    </row>
    <row r="28" spans="1:37" x14ac:dyDescent="0.25">
      <c r="A28" s="13" t="s">
        <v>381</v>
      </c>
      <c r="B28" s="13">
        <v>864.5</v>
      </c>
      <c r="C28" s="13">
        <v>833.76</v>
      </c>
      <c r="D28" s="13">
        <v>839.22</v>
      </c>
      <c r="E28" s="13">
        <v>774.47</v>
      </c>
      <c r="F28" s="13">
        <v>674.07</v>
      </c>
      <c r="G28" s="13">
        <v>869.42</v>
      </c>
      <c r="H28" s="13">
        <v>866.61</v>
      </c>
      <c r="I28" s="13">
        <v>855.34</v>
      </c>
      <c r="J28" s="13">
        <v>882.7</v>
      </c>
      <c r="K28" s="13">
        <v>894.74</v>
      </c>
      <c r="L28" s="13">
        <v>926.25</v>
      </c>
      <c r="M28" s="13">
        <v>969.66</v>
      </c>
      <c r="N28" s="13">
        <v>991.26</v>
      </c>
      <c r="O28" s="13">
        <v>996.18</v>
      </c>
      <c r="P28" s="13">
        <v>1011.2</v>
      </c>
      <c r="Q28" s="13">
        <v>1023.68</v>
      </c>
      <c r="R28" s="13">
        <v>1025.8399999999999</v>
      </c>
      <c r="S28" s="13">
        <v>1026.26</v>
      </c>
      <c r="T28" s="13">
        <v>1029.31</v>
      </c>
      <c r="U28" s="13">
        <v>1026.42</v>
      </c>
      <c r="V28" s="13">
        <v>1033.06</v>
      </c>
      <c r="W28" s="13">
        <v>1031.0899999999999</v>
      </c>
      <c r="X28" s="13">
        <v>1035.5</v>
      </c>
      <c r="Y28" s="13">
        <v>1036.6600000000001</v>
      </c>
      <c r="Z28" s="13">
        <v>1039.3499999999999</v>
      </c>
      <c r="AA28" s="13">
        <v>1039.8599999999999</v>
      </c>
      <c r="AB28" s="13">
        <v>1042.9000000000001</v>
      </c>
      <c r="AC28" s="13">
        <v>1043.3499999999999</v>
      </c>
      <c r="AD28" s="13">
        <v>1045.73</v>
      </c>
      <c r="AE28" s="13">
        <v>1042.27</v>
      </c>
      <c r="AF28" s="13">
        <v>1043.73</v>
      </c>
      <c r="AG28" s="13">
        <v>1040.52</v>
      </c>
      <c r="AH28" s="13">
        <v>1041.83</v>
      </c>
      <c r="AI28" s="13">
        <v>1038.26</v>
      </c>
      <c r="AJ28" s="13">
        <v>1034.3399999999999</v>
      </c>
      <c r="AK28" s="13">
        <v>1030.33</v>
      </c>
    </row>
  </sheetData>
  <pageMargins left="0.75" right="0.75" top="0.75" bottom="0.5" header="0.5" footer="0.75"/>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F33"/>
  <sheetViews>
    <sheetView workbookViewId="0">
      <selection activeCell="D8" sqref="D8"/>
    </sheetView>
  </sheetViews>
  <sheetFormatPr defaultRowHeight="15" x14ac:dyDescent="0.25"/>
  <cols>
    <col min="1" max="1" width="16.85546875" customWidth="1"/>
    <col min="2" max="8" width="16.42578125" customWidth="1"/>
  </cols>
  <sheetData>
    <row r="1" spans="1:2" x14ac:dyDescent="0.25">
      <c r="A1" s="1" t="s">
        <v>399</v>
      </c>
    </row>
    <row r="2" spans="1:2" x14ac:dyDescent="0.25">
      <c r="A2" t="s">
        <v>70</v>
      </c>
      <c r="B2" s="17">
        <f>SUMIFS('CAN Fossil Subsidies_old'!E:E,'CAN Fossil Subsidies_old'!C:C,A2)</f>
        <v>1229.9960000000001</v>
      </c>
    </row>
    <row r="3" spans="1:2" x14ac:dyDescent="0.25">
      <c r="A3" t="s">
        <v>74</v>
      </c>
      <c r="B3" s="17">
        <f>SUMIFS('CAN Fossil Subsidies_old'!E:E,'CAN Fossil Subsidies_old'!C:C,A3)</f>
        <v>502.589</v>
      </c>
    </row>
    <row r="4" spans="1:2" x14ac:dyDescent="0.25">
      <c r="A4" t="s">
        <v>77</v>
      </c>
      <c r="B4" s="17">
        <f>SUMIFS('CAN Fossil Subsidies_old'!E:E,'CAN Fossil Subsidies_old'!C:C,A4)</f>
        <v>936.89649999999995</v>
      </c>
    </row>
    <row r="5" spans="1:2" x14ac:dyDescent="0.25">
      <c r="A5" t="s">
        <v>111</v>
      </c>
      <c r="B5" s="17">
        <f>SUMIFS('CAN Fossil Subsidies_old'!E:E,'CAN Fossil Subsidies_old'!C:C,A5)</f>
        <v>117.054</v>
      </c>
    </row>
    <row r="6" spans="1:2" x14ac:dyDescent="0.25">
      <c r="A6" t="s">
        <v>90</v>
      </c>
      <c r="B6" s="17">
        <f>SUMIFS('CAN Fossil Subsidies_old'!E:E,'CAN Fossil Subsidies_old'!C:C,A6)</f>
        <v>126.34400000000001</v>
      </c>
    </row>
    <row r="8" spans="1:2" x14ac:dyDescent="0.25">
      <c r="A8" s="1" t="s">
        <v>400</v>
      </c>
    </row>
    <row r="9" spans="1:2" x14ac:dyDescent="0.25">
      <c r="A9" t="s">
        <v>388</v>
      </c>
      <c r="B9" s="17">
        <f>'CAN Primary Energy_old'!J25</f>
        <v>791.03</v>
      </c>
    </row>
    <row r="10" spans="1:2" x14ac:dyDescent="0.25">
      <c r="A10" t="s">
        <v>389</v>
      </c>
      <c r="B10" s="17">
        <f>'CAN Primary Energy_old'!J23</f>
        <v>4539.49</v>
      </c>
    </row>
    <row r="11" spans="1:2" x14ac:dyDescent="0.25">
      <c r="A11" t="s">
        <v>390</v>
      </c>
      <c r="B11" s="17">
        <f>'CAN Primary Energy_old'!J24</f>
        <v>4748.18</v>
      </c>
    </row>
    <row r="13" spans="1:2" x14ac:dyDescent="0.25">
      <c r="A13" s="1" t="s">
        <v>401</v>
      </c>
    </row>
    <row r="14" spans="1:2" x14ac:dyDescent="0.25">
      <c r="A14" t="s">
        <v>392</v>
      </c>
    </row>
    <row r="15" spans="1:2" x14ac:dyDescent="0.25">
      <c r="A15" t="s">
        <v>393</v>
      </c>
    </row>
    <row r="16" spans="1:2" s="18" customFormat="1" x14ac:dyDescent="0.25">
      <c r="A16" t="s">
        <v>388</v>
      </c>
      <c r="B16" s="17">
        <f>B5+B6*(B9/SUM(B9:B11))</f>
        <v>126.97014933672001</v>
      </c>
    </row>
    <row r="17" spans="1:6" x14ac:dyDescent="0.25">
      <c r="A17" t="s">
        <v>389</v>
      </c>
      <c r="B17" s="17">
        <f>B3+B4*(B10/SUM(B10:B11))+B6*(B10/SUM(B9:B11))</f>
        <v>1017.4172999495516</v>
      </c>
    </row>
    <row r="18" spans="1:6" x14ac:dyDescent="0.25">
      <c r="A18" t="s">
        <v>390</v>
      </c>
      <c r="B18" s="17">
        <f>B2+B4*(B11/SUM(B10:B11))+B6*(B11/SUM(B9:B11))</f>
        <v>1768.4920507137283</v>
      </c>
    </row>
    <row r="20" spans="1:6" x14ac:dyDescent="0.25">
      <c r="A20" s="1" t="s">
        <v>402</v>
      </c>
    </row>
    <row r="21" spans="1:6" x14ac:dyDescent="0.25">
      <c r="A21" s="2"/>
      <c r="B21" s="18" t="s">
        <v>403</v>
      </c>
      <c r="C21" s="18" t="s">
        <v>404</v>
      </c>
      <c r="D21" s="18" t="s">
        <v>405</v>
      </c>
      <c r="E21" s="18" t="s">
        <v>406</v>
      </c>
      <c r="F21" s="18" t="s">
        <v>407</v>
      </c>
    </row>
    <row r="22" spans="1:6" x14ac:dyDescent="0.25">
      <c r="A22" t="s">
        <v>388</v>
      </c>
      <c r="B22">
        <f>B16/B9</f>
        <v>0.16051243231826862</v>
      </c>
      <c r="C22" s="19">
        <f>B22*10^6</f>
        <v>160512.43231826861</v>
      </c>
      <c r="D22" s="19">
        <f>C22/About!$A$77</f>
        <v>143314.6717127398</v>
      </c>
      <c r="E22" s="19">
        <f>D22*About!$A$78</f>
        <v>192227.96916829789</v>
      </c>
      <c r="F22" s="19">
        <f>E22/About!$A$79</f>
        <v>2.0281125301606299E-7</v>
      </c>
    </row>
    <row r="23" spans="1:6" x14ac:dyDescent="0.25">
      <c r="A23" t="s">
        <v>389</v>
      </c>
      <c r="B23">
        <f>B17/B10</f>
        <v>0.22412590400013035</v>
      </c>
      <c r="C23" s="19">
        <f>B23*10^6</f>
        <v>224125.90400013037</v>
      </c>
      <c r="D23" s="19">
        <f>C23/About!$A$77</f>
        <v>200112.41428583066</v>
      </c>
      <c r="E23" s="19">
        <f>D23*About!$A$78</f>
        <v>268410.78128158464</v>
      </c>
      <c r="F23" s="19">
        <f>E23/About!$A$79</f>
        <v>2.8318837841479042E-7</v>
      </c>
    </row>
    <row r="24" spans="1:6" x14ac:dyDescent="0.25">
      <c r="A24" t="s">
        <v>390</v>
      </c>
      <c r="B24">
        <f>B18/B11</f>
        <v>0.3724568257129528</v>
      </c>
      <c r="C24" s="19">
        <f>B24*10^6</f>
        <v>372456.82571295282</v>
      </c>
      <c r="D24" s="19">
        <f>C24/About!$A$77</f>
        <v>332550.73724370782</v>
      </c>
      <c r="E24" s="19">
        <f>D24*About!$A$78</f>
        <v>446050.3038649853</v>
      </c>
      <c r="F24" s="19">
        <f>E24/About!$A$79</f>
        <v>4.7060800478962028E-7</v>
      </c>
    </row>
    <row r="33" customForma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topLeftCell="A21" workbookViewId="0">
      <selection activeCell="D25" sqref="D25"/>
    </sheetView>
  </sheetViews>
  <sheetFormatPr defaultRowHeight="15" x14ac:dyDescent="0.25"/>
  <cols>
    <col min="1" max="1" width="27.5703125" customWidth="1"/>
    <col min="2" max="2" width="42.85546875" style="21" customWidth="1"/>
    <col min="3" max="3" width="22" customWidth="1"/>
    <col min="4" max="4" width="23.42578125" style="21" customWidth="1"/>
    <col min="5" max="5" width="20.140625" style="2" customWidth="1"/>
    <col min="6" max="6" width="17.42578125" customWidth="1"/>
  </cols>
  <sheetData>
    <row r="1" spans="1:6" x14ac:dyDescent="0.25">
      <c r="A1" t="s">
        <v>408</v>
      </c>
    </row>
    <row r="2" spans="1:6" x14ac:dyDescent="0.25">
      <c r="A2" t="s">
        <v>409</v>
      </c>
    </row>
    <row r="4" spans="1:6" x14ac:dyDescent="0.25">
      <c r="A4" t="s">
        <v>410</v>
      </c>
    </row>
    <row r="5" spans="1:6" x14ac:dyDescent="0.25">
      <c r="A5" s="51" t="s">
        <v>411</v>
      </c>
    </row>
    <row r="8" spans="1:6" x14ac:dyDescent="0.25">
      <c r="A8" s="5" t="s">
        <v>412</v>
      </c>
      <c r="B8" s="22" t="s">
        <v>413</v>
      </c>
      <c r="C8" s="5" t="s">
        <v>414</v>
      </c>
      <c r="D8" s="22" t="s">
        <v>415</v>
      </c>
      <c r="E8" s="23" t="s">
        <v>416</v>
      </c>
      <c r="F8" s="5" t="s">
        <v>417</v>
      </c>
    </row>
    <row r="9" spans="1:6" ht="30" x14ac:dyDescent="0.25">
      <c r="A9" t="s">
        <v>418</v>
      </c>
      <c r="B9" s="21" t="s">
        <v>419</v>
      </c>
      <c r="C9" t="s">
        <v>420</v>
      </c>
      <c r="D9" s="21" t="s">
        <v>421</v>
      </c>
      <c r="E9" s="2">
        <v>2019</v>
      </c>
      <c r="F9" s="51" t="s">
        <v>422</v>
      </c>
    </row>
    <row r="10" spans="1:6" x14ac:dyDescent="0.25">
      <c r="A10" t="s">
        <v>418</v>
      </c>
      <c r="B10" s="21" t="s">
        <v>423</v>
      </c>
      <c r="C10" t="s">
        <v>420</v>
      </c>
      <c r="D10" s="21" t="s">
        <v>424</v>
      </c>
      <c r="E10" s="20">
        <v>42840</v>
      </c>
      <c r="F10" t="s">
        <v>425</v>
      </c>
    </row>
    <row r="11" spans="1:6" x14ac:dyDescent="0.25">
      <c r="A11" t="s">
        <v>418</v>
      </c>
      <c r="B11" s="21" t="s">
        <v>426</v>
      </c>
      <c r="C11" t="s">
        <v>420</v>
      </c>
      <c r="D11" s="21" t="s">
        <v>427</v>
      </c>
      <c r="E11" s="20">
        <v>42405</v>
      </c>
      <c r="F11" t="s">
        <v>428</v>
      </c>
    </row>
    <row r="12" spans="1:6" x14ac:dyDescent="0.25">
      <c r="A12" t="s">
        <v>429</v>
      </c>
      <c r="B12" s="21" t="s">
        <v>430</v>
      </c>
      <c r="C12" t="s">
        <v>420</v>
      </c>
      <c r="D12" s="21" t="s">
        <v>431</v>
      </c>
      <c r="E12" s="2" t="s">
        <v>432</v>
      </c>
      <c r="F12" t="s">
        <v>433</v>
      </c>
    </row>
    <row r="13" spans="1:6" x14ac:dyDescent="0.25">
      <c r="A13" t="s">
        <v>434</v>
      </c>
      <c r="B13" s="21" t="s">
        <v>435</v>
      </c>
      <c r="C13" t="s">
        <v>420</v>
      </c>
      <c r="D13" s="21" t="s">
        <v>436</v>
      </c>
      <c r="E13" s="20">
        <v>43220</v>
      </c>
      <c r="F13" t="s">
        <v>437</v>
      </c>
    </row>
    <row r="14" spans="1:6" ht="45" x14ac:dyDescent="0.25">
      <c r="A14" t="s">
        <v>438</v>
      </c>
      <c r="B14" s="21" t="s">
        <v>439</v>
      </c>
      <c r="C14" s="21" t="s">
        <v>440</v>
      </c>
      <c r="D14" s="21" t="s">
        <v>441</v>
      </c>
      <c r="E14" s="2" t="s">
        <v>432</v>
      </c>
      <c r="F14" t="s">
        <v>442</v>
      </c>
    </row>
    <row r="15" spans="1:6" x14ac:dyDescent="0.25">
      <c r="A15" t="s">
        <v>443</v>
      </c>
      <c r="B15" s="21" t="s">
        <v>444</v>
      </c>
    </row>
    <row r="16" spans="1:6" ht="30" x14ac:dyDescent="0.25">
      <c r="A16" t="s">
        <v>445</v>
      </c>
      <c r="B16" s="21" t="s">
        <v>446</v>
      </c>
      <c r="C16" s="21" t="s">
        <v>447</v>
      </c>
      <c r="D16" s="21" t="s">
        <v>448</v>
      </c>
      <c r="E16" s="2" t="s">
        <v>432</v>
      </c>
      <c r="F16" t="s">
        <v>449</v>
      </c>
    </row>
    <row r="17" spans="1:6" x14ac:dyDescent="0.25">
      <c r="A17" t="s">
        <v>450</v>
      </c>
      <c r="B17" s="21" t="s">
        <v>444</v>
      </c>
    </row>
    <row r="18" spans="1:6" x14ac:dyDescent="0.25">
      <c r="A18" t="s">
        <v>451</v>
      </c>
      <c r="B18" s="21" t="s">
        <v>444</v>
      </c>
    </row>
    <row r="19" spans="1:6" ht="30" x14ac:dyDescent="0.25">
      <c r="A19" t="s">
        <v>452</v>
      </c>
      <c r="B19" s="21" t="s">
        <v>453</v>
      </c>
      <c r="C19" s="21" t="s">
        <v>454</v>
      </c>
      <c r="D19" t="s">
        <v>455</v>
      </c>
      <c r="E19" s="2">
        <v>2016</v>
      </c>
      <c r="F19" t="s">
        <v>456</v>
      </c>
    </row>
    <row r="20" spans="1:6" ht="30" x14ac:dyDescent="0.25">
      <c r="A20" t="s">
        <v>452</v>
      </c>
      <c r="B20" s="21" t="s">
        <v>457</v>
      </c>
      <c r="C20" s="21" t="s">
        <v>458</v>
      </c>
      <c r="D20" t="s">
        <v>455</v>
      </c>
      <c r="E20" s="20">
        <v>43070</v>
      </c>
      <c r="F20" t="s">
        <v>459</v>
      </c>
    </row>
    <row r="21" spans="1:6" x14ac:dyDescent="0.25">
      <c r="A21" t="s">
        <v>460</v>
      </c>
      <c r="B21" s="21" t="s">
        <v>444</v>
      </c>
      <c r="C21" s="21"/>
    </row>
    <row r="22" spans="1:6" ht="30" x14ac:dyDescent="0.25">
      <c r="A22" t="s">
        <v>461</v>
      </c>
      <c r="B22" s="21" t="s">
        <v>462</v>
      </c>
      <c r="C22" s="21" t="s">
        <v>463</v>
      </c>
      <c r="D22" s="21" t="s">
        <v>464</v>
      </c>
      <c r="E22" s="2" t="s">
        <v>432</v>
      </c>
      <c r="F22" t="s">
        <v>465</v>
      </c>
    </row>
    <row r="23" spans="1:6" ht="30" x14ac:dyDescent="0.25">
      <c r="A23" t="s">
        <v>461</v>
      </c>
      <c r="B23" s="21" t="s">
        <v>466</v>
      </c>
      <c r="C23" s="21" t="s">
        <v>467</v>
      </c>
      <c r="D23" s="21" t="s">
        <v>468</v>
      </c>
      <c r="E23" s="20">
        <v>43190</v>
      </c>
      <c r="F23" t="s">
        <v>469</v>
      </c>
    </row>
    <row r="24" spans="1:6" ht="30" x14ac:dyDescent="0.25">
      <c r="A24" t="s">
        <v>470</v>
      </c>
      <c r="B24" s="21" t="s">
        <v>471</v>
      </c>
      <c r="C24" s="21" t="s">
        <v>472</v>
      </c>
      <c r="D24" s="21" t="s">
        <v>473</v>
      </c>
      <c r="E24" s="2" t="s">
        <v>432</v>
      </c>
      <c r="F24" t="s">
        <v>474</v>
      </c>
    </row>
    <row r="25" spans="1:6" x14ac:dyDescent="0.25">
      <c r="A25" t="s">
        <v>470</v>
      </c>
      <c r="B25" s="21" t="s">
        <v>475</v>
      </c>
      <c r="C25" s="21" t="s">
        <v>476</v>
      </c>
      <c r="D25" s="21" t="s">
        <v>477</v>
      </c>
      <c r="E25" s="2" t="s">
        <v>478</v>
      </c>
      <c r="F25" t="s">
        <v>479</v>
      </c>
    </row>
    <row r="26" spans="1:6" x14ac:dyDescent="0.25">
      <c r="A26" t="s">
        <v>470</v>
      </c>
      <c r="B26" s="21" t="s">
        <v>480</v>
      </c>
      <c r="C26" t="s">
        <v>481</v>
      </c>
      <c r="D26" s="21" t="s">
        <v>482</v>
      </c>
      <c r="E26" s="20">
        <v>43434</v>
      </c>
      <c r="F26" t="s">
        <v>483</v>
      </c>
    </row>
    <row r="27" spans="1:6" ht="45" x14ac:dyDescent="0.25">
      <c r="A27" t="s">
        <v>484</v>
      </c>
      <c r="B27" s="21" t="s">
        <v>485</v>
      </c>
      <c r="C27" s="21" t="s">
        <v>486</v>
      </c>
      <c r="D27" s="21" t="s">
        <v>487</v>
      </c>
      <c r="E27" s="2" t="s">
        <v>432</v>
      </c>
      <c r="F27" t="s">
        <v>488</v>
      </c>
    </row>
    <row r="28" spans="1:6" ht="45" x14ac:dyDescent="0.25">
      <c r="A28" t="s">
        <v>484</v>
      </c>
      <c r="B28" s="21" t="s">
        <v>489</v>
      </c>
      <c r="C28" s="21" t="s">
        <v>490</v>
      </c>
      <c r="D28" s="21" t="s">
        <v>491</v>
      </c>
      <c r="E28" s="2" t="s">
        <v>432</v>
      </c>
      <c r="F28" t="s">
        <v>492</v>
      </c>
    </row>
    <row r="29" spans="1:6" ht="30" x14ac:dyDescent="0.25">
      <c r="A29" t="s">
        <v>484</v>
      </c>
      <c r="B29" s="21" t="s">
        <v>493</v>
      </c>
      <c r="C29" s="21" t="s">
        <v>494</v>
      </c>
      <c r="D29" s="21" t="s">
        <v>495</v>
      </c>
      <c r="E29" s="2" t="s">
        <v>432</v>
      </c>
      <c r="F29" t="s">
        <v>496</v>
      </c>
    </row>
  </sheetData>
  <hyperlinks>
    <hyperlink ref="A5" r:id="rId1" xr:uid="{BB876B50-922B-4678-9CC1-E0CA7F46FC8A}"/>
    <hyperlink ref="F9" r:id="rId2" xr:uid="{537C2346-2001-4C68-BD7F-F0DA68F4265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0AB3C-2D11-48D0-BB97-58712B139AAD}">
  <dimension ref="A1:AU159"/>
  <sheetViews>
    <sheetView topLeftCell="A125" workbookViewId="0">
      <selection activeCell="F48" sqref="F48"/>
    </sheetView>
  </sheetViews>
  <sheetFormatPr defaultColWidth="8.7109375" defaultRowHeight="15" x14ac:dyDescent="0.25"/>
  <cols>
    <col min="1" max="16384" width="8.7109375" style="13"/>
  </cols>
  <sheetData>
    <row r="1" spans="1:47" ht="21" x14ac:dyDescent="0.35">
      <c r="A1" s="15" t="s">
        <v>323</v>
      </c>
    </row>
    <row r="2" spans="1:47" ht="21" x14ac:dyDescent="0.35">
      <c r="A2" s="15" t="s">
        <v>497</v>
      </c>
    </row>
    <row r="3" spans="1:47" ht="21" x14ac:dyDescent="0.35">
      <c r="A3" s="15" t="s">
        <v>325</v>
      </c>
    </row>
    <row r="4" spans="1:47" ht="21" x14ac:dyDescent="0.35">
      <c r="A4" s="15" t="s">
        <v>498</v>
      </c>
    </row>
    <row r="7" spans="1:47" ht="18.75" x14ac:dyDescent="0.3">
      <c r="A7" s="14" t="s">
        <v>499</v>
      </c>
    </row>
    <row r="8" spans="1:4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25">
      <c r="A9" s="13" t="s">
        <v>500</v>
      </c>
      <c r="B9" s="13">
        <v>358380.79999999999</v>
      </c>
      <c r="C9" s="13">
        <v>349124.5</v>
      </c>
      <c r="D9" s="13">
        <v>363798.5</v>
      </c>
      <c r="E9" s="13">
        <v>373817.3</v>
      </c>
      <c r="F9" s="13">
        <v>365011.8</v>
      </c>
      <c r="G9" s="13">
        <v>347937.5</v>
      </c>
      <c r="H9" s="13">
        <v>371953.2</v>
      </c>
      <c r="I9" s="13">
        <v>375760.2</v>
      </c>
      <c r="J9" s="13">
        <v>387396.2</v>
      </c>
      <c r="K9" s="13">
        <v>378786.2</v>
      </c>
      <c r="L9" s="13">
        <v>378498.4</v>
      </c>
      <c r="M9" s="13">
        <v>381710.1</v>
      </c>
      <c r="N9" s="13">
        <v>390771.5</v>
      </c>
      <c r="O9" s="13">
        <v>382163.9</v>
      </c>
      <c r="P9" s="13">
        <v>375998.3</v>
      </c>
      <c r="Q9" s="13">
        <v>386156.5</v>
      </c>
      <c r="R9" s="13">
        <v>392952.2</v>
      </c>
      <c r="S9" s="13">
        <v>414009.7</v>
      </c>
      <c r="T9" s="13">
        <v>419884.79999999999</v>
      </c>
      <c r="U9" s="13">
        <v>420564</v>
      </c>
      <c r="V9" s="13">
        <v>426253.5</v>
      </c>
      <c r="W9" s="13">
        <v>426438</v>
      </c>
      <c r="X9" s="13">
        <v>426601.5</v>
      </c>
      <c r="Y9" s="13">
        <v>426631.5</v>
      </c>
      <c r="Z9" s="13">
        <v>426216.6</v>
      </c>
      <c r="AA9" s="13">
        <v>434736.9</v>
      </c>
      <c r="AB9" s="13">
        <v>435601.5</v>
      </c>
      <c r="AC9" s="13">
        <v>435569.8</v>
      </c>
      <c r="AD9" s="13">
        <v>435924.3</v>
      </c>
      <c r="AE9" s="13">
        <v>437012.9</v>
      </c>
      <c r="AF9" s="13">
        <v>437761.2</v>
      </c>
      <c r="AG9" s="13">
        <v>439366.8</v>
      </c>
      <c r="AH9" s="13">
        <v>440272.5</v>
      </c>
      <c r="AI9" s="13">
        <v>440771.5</v>
      </c>
      <c r="AJ9" s="13">
        <v>441186.3</v>
      </c>
      <c r="AK9" s="13">
        <v>441464.6</v>
      </c>
      <c r="AL9" s="13">
        <v>442329.7</v>
      </c>
      <c r="AM9" s="13">
        <v>442987.3</v>
      </c>
      <c r="AN9" s="13">
        <v>443420.1</v>
      </c>
      <c r="AO9" s="13">
        <v>443696.5</v>
      </c>
      <c r="AP9" s="13">
        <v>444111.5</v>
      </c>
      <c r="AQ9" s="13">
        <v>444504.2</v>
      </c>
      <c r="AR9" s="13">
        <v>445041.1</v>
      </c>
      <c r="AS9" s="13">
        <v>445453.3</v>
      </c>
      <c r="AT9" s="13">
        <v>445232.7</v>
      </c>
      <c r="AU9" s="13">
        <v>446455.8</v>
      </c>
    </row>
    <row r="10" spans="1:47" x14ac:dyDescent="0.25">
      <c r="A10" s="13" t="s">
        <v>501</v>
      </c>
      <c r="B10" s="13">
        <v>1453.41</v>
      </c>
      <c r="C10" s="13">
        <v>2529.41</v>
      </c>
      <c r="D10" s="13">
        <v>3683.41</v>
      </c>
      <c r="E10" s="13">
        <v>4715.4399999999996</v>
      </c>
      <c r="F10" s="13">
        <v>7031.23</v>
      </c>
      <c r="G10" s="13">
        <v>8354.23</v>
      </c>
      <c r="H10" s="13">
        <v>11622.99</v>
      </c>
      <c r="I10" s="13">
        <v>13716.78</v>
      </c>
      <c r="J10" s="13">
        <v>17544.740000000002</v>
      </c>
      <c r="K10" s="13">
        <v>21484.5</v>
      </c>
      <c r="L10" s="13">
        <v>26692.57</v>
      </c>
      <c r="M10" s="13">
        <v>30624</v>
      </c>
      <c r="N10" s="13">
        <v>31197</v>
      </c>
      <c r="O10" s="13">
        <v>32814.01</v>
      </c>
      <c r="P10" s="13">
        <v>32333</v>
      </c>
      <c r="Q10" s="13">
        <v>35393.519999999997</v>
      </c>
      <c r="R10" s="13">
        <v>37205.53</v>
      </c>
      <c r="S10" s="13">
        <v>48919.51</v>
      </c>
      <c r="T10" s="13">
        <v>49031.61</v>
      </c>
      <c r="U10" s="13">
        <v>52057.91</v>
      </c>
      <c r="V10" s="13">
        <v>54360.89</v>
      </c>
      <c r="W10" s="13">
        <v>54962.97</v>
      </c>
      <c r="X10" s="13">
        <v>62089.04</v>
      </c>
      <c r="Y10" s="13">
        <v>65911.72</v>
      </c>
      <c r="Z10" s="13">
        <v>70643.33</v>
      </c>
      <c r="AA10" s="13">
        <v>79872.47</v>
      </c>
      <c r="AB10" s="13">
        <v>86951.15</v>
      </c>
      <c r="AC10" s="13">
        <v>93863.48</v>
      </c>
      <c r="AD10" s="13">
        <v>94757.65</v>
      </c>
      <c r="AE10" s="13">
        <v>96735.03</v>
      </c>
      <c r="AF10" s="13">
        <v>98444.02</v>
      </c>
      <c r="AG10" s="13">
        <v>101702.69</v>
      </c>
      <c r="AH10" s="13">
        <v>105080.85</v>
      </c>
      <c r="AI10" s="13">
        <v>112793.77</v>
      </c>
      <c r="AJ10" s="13">
        <v>116892.24</v>
      </c>
      <c r="AK10" s="13">
        <v>124088.41</v>
      </c>
      <c r="AL10" s="13">
        <v>129402.83</v>
      </c>
      <c r="AM10" s="13">
        <v>138717.12</v>
      </c>
      <c r="AN10" s="13">
        <v>144897.51999999999</v>
      </c>
      <c r="AO10" s="13">
        <v>155135.9</v>
      </c>
      <c r="AP10" s="13">
        <v>159912.82999999999</v>
      </c>
      <c r="AQ10" s="13">
        <v>169032.28</v>
      </c>
      <c r="AR10" s="13">
        <v>173414.12</v>
      </c>
      <c r="AS10" s="13">
        <v>180922.35</v>
      </c>
      <c r="AT10" s="13">
        <v>184784.68</v>
      </c>
      <c r="AU10" s="13">
        <v>188617.4</v>
      </c>
    </row>
    <row r="11" spans="1:47" x14ac:dyDescent="0.25">
      <c r="A11" s="13" t="s">
        <v>502</v>
      </c>
      <c r="B11" s="13">
        <v>6997.43</v>
      </c>
      <c r="C11" s="13">
        <v>7143.38</v>
      </c>
      <c r="D11" s="13">
        <v>6971.02</v>
      </c>
      <c r="E11" s="13">
        <v>6319.81</v>
      </c>
      <c r="F11" s="13">
        <v>6057.39</v>
      </c>
      <c r="G11" s="13">
        <v>8266.52</v>
      </c>
      <c r="H11" s="13">
        <v>8716.9</v>
      </c>
      <c r="I11" s="13">
        <v>9038.92</v>
      </c>
      <c r="J11" s="13">
        <v>9208.18</v>
      </c>
      <c r="K11" s="13">
        <v>11997.93</v>
      </c>
      <c r="L11" s="13">
        <v>8462.34</v>
      </c>
      <c r="M11" s="13">
        <v>10240.42</v>
      </c>
      <c r="N11" s="13">
        <v>6300.36</v>
      </c>
      <c r="O11" s="13">
        <v>9260.9699999999993</v>
      </c>
      <c r="P11" s="13">
        <v>8892.7199999999993</v>
      </c>
      <c r="Q11" s="13">
        <v>7758.32</v>
      </c>
      <c r="R11" s="13">
        <v>7918.38</v>
      </c>
      <c r="S11" s="13">
        <v>8085.39</v>
      </c>
      <c r="T11" s="13">
        <v>8145.5</v>
      </c>
      <c r="U11" s="13">
        <v>8172.13</v>
      </c>
      <c r="V11" s="13">
        <v>8203.73</v>
      </c>
      <c r="W11" s="13">
        <v>8229</v>
      </c>
      <c r="X11" s="13">
        <v>8180.23</v>
      </c>
      <c r="Y11" s="13">
        <v>8103.16</v>
      </c>
      <c r="Z11" s="13">
        <v>8045.48</v>
      </c>
      <c r="AA11" s="13">
        <v>7905.92</v>
      </c>
      <c r="AB11" s="13">
        <v>7834.53</v>
      </c>
      <c r="AC11" s="13">
        <v>7690.12</v>
      </c>
      <c r="AD11" s="13">
        <v>7689.75</v>
      </c>
      <c r="AE11" s="13">
        <v>7650.3</v>
      </c>
      <c r="AF11" s="13">
        <v>7634.06</v>
      </c>
      <c r="AG11" s="13">
        <v>7693.85</v>
      </c>
      <c r="AH11" s="13">
        <v>7715.96</v>
      </c>
      <c r="AI11" s="13">
        <v>7725.27</v>
      </c>
      <c r="AJ11" s="13">
        <v>7761.59</v>
      </c>
      <c r="AK11" s="13">
        <v>7755.49</v>
      </c>
      <c r="AL11" s="13">
        <v>7782.51</v>
      </c>
      <c r="AM11" s="13">
        <v>7774.67</v>
      </c>
      <c r="AN11" s="13">
        <v>7744.41</v>
      </c>
      <c r="AO11" s="13">
        <v>7721.08</v>
      </c>
      <c r="AP11" s="13">
        <v>7695.88</v>
      </c>
      <c r="AQ11" s="13">
        <v>7712.57</v>
      </c>
      <c r="AR11" s="13">
        <v>7701.84</v>
      </c>
      <c r="AS11" s="13">
        <v>7680.33</v>
      </c>
      <c r="AT11" s="13">
        <v>7670.09</v>
      </c>
      <c r="AU11" s="13">
        <v>7658.64</v>
      </c>
    </row>
    <row r="12" spans="1:47" x14ac:dyDescent="0.25">
      <c r="A12" s="13" t="s">
        <v>503</v>
      </c>
      <c r="B12" s="13">
        <v>0</v>
      </c>
      <c r="C12" s="13">
        <v>0</v>
      </c>
      <c r="D12" s="13">
        <v>0</v>
      </c>
      <c r="E12" s="13">
        <v>0</v>
      </c>
      <c r="F12" s="13">
        <v>5</v>
      </c>
      <c r="G12" s="13">
        <v>123</v>
      </c>
      <c r="H12" s="13">
        <v>398</v>
      </c>
      <c r="I12" s="13">
        <v>842</v>
      </c>
      <c r="J12" s="13">
        <v>1173</v>
      </c>
      <c r="K12" s="13">
        <v>1757.71</v>
      </c>
      <c r="L12" s="13">
        <v>1426</v>
      </c>
      <c r="M12" s="13">
        <v>1779</v>
      </c>
      <c r="N12" s="13">
        <v>2001</v>
      </c>
      <c r="O12" s="13">
        <v>2191</v>
      </c>
      <c r="P12" s="13">
        <v>2194</v>
      </c>
      <c r="Q12" s="13">
        <v>2254.11</v>
      </c>
      <c r="R12" s="13">
        <v>2590.5300000000002</v>
      </c>
      <c r="S12" s="13">
        <v>3479.48</v>
      </c>
      <c r="T12" s="13">
        <v>3729.67</v>
      </c>
      <c r="U12" s="13">
        <v>4101.3599999999997</v>
      </c>
      <c r="V12" s="13">
        <v>4339.71</v>
      </c>
      <c r="W12" s="13">
        <v>4948.63</v>
      </c>
      <c r="X12" s="13">
        <v>5294.32</v>
      </c>
      <c r="Y12" s="13">
        <v>5402.63</v>
      </c>
      <c r="Z12" s="13">
        <v>6775.5</v>
      </c>
      <c r="AA12" s="13">
        <v>7795.56</v>
      </c>
      <c r="AB12" s="13">
        <v>8732.41</v>
      </c>
      <c r="AC12" s="13">
        <v>9823.4699999999993</v>
      </c>
      <c r="AD12" s="13">
        <v>11227.58</v>
      </c>
      <c r="AE12" s="13">
        <v>12784.3</v>
      </c>
      <c r="AF12" s="13">
        <v>16546.830000000002</v>
      </c>
      <c r="AG12" s="13">
        <v>18243.05</v>
      </c>
      <c r="AH12" s="13">
        <v>20134.38</v>
      </c>
      <c r="AI12" s="13">
        <v>22116.59</v>
      </c>
      <c r="AJ12" s="13">
        <v>24421.73</v>
      </c>
      <c r="AK12" s="13">
        <v>28835.14</v>
      </c>
      <c r="AL12" s="13">
        <v>32492.45</v>
      </c>
      <c r="AM12" s="13">
        <v>36514.71</v>
      </c>
      <c r="AN12" s="13">
        <v>41164.5</v>
      </c>
      <c r="AO12" s="13">
        <v>45590.8</v>
      </c>
      <c r="AP12" s="13">
        <v>51145.22</v>
      </c>
      <c r="AQ12" s="13">
        <v>54488.5</v>
      </c>
      <c r="AR12" s="13">
        <v>56975.57</v>
      </c>
      <c r="AS12" s="13">
        <v>58937.9</v>
      </c>
      <c r="AT12" s="13">
        <v>60762.67</v>
      </c>
      <c r="AU12" s="13">
        <v>62179.97</v>
      </c>
    </row>
    <row r="13" spans="1:47" x14ac:dyDescent="0.25">
      <c r="A13" s="13" t="s">
        <v>504</v>
      </c>
      <c r="B13" s="13">
        <v>86668.58</v>
      </c>
      <c r="C13" s="13">
        <v>92144.58</v>
      </c>
      <c r="D13" s="13">
        <v>88190.58</v>
      </c>
      <c r="E13" s="13">
        <v>90585.23</v>
      </c>
      <c r="F13" s="13">
        <v>84992.27</v>
      </c>
      <c r="G13" s="13">
        <v>85526.59</v>
      </c>
      <c r="H13" s="13">
        <v>88291.22</v>
      </c>
      <c r="I13" s="13">
        <v>89487.62</v>
      </c>
      <c r="J13" s="13">
        <v>97581.99</v>
      </c>
      <c r="K13" s="13">
        <v>101207.8</v>
      </c>
      <c r="L13" s="13">
        <v>96045.98</v>
      </c>
      <c r="M13" s="13">
        <v>95687.01</v>
      </c>
      <c r="N13" s="13">
        <v>95565</v>
      </c>
      <c r="O13" s="13">
        <v>95029.01</v>
      </c>
      <c r="P13" s="13">
        <v>95470</v>
      </c>
      <c r="Q13" s="13">
        <v>83454.600000000006</v>
      </c>
      <c r="R13" s="13">
        <v>78636.44</v>
      </c>
      <c r="S13" s="13">
        <v>81051.16</v>
      </c>
      <c r="T13" s="13">
        <v>69916.27</v>
      </c>
      <c r="U13" s="13">
        <v>80287.199999999997</v>
      </c>
      <c r="V13" s="13">
        <v>73386.14</v>
      </c>
      <c r="W13" s="13">
        <v>68045.740000000005</v>
      </c>
      <c r="X13" s="13">
        <v>74340.98</v>
      </c>
      <c r="Y13" s="13">
        <v>80779.09</v>
      </c>
      <c r="Z13" s="13">
        <v>75834.09</v>
      </c>
      <c r="AA13" s="13">
        <v>82677.41</v>
      </c>
      <c r="AB13" s="13">
        <v>75980.73</v>
      </c>
      <c r="AC13" s="13">
        <v>82824.05</v>
      </c>
      <c r="AD13" s="13">
        <v>82864.78</v>
      </c>
      <c r="AE13" s="13">
        <v>89708.09</v>
      </c>
      <c r="AF13" s="13">
        <v>91531.05</v>
      </c>
      <c r="AG13" s="13">
        <v>91531.05</v>
      </c>
      <c r="AH13" s="13">
        <v>91572.66</v>
      </c>
      <c r="AI13" s="13">
        <v>91572.66</v>
      </c>
      <c r="AJ13" s="13">
        <v>91655.88</v>
      </c>
      <c r="AK13" s="13">
        <v>91822.32</v>
      </c>
      <c r="AL13" s="13">
        <v>87048.12</v>
      </c>
      <c r="AM13" s="13">
        <v>87214.55</v>
      </c>
      <c r="AN13" s="13">
        <v>87381</v>
      </c>
      <c r="AO13" s="13">
        <v>92942.27</v>
      </c>
      <c r="AP13" s="13">
        <v>93150.33</v>
      </c>
      <c r="AQ13" s="13">
        <v>93566.44</v>
      </c>
      <c r="AR13" s="13">
        <v>94398.65</v>
      </c>
      <c r="AS13" s="13">
        <v>95230.82</v>
      </c>
      <c r="AT13" s="13">
        <v>96063.03</v>
      </c>
      <c r="AU13" s="13">
        <v>96063.03</v>
      </c>
    </row>
    <row r="14" spans="1:47" x14ac:dyDescent="0.25">
      <c r="A14" s="13" t="s">
        <v>505</v>
      </c>
      <c r="B14" s="13">
        <v>97362.16</v>
      </c>
      <c r="C14" s="13">
        <v>92204.69</v>
      </c>
      <c r="D14" s="13">
        <v>97287.24</v>
      </c>
      <c r="E14" s="13">
        <v>91097.93</v>
      </c>
      <c r="F14" s="13">
        <v>76661.64</v>
      </c>
      <c r="G14" s="13">
        <v>71258.570000000007</v>
      </c>
      <c r="H14" s="13">
        <v>65177.45</v>
      </c>
      <c r="I14" s="13">
        <v>63091.11</v>
      </c>
      <c r="J14" s="13">
        <v>64779.21</v>
      </c>
      <c r="K14" s="13">
        <v>64238.38</v>
      </c>
      <c r="L14" s="13">
        <v>57142.41</v>
      </c>
      <c r="M14" s="13">
        <v>57243.38</v>
      </c>
      <c r="N14" s="13">
        <v>55265.55</v>
      </c>
      <c r="O14" s="13">
        <v>46520.81</v>
      </c>
      <c r="P14" s="13">
        <v>44038.21</v>
      </c>
      <c r="Q14" s="13">
        <v>31125.9</v>
      </c>
      <c r="R14" s="13">
        <v>35373.81</v>
      </c>
      <c r="S14" s="13">
        <v>19471.189999999999</v>
      </c>
      <c r="T14" s="13">
        <v>5484.64</v>
      </c>
      <c r="U14" s="13">
        <v>5565.84</v>
      </c>
      <c r="V14" s="13">
        <v>4949.22</v>
      </c>
      <c r="W14" s="13">
        <v>4771.3599999999997</v>
      </c>
      <c r="X14" s="13">
        <v>4351.34</v>
      </c>
      <c r="Y14" s="13">
        <v>3905.76</v>
      </c>
      <c r="Z14" s="13">
        <v>3916.5</v>
      </c>
      <c r="AA14" s="13">
        <v>3738.32</v>
      </c>
      <c r="AB14" s="13">
        <v>3737.32</v>
      </c>
      <c r="AC14" s="13">
        <v>2584.9299999999998</v>
      </c>
      <c r="AD14" s="13">
        <v>2627.06</v>
      </c>
      <c r="AE14" s="13">
        <v>2645</v>
      </c>
      <c r="AF14" s="13">
        <v>2456.0700000000002</v>
      </c>
      <c r="AG14" s="13">
        <v>2499.37</v>
      </c>
      <c r="AH14" s="13">
        <v>2532.17</v>
      </c>
      <c r="AI14" s="13">
        <v>2500.7800000000002</v>
      </c>
      <c r="AJ14" s="13">
        <v>2120.31</v>
      </c>
      <c r="AK14" s="13">
        <v>2074.75</v>
      </c>
      <c r="AL14" s="13">
        <v>104.48</v>
      </c>
      <c r="AM14" s="13">
        <v>99.27</v>
      </c>
      <c r="AN14" s="13">
        <v>99.59</v>
      </c>
      <c r="AO14" s="13">
        <v>94.46</v>
      </c>
      <c r="AP14" s="13">
        <v>94.46</v>
      </c>
      <c r="AQ14" s="13">
        <v>90.07</v>
      </c>
      <c r="AR14" s="13">
        <v>90.72</v>
      </c>
      <c r="AS14" s="13">
        <v>86.92</v>
      </c>
      <c r="AT14" s="13">
        <v>87.73</v>
      </c>
      <c r="AU14" s="13">
        <v>88.62</v>
      </c>
    </row>
    <row r="15" spans="1:47" x14ac:dyDescent="0.25">
      <c r="A15" s="13" t="s">
        <v>376</v>
      </c>
      <c r="B15" s="13">
        <v>40015.800000000003</v>
      </c>
      <c r="C15" s="13">
        <v>43057.99</v>
      </c>
      <c r="D15" s="13">
        <v>47278.59</v>
      </c>
      <c r="E15" s="13">
        <v>43912.88</v>
      </c>
      <c r="F15" s="13">
        <v>42619.74</v>
      </c>
      <c r="G15" s="13">
        <v>54093.18</v>
      </c>
      <c r="H15" s="13">
        <v>63514.07</v>
      </c>
      <c r="I15" s="13">
        <v>63899.03</v>
      </c>
      <c r="J15" s="13">
        <v>60403.56</v>
      </c>
      <c r="K15" s="13">
        <v>59038.3</v>
      </c>
      <c r="L15" s="13">
        <v>65743.649999999994</v>
      </c>
      <c r="M15" s="13">
        <v>63421.96</v>
      </c>
      <c r="N15" s="13">
        <v>62934.239999999998</v>
      </c>
      <c r="O15" s="13">
        <v>66979.59</v>
      </c>
      <c r="P15" s="13">
        <v>69561.62</v>
      </c>
      <c r="Q15" s="13">
        <v>74470.259999999995</v>
      </c>
      <c r="R15" s="13">
        <v>76989.41</v>
      </c>
      <c r="S15" s="13">
        <v>83922.45</v>
      </c>
      <c r="T15" s="13">
        <v>101916.1</v>
      </c>
      <c r="U15" s="13">
        <v>96186.95</v>
      </c>
      <c r="V15" s="13">
        <v>99728.41</v>
      </c>
      <c r="W15" s="13">
        <v>105182.5</v>
      </c>
      <c r="X15" s="13">
        <v>96821.06</v>
      </c>
      <c r="Y15" s="13">
        <v>93319.9</v>
      </c>
      <c r="Z15" s="13">
        <v>95666.85</v>
      </c>
      <c r="AA15" s="13">
        <v>88717.43</v>
      </c>
      <c r="AB15" s="13">
        <v>92233</v>
      </c>
      <c r="AC15" s="13">
        <v>85495.38</v>
      </c>
      <c r="AD15" s="13">
        <v>85813.2</v>
      </c>
      <c r="AE15" s="13">
        <v>82220.929999999993</v>
      </c>
      <c r="AF15" s="13">
        <v>81566.97</v>
      </c>
      <c r="AG15" s="13">
        <v>70336.41</v>
      </c>
      <c r="AH15" s="13">
        <v>70043.929999999993</v>
      </c>
      <c r="AI15" s="13">
        <v>68278.8</v>
      </c>
      <c r="AJ15" s="13">
        <v>68627.710000000006</v>
      </c>
      <c r="AK15" s="13">
        <v>67198.62</v>
      </c>
      <c r="AL15" s="13">
        <v>67266.27</v>
      </c>
      <c r="AM15" s="13">
        <v>67505.600000000006</v>
      </c>
      <c r="AN15" s="13">
        <v>68650.61</v>
      </c>
      <c r="AO15" s="13">
        <v>67873.7</v>
      </c>
      <c r="AP15" s="13">
        <v>68202.070000000007</v>
      </c>
      <c r="AQ15" s="13">
        <v>67896.58</v>
      </c>
      <c r="AR15" s="13">
        <v>68472.27</v>
      </c>
      <c r="AS15" s="13">
        <v>68041.429999999993</v>
      </c>
      <c r="AT15" s="13">
        <v>68614.28</v>
      </c>
      <c r="AU15" s="13">
        <v>69154.7</v>
      </c>
    </row>
    <row r="16" spans="1:47" x14ac:dyDescent="0.25">
      <c r="A16" s="13" t="s">
        <v>70</v>
      </c>
      <c r="B16" s="13">
        <v>8193.9599999999991</v>
      </c>
      <c r="C16" s="13">
        <v>7877.58</v>
      </c>
      <c r="D16" s="13">
        <v>8776.76</v>
      </c>
      <c r="E16" s="13">
        <v>6929.51</v>
      </c>
      <c r="F16" s="13">
        <v>7336.52</v>
      </c>
      <c r="G16" s="13">
        <v>5187.67</v>
      </c>
      <c r="H16" s="13">
        <v>4561.87</v>
      </c>
      <c r="I16" s="13">
        <v>4271.87</v>
      </c>
      <c r="J16" s="13">
        <v>4071.33</v>
      </c>
      <c r="K16" s="13">
        <v>6616.76</v>
      </c>
      <c r="L16" s="13">
        <v>5266.72</v>
      </c>
      <c r="M16" s="13">
        <v>5087.45</v>
      </c>
      <c r="N16" s="13">
        <v>4150.07</v>
      </c>
      <c r="O16" s="13">
        <v>4189.29</v>
      </c>
      <c r="P16" s="13">
        <v>3719.72</v>
      </c>
      <c r="Q16" s="13">
        <v>3511.56</v>
      </c>
      <c r="R16" s="13">
        <v>3358.75</v>
      </c>
      <c r="S16" s="13">
        <v>3196.07</v>
      </c>
      <c r="T16" s="13">
        <v>3370.57</v>
      </c>
      <c r="U16" s="13">
        <v>2789.51</v>
      </c>
      <c r="V16" s="13">
        <v>3529.05</v>
      </c>
      <c r="W16" s="13">
        <v>6677.83</v>
      </c>
      <c r="X16" s="13">
        <v>4558.28</v>
      </c>
      <c r="Y16" s="13">
        <v>3428.4</v>
      </c>
      <c r="Z16" s="13">
        <v>5989.77</v>
      </c>
      <c r="AA16" s="13">
        <v>2608.0500000000002</v>
      </c>
      <c r="AB16" s="13">
        <v>7298.25</v>
      </c>
      <c r="AC16" s="13">
        <v>4931.9799999999996</v>
      </c>
      <c r="AD16" s="13">
        <v>5902.13</v>
      </c>
      <c r="AE16" s="13">
        <v>4773.99</v>
      </c>
      <c r="AF16" s="13">
        <v>4550.53</v>
      </c>
      <c r="AG16" s="13">
        <v>6077.36</v>
      </c>
      <c r="AH16" s="13">
        <v>5635.85</v>
      </c>
      <c r="AI16" s="13">
        <v>5525.19</v>
      </c>
      <c r="AJ16" s="13">
        <v>5859.8</v>
      </c>
      <c r="AK16" s="13">
        <v>5233.6099999999997</v>
      </c>
      <c r="AL16" s="13">
        <v>7917.99</v>
      </c>
      <c r="AM16" s="13">
        <v>5884.44</v>
      </c>
      <c r="AN16" s="13">
        <v>6604.3</v>
      </c>
      <c r="AO16" s="13">
        <v>4278.4799999999996</v>
      </c>
      <c r="AP16" s="13">
        <v>4863.5600000000004</v>
      </c>
      <c r="AQ16" s="13">
        <v>4581.3</v>
      </c>
      <c r="AR16" s="13">
        <v>4987.6499999999996</v>
      </c>
      <c r="AS16" s="13">
        <v>4371.99</v>
      </c>
      <c r="AT16" s="13">
        <v>4825.29</v>
      </c>
      <c r="AU16" s="13">
        <v>5720.7</v>
      </c>
    </row>
    <row r="18" spans="1:47" ht="18.75" x14ac:dyDescent="0.3">
      <c r="A18" s="14" t="s">
        <v>443</v>
      </c>
    </row>
    <row r="19" spans="1:47" x14ac:dyDescent="0.25">
      <c r="A19" s="13" t="s">
        <v>328</v>
      </c>
      <c r="B19" s="13" t="s">
        <v>329</v>
      </c>
      <c r="C19" s="13" t="s">
        <v>330</v>
      </c>
      <c r="D19" s="13" t="s">
        <v>331</v>
      </c>
      <c r="E19" s="13" t="s">
        <v>332</v>
      </c>
      <c r="F19" s="13" t="s">
        <v>333</v>
      </c>
      <c r="G19" s="13" t="s">
        <v>334</v>
      </c>
      <c r="H19" s="13" t="s">
        <v>335</v>
      </c>
      <c r="I19" s="13" t="s">
        <v>336</v>
      </c>
      <c r="J19" s="13" t="s">
        <v>337</v>
      </c>
      <c r="K19" s="13" t="s">
        <v>338</v>
      </c>
      <c r="L19" s="13" t="s">
        <v>339</v>
      </c>
      <c r="M19" s="13" t="s">
        <v>340</v>
      </c>
      <c r="N19" s="13" t="s">
        <v>341</v>
      </c>
      <c r="O19" s="13" t="s">
        <v>342</v>
      </c>
      <c r="P19" s="13" t="s">
        <v>343</v>
      </c>
      <c r="Q19" s="13" t="s">
        <v>344</v>
      </c>
      <c r="R19" s="13" t="s">
        <v>345</v>
      </c>
      <c r="S19" s="13" t="s">
        <v>346</v>
      </c>
      <c r="T19" s="13" t="s">
        <v>347</v>
      </c>
      <c r="U19" s="13" t="s">
        <v>348</v>
      </c>
      <c r="V19" s="13" t="s">
        <v>349</v>
      </c>
      <c r="W19" s="13" t="s">
        <v>350</v>
      </c>
      <c r="X19" s="13" t="s">
        <v>351</v>
      </c>
      <c r="Y19" s="13" t="s">
        <v>352</v>
      </c>
      <c r="Z19" s="13" t="s">
        <v>353</v>
      </c>
      <c r="AA19" s="13" t="s">
        <v>354</v>
      </c>
      <c r="AB19" s="13" t="s">
        <v>355</v>
      </c>
      <c r="AC19" s="13" t="s">
        <v>356</v>
      </c>
      <c r="AD19" s="13" t="s">
        <v>357</v>
      </c>
      <c r="AE19" s="13" t="s">
        <v>358</v>
      </c>
      <c r="AF19" s="13" t="s">
        <v>359</v>
      </c>
      <c r="AG19" s="13" t="s">
        <v>360</v>
      </c>
      <c r="AH19" s="13" t="s">
        <v>361</v>
      </c>
      <c r="AI19" s="13" t="s">
        <v>362</v>
      </c>
      <c r="AJ19" s="13" t="s">
        <v>363</v>
      </c>
      <c r="AK19" s="13" t="s">
        <v>364</v>
      </c>
      <c r="AL19" s="13" t="s">
        <v>365</v>
      </c>
      <c r="AM19" s="13" t="s">
        <v>366</v>
      </c>
      <c r="AN19" s="13" t="s">
        <v>367</v>
      </c>
      <c r="AO19" s="13" t="s">
        <v>368</v>
      </c>
      <c r="AP19" s="13" t="s">
        <v>369</v>
      </c>
      <c r="AQ19" s="13" t="s">
        <v>370</v>
      </c>
      <c r="AR19" s="13" t="s">
        <v>371</v>
      </c>
      <c r="AS19" s="13" t="s">
        <v>372</v>
      </c>
      <c r="AT19" s="13" t="s">
        <v>373</v>
      </c>
      <c r="AU19" s="13" t="s">
        <v>374</v>
      </c>
    </row>
    <row r="20" spans="1:47" x14ac:dyDescent="0.25">
      <c r="A20" s="13" t="s">
        <v>500</v>
      </c>
      <c r="B20" s="13">
        <v>40741.370000000003</v>
      </c>
      <c r="C20" s="13">
        <v>41953.37</v>
      </c>
      <c r="D20" s="13">
        <v>40291.379999999997</v>
      </c>
      <c r="E20" s="13">
        <v>41897.25</v>
      </c>
      <c r="F20" s="13">
        <v>36728</v>
      </c>
      <c r="G20" s="13">
        <v>40286.800000000003</v>
      </c>
      <c r="H20" s="13">
        <v>40033.370000000003</v>
      </c>
      <c r="I20" s="13">
        <v>42202.52</v>
      </c>
      <c r="J20" s="13">
        <v>41441.68</v>
      </c>
      <c r="K20" s="13">
        <v>39047.83</v>
      </c>
      <c r="L20" s="13">
        <v>39686</v>
      </c>
      <c r="M20" s="13">
        <v>39482.99</v>
      </c>
      <c r="N20" s="13">
        <v>36548</v>
      </c>
      <c r="O20" s="13">
        <v>41831</v>
      </c>
      <c r="P20" s="13">
        <v>40798</v>
      </c>
      <c r="Q20" s="13">
        <v>44285.91</v>
      </c>
      <c r="R20" s="13">
        <v>50459.12</v>
      </c>
      <c r="S20" s="13">
        <v>51302.94</v>
      </c>
      <c r="T20" s="13">
        <v>51450.95</v>
      </c>
      <c r="U20" s="13">
        <v>51596.33</v>
      </c>
      <c r="V20" s="13">
        <v>51687.53</v>
      </c>
      <c r="W20" s="13">
        <v>51766.57</v>
      </c>
      <c r="X20" s="13">
        <v>51847.05</v>
      </c>
      <c r="Y20" s="13">
        <v>52209.73</v>
      </c>
      <c r="Z20" s="13">
        <v>52221</v>
      </c>
      <c r="AA20" s="13">
        <v>52233.74</v>
      </c>
      <c r="AB20" s="13">
        <v>52247.11</v>
      </c>
      <c r="AC20" s="13">
        <v>52260.72</v>
      </c>
      <c r="AD20" s="13">
        <v>52273.37</v>
      </c>
      <c r="AE20" s="13">
        <v>52285.32</v>
      </c>
      <c r="AF20" s="13">
        <v>52368.24</v>
      </c>
      <c r="AG20" s="13">
        <v>52433.39</v>
      </c>
      <c r="AH20" s="13">
        <v>52442.84</v>
      </c>
      <c r="AI20" s="13">
        <v>52449.65</v>
      </c>
      <c r="AJ20" s="13">
        <v>52447.73</v>
      </c>
      <c r="AK20" s="13">
        <v>52450.65</v>
      </c>
      <c r="AL20" s="13">
        <v>52451.59</v>
      </c>
      <c r="AM20" s="13">
        <v>52454.57</v>
      </c>
      <c r="AN20" s="13">
        <v>52458.66</v>
      </c>
      <c r="AO20" s="13">
        <v>52458.86</v>
      </c>
      <c r="AP20" s="13">
        <v>52458.86</v>
      </c>
      <c r="AQ20" s="13">
        <v>52458.83</v>
      </c>
      <c r="AR20" s="13">
        <v>52458.85</v>
      </c>
      <c r="AS20" s="13">
        <v>52458.8</v>
      </c>
      <c r="AT20" s="13">
        <v>52458.82</v>
      </c>
      <c r="AU20" s="13">
        <v>52458.85</v>
      </c>
    </row>
    <row r="21" spans="1:47" x14ac:dyDescent="0.25">
      <c r="A21" s="13" t="s">
        <v>501</v>
      </c>
      <c r="B21" s="13">
        <v>0</v>
      </c>
      <c r="C21" s="13">
        <v>0</v>
      </c>
      <c r="D21" s="13">
        <v>0</v>
      </c>
      <c r="E21" s="13">
        <v>0</v>
      </c>
      <c r="F21" s="13">
        <v>102</v>
      </c>
      <c r="G21" s="13">
        <v>183</v>
      </c>
      <c r="H21" s="13">
        <v>198</v>
      </c>
      <c r="I21" s="13">
        <v>195</v>
      </c>
      <c r="J21" s="13">
        <v>192</v>
      </c>
      <c r="K21" s="13">
        <v>176.96</v>
      </c>
      <c r="L21" s="13">
        <v>172</v>
      </c>
      <c r="M21" s="13">
        <v>190</v>
      </c>
      <c r="N21" s="13">
        <v>186</v>
      </c>
      <c r="O21" s="13">
        <v>206</v>
      </c>
      <c r="P21" s="13">
        <v>182</v>
      </c>
      <c r="Q21" s="13">
        <v>181.8</v>
      </c>
      <c r="R21" s="13">
        <v>181.83</v>
      </c>
      <c r="S21" s="13">
        <v>181.91</v>
      </c>
      <c r="T21" s="13">
        <v>181.92</v>
      </c>
      <c r="U21" s="13">
        <v>181.93</v>
      </c>
      <c r="V21" s="13">
        <v>181.94</v>
      </c>
      <c r="W21" s="13">
        <v>182</v>
      </c>
      <c r="X21" s="13">
        <v>182.01</v>
      </c>
      <c r="Y21" s="13">
        <v>182.09</v>
      </c>
      <c r="Z21" s="13">
        <v>182.15</v>
      </c>
      <c r="AA21" s="13">
        <v>183.78</v>
      </c>
      <c r="AB21" s="13">
        <v>185.55</v>
      </c>
      <c r="AC21" s="13">
        <v>187.48</v>
      </c>
      <c r="AD21" s="13">
        <v>189.59</v>
      </c>
      <c r="AE21" s="13">
        <v>192.37</v>
      </c>
      <c r="AF21" s="13">
        <v>215.04</v>
      </c>
      <c r="AG21" s="13">
        <v>228.5</v>
      </c>
      <c r="AH21" s="13">
        <v>244.79</v>
      </c>
      <c r="AI21" s="13">
        <v>261.79000000000002</v>
      </c>
      <c r="AJ21" s="13">
        <v>285.81</v>
      </c>
      <c r="AK21" s="13">
        <v>319.58999999999997</v>
      </c>
      <c r="AL21" s="13">
        <v>371.08</v>
      </c>
      <c r="AM21" s="13">
        <v>442.3</v>
      </c>
      <c r="AN21" s="13">
        <v>536.27</v>
      </c>
      <c r="AO21" s="13">
        <v>643.33000000000004</v>
      </c>
      <c r="AP21" s="13">
        <v>759.27</v>
      </c>
      <c r="AQ21" s="13">
        <v>860.06</v>
      </c>
      <c r="AR21" s="13">
        <v>917.13</v>
      </c>
      <c r="AS21" s="13">
        <v>945.68</v>
      </c>
      <c r="AT21" s="13">
        <v>967.35</v>
      </c>
      <c r="AU21" s="13">
        <v>982.55</v>
      </c>
    </row>
    <row r="22" spans="1:47" x14ac:dyDescent="0.25">
      <c r="A22" s="13" t="s">
        <v>502</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row>
    <row r="23" spans="1:47" x14ac:dyDescent="0.25">
      <c r="A23" s="13" t="s">
        <v>503</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row>
    <row r="24" spans="1:47" x14ac:dyDescent="0.25">
      <c r="A24" s="13" t="s">
        <v>504</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row>
    <row r="25" spans="1:47" x14ac:dyDescent="0.25">
      <c r="A25" s="13" t="s">
        <v>505</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row>
    <row r="26" spans="1:47" x14ac:dyDescent="0.25">
      <c r="A26" s="13" t="s">
        <v>376</v>
      </c>
      <c r="B26" s="13">
        <v>267.07</v>
      </c>
      <c r="C26" s="13">
        <v>277.82</v>
      </c>
      <c r="D26" s="13">
        <v>236.77</v>
      </c>
      <c r="E26" s="13">
        <v>456.94</v>
      </c>
      <c r="F26" s="13">
        <v>447.62</v>
      </c>
      <c r="G26" s="13">
        <v>454.97</v>
      </c>
      <c r="H26" s="13">
        <v>449.29</v>
      </c>
      <c r="I26" s="13">
        <v>418.8</v>
      </c>
      <c r="J26" s="13">
        <v>444.36</v>
      </c>
      <c r="K26" s="13">
        <v>416.68</v>
      </c>
      <c r="L26" s="13">
        <v>225.22</v>
      </c>
      <c r="M26" s="13">
        <v>265.72000000000003</v>
      </c>
      <c r="N26" s="13">
        <v>391.17</v>
      </c>
      <c r="O26" s="13">
        <v>113.27</v>
      </c>
      <c r="P26" s="13">
        <v>263.31</v>
      </c>
      <c r="Q26" s="13">
        <v>398.28</v>
      </c>
      <c r="R26" s="13">
        <v>413.95</v>
      </c>
      <c r="S26" s="13">
        <v>452.33</v>
      </c>
      <c r="T26" s="13">
        <v>458.89</v>
      </c>
      <c r="U26" s="13">
        <v>516.14</v>
      </c>
      <c r="V26" s="13">
        <v>555.08000000000004</v>
      </c>
      <c r="W26" s="13">
        <v>595.08000000000004</v>
      </c>
      <c r="X26" s="13">
        <v>630.86</v>
      </c>
      <c r="Y26" s="13">
        <v>341.65</v>
      </c>
      <c r="Z26" s="13">
        <v>350.7</v>
      </c>
      <c r="AA26" s="13">
        <v>361.93</v>
      </c>
      <c r="AB26" s="13">
        <v>370.79</v>
      </c>
      <c r="AC26" s="13">
        <v>385.85</v>
      </c>
      <c r="AD26" s="13">
        <v>403.13</v>
      </c>
      <c r="AE26" s="13">
        <v>422.53</v>
      </c>
      <c r="AF26" s="13">
        <v>488.69</v>
      </c>
      <c r="AG26" s="13">
        <v>560.97</v>
      </c>
      <c r="AH26" s="13">
        <v>566.85</v>
      </c>
      <c r="AI26" s="13">
        <v>569.88</v>
      </c>
      <c r="AJ26" s="13">
        <v>566.48</v>
      </c>
      <c r="AK26" s="13">
        <v>579.49</v>
      </c>
      <c r="AL26" s="13">
        <v>610.58000000000004</v>
      </c>
      <c r="AM26" s="13">
        <v>657.46</v>
      </c>
      <c r="AN26" s="13">
        <v>748.67</v>
      </c>
      <c r="AO26" s="13">
        <v>858.39</v>
      </c>
      <c r="AP26" s="13">
        <v>1003.78</v>
      </c>
      <c r="AQ26" s="13">
        <v>1145.1400000000001</v>
      </c>
      <c r="AR26" s="13">
        <v>1243.72</v>
      </c>
      <c r="AS26" s="13">
        <v>1317.47</v>
      </c>
      <c r="AT26" s="13">
        <v>1380.75</v>
      </c>
      <c r="AU26" s="13">
        <v>1413.07</v>
      </c>
    </row>
    <row r="27" spans="1:47" x14ac:dyDescent="0.25">
      <c r="A27" s="13" t="s">
        <v>70</v>
      </c>
      <c r="B27" s="13">
        <v>1306.21</v>
      </c>
      <c r="C27" s="13">
        <v>823.06</v>
      </c>
      <c r="D27" s="13">
        <v>1305.52</v>
      </c>
      <c r="E27" s="13">
        <v>1139.06</v>
      </c>
      <c r="F27" s="13">
        <v>1121.5899999999999</v>
      </c>
      <c r="G27" s="13">
        <v>1017.23</v>
      </c>
      <c r="H27" s="13">
        <v>1039.3599999999999</v>
      </c>
      <c r="I27" s="13">
        <v>998.93</v>
      </c>
      <c r="J27" s="13">
        <v>1179.72</v>
      </c>
      <c r="K27" s="13">
        <v>1595.16</v>
      </c>
      <c r="L27" s="13">
        <v>1669.78</v>
      </c>
      <c r="M27" s="13">
        <v>1909.28</v>
      </c>
      <c r="N27" s="13">
        <v>1778.83</v>
      </c>
      <c r="O27" s="13">
        <v>1483.73</v>
      </c>
      <c r="P27" s="13">
        <v>1450.69</v>
      </c>
      <c r="Q27" s="13">
        <v>926.58</v>
      </c>
      <c r="R27" s="13">
        <v>884.98</v>
      </c>
      <c r="S27" s="13">
        <v>183.79</v>
      </c>
      <c r="T27" s="13">
        <v>182.88</v>
      </c>
      <c r="U27" s="13">
        <v>184.15</v>
      </c>
      <c r="V27" s="13">
        <v>184.94</v>
      </c>
      <c r="W27" s="13">
        <v>211.07</v>
      </c>
      <c r="X27" s="13">
        <v>188.64</v>
      </c>
      <c r="Y27" s="13">
        <v>190.04</v>
      </c>
      <c r="Z27" s="13">
        <v>215.06</v>
      </c>
      <c r="AA27" s="13">
        <v>189.72</v>
      </c>
      <c r="AB27" s="13">
        <v>240.78</v>
      </c>
      <c r="AC27" s="13">
        <v>221.96</v>
      </c>
      <c r="AD27" s="13">
        <v>268.66000000000003</v>
      </c>
      <c r="AE27" s="13">
        <v>227.23</v>
      </c>
      <c r="AF27" s="13">
        <v>340.15</v>
      </c>
      <c r="AG27" s="13">
        <v>191.32</v>
      </c>
      <c r="AH27" s="13">
        <v>219.22</v>
      </c>
      <c r="AI27" s="13">
        <v>191.44</v>
      </c>
      <c r="AJ27" s="13">
        <v>204.18</v>
      </c>
      <c r="AK27" s="13">
        <v>190.3</v>
      </c>
      <c r="AL27" s="13">
        <v>220.29</v>
      </c>
      <c r="AM27" s="13">
        <v>185.71</v>
      </c>
      <c r="AN27" s="13">
        <v>190.24</v>
      </c>
      <c r="AO27" s="13">
        <v>191.16</v>
      </c>
      <c r="AP27" s="13">
        <v>194.79</v>
      </c>
      <c r="AQ27" s="13">
        <v>191.76</v>
      </c>
      <c r="AR27" s="13">
        <v>191.16</v>
      </c>
      <c r="AS27" s="13">
        <v>190.61</v>
      </c>
      <c r="AT27" s="13">
        <v>190.04</v>
      </c>
      <c r="AU27" s="13">
        <v>189.45</v>
      </c>
    </row>
    <row r="29" spans="1:47" ht="18.75" x14ac:dyDescent="0.3">
      <c r="A29" s="14" t="s">
        <v>460</v>
      </c>
    </row>
    <row r="30" spans="1:47" x14ac:dyDescent="0.25">
      <c r="A30" s="13" t="s">
        <v>328</v>
      </c>
      <c r="B30" s="13" t="s">
        <v>329</v>
      </c>
      <c r="C30" s="13" t="s">
        <v>330</v>
      </c>
      <c r="D30" s="13" t="s">
        <v>331</v>
      </c>
      <c r="E30" s="13" t="s">
        <v>332</v>
      </c>
      <c r="F30" s="13" t="s">
        <v>333</v>
      </c>
      <c r="G30" s="13" t="s">
        <v>334</v>
      </c>
      <c r="H30" s="13" t="s">
        <v>335</v>
      </c>
      <c r="I30" s="13" t="s">
        <v>336</v>
      </c>
      <c r="J30" s="13" t="s">
        <v>337</v>
      </c>
      <c r="K30" s="13" t="s">
        <v>338</v>
      </c>
      <c r="L30" s="13" t="s">
        <v>339</v>
      </c>
      <c r="M30" s="13" t="s">
        <v>340</v>
      </c>
      <c r="N30" s="13" t="s">
        <v>341</v>
      </c>
      <c r="O30" s="13" t="s">
        <v>342</v>
      </c>
      <c r="P30" s="13" t="s">
        <v>343</v>
      </c>
      <c r="Q30" s="13" t="s">
        <v>344</v>
      </c>
      <c r="R30" s="13" t="s">
        <v>345</v>
      </c>
      <c r="S30" s="13" t="s">
        <v>346</v>
      </c>
      <c r="T30" s="13" t="s">
        <v>347</v>
      </c>
      <c r="U30" s="13" t="s">
        <v>348</v>
      </c>
      <c r="V30" s="13" t="s">
        <v>349</v>
      </c>
      <c r="W30" s="13" t="s">
        <v>350</v>
      </c>
      <c r="X30" s="13" t="s">
        <v>351</v>
      </c>
      <c r="Y30" s="13" t="s">
        <v>352</v>
      </c>
      <c r="Z30" s="13" t="s">
        <v>353</v>
      </c>
      <c r="AA30" s="13" t="s">
        <v>354</v>
      </c>
      <c r="AB30" s="13" t="s">
        <v>355</v>
      </c>
      <c r="AC30" s="13" t="s">
        <v>356</v>
      </c>
      <c r="AD30" s="13" t="s">
        <v>357</v>
      </c>
      <c r="AE30" s="13" t="s">
        <v>358</v>
      </c>
      <c r="AF30" s="13" t="s">
        <v>359</v>
      </c>
      <c r="AG30" s="13" t="s">
        <v>360</v>
      </c>
      <c r="AH30" s="13" t="s">
        <v>361</v>
      </c>
      <c r="AI30" s="13" t="s">
        <v>362</v>
      </c>
      <c r="AJ30" s="13" t="s">
        <v>363</v>
      </c>
      <c r="AK30" s="13" t="s">
        <v>364</v>
      </c>
      <c r="AL30" s="13" t="s">
        <v>365</v>
      </c>
      <c r="AM30" s="13" t="s">
        <v>366</v>
      </c>
      <c r="AN30" s="13" t="s">
        <v>367</v>
      </c>
      <c r="AO30" s="13" t="s">
        <v>368</v>
      </c>
      <c r="AP30" s="13" t="s">
        <v>369</v>
      </c>
      <c r="AQ30" s="13" t="s">
        <v>370</v>
      </c>
      <c r="AR30" s="13" t="s">
        <v>371</v>
      </c>
      <c r="AS30" s="13" t="s">
        <v>372</v>
      </c>
      <c r="AT30" s="13" t="s">
        <v>373</v>
      </c>
      <c r="AU30" s="13" t="s">
        <v>374</v>
      </c>
    </row>
    <row r="31" spans="1:47" x14ac:dyDescent="0.25">
      <c r="A31" s="13" t="s">
        <v>500</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row>
    <row r="32" spans="1:47" x14ac:dyDescent="0.25">
      <c r="A32" s="13" t="s">
        <v>501</v>
      </c>
      <c r="B32" s="13">
        <v>40</v>
      </c>
      <c r="C32" s="13">
        <v>36</v>
      </c>
      <c r="D32" s="13">
        <v>40</v>
      </c>
      <c r="E32" s="13">
        <v>142</v>
      </c>
      <c r="F32" s="13">
        <v>347</v>
      </c>
      <c r="G32" s="13">
        <v>458</v>
      </c>
      <c r="H32" s="13">
        <v>488</v>
      </c>
      <c r="I32" s="13">
        <v>468</v>
      </c>
      <c r="J32" s="13">
        <v>499</v>
      </c>
      <c r="K32" s="13">
        <v>611.28</v>
      </c>
      <c r="L32" s="13">
        <v>606</v>
      </c>
      <c r="M32" s="13">
        <v>594</v>
      </c>
      <c r="N32" s="13">
        <v>604</v>
      </c>
      <c r="O32" s="13">
        <v>640</v>
      </c>
      <c r="P32" s="13">
        <v>645</v>
      </c>
      <c r="Q32" s="13">
        <v>677.27</v>
      </c>
      <c r="R32" s="13">
        <v>940.07</v>
      </c>
      <c r="S32" s="13">
        <v>940.02</v>
      </c>
      <c r="T32" s="13">
        <v>947.11</v>
      </c>
      <c r="U32" s="13">
        <v>955.04</v>
      </c>
      <c r="V32" s="13">
        <v>1226.21</v>
      </c>
      <c r="W32" s="13">
        <v>1234.8699999999999</v>
      </c>
      <c r="X32" s="13">
        <v>1243.9100000000001</v>
      </c>
      <c r="Y32" s="13">
        <v>1253.1300000000001</v>
      </c>
      <c r="Z32" s="13">
        <v>1262.74</v>
      </c>
      <c r="AA32" s="13">
        <v>1539.39</v>
      </c>
      <c r="AB32" s="13">
        <v>1553.64</v>
      </c>
      <c r="AC32" s="13">
        <v>1568.21</v>
      </c>
      <c r="AD32" s="13">
        <v>1583.18</v>
      </c>
      <c r="AE32" s="13">
        <v>1598.55</v>
      </c>
      <c r="AF32" s="13">
        <v>1614.34</v>
      </c>
      <c r="AG32" s="13">
        <v>1630.47</v>
      </c>
      <c r="AH32" s="13">
        <v>1646.86</v>
      </c>
      <c r="AI32" s="13">
        <v>1663.7</v>
      </c>
      <c r="AJ32" s="13">
        <v>1680.8</v>
      </c>
      <c r="AK32" s="13">
        <v>1698.19</v>
      </c>
      <c r="AL32" s="13">
        <v>1715.94</v>
      </c>
      <c r="AM32" s="13">
        <v>1733.89</v>
      </c>
      <c r="AN32" s="13">
        <v>1752.17</v>
      </c>
      <c r="AO32" s="13">
        <v>1770.74</v>
      </c>
      <c r="AP32" s="13">
        <v>1789.25</v>
      </c>
      <c r="AQ32" s="13">
        <v>1807.9</v>
      </c>
      <c r="AR32" s="13">
        <v>1826.81</v>
      </c>
      <c r="AS32" s="13">
        <v>1846.04</v>
      </c>
      <c r="AT32" s="13">
        <v>1865.54</v>
      </c>
      <c r="AU32" s="13">
        <v>1885.59</v>
      </c>
    </row>
    <row r="33" spans="1:47" x14ac:dyDescent="0.25">
      <c r="A33" s="13" t="s">
        <v>502</v>
      </c>
      <c r="B33" s="13">
        <v>0</v>
      </c>
      <c r="C33" s="13">
        <v>0</v>
      </c>
      <c r="D33" s="13">
        <v>0</v>
      </c>
      <c r="E33" s="13">
        <v>5</v>
      </c>
      <c r="F33" s="13">
        <v>5</v>
      </c>
      <c r="G33" s="13">
        <v>5</v>
      </c>
      <c r="H33" s="13">
        <v>5</v>
      </c>
      <c r="I33" s="13">
        <v>5</v>
      </c>
      <c r="J33" s="13">
        <v>5</v>
      </c>
      <c r="K33" s="13">
        <v>2.5</v>
      </c>
      <c r="L33" s="13">
        <v>3</v>
      </c>
      <c r="M33" s="13">
        <v>3</v>
      </c>
      <c r="N33" s="13">
        <v>2</v>
      </c>
      <c r="O33" s="13">
        <v>2</v>
      </c>
      <c r="P33" s="13">
        <v>3</v>
      </c>
      <c r="Q33" s="13">
        <v>3</v>
      </c>
      <c r="R33" s="13">
        <v>3</v>
      </c>
      <c r="S33" s="13">
        <v>3</v>
      </c>
      <c r="T33" s="13">
        <v>3</v>
      </c>
      <c r="U33" s="13">
        <v>3.53</v>
      </c>
      <c r="V33" s="13">
        <v>3.53</v>
      </c>
      <c r="W33" s="13">
        <v>3.53</v>
      </c>
      <c r="X33" s="13">
        <v>3.53</v>
      </c>
      <c r="Y33" s="13">
        <v>3.53</v>
      </c>
      <c r="Z33" s="13">
        <v>3.53</v>
      </c>
      <c r="AA33" s="13">
        <v>3.53</v>
      </c>
      <c r="AB33" s="13">
        <v>3.53</v>
      </c>
      <c r="AC33" s="13">
        <v>3.53</v>
      </c>
      <c r="AD33" s="13">
        <v>3.53</v>
      </c>
      <c r="AE33" s="13">
        <v>3.53</v>
      </c>
      <c r="AF33" s="13">
        <v>3.53</v>
      </c>
      <c r="AG33" s="13">
        <v>3.53</v>
      </c>
      <c r="AH33" s="13">
        <v>3.53</v>
      </c>
      <c r="AI33" s="13">
        <v>3.53</v>
      </c>
      <c r="AJ33" s="13">
        <v>3.53</v>
      </c>
      <c r="AK33" s="13">
        <v>3.53</v>
      </c>
      <c r="AL33" s="13">
        <v>3.53</v>
      </c>
      <c r="AM33" s="13">
        <v>3.53</v>
      </c>
      <c r="AN33" s="13">
        <v>3.53</v>
      </c>
      <c r="AO33" s="13">
        <v>3.53</v>
      </c>
      <c r="AP33" s="13">
        <v>3.53</v>
      </c>
      <c r="AQ33" s="13">
        <v>4.49</v>
      </c>
      <c r="AR33" s="13">
        <v>4.49</v>
      </c>
      <c r="AS33" s="13">
        <v>4.49</v>
      </c>
      <c r="AT33" s="13">
        <v>4.49</v>
      </c>
      <c r="AU33" s="13">
        <v>4.49</v>
      </c>
    </row>
    <row r="34" spans="1:47" x14ac:dyDescent="0.25">
      <c r="A34" s="13"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3.65</v>
      </c>
      <c r="T34" s="13">
        <v>3.65</v>
      </c>
      <c r="U34" s="13">
        <v>7.98</v>
      </c>
      <c r="V34" s="13">
        <v>12.49</v>
      </c>
      <c r="W34" s="13">
        <v>17.149999999999999</v>
      </c>
      <c r="X34" s="13">
        <v>21.95</v>
      </c>
      <c r="Y34" s="13">
        <v>26.92</v>
      </c>
      <c r="Z34" s="13">
        <v>32.03</v>
      </c>
      <c r="AA34" s="13">
        <v>37.270000000000003</v>
      </c>
      <c r="AB34" s="13">
        <v>42.65</v>
      </c>
      <c r="AC34" s="13">
        <v>48.13</v>
      </c>
      <c r="AD34" s="13">
        <v>53.76</v>
      </c>
      <c r="AE34" s="13">
        <v>59.49</v>
      </c>
      <c r="AF34" s="13">
        <v>65.34</v>
      </c>
      <c r="AG34" s="13">
        <v>71.28</v>
      </c>
      <c r="AH34" s="13">
        <v>77.319999999999993</v>
      </c>
      <c r="AI34" s="13">
        <v>83.44</v>
      </c>
      <c r="AJ34" s="13">
        <v>89.63</v>
      </c>
      <c r="AK34" s="13">
        <v>95.9</v>
      </c>
      <c r="AL34" s="13">
        <v>102.24</v>
      </c>
      <c r="AM34" s="13">
        <v>108.64</v>
      </c>
      <c r="AN34" s="13">
        <v>115.07</v>
      </c>
      <c r="AO34" s="13">
        <v>121.46</v>
      </c>
      <c r="AP34" s="13">
        <v>127.83</v>
      </c>
      <c r="AQ34" s="13">
        <v>134.22999999999999</v>
      </c>
      <c r="AR34" s="13">
        <v>140.72999999999999</v>
      </c>
      <c r="AS34" s="13">
        <v>147.25</v>
      </c>
      <c r="AT34" s="13">
        <v>153.86000000000001</v>
      </c>
      <c r="AU34" s="13">
        <v>160.61000000000001</v>
      </c>
    </row>
    <row r="35" spans="1:47" x14ac:dyDescent="0.25">
      <c r="A35" s="13" t="s">
        <v>504</v>
      </c>
      <c r="B35" s="13">
        <v>0</v>
      </c>
      <c r="C35" s="13">
        <v>0</v>
      </c>
      <c r="D35" s="13">
        <v>0</v>
      </c>
      <c r="E35" s="13">
        <v>0</v>
      </c>
      <c r="F35" s="13">
        <v>0</v>
      </c>
      <c r="G35" s="13">
        <v>0</v>
      </c>
      <c r="H35" s="13">
        <v>0</v>
      </c>
      <c r="I35" s="13">
        <v>0</v>
      </c>
      <c r="J35" s="13">
        <v>0</v>
      </c>
      <c r="K35" s="13">
        <v>0</v>
      </c>
      <c r="L35" s="13">
        <v>0</v>
      </c>
      <c r="M35" s="13">
        <v>0</v>
      </c>
      <c r="N35" s="13">
        <v>0</v>
      </c>
      <c r="O35" s="13">
        <v>0</v>
      </c>
      <c r="P35" s="13">
        <v>0</v>
      </c>
      <c r="Q35" s="13">
        <v>0</v>
      </c>
      <c r="R35" s="13">
        <v>0</v>
      </c>
      <c r="S35" s="13">
        <v>0</v>
      </c>
      <c r="T35" s="13">
        <v>0</v>
      </c>
      <c r="U35" s="13">
        <v>0</v>
      </c>
      <c r="V35" s="13">
        <v>0</v>
      </c>
      <c r="W35" s="13">
        <v>0</v>
      </c>
      <c r="X35" s="13">
        <v>0</v>
      </c>
      <c r="Y35" s="13">
        <v>0</v>
      </c>
      <c r="Z35" s="13">
        <v>0</v>
      </c>
      <c r="AA35" s="13">
        <v>0</v>
      </c>
      <c r="AB35" s="13">
        <v>0</v>
      </c>
      <c r="AC35" s="13">
        <v>0</v>
      </c>
      <c r="AD35" s="13">
        <v>0</v>
      </c>
      <c r="AE35" s="13">
        <v>0</v>
      </c>
      <c r="AF35" s="13">
        <v>0</v>
      </c>
      <c r="AG35" s="13">
        <v>0</v>
      </c>
      <c r="AH35" s="13">
        <v>0</v>
      </c>
      <c r="AI35" s="13">
        <v>0</v>
      </c>
      <c r="AJ35" s="13">
        <v>0</v>
      </c>
      <c r="AK35" s="13">
        <v>0</v>
      </c>
      <c r="AL35" s="13">
        <v>0</v>
      </c>
      <c r="AM35" s="13">
        <v>0</v>
      </c>
      <c r="AN35" s="13">
        <v>0</v>
      </c>
      <c r="AO35" s="13">
        <v>0</v>
      </c>
      <c r="AP35" s="13">
        <v>0</v>
      </c>
      <c r="AQ35" s="13">
        <v>0</v>
      </c>
      <c r="AR35" s="13">
        <v>0</v>
      </c>
      <c r="AS35" s="13">
        <v>0</v>
      </c>
      <c r="AT35" s="13">
        <v>0</v>
      </c>
      <c r="AU35" s="13">
        <v>0</v>
      </c>
    </row>
    <row r="36" spans="1:47" x14ac:dyDescent="0.25">
      <c r="A36" s="13" t="s">
        <v>505</v>
      </c>
      <c r="B36" s="13">
        <v>0</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X36" s="13">
        <v>0</v>
      </c>
      <c r="Y36" s="13">
        <v>0</v>
      </c>
      <c r="Z36" s="13">
        <v>0</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row>
    <row r="37" spans="1:47" x14ac:dyDescent="0.25">
      <c r="A37" s="13" t="s">
        <v>376</v>
      </c>
      <c r="B37" s="13">
        <v>0</v>
      </c>
      <c r="C37" s="13">
        <v>0</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row>
    <row r="38" spans="1:47" x14ac:dyDescent="0.25">
      <c r="A38" s="13" t="s">
        <v>70</v>
      </c>
      <c r="B38" s="13">
        <v>0.88</v>
      </c>
      <c r="C38" s="13">
        <v>0.88</v>
      </c>
      <c r="D38" s="13">
        <v>0.88</v>
      </c>
      <c r="E38" s="13">
        <v>0.48</v>
      </c>
      <c r="F38" s="13">
        <v>2.72</v>
      </c>
      <c r="G38" s="13">
        <v>0</v>
      </c>
      <c r="H38" s="13">
        <v>0</v>
      </c>
      <c r="I38" s="13">
        <v>8.16</v>
      </c>
      <c r="J38" s="13">
        <v>2.17</v>
      </c>
      <c r="K38" s="13">
        <v>5.8</v>
      </c>
      <c r="L38" s="13">
        <v>7</v>
      </c>
      <c r="M38" s="13">
        <v>7</v>
      </c>
      <c r="N38" s="13">
        <v>7</v>
      </c>
      <c r="O38" s="13">
        <v>6</v>
      </c>
      <c r="P38" s="13">
        <v>3</v>
      </c>
      <c r="Q38" s="13">
        <v>18.79</v>
      </c>
      <c r="R38" s="13">
        <v>18.79</v>
      </c>
      <c r="S38" s="13">
        <v>48.27</v>
      </c>
      <c r="T38" s="13">
        <v>27.62</v>
      </c>
      <c r="U38" s="13">
        <v>27.62</v>
      </c>
      <c r="V38" s="13">
        <v>18.95</v>
      </c>
      <c r="W38" s="13">
        <v>53.14</v>
      </c>
      <c r="X38" s="13">
        <v>18.79</v>
      </c>
      <c r="Y38" s="13">
        <v>17.809999999999999</v>
      </c>
      <c r="Z38" s="13">
        <v>17.829999999999998</v>
      </c>
      <c r="AA38" s="13">
        <v>9.7799999999999994</v>
      </c>
      <c r="AB38" s="13">
        <v>45.33</v>
      </c>
      <c r="AC38" s="13">
        <v>45.33</v>
      </c>
      <c r="AD38" s="13">
        <v>39.78</v>
      </c>
      <c r="AE38" s="13">
        <v>9.9499999999999993</v>
      </c>
      <c r="AF38" s="13">
        <v>28.75</v>
      </c>
      <c r="AG38" s="13">
        <v>1.1000000000000001</v>
      </c>
      <c r="AH38" s="13">
        <v>1.1000000000000001</v>
      </c>
      <c r="AI38" s="13">
        <v>1.1000000000000001</v>
      </c>
      <c r="AJ38" s="13">
        <v>1.1000000000000001</v>
      </c>
      <c r="AK38" s="13">
        <v>1.1000000000000001</v>
      </c>
      <c r="AL38" s="13">
        <v>485.2</v>
      </c>
      <c r="AM38" s="13">
        <v>339.03</v>
      </c>
      <c r="AN38" s="13">
        <v>342</v>
      </c>
      <c r="AO38" s="13">
        <v>45.15</v>
      </c>
      <c r="AP38" s="13">
        <v>48.27</v>
      </c>
      <c r="AQ38" s="13">
        <v>48.27</v>
      </c>
      <c r="AR38" s="13">
        <v>48.27</v>
      </c>
      <c r="AS38" s="13">
        <v>48.27</v>
      </c>
      <c r="AT38" s="13">
        <v>48.27</v>
      </c>
      <c r="AU38" s="13">
        <v>48.27</v>
      </c>
    </row>
    <row r="40" spans="1:47" ht="18.75" x14ac:dyDescent="0.3">
      <c r="A40" s="14" t="s">
        <v>450</v>
      </c>
    </row>
    <row r="41" spans="1:47" x14ac:dyDescent="0.25">
      <c r="A41" s="13" t="s">
        <v>328</v>
      </c>
      <c r="B41" s="13" t="s">
        <v>329</v>
      </c>
      <c r="C41" s="13" t="s">
        <v>330</v>
      </c>
      <c r="D41" s="13" t="s">
        <v>331</v>
      </c>
      <c r="E41" s="13" t="s">
        <v>332</v>
      </c>
      <c r="F41" s="13" t="s">
        <v>333</v>
      </c>
      <c r="G41" s="13" t="s">
        <v>334</v>
      </c>
      <c r="H41" s="13" t="s">
        <v>335</v>
      </c>
      <c r="I41" s="13" t="s">
        <v>336</v>
      </c>
      <c r="J41" s="13" t="s">
        <v>337</v>
      </c>
      <c r="K41" s="13" t="s">
        <v>338</v>
      </c>
      <c r="L41" s="13" t="s">
        <v>339</v>
      </c>
      <c r="M41" s="13" t="s">
        <v>340</v>
      </c>
      <c r="N41" s="13" t="s">
        <v>341</v>
      </c>
      <c r="O41" s="13" t="s">
        <v>342</v>
      </c>
      <c r="P41" s="13" t="s">
        <v>343</v>
      </c>
      <c r="Q41" s="13" t="s">
        <v>344</v>
      </c>
      <c r="R41" s="13" t="s">
        <v>345</v>
      </c>
      <c r="S41" s="13" t="s">
        <v>346</v>
      </c>
      <c r="T41" s="13" t="s">
        <v>347</v>
      </c>
      <c r="U41" s="13" t="s">
        <v>348</v>
      </c>
      <c r="V41" s="13" t="s">
        <v>349</v>
      </c>
      <c r="W41" s="13" t="s">
        <v>350</v>
      </c>
      <c r="X41" s="13" t="s">
        <v>351</v>
      </c>
      <c r="Y41" s="13" t="s">
        <v>352</v>
      </c>
      <c r="Z41" s="13" t="s">
        <v>353</v>
      </c>
      <c r="AA41" s="13" t="s">
        <v>354</v>
      </c>
      <c r="AB41" s="13" t="s">
        <v>355</v>
      </c>
      <c r="AC41" s="13" t="s">
        <v>356</v>
      </c>
      <c r="AD41" s="13" t="s">
        <v>357</v>
      </c>
      <c r="AE41" s="13" t="s">
        <v>358</v>
      </c>
      <c r="AF41" s="13" t="s">
        <v>359</v>
      </c>
      <c r="AG41" s="13" t="s">
        <v>360</v>
      </c>
      <c r="AH41" s="13" t="s">
        <v>361</v>
      </c>
      <c r="AI41" s="13" t="s">
        <v>362</v>
      </c>
      <c r="AJ41" s="13" t="s">
        <v>363</v>
      </c>
      <c r="AK41" s="13" t="s">
        <v>364</v>
      </c>
      <c r="AL41" s="13" t="s">
        <v>365</v>
      </c>
      <c r="AM41" s="13" t="s">
        <v>366</v>
      </c>
      <c r="AN41" s="13" t="s">
        <v>367</v>
      </c>
      <c r="AO41" s="13" t="s">
        <v>368</v>
      </c>
      <c r="AP41" s="13" t="s">
        <v>369</v>
      </c>
      <c r="AQ41" s="13" t="s">
        <v>370</v>
      </c>
      <c r="AR41" s="13" t="s">
        <v>371</v>
      </c>
      <c r="AS41" s="13" t="s">
        <v>372</v>
      </c>
      <c r="AT41" s="13" t="s">
        <v>373</v>
      </c>
      <c r="AU41" s="13" t="s">
        <v>374</v>
      </c>
    </row>
    <row r="42" spans="1:47" x14ac:dyDescent="0.25">
      <c r="A42" s="13" t="s">
        <v>500</v>
      </c>
      <c r="B42" s="13">
        <v>926.06</v>
      </c>
      <c r="C42" s="13">
        <v>926.06</v>
      </c>
      <c r="D42" s="13">
        <v>926.06</v>
      </c>
      <c r="E42" s="13">
        <v>1096.6600000000001</v>
      </c>
      <c r="F42" s="13">
        <v>1074.1400000000001</v>
      </c>
      <c r="G42" s="13">
        <v>1007.81</v>
      </c>
      <c r="H42" s="13">
        <v>1112.47</v>
      </c>
      <c r="I42" s="13">
        <v>851.5</v>
      </c>
      <c r="J42" s="13">
        <v>1005.76</v>
      </c>
      <c r="K42" s="13">
        <v>1128.69</v>
      </c>
      <c r="L42" s="13">
        <v>979.2</v>
      </c>
      <c r="M42" s="13">
        <v>779.28</v>
      </c>
      <c r="N42" s="13">
        <v>824.89</v>
      </c>
      <c r="O42" s="13">
        <v>910.29</v>
      </c>
      <c r="P42" s="13">
        <v>1001.52</v>
      </c>
      <c r="Q42" s="13">
        <v>1001.51</v>
      </c>
      <c r="R42" s="13">
        <v>1001.53</v>
      </c>
      <c r="S42" s="13">
        <v>1001.5</v>
      </c>
      <c r="T42" s="13">
        <v>1001.5</v>
      </c>
      <c r="U42" s="13">
        <v>1001.53</v>
      </c>
      <c r="V42" s="13">
        <v>1001.51</v>
      </c>
      <c r="W42" s="13">
        <v>1001.51</v>
      </c>
      <c r="X42" s="13">
        <v>1001.53</v>
      </c>
      <c r="Y42" s="13">
        <v>1001.53</v>
      </c>
      <c r="Z42" s="13">
        <v>1001.53</v>
      </c>
      <c r="AA42" s="13">
        <v>1001.52</v>
      </c>
      <c r="AB42" s="13">
        <v>1001.52</v>
      </c>
      <c r="AC42" s="13">
        <v>1001.5</v>
      </c>
      <c r="AD42" s="13">
        <v>1001.52</v>
      </c>
      <c r="AE42" s="13">
        <v>1001.51</v>
      </c>
      <c r="AF42" s="13">
        <v>1001.52</v>
      </c>
      <c r="AG42" s="13">
        <v>1001.51</v>
      </c>
      <c r="AH42" s="13">
        <v>1001.52</v>
      </c>
      <c r="AI42" s="13">
        <v>1001.52</v>
      </c>
      <c r="AJ42" s="13">
        <v>1001.51</v>
      </c>
      <c r="AK42" s="13">
        <v>1001.53</v>
      </c>
      <c r="AL42" s="13">
        <v>1001.52</v>
      </c>
      <c r="AM42" s="13">
        <v>1001.52</v>
      </c>
      <c r="AN42" s="13">
        <v>1001.52</v>
      </c>
      <c r="AO42" s="13">
        <v>1001.52</v>
      </c>
      <c r="AP42" s="13">
        <v>1001.52</v>
      </c>
      <c r="AQ42" s="13">
        <v>1054.08</v>
      </c>
      <c r="AR42" s="13">
        <v>1105.8499999999999</v>
      </c>
      <c r="AS42" s="13">
        <v>1157.18</v>
      </c>
      <c r="AT42" s="13">
        <v>1207.82</v>
      </c>
      <c r="AU42" s="13">
        <v>1207.82</v>
      </c>
    </row>
    <row r="43" spans="1:47" x14ac:dyDescent="0.25">
      <c r="A43" s="13" t="s">
        <v>501</v>
      </c>
      <c r="B43" s="13">
        <v>85</v>
      </c>
      <c r="C43" s="13">
        <v>110</v>
      </c>
      <c r="D43" s="13">
        <v>157</v>
      </c>
      <c r="E43" s="13">
        <v>149</v>
      </c>
      <c r="F43" s="13">
        <v>154</v>
      </c>
      <c r="G43" s="13">
        <v>387</v>
      </c>
      <c r="H43" s="13">
        <v>664.19</v>
      </c>
      <c r="I43" s="13">
        <v>800</v>
      </c>
      <c r="J43" s="13">
        <v>765</v>
      </c>
      <c r="K43" s="13">
        <v>748.68</v>
      </c>
      <c r="L43" s="13">
        <v>803.57</v>
      </c>
      <c r="M43" s="13">
        <v>999</v>
      </c>
      <c r="N43" s="13">
        <v>1309</v>
      </c>
      <c r="O43" s="13">
        <v>1153</v>
      </c>
      <c r="P43" s="13">
        <v>1057</v>
      </c>
      <c r="Q43" s="13">
        <v>1056.93</v>
      </c>
      <c r="R43" s="13">
        <v>1057.31</v>
      </c>
      <c r="S43" s="13">
        <v>1058.0999999999999</v>
      </c>
      <c r="T43" s="13">
        <v>1101.22</v>
      </c>
      <c r="U43" s="13">
        <v>1102.26</v>
      </c>
      <c r="V43" s="13">
        <v>1147.93</v>
      </c>
      <c r="W43" s="13">
        <v>1193.73</v>
      </c>
      <c r="X43" s="13">
        <v>1239.51</v>
      </c>
      <c r="Y43" s="13">
        <v>1285.7</v>
      </c>
      <c r="Z43" s="13">
        <v>1332.66</v>
      </c>
      <c r="AA43" s="13">
        <v>1418.81</v>
      </c>
      <c r="AB43" s="13">
        <v>1506.32</v>
      </c>
      <c r="AC43" s="13">
        <v>1595.13</v>
      </c>
      <c r="AD43" s="13">
        <v>1686.43</v>
      </c>
      <c r="AE43" s="13">
        <v>1779.67</v>
      </c>
      <c r="AF43" s="13">
        <v>1875.69</v>
      </c>
      <c r="AG43" s="13">
        <v>1925.17</v>
      </c>
      <c r="AH43" s="13">
        <v>1978.23</v>
      </c>
      <c r="AI43" s="13">
        <v>2084.0700000000002</v>
      </c>
      <c r="AJ43" s="13">
        <v>2200.23</v>
      </c>
      <c r="AK43" s="13">
        <v>2327.44</v>
      </c>
      <c r="AL43" s="13">
        <v>2459.5100000000002</v>
      </c>
      <c r="AM43" s="13">
        <v>2603.59</v>
      </c>
      <c r="AN43" s="13">
        <v>2754.38</v>
      </c>
      <c r="AO43" s="13">
        <v>2902.41</v>
      </c>
      <c r="AP43" s="13">
        <v>3041.06</v>
      </c>
      <c r="AQ43" s="13">
        <v>3233.53</v>
      </c>
      <c r="AR43" s="13">
        <v>3422.88</v>
      </c>
      <c r="AS43" s="13">
        <v>3615.59</v>
      </c>
      <c r="AT43" s="13">
        <v>3810.58</v>
      </c>
      <c r="AU43" s="13">
        <v>3954</v>
      </c>
    </row>
    <row r="44" spans="1:47" x14ac:dyDescent="0.25">
      <c r="A44" s="13" t="s">
        <v>502</v>
      </c>
      <c r="B44" s="13">
        <v>318</v>
      </c>
      <c r="C44" s="13">
        <v>318</v>
      </c>
      <c r="D44" s="13">
        <v>318</v>
      </c>
      <c r="E44" s="13">
        <v>322</v>
      </c>
      <c r="F44" s="13">
        <v>245</v>
      </c>
      <c r="G44" s="13">
        <v>378</v>
      </c>
      <c r="H44" s="13">
        <v>363</v>
      </c>
      <c r="I44" s="13">
        <v>387</v>
      </c>
      <c r="J44" s="13">
        <v>331</v>
      </c>
      <c r="K44" s="13">
        <v>253.9</v>
      </c>
      <c r="L44" s="13">
        <v>427</v>
      </c>
      <c r="M44" s="13">
        <v>395</v>
      </c>
      <c r="N44" s="13">
        <v>288</v>
      </c>
      <c r="O44" s="13">
        <v>487</v>
      </c>
      <c r="P44" s="13">
        <v>314</v>
      </c>
      <c r="Q44" s="13">
        <v>233.04</v>
      </c>
      <c r="R44" s="13">
        <v>265.93</v>
      </c>
      <c r="S44" s="13">
        <v>269.06</v>
      </c>
      <c r="T44" s="13">
        <v>265.93</v>
      </c>
      <c r="U44" s="13">
        <v>265.93</v>
      </c>
      <c r="V44" s="13">
        <v>264.62</v>
      </c>
      <c r="W44" s="13">
        <v>265.39</v>
      </c>
      <c r="X44" s="13">
        <v>265.93</v>
      </c>
      <c r="Y44" s="13">
        <v>264.06</v>
      </c>
      <c r="Z44" s="13">
        <v>264.06</v>
      </c>
      <c r="AA44" s="13">
        <v>264.06</v>
      </c>
      <c r="AB44" s="13">
        <v>264.06</v>
      </c>
      <c r="AC44" s="13">
        <v>210.35</v>
      </c>
      <c r="AD44" s="13">
        <v>210.35</v>
      </c>
      <c r="AE44" s="13">
        <v>210.35</v>
      </c>
      <c r="AF44" s="13">
        <v>210.35</v>
      </c>
      <c r="AG44" s="13">
        <v>210.35</v>
      </c>
      <c r="AH44" s="13">
        <v>210.35</v>
      </c>
      <c r="AI44" s="13">
        <v>210.35</v>
      </c>
      <c r="AJ44" s="13">
        <v>210.35</v>
      </c>
      <c r="AK44" s="13">
        <v>210.35</v>
      </c>
      <c r="AL44" s="13">
        <v>241.52</v>
      </c>
      <c r="AM44" s="13">
        <v>229.88</v>
      </c>
      <c r="AN44" s="13">
        <v>212.53</v>
      </c>
      <c r="AO44" s="13">
        <v>212.53</v>
      </c>
      <c r="AP44" s="13">
        <v>203.34</v>
      </c>
      <c r="AQ44" s="13">
        <v>195.92</v>
      </c>
      <c r="AR44" s="13">
        <v>196.96</v>
      </c>
      <c r="AS44" s="13">
        <v>198.8</v>
      </c>
      <c r="AT44" s="13">
        <v>200.63</v>
      </c>
      <c r="AU44" s="13">
        <v>200.63</v>
      </c>
    </row>
    <row r="45" spans="1:47" x14ac:dyDescent="0.25">
      <c r="A45" s="13" t="s">
        <v>503</v>
      </c>
      <c r="B45" s="13">
        <v>0</v>
      </c>
      <c r="C45" s="13">
        <v>0</v>
      </c>
      <c r="D45" s="13">
        <v>0</v>
      </c>
      <c r="E45" s="13">
        <v>0</v>
      </c>
      <c r="F45" s="13">
        <v>0</v>
      </c>
      <c r="G45" s="13">
        <v>0</v>
      </c>
      <c r="H45" s="13">
        <v>0</v>
      </c>
      <c r="I45" s="13">
        <v>0</v>
      </c>
      <c r="J45" s="13">
        <v>0</v>
      </c>
      <c r="K45" s="13">
        <v>0</v>
      </c>
      <c r="L45" s="13">
        <v>0</v>
      </c>
      <c r="M45" s="13">
        <v>0</v>
      </c>
      <c r="N45" s="13">
        <v>0</v>
      </c>
      <c r="O45" s="13">
        <v>0</v>
      </c>
      <c r="P45" s="13">
        <v>0</v>
      </c>
      <c r="Q45" s="13">
        <v>0</v>
      </c>
      <c r="R45" s="13">
        <v>0.22</v>
      </c>
      <c r="S45" s="13">
        <v>0.61</v>
      </c>
      <c r="T45" s="13">
        <v>1.03</v>
      </c>
      <c r="U45" s="13">
        <v>1.36</v>
      </c>
      <c r="V45" s="13">
        <v>1.78</v>
      </c>
      <c r="W45" s="13">
        <v>2.2200000000000002</v>
      </c>
      <c r="X45" s="13">
        <v>2.64</v>
      </c>
      <c r="Y45" s="13">
        <v>3.06</v>
      </c>
      <c r="Z45" s="13">
        <v>3.5</v>
      </c>
      <c r="AA45" s="13">
        <v>4</v>
      </c>
      <c r="AB45" s="13">
        <v>4.5599999999999996</v>
      </c>
      <c r="AC45" s="13">
        <v>5.84</v>
      </c>
      <c r="AD45" s="13">
        <v>7.2</v>
      </c>
      <c r="AE45" s="13">
        <v>26.8</v>
      </c>
      <c r="AF45" s="13">
        <v>28.92</v>
      </c>
      <c r="AG45" s="13">
        <v>31.78</v>
      </c>
      <c r="AH45" s="13">
        <v>35.590000000000003</v>
      </c>
      <c r="AI45" s="13">
        <v>58.67</v>
      </c>
      <c r="AJ45" s="13">
        <v>84.44</v>
      </c>
      <c r="AK45" s="13">
        <v>112.89</v>
      </c>
      <c r="AL45" s="13">
        <v>155.86000000000001</v>
      </c>
      <c r="AM45" s="13">
        <v>199.26</v>
      </c>
      <c r="AN45" s="13">
        <v>243.6</v>
      </c>
      <c r="AO45" s="13">
        <v>286.18</v>
      </c>
      <c r="AP45" s="13">
        <v>325.41000000000003</v>
      </c>
      <c r="AQ45" s="13">
        <v>362.55</v>
      </c>
      <c r="AR45" s="13">
        <v>400.36</v>
      </c>
      <c r="AS45" s="13">
        <v>441.67</v>
      </c>
      <c r="AT45" s="13">
        <v>485.07</v>
      </c>
      <c r="AU45" s="13">
        <v>528.46</v>
      </c>
    </row>
    <row r="46" spans="1:47" x14ac:dyDescent="0.25">
      <c r="A46" s="13" t="s">
        <v>504</v>
      </c>
      <c r="B46" s="13">
        <v>0</v>
      </c>
      <c r="C46" s="13">
        <v>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row>
    <row r="47" spans="1:47" x14ac:dyDescent="0.25">
      <c r="A47" s="13" t="s">
        <v>505</v>
      </c>
      <c r="B47" s="13">
        <v>8374.98</v>
      </c>
      <c r="C47" s="13">
        <v>8119.94</v>
      </c>
      <c r="D47" s="13">
        <v>8768.6299999999992</v>
      </c>
      <c r="E47" s="13">
        <v>8765.9699999999993</v>
      </c>
      <c r="F47" s="13">
        <v>7688.15</v>
      </c>
      <c r="G47" s="13">
        <v>7492.97</v>
      </c>
      <c r="H47" s="13">
        <v>6494.95</v>
      </c>
      <c r="I47" s="13">
        <v>6173.75</v>
      </c>
      <c r="J47" s="13">
        <v>6848.48</v>
      </c>
      <c r="K47" s="13">
        <v>5521.82</v>
      </c>
      <c r="L47" s="13">
        <v>4854.08</v>
      </c>
      <c r="M47" s="13">
        <v>4812.21</v>
      </c>
      <c r="N47" s="13">
        <v>4829.16</v>
      </c>
      <c r="O47" s="13">
        <v>4959.76</v>
      </c>
      <c r="P47" s="13">
        <v>4972.72</v>
      </c>
      <c r="Q47" s="13">
        <v>3725.57</v>
      </c>
      <c r="R47" s="13">
        <v>3842.88</v>
      </c>
      <c r="S47" s="13">
        <v>4108.59</v>
      </c>
      <c r="T47" s="13">
        <v>3869.49</v>
      </c>
      <c r="U47" s="13">
        <v>3950.68</v>
      </c>
      <c r="V47" s="13">
        <v>3334.07</v>
      </c>
      <c r="W47" s="13">
        <v>3378.63</v>
      </c>
      <c r="X47" s="13">
        <v>3380.7</v>
      </c>
      <c r="Y47" s="13">
        <v>3373.67</v>
      </c>
      <c r="Z47" s="13">
        <v>3384.41</v>
      </c>
      <c r="AA47" s="13">
        <v>3372.76</v>
      </c>
      <c r="AB47" s="13">
        <v>3406.32</v>
      </c>
      <c r="AC47" s="13">
        <v>2280.7600000000002</v>
      </c>
      <c r="AD47" s="13">
        <v>2323.83</v>
      </c>
      <c r="AE47" s="13">
        <v>2346.0500000000002</v>
      </c>
      <c r="AF47" s="13">
        <v>2158.25</v>
      </c>
      <c r="AG47" s="13">
        <v>2200.0100000000002</v>
      </c>
      <c r="AH47" s="13">
        <v>2233.1999999999998</v>
      </c>
      <c r="AI47" s="13">
        <v>2215.13</v>
      </c>
      <c r="AJ47" s="13">
        <v>1834.74</v>
      </c>
      <c r="AK47" s="13">
        <v>1799.29</v>
      </c>
      <c r="AL47" s="13">
        <v>0</v>
      </c>
      <c r="AM47" s="13">
        <v>0</v>
      </c>
      <c r="AN47" s="13">
        <v>0</v>
      </c>
      <c r="AO47" s="13">
        <v>0</v>
      </c>
      <c r="AP47" s="13">
        <v>0</v>
      </c>
      <c r="AQ47" s="13">
        <v>0</v>
      </c>
      <c r="AR47" s="13">
        <v>0</v>
      </c>
      <c r="AS47" s="13">
        <v>0</v>
      </c>
      <c r="AT47" s="13">
        <v>0</v>
      </c>
      <c r="AU47" s="13">
        <v>0</v>
      </c>
    </row>
    <row r="48" spans="1:47" x14ac:dyDescent="0.25">
      <c r="A48" s="13" t="s">
        <v>376</v>
      </c>
      <c r="B48" s="13">
        <v>165.12</v>
      </c>
      <c r="C48" s="13">
        <v>354.87</v>
      </c>
      <c r="D48" s="13">
        <v>804.62</v>
      </c>
      <c r="E48" s="13">
        <v>1158.9100000000001</v>
      </c>
      <c r="F48" s="13">
        <v>1489.51</v>
      </c>
      <c r="G48" s="13">
        <v>2111.4</v>
      </c>
      <c r="H48" s="13">
        <v>2260.7800000000002</v>
      </c>
      <c r="I48" s="13">
        <v>2103.87</v>
      </c>
      <c r="J48" s="13">
        <v>1291.8499999999999</v>
      </c>
      <c r="K48" s="13">
        <v>1363.72</v>
      </c>
      <c r="L48" s="13">
        <v>2630.25</v>
      </c>
      <c r="M48" s="13">
        <v>2462.5700000000002</v>
      </c>
      <c r="N48" s="13">
        <v>2564.71</v>
      </c>
      <c r="O48" s="13">
        <v>2328.5700000000002</v>
      </c>
      <c r="P48" s="13">
        <v>2106.4899999999998</v>
      </c>
      <c r="Q48" s="13">
        <v>1156.43</v>
      </c>
      <c r="R48" s="13">
        <v>1090.7</v>
      </c>
      <c r="S48" s="13">
        <v>978.09</v>
      </c>
      <c r="T48" s="13">
        <v>1059.95</v>
      </c>
      <c r="U48" s="13">
        <v>880.78</v>
      </c>
      <c r="V48" s="13">
        <v>1474.43</v>
      </c>
      <c r="W48" s="13">
        <v>1419.39</v>
      </c>
      <c r="X48" s="13">
        <v>1414.75</v>
      </c>
      <c r="Y48" s="13">
        <v>1412.63</v>
      </c>
      <c r="Z48" s="13">
        <v>1411.56</v>
      </c>
      <c r="AA48" s="13">
        <v>1410.32</v>
      </c>
      <c r="AB48" s="13">
        <v>1407.75</v>
      </c>
      <c r="AC48" s="13">
        <v>2757.85</v>
      </c>
      <c r="AD48" s="13">
        <v>2798.09</v>
      </c>
      <c r="AE48" s="13">
        <v>2828.68</v>
      </c>
      <c r="AF48" s="13">
        <v>3047.81</v>
      </c>
      <c r="AG48" s="13">
        <v>3084.37</v>
      </c>
      <c r="AH48" s="13">
        <v>3118.41</v>
      </c>
      <c r="AI48" s="13">
        <v>3124.29</v>
      </c>
      <c r="AJ48" s="13">
        <v>3404.56</v>
      </c>
      <c r="AK48" s="13">
        <v>3398.26</v>
      </c>
      <c r="AL48" s="13">
        <v>3447.3</v>
      </c>
      <c r="AM48" s="13">
        <v>3386.2</v>
      </c>
      <c r="AN48" s="13">
        <v>3323.85</v>
      </c>
      <c r="AO48" s="13">
        <v>3253.48</v>
      </c>
      <c r="AP48" s="13">
        <v>3169.65</v>
      </c>
      <c r="AQ48" s="13">
        <v>3094.09</v>
      </c>
      <c r="AR48" s="13">
        <v>3047.93</v>
      </c>
      <c r="AS48" s="13">
        <v>2990.62</v>
      </c>
      <c r="AT48" s="13">
        <v>2930.7</v>
      </c>
      <c r="AU48" s="13">
        <v>2932.47</v>
      </c>
    </row>
    <row r="49" spans="1:47" x14ac:dyDescent="0.25">
      <c r="A49" s="13" t="s">
        <v>70</v>
      </c>
      <c r="B49" s="13">
        <v>1911.5</v>
      </c>
      <c r="C49" s="13">
        <v>1624.09</v>
      </c>
      <c r="D49" s="13">
        <v>1586.95</v>
      </c>
      <c r="E49" s="13">
        <v>708.16</v>
      </c>
      <c r="F49" s="13">
        <v>1014.59</v>
      </c>
      <c r="G49" s="13">
        <v>563.73</v>
      </c>
      <c r="H49" s="13">
        <v>693.24</v>
      </c>
      <c r="I49" s="13">
        <v>762.46</v>
      </c>
      <c r="J49" s="13">
        <v>512.59</v>
      </c>
      <c r="K49" s="13">
        <v>1608.56</v>
      </c>
      <c r="L49" s="13">
        <v>491.61</v>
      </c>
      <c r="M49" s="13">
        <v>348.22</v>
      </c>
      <c r="N49" s="13">
        <v>247.13</v>
      </c>
      <c r="O49" s="13">
        <v>309.67</v>
      </c>
      <c r="P49" s="13">
        <v>207.79</v>
      </c>
      <c r="Q49" s="13">
        <v>78.3</v>
      </c>
      <c r="R49" s="13">
        <v>98.34</v>
      </c>
      <c r="S49" s="13">
        <v>76.680000000000007</v>
      </c>
      <c r="T49" s="13">
        <v>150.4</v>
      </c>
      <c r="U49" s="13">
        <v>171.31</v>
      </c>
      <c r="V49" s="13">
        <v>137.75</v>
      </c>
      <c r="W49" s="13">
        <v>150.11000000000001</v>
      </c>
      <c r="X49" s="13">
        <v>152.65</v>
      </c>
      <c r="Y49" s="13">
        <v>156.13</v>
      </c>
      <c r="Z49" s="13">
        <v>160.62</v>
      </c>
      <c r="AA49" s="13">
        <v>163.81</v>
      </c>
      <c r="AB49" s="13">
        <v>169.88</v>
      </c>
      <c r="AC49" s="13">
        <v>46.27</v>
      </c>
      <c r="AD49" s="13">
        <v>57.77</v>
      </c>
      <c r="AE49" s="13">
        <v>65.05</v>
      </c>
      <c r="AF49" s="13">
        <v>113.32</v>
      </c>
      <c r="AG49" s="13">
        <v>118.6</v>
      </c>
      <c r="AH49" s="13">
        <v>122.92</v>
      </c>
      <c r="AI49" s="13">
        <v>119.62</v>
      </c>
      <c r="AJ49" s="13">
        <v>176.02</v>
      </c>
      <c r="AK49" s="13">
        <v>160.69999999999999</v>
      </c>
      <c r="AL49" s="13">
        <v>798.22</v>
      </c>
      <c r="AM49" s="13">
        <v>756.95</v>
      </c>
      <c r="AN49" s="13">
        <v>698.56</v>
      </c>
      <c r="AO49" s="13">
        <v>632.29999999999995</v>
      </c>
      <c r="AP49" s="13">
        <v>558.49</v>
      </c>
      <c r="AQ49" s="13">
        <v>559.80999999999995</v>
      </c>
      <c r="AR49" s="13">
        <v>497.69</v>
      </c>
      <c r="AS49" s="13">
        <v>438.72</v>
      </c>
      <c r="AT49" s="13">
        <v>407.32</v>
      </c>
      <c r="AU49" s="13">
        <v>407.56</v>
      </c>
    </row>
    <row r="51" spans="1:47" ht="18.75" x14ac:dyDescent="0.3">
      <c r="A51" s="14" t="s">
        <v>438</v>
      </c>
    </row>
    <row r="52" spans="1:47" x14ac:dyDescent="0.25">
      <c r="A52" s="13" t="s">
        <v>328</v>
      </c>
      <c r="B52" s="13" t="s">
        <v>329</v>
      </c>
      <c r="C52" s="13" t="s">
        <v>330</v>
      </c>
      <c r="D52" s="13" t="s">
        <v>331</v>
      </c>
      <c r="E52" s="13" t="s">
        <v>332</v>
      </c>
      <c r="F52" s="13" t="s">
        <v>333</v>
      </c>
      <c r="G52" s="13" t="s">
        <v>334</v>
      </c>
      <c r="H52" s="13" t="s">
        <v>335</v>
      </c>
      <c r="I52" s="13" t="s">
        <v>336</v>
      </c>
      <c r="J52" s="13" t="s">
        <v>337</v>
      </c>
      <c r="K52" s="13" t="s">
        <v>338</v>
      </c>
      <c r="L52" s="13" t="s">
        <v>339</v>
      </c>
      <c r="M52" s="13" t="s">
        <v>340</v>
      </c>
      <c r="N52" s="13" t="s">
        <v>341</v>
      </c>
      <c r="O52" s="13" t="s">
        <v>342</v>
      </c>
      <c r="P52" s="13" t="s">
        <v>343</v>
      </c>
      <c r="Q52" s="13" t="s">
        <v>344</v>
      </c>
      <c r="R52" s="13" t="s">
        <v>345</v>
      </c>
      <c r="S52" s="13" t="s">
        <v>346</v>
      </c>
      <c r="T52" s="13" t="s">
        <v>347</v>
      </c>
      <c r="U52" s="13" t="s">
        <v>348</v>
      </c>
      <c r="V52" s="13" t="s">
        <v>349</v>
      </c>
      <c r="W52" s="13" t="s">
        <v>350</v>
      </c>
      <c r="X52" s="13" t="s">
        <v>351</v>
      </c>
      <c r="Y52" s="13" t="s">
        <v>352</v>
      </c>
      <c r="Z52" s="13" t="s">
        <v>353</v>
      </c>
      <c r="AA52" s="13" t="s">
        <v>354</v>
      </c>
      <c r="AB52" s="13" t="s">
        <v>355</v>
      </c>
      <c r="AC52" s="13" t="s">
        <v>356</v>
      </c>
      <c r="AD52" s="13" t="s">
        <v>357</v>
      </c>
      <c r="AE52" s="13" t="s">
        <v>358</v>
      </c>
      <c r="AF52" s="13" t="s">
        <v>359</v>
      </c>
      <c r="AG52" s="13" t="s">
        <v>360</v>
      </c>
      <c r="AH52" s="13" t="s">
        <v>361</v>
      </c>
      <c r="AI52" s="13" t="s">
        <v>362</v>
      </c>
      <c r="AJ52" s="13" t="s">
        <v>363</v>
      </c>
      <c r="AK52" s="13" t="s">
        <v>364</v>
      </c>
      <c r="AL52" s="13" t="s">
        <v>365</v>
      </c>
      <c r="AM52" s="13" t="s">
        <v>366</v>
      </c>
      <c r="AN52" s="13" t="s">
        <v>367</v>
      </c>
      <c r="AO52" s="13" t="s">
        <v>368</v>
      </c>
      <c r="AP52" s="13" t="s">
        <v>369</v>
      </c>
      <c r="AQ52" s="13" t="s">
        <v>370</v>
      </c>
      <c r="AR52" s="13" t="s">
        <v>371</v>
      </c>
      <c r="AS52" s="13" t="s">
        <v>372</v>
      </c>
      <c r="AT52" s="13" t="s">
        <v>373</v>
      </c>
      <c r="AU52" s="13" t="s">
        <v>374</v>
      </c>
    </row>
    <row r="53" spans="1:47" x14ac:dyDescent="0.25">
      <c r="A53" s="13" t="s">
        <v>500</v>
      </c>
      <c r="B53" s="13">
        <v>3875</v>
      </c>
      <c r="C53" s="13">
        <v>3731</v>
      </c>
      <c r="D53" s="13">
        <v>2793.76</v>
      </c>
      <c r="E53" s="13">
        <v>3536.09</v>
      </c>
      <c r="F53" s="13">
        <v>2964.24</v>
      </c>
      <c r="G53" s="13">
        <v>3325.35</v>
      </c>
      <c r="H53" s="13">
        <v>3921.29</v>
      </c>
      <c r="I53" s="13">
        <v>2957.28</v>
      </c>
      <c r="J53" s="13">
        <v>3410.31</v>
      </c>
      <c r="K53" s="13">
        <v>2963.11</v>
      </c>
      <c r="L53" s="13">
        <v>2615</v>
      </c>
      <c r="M53" s="13">
        <v>3262</v>
      </c>
      <c r="N53" s="13">
        <v>2597</v>
      </c>
      <c r="O53" s="13">
        <v>2535</v>
      </c>
      <c r="P53" s="13">
        <v>2994</v>
      </c>
      <c r="Q53" s="13">
        <v>2994.02</v>
      </c>
      <c r="R53" s="13">
        <v>2993.98</v>
      </c>
      <c r="S53" s="13">
        <v>2993.98</v>
      </c>
      <c r="T53" s="13">
        <v>2994.01</v>
      </c>
      <c r="U53" s="13">
        <v>3033.23</v>
      </c>
      <c r="V53" s="13">
        <v>3033.24</v>
      </c>
      <c r="W53" s="13">
        <v>3033.24</v>
      </c>
      <c r="X53" s="13">
        <v>3033.24</v>
      </c>
      <c r="Y53" s="13">
        <v>3033.25</v>
      </c>
      <c r="Z53" s="13">
        <v>3033.25</v>
      </c>
      <c r="AA53" s="13">
        <v>3033.26</v>
      </c>
      <c r="AB53" s="13">
        <v>3033.23</v>
      </c>
      <c r="AC53" s="13">
        <v>3033.26</v>
      </c>
      <c r="AD53" s="13">
        <v>3033.23</v>
      </c>
      <c r="AE53" s="13">
        <v>3033.23</v>
      </c>
      <c r="AF53" s="13">
        <v>3033.27</v>
      </c>
      <c r="AG53" s="13">
        <v>3033.23</v>
      </c>
      <c r="AH53" s="13">
        <v>3033.25</v>
      </c>
      <c r="AI53" s="13">
        <v>3033.26</v>
      </c>
      <c r="AJ53" s="13">
        <v>3033.25</v>
      </c>
      <c r="AK53" s="13">
        <v>3033.23</v>
      </c>
      <c r="AL53" s="13">
        <v>3033.23</v>
      </c>
      <c r="AM53" s="13">
        <v>3033.25</v>
      </c>
      <c r="AN53" s="13">
        <v>3033.23</v>
      </c>
      <c r="AO53" s="13">
        <v>3033.24</v>
      </c>
      <c r="AP53" s="13">
        <v>3033.25</v>
      </c>
      <c r="AQ53" s="13">
        <v>3063.65</v>
      </c>
      <c r="AR53" s="13">
        <v>3093.78</v>
      </c>
      <c r="AS53" s="13">
        <v>3123.73</v>
      </c>
      <c r="AT53" s="13">
        <v>3123.74</v>
      </c>
      <c r="AU53" s="13">
        <v>3123.74</v>
      </c>
    </row>
    <row r="54" spans="1:47" x14ac:dyDescent="0.25">
      <c r="A54" s="13" t="s">
        <v>501</v>
      </c>
      <c r="B54" s="13">
        <v>0</v>
      </c>
      <c r="C54" s="13">
        <v>0</v>
      </c>
      <c r="D54" s="13">
        <v>0</v>
      </c>
      <c r="E54" s="13">
        <v>0</v>
      </c>
      <c r="F54" s="13">
        <v>270</v>
      </c>
      <c r="G54" s="13">
        <v>389</v>
      </c>
      <c r="H54" s="13">
        <v>693</v>
      </c>
      <c r="I54" s="13">
        <v>733</v>
      </c>
      <c r="J54" s="13">
        <v>737</v>
      </c>
      <c r="K54" s="13">
        <v>785.85</v>
      </c>
      <c r="L54" s="13">
        <v>792</v>
      </c>
      <c r="M54" s="13">
        <v>766</v>
      </c>
      <c r="N54" s="13">
        <v>781</v>
      </c>
      <c r="O54" s="13">
        <v>825</v>
      </c>
      <c r="P54" s="13">
        <v>888</v>
      </c>
      <c r="Q54" s="13">
        <v>888.01</v>
      </c>
      <c r="R54" s="13">
        <v>1030.3900000000001</v>
      </c>
      <c r="S54" s="13">
        <v>1153.45</v>
      </c>
      <c r="T54" s="13">
        <v>1188.75</v>
      </c>
      <c r="U54" s="13">
        <v>1222.44</v>
      </c>
      <c r="V54" s="13">
        <v>1255.77</v>
      </c>
      <c r="W54" s="13">
        <v>1289.03</v>
      </c>
      <c r="X54" s="13">
        <v>1322.22</v>
      </c>
      <c r="Y54" s="13">
        <v>1355.24</v>
      </c>
      <c r="Z54" s="13">
        <v>1388.23</v>
      </c>
      <c r="AA54" s="13">
        <v>1421.09</v>
      </c>
      <c r="AB54" s="13">
        <v>1453.85</v>
      </c>
      <c r="AC54" s="13">
        <v>1486.77</v>
      </c>
      <c r="AD54" s="13">
        <v>1624.79</v>
      </c>
      <c r="AE54" s="13">
        <v>1657.67</v>
      </c>
      <c r="AF54" s="13">
        <v>1749.22</v>
      </c>
      <c r="AG54" s="13">
        <v>1808.8</v>
      </c>
      <c r="AH54" s="13">
        <v>1870.01</v>
      </c>
      <c r="AI54" s="13">
        <v>1934.38</v>
      </c>
      <c r="AJ54" s="13">
        <v>2014.28</v>
      </c>
      <c r="AK54" s="13">
        <v>2117.09</v>
      </c>
      <c r="AL54" s="13">
        <v>2232.5100000000002</v>
      </c>
      <c r="AM54" s="13">
        <v>2390.0300000000002</v>
      </c>
      <c r="AN54" s="13">
        <v>2602.89</v>
      </c>
      <c r="AO54" s="13">
        <v>2890.01</v>
      </c>
      <c r="AP54" s="13">
        <v>3179.19</v>
      </c>
      <c r="AQ54" s="13">
        <v>3449.43</v>
      </c>
      <c r="AR54" s="13">
        <v>3613.69</v>
      </c>
      <c r="AS54" s="13">
        <v>3710.42</v>
      </c>
      <c r="AT54" s="13">
        <v>3736.47</v>
      </c>
      <c r="AU54" s="13">
        <v>3743.52</v>
      </c>
    </row>
    <row r="55" spans="1:47" x14ac:dyDescent="0.25">
      <c r="A55" s="13" t="s">
        <v>502</v>
      </c>
      <c r="B55" s="13">
        <v>610</v>
      </c>
      <c r="C55" s="13">
        <v>610</v>
      </c>
      <c r="D55" s="13">
        <v>562</v>
      </c>
      <c r="E55" s="13">
        <v>647</v>
      </c>
      <c r="F55" s="13">
        <v>576</v>
      </c>
      <c r="G55" s="13">
        <v>585</v>
      </c>
      <c r="H55" s="13">
        <v>569</v>
      </c>
      <c r="I55" s="13">
        <v>579</v>
      </c>
      <c r="J55" s="13">
        <v>558</v>
      </c>
      <c r="K55" s="13">
        <v>474.7</v>
      </c>
      <c r="L55" s="13">
        <v>309</v>
      </c>
      <c r="M55" s="13">
        <v>328</v>
      </c>
      <c r="N55" s="13">
        <v>270</v>
      </c>
      <c r="O55" s="13">
        <v>508</v>
      </c>
      <c r="P55" s="13">
        <v>505</v>
      </c>
      <c r="Q55" s="13">
        <v>505</v>
      </c>
      <c r="R55" s="13">
        <v>505</v>
      </c>
      <c r="S55" s="13">
        <v>505</v>
      </c>
      <c r="T55" s="13">
        <v>505</v>
      </c>
      <c r="U55" s="13">
        <v>505</v>
      </c>
      <c r="V55" s="13">
        <v>505</v>
      </c>
      <c r="W55" s="13">
        <v>505</v>
      </c>
      <c r="X55" s="13">
        <v>505</v>
      </c>
      <c r="Y55" s="13">
        <v>505</v>
      </c>
      <c r="Z55" s="13">
        <v>505</v>
      </c>
      <c r="AA55" s="13">
        <v>505</v>
      </c>
      <c r="AB55" s="13">
        <v>505</v>
      </c>
      <c r="AC55" s="13">
        <v>505</v>
      </c>
      <c r="AD55" s="13">
        <v>505</v>
      </c>
      <c r="AE55" s="13">
        <v>505</v>
      </c>
      <c r="AF55" s="13">
        <v>505</v>
      </c>
      <c r="AG55" s="13">
        <v>505</v>
      </c>
      <c r="AH55" s="13">
        <v>505</v>
      </c>
      <c r="AI55" s="13">
        <v>505</v>
      </c>
      <c r="AJ55" s="13">
        <v>505</v>
      </c>
      <c r="AK55" s="13">
        <v>505</v>
      </c>
      <c r="AL55" s="13">
        <v>505</v>
      </c>
      <c r="AM55" s="13">
        <v>505</v>
      </c>
      <c r="AN55" s="13">
        <v>505</v>
      </c>
      <c r="AO55" s="13">
        <v>505</v>
      </c>
      <c r="AP55" s="13">
        <v>505</v>
      </c>
      <c r="AQ55" s="13">
        <v>509.39</v>
      </c>
      <c r="AR55" s="13">
        <v>509.39</v>
      </c>
      <c r="AS55" s="13">
        <v>509.39</v>
      </c>
      <c r="AT55" s="13">
        <v>509.39</v>
      </c>
      <c r="AU55" s="13">
        <v>509.39</v>
      </c>
    </row>
    <row r="56" spans="1:47" x14ac:dyDescent="0.25">
      <c r="A56" s="13" t="s">
        <v>503</v>
      </c>
      <c r="B56" s="13">
        <v>0</v>
      </c>
      <c r="C56" s="13">
        <v>0</v>
      </c>
      <c r="D56" s="13">
        <v>0</v>
      </c>
      <c r="E56" s="13">
        <v>0</v>
      </c>
      <c r="F56" s="13">
        <v>0</v>
      </c>
      <c r="G56" s="13">
        <v>0</v>
      </c>
      <c r="H56" s="13">
        <v>0</v>
      </c>
      <c r="I56" s="13">
        <v>0</v>
      </c>
      <c r="J56" s="13">
        <v>0</v>
      </c>
      <c r="K56" s="13">
        <v>0</v>
      </c>
      <c r="L56" s="13">
        <v>0</v>
      </c>
      <c r="M56" s="13">
        <v>0</v>
      </c>
      <c r="N56" s="13">
        <v>0</v>
      </c>
      <c r="O56" s="13">
        <v>0</v>
      </c>
      <c r="P56" s="13">
        <v>0</v>
      </c>
      <c r="Q56" s="13">
        <v>0</v>
      </c>
      <c r="R56" s="13">
        <v>0.14000000000000001</v>
      </c>
      <c r="S56" s="13">
        <v>18.43</v>
      </c>
      <c r="T56" s="13">
        <v>18.68</v>
      </c>
      <c r="U56" s="13">
        <v>35.58</v>
      </c>
      <c r="V56" s="13">
        <v>105.26</v>
      </c>
      <c r="W56" s="13">
        <v>122.26</v>
      </c>
      <c r="X56" s="13">
        <v>139.28</v>
      </c>
      <c r="Y56" s="13">
        <v>156.21</v>
      </c>
      <c r="Z56" s="13">
        <v>172.99</v>
      </c>
      <c r="AA56" s="13">
        <v>189.78</v>
      </c>
      <c r="AB56" s="13">
        <v>206.31</v>
      </c>
      <c r="AC56" s="13">
        <v>222.86</v>
      </c>
      <c r="AD56" s="13">
        <v>239.36</v>
      </c>
      <c r="AE56" s="13">
        <v>255.74</v>
      </c>
      <c r="AF56" s="13">
        <v>291.57</v>
      </c>
      <c r="AG56" s="13">
        <v>317.95999999999998</v>
      </c>
      <c r="AH56" s="13">
        <v>345.06</v>
      </c>
      <c r="AI56" s="13">
        <v>370.1</v>
      </c>
      <c r="AJ56" s="13">
        <v>399.79</v>
      </c>
      <c r="AK56" s="13">
        <v>436.37</v>
      </c>
      <c r="AL56" s="13">
        <v>531.71</v>
      </c>
      <c r="AM56" s="13">
        <v>649.07000000000005</v>
      </c>
      <c r="AN56" s="13">
        <v>787.77</v>
      </c>
      <c r="AO56" s="13">
        <v>829.47</v>
      </c>
      <c r="AP56" s="13">
        <v>903.32</v>
      </c>
      <c r="AQ56" s="13">
        <v>974.54</v>
      </c>
      <c r="AR56" s="13">
        <v>1012.77</v>
      </c>
      <c r="AS56" s="13">
        <v>1033.1099999999999</v>
      </c>
      <c r="AT56" s="13">
        <v>1040.92</v>
      </c>
      <c r="AU56" s="13">
        <v>1042.67</v>
      </c>
    </row>
    <row r="57" spans="1:47" x14ac:dyDescent="0.25">
      <c r="A57" s="13" t="s">
        <v>504</v>
      </c>
      <c r="B57" s="13">
        <v>4378</v>
      </c>
      <c r="C57" s="13">
        <v>4366</v>
      </c>
      <c r="D57" s="13">
        <v>4119</v>
      </c>
      <c r="E57" s="13">
        <v>1129</v>
      </c>
      <c r="F57" s="13">
        <v>0</v>
      </c>
      <c r="G57" s="13">
        <v>0</v>
      </c>
      <c r="H57" s="13">
        <v>0</v>
      </c>
      <c r="I57" s="13">
        <v>409</v>
      </c>
      <c r="J57" s="13">
        <v>4479</v>
      </c>
      <c r="K57" s="13">
        <v>5012.22</v>
      </c>
      <c r="L57" s="13">
        <v>4277</v>
      </c>
      <c r="M57" s="13">
        <v>4545</v>
      </c>
      <c r="N57" s="13">
        <v>5120</v>
      </c>
      <c r="O57" s="13">
        <v>4874</v>
      </c>
      <c r="P57" s="13">
        <v>5016</v>
      </c>
      <c r="Q57" s="13">
        <v>4940.6400000000003</v>
      </c>
      <c r="R57" s="13">
        <v>4940.6400000000003</v>
      </c>
      <c r="S57" s="13">
        <v>4940.6400000000003</v>
      </c>
      <c r="T57" s="13">
        <v>4940.6400000000003</v>
      </c>
      <c r="U57" s="13">
        <v>4940.6400000000003</v>
      </c>
      <c r="V57" s="13">
        <v>4940.6400000000003</v>
      </c>
      <c r="W57" s="13">
        <v>4940.6400000000003</v>
      </c>
      <c r="X57" s="13">
        <v>4940.6400000000003</v>
      </c>
      <c r="Y57" s="13">
        <v>4940.6400000000003</v>
      </c>
      <c r="Z57" s="13">
        <v>4940.6400000000003</v>
      </c>
      <c r="AA57" s="13">
        <v>4940.6400000000003</v>
      </c>
      <c r="AB57" s="13">
        <v>4940.6400000000003</v>
      </c>
      <c r="AC57" s="13">
        <v>4940.6400000000003</v>
      </c>
      <c r="AD57" s="13">
        <v>4940.6400000000003</v>
      </c>
      <c r="AE57" s="13">
        <v>4940.6400000000003</v>
      </c>
      <c r="AF57" s="13">
        <v>4940.6400000000003</v>
      </c>
      <c r="AG57" s="13">
        <v>4940.6400000000003</v>
      </c>
      <c r="AH57" s="13">
        <v>4940.6400000000003</v>
      </c>
      <c r="AI57" s="13">
        <v>4940.6400000000003</v>
      </c>
      <c r="AJ57" s="13">
        <v>4940.6400000000003</v>
      </c>
      <c r="AK57" s="13">
        <v>4940.6400000000003</v>
      </c>
      <c r="AL57" s="13">
        <v>0</v>
      </c>
      <c r="AM57" s="13">
        <v>0</v>
      </c>
      <c r="AN57" s="13">
        <v>0</v>
      </c>
      <c r="AO57" s="13">
        <v>5353.22</v>
      </c>
      <c r="AP57" s="13">
        <v>5353.23</v>
      </c>
      <c r="AQ57" s="13">
        <v>5353.25</v>
      </c>
      <c r="AR57" s="13">
        <v>5353.25</v>
      </c>
      <c r="AS57" s="13">
        <v>5353.23</v>
      </c>
      <c r="AT57" s="13">
        <v>5353.25</v>
      </c>
      <c r="AU57" s="13">
        <v>5353.24</v>
      </c>
    </row>
    <row r="58" spans="1:47" x14ac:dyDescent="0.25">
      <c r="A58" s="13" t="s">
        <v>505</v>
      </c>
      <c r="B58" s="13">
        <v>3101.05</v>
      </c>
      <c r="C58" s="13">
        <v>3107.93</v>
      </c>
      <c r="D58" s="13">
        <v>3093.98</v>
      </c>
      <c r="E58" s="13">
        <v>3127.39</v>
      </c>
      <c r="F58" s="13">
        <v>3123.34</v>
      </c>
      <c r="G58" s="13">
        <v>2308.09</v>
      </c>
      <c r="H58" s="13">
        <v>2613.65</v>
      </c>
      <c r="I58" s="13">
        <v>2110.21</v>
      </c>
      <c r="J58" s="13">
        <v>2612.52</v>
      </c>
      <c r="K58" s="13">
        <v>3100.21</v>
      </c>
      <c r="L58" s="13">
        <v>1734.25</v>
      </c>
      <c r="M58" s="13">
        <v>2206.12</v>
      </c>
      <c r="N58" s="13">
        <v>2106.7199999999998</v>
      </c>
      <c r="O58" s="13">
        <v>2351.71</v>
      </c>
      <c r="P58" s="13">
        <v>1831.15</v>
      </c>
      <c r="Q58" s="13">
        <v>2138.6</v>
      </c>
      <c r="R58" s="13">
        <v>2138.6</v>
      </c>
      <c r="S58" s="13">
        <v>2138.6</v>
      </c>
      <c r="T58" s="13">
        <v>171.09</v>
      </c>
      <c r="U58" s="13">
        <v>171.09</v>
      </c>
      <c r="V58" s="13">
        <v>171.09</v>
      </c>
      <c r="W58" s="13">
        <v>171.09</v>
      </c>
      <c r="X58" s="13">
        <v>171.09</v>
      </c>
      <c r="Y58" s="13">
        <v>171.09</v>
      </c>
      <c r="Z58" s="13">
        <v>171.09</v>
      </c>
      <c r="AA58" s="13">
        <v>171.09</v>
      </c>
      <c r="AB58" s="13">
        <v>171.09</v>
      </c>
      <c r="AC58" s="13">
        <v>171.09</v>
      </c>
      <c r="AD58" s="13">
        <v>171.09</v>
      </c>
      <c r="AE58" s="13">
        <v>171.09</v>
      </c>
      <c r="AF58" s="13">
        <v>171.09</v>
      </c>
      <c r="AG58" s="13">
        <v>171.09</v>
      </c>
      <c r="AH58" s="13">
        <v>171.09</v>
      </c>
      <c r="AI58" s="13">
        <v>171.09</v>
      </c>
      <c r="AJ58" s="13">
        <v>171.09</v>
      </c>
      <c r="AK58" s="13">
        <v>171.09</v>
      </c>
      <c r="AL58" s="13">
        <v>0</v>
      </c>
      <c r="AM58" s="13">
        <v>0</v>
      </c>
      <c r="AN58" s="13">
        <v>0</v>
      </c>
      <c r="AO58" s="13">
        <v>0</v>
      </c>
      <c r="AP58" s="13">
        <v>0</v>
      </c>
      <c r="AQ58" s="13">
        <v>0</v>
      </c>
      <c r="AR58" s="13">
        <v>0</v>
      </c>
      <c r="AS58" s="13">
        <v>0</v>
      </c>
      <c r="AT58" s="13">
        <v>0</v>
      </c>
      <c r="AU58" s="13">
        <v>0</v>
      </c>
    </row>
    <row r="59" spans="1:47" x14ac:dyDescent="0.25">
      <c r="A59" s="13" t="s">
        <v>376</v>
      </c>
      <c r="B59" s="13">
        <v>1980</v>
      </c>
      <c r="C59" s="13">
        <v>2332</v>
      </c>
      <c r="D59" s="13">
        <v>1876</v>
      </c>
      <c r="E59" s="13">
        <v>1483</v>
      </c>
      <c r="F59" s="13">
        <v>1974</v>
      </c>
      <c r="G59" s="13">
        <v>2035</v>
      </c>
      <c r="H59" s="13">
        <v>2177</v>
      </c>
      <c r="I59" s="13">
        <v>1967</v>
      </c>
      <c r="J59" s="13">
        <v>1966</v>
      </c>
      <c r="K59" s="13">
        <v>2016.2</v>
      </c>
      <c r="L59" s="13">
        <v>3143</v>
      </c>
      <c r="M59" s="13">
        <v>3420</v>
      </c>
      <c r="N59" s="13">
        <v>2337</v>
      </c>
      <c r="O59" s="13">
        <v>2065</v>
      </c>
      <c r="P59" s="13">
        <v>1941</v>
      </c>
      <c r="Q59" s="13">
        <v>1304.76</v>
      </c>
      <c r="R59" s="13">
        <v>1166.8499999999999</v>
      </c>
      <c r="S59" s="13">
        <v>1186.6099999999999</v>
      </c>
      <c r="T59" s="13">
        <v>1166.8599999999999</v>
      </c>
      <c r="U59" s="13">
        <v>1164.8699999999999</v>
      </c>
      <c r="V59" s="13">
        <v>1186.6400000000001</v>
      </c>
      <c r="W59" s="13">
        <v>1234.08</v>
      </c>
      <c r="X59" s="13">
        <v>905.98</v>
      </c>
      <c r="Y59" s="13">
        <v>732.13</v>
      </c>
      <c r="Z59" s="13">
        <v>819.19</v>
      </c>
      <c r="AA59" s="13">
        <v>591.89</v>
      </c>
      <c r="AB59" s="13">
        <v>1002.01</v>
      </c>
      <c r="AC59" s="13">
        <v>982.33</v>
      </c>
      <c r="AD59" s="13">
        <v>945.03</v>
      </c>
      <c r="AE59" s="13">
        <v>909.17</v>
      </c>
      <c r="AF59" s="13">
        <v>937</v>
      </c>
      <c r="AG59" s="13">
        <v>586.91</v>
      </c>
      <c r="AH59" s="13">
        <v>596.66</v>
      </c>
      <c r="AI59" s="13">
        <v>365.66</v>
      </c>
      <c r="AJ59" s="13">
        <v>385.1</v>
      </c>
      <c r="AK59" s="13">
        <v>383.45</v>
      </c>
      <c r="AL59" s="13">
        <v>0.12</v>
      </c>
      <c r="AM59" s="13">
        <v>0.12</v>
      </c>
      <c r="AN59" s="13">
        <v>0.12</v>
      </c>
      <c r="AO59" s="13">
        <v>0.01</v>
      </c>
      <c r="AP59" s="13">
        <v>0.01</v>
      </c>
      <c r="AQ59" s="13">
        <v>0.03</v>
      </c>
      <c r="AR59" s="13">
        <v>0.03</v>
      </c>
      <c r="AS59" s="13">
        <v>0.01</v>
      </c>
      <c r="AT59" s="13">
        <v>0.01</v>
      </c>
      <c r="AU59" s="13">
        <v>0.01</v>
      </c>
    </row>
    <row r="60" spans="1:47" x14ac:dyDescent="0.25">
      <c r="A60" s="13" t="s">
        <v>70</v>
      </c>
      <c r="B60" s="13">
        <v>3622.76</v>
      </c>
      <c r="C60" s="13">
        <v>3622.79</v>
      </c>
      <c r="D60" s="13">
        <v>3622.74</v>
      </c>
      <c r="E60" s="13">
        <v>3341.97</v>
      </c>
      <c r="F60" s="13">
        <v>4200.75</v>
      </c>
      <c r="G60" s="13">
        <v>2546.0100000000002</v>
      </c>
      <c r="H60" s="13">
        <v>1910.48</v>
      </c>
      <c r="I60" s="13">
        <v>1629.3</v>
      </c>
      <c r="J60" s="13">
        <v>1323.38</v>
      </c>
      <c r="K60" s="13">
        <v>1592.6</v>
      </c>
      <c r="L60" s="13">
        <v>1069.75</v>
      </c>
      <c r="M60" s="13">
        <v>700.88</v>
      </c>
      <c r="N60" s="13">
        <v>253.28</v>
      </c>
      <c r="O60" s="13">
        <v>386.29</v>
      </c>
      <c r="P60" s="13">
        <v>184.85</v>
      </c>
      <c r="Q60" s="13">
        <v>1232.8399999999999</v>
      </c>
      <c r="R60" s="13">
        <v>835.85</v>
      </c>
      <c r="S60" s="13">
        <v>1463.66</v>
      </c>
      <c r="T60" s="13">
        <v>1136.24</v>
      </c>
      <c r="U60" s="13">
        <v>977.97</v>
      </c>
      <c r="V60" s="13">
        <v>1050.45</v>
      </c>
      <c r="W60" s="13">
        <v>1512.41</v>
      </c>
      <c r="X60" s="13">
        <v>851.87</v>
      </c>
      <c r="Y60" s="13">
        <v>576.27</v>
      </c>
      <c r="Z60" s="13">
        <v>927.46</v>
      </c>
      <c r="AA60" s="13">
        <v>309.67</v>
      </c>
      <c r="AB60" s="13">
        <v>1680.38</v>
      </c>
      <c r="AC60" s="13">
        <v>1579.86</v>
      </c>
      <c r="AD60" s="13">
        <v>1739.05</v>
      </c>
      <c r="AE60" s="13">
        <v>1615.61</v>
      </c>
      <c r="AF60" s="13">
        <v>1688.05</v>
      </c>
      <c r="AG60" s="13">
        <v>693.43</v>
      </c>
      <c r="AH60" s="13">
        <v>203.03</v>
      </c>
      <c r="AI60" s="13">
        <v>888.42</v>
      </c>
      <c r="AJ60" s="13">
        <v>971.75</v>
      </c>
      <c r="AK60" s="13">
        <v>964.68</v>
      </c>
      <c r="AL60" s="13">
        <v>1392.12</v>
      </c>
      <c r="AM60" s="13">
        <v>1071.3900000000001</v>
      </c>
      <c r="AN60" s="13">
        <v>1030.8900000000001</v>
      </c>
      <c r="AO60" s="13">
        <v>19.97</v>
      </c>
      <c r="AP60" s="13">
        <v>59.47</v>
      </c>
      <c r="AQ60" s="13">
        <v>54.66</v>
      </c>
      <c r="AR60" s="13">
        <v>99.67</v>
      </c>
      <c r="AS60" s="13">
        <v>75.98</v>
      </c>
      <c r="AT60" s="13">
        <v>78.52</v>
      </c>
      <c r="AU60" s="13">
        <v>90.41</v>
      </c>
    </row>
    <row r="62" spans="1:47" ht="18.75" x14ac:dyDescent="0.3">
      <c r="A62" s="14" t="s">
        <v>461</v>
      </c>
    </row>
    <row r="63" spans="1:47" x14ac:dyDescent="0.25">
      <c r="A63" s="13" t="s">
        <v>328</v>
      </c>
      <c r="B63" s="13" t="s">
        <v>329</v>
      </c>
      <c r="C63" s="13" t="s">
        <v>330</v>
      </c>
      <c r="D63" s="13" t="s">
        <v>331</v>
      </c>
      <c r="E63" s="13" t="s">
        <v>332</v>
      </c>
      <c r="F63" s="13" t="s">
        <v>333</v>
      </c>
      <c r="G63" s="13" t="s">
        <v>334</v>
      </c>
      <c r="H63" s="13" t="s">
        <v>335</v>
      </c>
      <c r="I63" s="13" t="s">
        <v>336</v>
      </c>
      <c r="J63" s="13" t="s">
        <v>337</v>
      </c>
      <c r="K63" s="13" t="s">
        <v>338</v>
      </c>
      <c r="L63" s="13" t="s">
        <v>339</v>
      </c>
      <c r="M63" s="13" t="s">
        <v>340</v>
      </c>
      <c r="N63" s="13" t="s">
        <v>341</v>
      </c>
      <c r="O63" s="13" t="s">
        <v>342</v>
      </c>
      <c r="P63" s="13" t="s">
        <v>343</v>
      </c>
      <c r="Q63" s="13" t="s">
        <v>344</v>
      </c>
      <c r="R63" s="13" t="s">
        <v>345</v>
      </c>
      <c r="S63" s="13" t="s">
        <v>346</v>
      </c>
      <c r="T63" s="13" t="s">
        <v>347</v>
      </c>
      <c r="U63" s="13" t="s">
        <v>348</v>
      </c>
      <c r="V63" s="13" t="s">
        <v>349</v>
      </c>
      <c r="W63" s="13" t="s">
        <v>350</v>
      </c>
      <c r="X63" s="13" t="s">
        <v>351</v>
      </c>
      <c r="Y63" s="13" t="s">
        <v>352</v>
      </c>
      <c r="Z63" s="13" t="s">
        <v>353</v>
      </c>
      <c r="AA63" s="13" t="s">
        <v>354</v>
      </c>
      <c r="AB63" s="13" t="s">
        <v>355</v>
      </c>
      <c r="AC63" s="13" t="s">
        <v>356</v>
      </c>
      <c r="AD63" s="13" t="s">
        <v>357</v>
      </c>
      <c r="AE63" s="13" t="s">
        <v>358</v>
      </c>
      <c r="AF63" s="13" t="s">
        <v>359</v>
      </c>
      <c r="AG63" s="13" t="s">
        <v>360</v>
      </c>
      <c r="AH63" s="13" t="s">
        <v>361</v>
      </c>
      <c r="AI63" s="13" t="s">
        <v>362</v>
      </c>
      <c r="AJ63" s="13" t="s">
        <v>363</v>
      </c>
      <c r="AK63" s="13" t="s">
        <v>364</v>
      </c>
      <c r="AL63" s="13" t="s">
        <v>365</v>
      </c>
      <c r="AM63" s="13" t="s">
        <v>366</v>
      </c>
      <c r="AN63" s="13" t="s">
        <v>367</v>
      </c>
      <c r="AO63" s="13" t="s">
        <v>368</v>
      </c>
      <c r="AP63" s="13" t="s">
        <v>369</v>
      </c>
      <c r="AQ63" s="13" t="s">
        <v>370</v>
      </c>
      <c r="AR63" s="13" t="s">
        <v>371</v>
      </c>
      <c r="AS63" s="13" t="s">
        <v>372</v>
      </c>
      <c r="AT63" s="13" t="s">
        <v>373</v>
      </c>
      <c r="AU63" s="13" t="s">
        <v>374</v>
      </c>
    </row>
    <row r="64" spans="1:47" x14ac:dyDescent="0.25">
      <c r="A64" s="13" t="s">
        <v>500</v>
      </c>
      <c r="B64" s="13">
        <v>173112.6</v>
      </c>
      <c r="C64" s="13">
        <v>172347.6</v>
      </c>
      <c r="D64" s="13">
        <v>180856.6</v>
      </c>
      <c r="E64" s="13">
        <v>187783.8</v>
      </c>
      <c r="F64" s="13">
        <v>189423</v>
      </c>
      <c r="G64" s="13">
        <v>177402.2</v>
      </c>
      <c r="H64" s="13">
        <v>189675.6</v>
      </c>
      <c r="I64" s="13">
        <v>191955.4</v>
      </c>
      <c r="J64" s="13">
        <v>202512.3</v>
      </c>
      <c r="K64" s="13">
        <v>197207.4</v>
      </c>
      <c r="L64" s="13">
        <v>194413.3</v>
      </c>
      <c r="M64" s="13">
        <v>197315.9</v>
      </c>
      <c r="N64" s="13">
        <v>201677.6</v>
      </c>
      <c r="O64" s="13">
        <v>199829.6</v>
      </c>
      <c r="P64" s="13">
        <v>199599.8</v>
      </c>
      <c r="Q64" s="13">
        <v>201613.1</v>
      </c>
      <c r="R64" s="13">
        <v>201612.9</v>
      </c>
      <c r="S64" s="13">
        <v>201613.1</v>
      </c>
      <c r="T64" s="13">
        <v>207642.5</v>
      </c>
      <c r="U64" s="13">
        <v>207984.9</v>
      </c>
      <c r="V64" s="13">
        <v>208292.9</v>
      </c>
      <c r="W64" s="13">
        <v>208293</v>
      </c>
      <c r="X64" s="13">
        <v>208292.8</v>
      </c>
      <c r="Y64" s="13">
        <v>208292.9</v>
      </c>
      <c r="Z64" s="13">
        <v>208293</v>
      </c>
      <c r="AA64" s="13">
        <v>216247</v>
      </c>
      <c r="AB64" s="13">
        <v>216524.5</v>
      </c>
      <c r="AC64" s="13">
        <v>216524.5</v>
      </c>
      <c r="AD64" s="13">
        <v>216524.5</v>
      </c>
      <c r="AE64" s="13">
        <v>216774.1</v>
      </c>
      <c r="AF64" s="13">
        <v>216774</v>
      </c>
      <c r="AG64" s="13">
        <v>216998.5</v>
      </c>
      <c r="AH64" s="13">
        <v>217200.9</v>
      </c>
      <c r="AI64" s="13">
        <v>217383</v>
      </c>
      <c r="AJ64" s="13">
        <v>217382.8</v>
      </c>
      <c r="AK64" s="13">
        <v>217546.6</v>
      </c>
      <c r="AL64" s="13">
        <v>217546.6</v>
      </c>
      <c r="AM64" s="13">
        <v>217546.6</v>
      </c>
      <c r="AN64" s="13">
        <v>217546.6</v>
      </c>
      <c r="AO64" s="13">
        <v>217546.6</v>
      </c>
      <c r="AP64" s="13">
        <v>217546.6</v>
      </c>
      <c r="AQ64" s="13">
        <v>217546.5</v>
      </c>
      <c r="AR64" s="13">
        <v>217546.6</v>
      </c>
      <c r="AS64" s="13">
        <v>217546.6</v>
      </c>
      <c r="AT64" s="13">
        <v>217546.6</v>
      </c>
      <c r="AU64" s="13">
        <v>217546.8</v>
      </c>
    </row>
    <row r="65" spans="1:47" x14ac:dyDescent="0.25">
      <c r="A65" s="13" t="s">
        <v>501</v>
      </c>
      <c r="B65" s="13">
        <v>416</v>
      </c>
      <c r="C65" s="13">
        <v>419</v>
      </c>
      <c r="D65" s="13">
        <v>617</v>
      </c>
      <c r="E65" s="13">
        <v>565</v>
      </c>
      <c r="F65" s="13">
        <v>1322</v>
      </c>
      <c r="G65" s="13">
        <v>1535.14</v>
      </c>
      <c r="H65" s="13">
        <v>1393.8</v>
      </c>
      <c r="I65" s="13">
        <v>2278.06</v>
      </c>
      <c r="J65" s="13">
        <v>4717.8599999999997</v>
      </c>
      <c r="K65" s="13">
        <v>6124.31</v>
      </c>
      <c r="L65" s="13">
        <v>6421</v>
      </c>
      <c r="M65" s="13">
        <v>9781</v>
      </c>
      <c r="N65" s="13">
        <v>9905</v>
      </c>
      <c r="O65" s="13">
        <v>10640</v>
      </c>
      <c r="P65" s="13">
        <v>11097</v>
      </c>
      <c r="Q65" s="13">
        <v>10587.86</v>
      </c>
      <c r="R65" s="13">
        <v>10588.55</v>
      </c>
      <c r="S65" s="13">
        <v>10590.22</v>
      </c>
      <c r="T65" s="13">
        <v>10950.85</v>
      </c>
      <c r="U65" s="13">
        <v>13124.59</v>
      </c>
      <c r="V65" s="13">
        <v>13402.85</v>
      </c>
      <c r="W65" s="13">
        <v>13745.53</v>
      </c>
      <c r="X65" s="13">
        <v>14090.14</v>
      </c>
      <c r="Y65" s="13">
        <v>14435.59</v>
      </c>
      <c r="Z65" s="13">
        <v>14780.64</v>
      </c>
      <c r="AA65" s="13">
        <v>15175.99</v>
      </c>
      <c r="AB65" s="13">
        <v>15578.16</v>
      </c>
      <c r="AC65" s="13">
        <v>15987.86</v>
      </c>
      <c r="AD65" s="13">
        <v>16407.009999999998</v>
      </c>
      <c r="AE65" s="13">
        <v>16835.11</v>
      </c>
      <c r="AF65" s="13">
        <v>17319.310000000001</v>
      </c>
      <c r="AG65" s="13">
        <v>17804.98</v>
      </c>
      <c r="AH65" s="13">
        <v>18303.8</v>
      </c>
      <c r="AI65" s="13">
        <v>18843.77</v>
      </c>
      <c r="AJ65" s="13">
        <v>19418.400000000001</v>
      </c>
      <c r="AK65" s="13">
        <v>20219.37</v>
      </c>
      <c r="AL65" s="13">
        <v>21165.37</v>
      </c>
      <c r="AM65" s="13">
        <v>22210.97</v>
      </c>
      <c r="AN65" s="13">
        <v>23321.97</v>
      </c>
      <c r="AO65" s="13">
        <v>24396.639999999999</v>
      </c>
      <c r="AP65" s="13">
        <v>25410.54</v>
      </c>
      <c r="AQ65" s="13">
        <v>26346.15</v>
      </c>
      <c r="AR65" s="13">
        <v>27153.79</v>
      </c>
      <c r="AS65" s="13">
        <v>27901.61</v>
      </c>
      <c r="AT65" s="13">
        <v>28625.62</v>
      </c>
      <c r="AU65" s="13">
        <v>29345.68</v>
      </c>
    </row>
    <row r="66" spans="1:47" x14ac:dyDescent="0.25">
      <c r="A66" s="13" t="s">
        <v>502</v>
      </c>
      <c r="B66" s="13">
        <v>646</v>
      </c>
      <c r="C66" s="13">
        <v>646</v>
      </c>
      <c r="D66" s="13">
        <v>646</v>
      </c>
      <c r="E66" s="13">
        <v>439</v>
      </c>
      <c r="F66" s="13">
        <v>550</v>
      </c>
      <c r="G66" s="13">
        <v>843.91</v>
      </c>
      <c r="H66" s="13">
        <v>1088.82</v>
      </c>
      <c r="I66" s="13">
        <v>1232.8499999999999</v>
      </c>
      <c r="J66" s="13">
        <v>1613.84</v>
      </c>
      <c r="K66" s="13">
        <v>943.52</v>
      </c>
      <c r="L66" s="13">
        <v>925.31</v>
      </c>
      <c r="M66" s="13">
        <v>1348.41</v>
      </c>
      <c r="N66" s="13">
        <v>1705.73</v>
      </c>
      <c r="O66" s="13">
        <v>1627.51</v>
      </c>
      <c r="P66" s="13">
        <v>1511.07</v>
      </c>
      <c r="Q66" s="13">
        <v>1162.75</v>
      </c>
      <c r="R66" s="13">
        <v>1243.71</v>
      </c>
      <c r="S66" s="13">
        <v>1243.7</v>
      </c>
      <c r="T66" s="13">
        <v>1243.67</v>
      </c>
      <c r="U66" s="13">
        <v>1286.71</v>
      </c>
      <c r="V66" s="13">
        <v>1329.18</v>
      </c>
      <c r="W66" s="13">
        <v>1329</v>
      </c>
      <c r="X66" s="13">
        <v>1328.96</v>
      </c>
      <c r="Y66" s="13">
        <v>1328.92</v>
      </c>
      <c r="Z66" s="13">
        <v>1328.87</v>
      </c>
      <c r="AA66" s="13">
        <v>1328.81</v>
      </c>
      <c r="AB66" s="13">
        <v>1328.75</v>
      </c>
      <c r="AC66" s="13">
        <v>1328.72</v>
      </c>
      <c r="AD66" s="13">
        <v>1328.67</v>
      </c>
      <c r="AE66" s="13">
        <v>1328.6</v>
      </c>
      <c r="AF66" s="13">
        <v>1328.49</v>
      </c>
      <c r="AG66" s="13">
        <v>1369.34</v>
      </c>
      <c r="AH66" s="13">
        <v>1409.91</v>
      </c>
      <c r="AI66" s="13">
        <v>1449.5</v>
      </c>
      <c r="AJ66" s="13">
        <v>1489.65</v>
      </c>
      <c r="AK66" s="13">
        <v>1528.81</v>
      </c>
      <c r="AL66" s="13">
        <v>1528.49</v>
      </c>
      <c r="AM66" s="13">
        <v>1528.14</v>
      </c>
      <c r="AN66" s="13">
        <v>1527.73</v>
      </c>
      <c r="AO66" s="13">
        <v>1527.27</v>
      </c>
      <c r="AP66" s="13">
        <v>1526.7</v>
      </c>
      <c r="AQ66" s="13">
        <v>1562.61</v>
      </c>
      <c r="AR66" s="13">
        <v>1561.77</v>
      </c>
      <c r="AS66" s="13">
        <v>1560.77</v>
      </c>
      <c r="AT66" s="13">
        <v>1559.51</v>
      </c>
      <c r="AU66" s="13">
        <v>1557.93</v>
      </c>
    </row>
    <row r="67" spans="1:47" x14ac:dyDescent="0.25">
      <c r="A67" s="13" t="s">
        <v>503</v>
      </c>
      <c r="B67" s="13">
        <v>0</v>
      </c>
      <c r="C67" s="13">
        <v>0</v>
      </c>
      <c r="D67" s="13">
        <v>0</v>
      </c>
      <c r="E67" s="13">
        <v>0</v>
      </c>
      <c r="F67" s="13">
        <v>0</v>
      </c>
      <c r="G67" s="13">
        <v>0</v>
      </c>
      <c r="H67" s="13">
        <v>0</v>
      </c>
      <c r="I67" s="13">
        <v>0</v>
      </c>
      <c r="J67" s="13">
        <v>0</v>
      </c>
      <c r="K67" s="13">
        <v>0</v>
      </c>
      <c r="L67" s="13">
        <v>1</v>
      </c>
      <c r="M67" s="13">
        <v>1</v>
      </c>
      <c r="N67" s="13">
        <v>1</v>
      </c>
      <c r="O67" s="13">
        <v>1</v>
      </c>
      <c r="P67" s="13">
        <v>1</v>
      </c>
      <c r="Q67" s="13">
        <v>0.26</v>
      </c>
      <c r="R67" s="13">
        <v>0.95</v>
      </c>
      <c r="S67" s="13">
        <v>188.22</v>
      </c>
      <c r="T67" s="13">
        <v>372.99</v>
      </c>
      <c r="U67" s="13">
        <v>612.9</v>
      </c>
      <c r="V67" s="13">
        <v>730.36</v>
      </c>
      <c r="W67" s="13">
        <v>909.67</v>
      </c>
      <c r="X67" s="13">
        <v>1089.5</v>
      </c>
      <c r="Y67" s="13">
        <v>1269.24</v>
      </c>
      <c r="Z67" s="13">
        <v>1446.04</v>
      </c>
      <c r="AA67" s="13">
        <v>1625.64</v>
      </c>
      <c r="AB67" s="13">
        <v>1807.78</v>
      </c>
      <c r="AC67" s="13">
        <v>1991.71</v>
      </c>
      <c r="AD67" s="13">
        <v>2185.6799999999998</v>
      </c>
      <c r="AE67" s="13">
        <v>2381.35</v>
      </c>
      <c r="AF67" s="13">
        <v>2628.27</v>
      </c>
      <c r="AG67" s="13">
        <v>2872.66</v>
      </c>
      <c r="AH67" s="13">
        <v>3137.85</v>
      </c>
      <c r="AI67" s="13">
        <v>3430.51</v>
      </c>
      <c r="AJ67" s="13">
        <v>3797.85</v>
      </c>
      <c r="AK67" s="13">
        <v>4217.3599999999997</v>
      </c>
      <c r="AL67" s="13">
        <v>4766.13</v>
      </c>
      <c r="AM67" s="13">
        <v>5402.34</v>
      </c>
      <c r="AN67" s="13">
        <v>6095.36</v>
      </c>
      <c r="AO67" s="13">
        <v>6748.21</v>
      </c>
      <c r="AP67" s="13">
        <v>7350.14</v>
      </c>
      <c r="AQ67" s="13">
        <v>7873.87</v>
      </c>
      <c r="AR67" s="13">
        <v>8274.48</v>
      </c>
      <c r="AS67" s="13">
        <v>8614.82</v>
      </c>
      <c r="AT67" s="13">
        <v>8928.85</v>
      </c>
      <c r="AU67" s="13">
        <v>9235.25</v>
      </c>
    </row>
    <row r="68" spans="1:47" x14ac:dyDescent="0.25">
      <c r="A68" s="13" t="s">
        <v>504</v>
      </c>
      <c r="B68" s="13">
        <v>4321.58</v>
      </c>
      <c r="C68" s="13">
        <v>4321.58</v>
      </c>
      <c r="D68" s="13">
        <v>4321.58</v>
      </c>
      <c r="E68" s="13">
        <v>3624.23</v>
      </c>
      <c r="F68" s="13">
        <v>3596.28</v>
      </c>
      <c r="G68" s="13">
        <v>3551.59</v>
      </c>
      <c r="H68" s="13">
        <v>3525.22</v>
      </c>
      <c r="I68" s="13">
        <v>4212.62</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row>
    <row r="69" spans="1:47" x14ac:dyDescent="0.25">
      <c r="A69" s="13" t="s">
        <v>505</v>
      </c>
      <c r="B69" s="13">
        <v>0</v>
      </c>
      <c r="C69" s="13">
        <v>0</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row>
    <row r="70" spans="1:47" x14ac:dyDescent="0.25">
      <c r="A70" s="13" t="s">
        <v>376</v>
      </c>
      <c r="B70" s="13">
        <v>269</v>
      </c>
      <c r="C70" s="13">
        <v>1326</v>
      </c>
      <c r="D70" s="13">
        <v>3945</v>
      </c>
      <c r="E70" s="13">
        <v>228</v>
      </c>
      <c r="F70" s="13">
        <v>264</v>
      </c>
      <c r="G70" s="13">
        <v>222.4</v>
      </c>
      <c r="H70" s="13">
        <v>174.24</v>
      </c>
      <c r="I70" s="13">
        <v>185.01</v>
      </c>
      <c r="J70" s="13">
        <v>112.84</v>
      </c>
      <c r="K70" s="13">
        <v>156.54</v>
      </c>
      <c r="L70" s="13">
        <v>141.41</v>
      </c>
      <c r="M70" s="13">
        <v>164.89</v>
      </c>
      <c r="N70" s="13">
        <v>188.25</v>
      </c>
      <c r="O70" s="13">
        <v>169.76</v>
      </c>
      <c r="P70" s="13">
        <v>163.06</v>
      </c>
      <c r="Q70" s="13">
        <v>163.21</v>
      </c>
      <c r="R70" s="13">
        <v>153.13999999999999</v>
      </c>
      <c r="S70" s="13">
        <v>158.82</v>
      </c>
      <c r="T70" s="13">
        <v>159.80000000000001</v>
      </c>
      <c r="U70" s="13">
        <v>160.19</v>
      </c>
      <c r="V70" s="13">
        <v>160.55000000000001</v>
      </c>
      <c r="W70" s="13">
        <v>160.81</v>
      </c>
      <c r="X70" s="13">
        <v>161.49</v>
      </c>
      <c r="Y70" s="13">
        <v>162.25</v>
      </c>
      <c r="Z70" s="13">
        <v>163.29</v>
      </c>
      <c r="AA70" s="13">
        <v>164.42</v>
      </c>
      <c r="AB70" s="13">
        <v>164.75</v>
      </c>
      <c r="AC70" s="13">
        <v>164.46</v>
      </c>
      <c r="AD70" s="13">
        <v>164.35</v>
      </c>
      <c r="AE70" s="13">
        <v>164.47</v>
      </c>
      <c r="AF70" s="13">
        <v>165.41</v>
      </c>
      <c r="AG70" s="13">
        <v>165.8</v>
      </c>
      <c r="AH70" s="13">
        <v>166.73</v>
      </c>
      <c r="AI70" s="13">
        <v>167.37</v>
      </c>
      <c r="AJ70" s="13">
        <v>168.26</v>
      </c>
      <c r="AK70" s="13">
        <v>169.08</v>
      </c>
      <c r="AL70" s="13">
        <v>171.03</v>
      </c>
      <c r="AM70" s="13">
        <v>172.43</v>
      </c>
      <c r="AN70" s="13">
        <v>174.08</v>
      </c>
      <c r="AO70" s="13">
        <v>175.6</v>
      </c>
      <c r="AP70" s="13">
        <v>177.25</v>
      </c>
      <c r="AQ70" s="13">
        <v>179.03</v>
      </c>
      <c r="AR70" s="13">
        <v>180.84</v>
      </c>
      <c r="AS70" s="13">
        <v>182.64</v>
      </c>
      <c r="AT70" s="13">
        <v>184.57</v>
      </c>
      <c r="AU70" s="13">
        <v>186.63</v>
      </c>
    </row>
    <row r="71" spans="1:47" x14ac:dyDescent="0.25">
      <c r="A71" s="13" t="s">
        <v>70</v>
      </c>
      <c r="B71" s="13">
        <v>180.26</v>
      </c>
      <c r="C71" s="13">
        <v>366.03</v>
      </c>
      <c r="D71" s="13">
        <v>668.83</v>
      </c>
      <c r="E71" s="13">
        <v>532.89</v>
      </c>
      <c r="F71" s="13">
        <v>392.12</v>
      </c>
      <c r="G71" s="13">
        <v>585.88</v>
      </c>
      <c r="H71" s="13">
        <v>546.17999999999995</v>
      </c>
      <c r="I71" s="13">
        <v>518.65</v>
      </c>
      <c r="J71" s="13">
        <v>475.06</v>
      </c>
      <c r="K71" s="13">
        <v>496.68</v>
      </c>
      <c r="L71" s="13">
        <v>532.04</v>
      </c>
      <c r="M71" s="13">
        <v>660.06</v>
      </c>
      <c r="N71" s="13">
        <v>421.08</v>
      </c>
      <c r="O71" s="13">
        <v>593.07000000000005</v>
      </c>
      <c r="P71" s="13">
        <v>501.07</v>
      </c>
      <c r="Q71" s="13">
        <v>501.05</v>
      </c>
      <c r="R71" s="13">
        <v>501.03</v>
      </c>
      <c r="S71" s="13">
        <v>501.04</v>
      </c>
      <c r="T71" s="13">
        <v>501.07</v>
      </c>
      <c r="U71" s="13">
        <v>501.13</v>
      </c>
      <c r="V71" s="13">
        <v>501.23</v>
      </c>
      <c r="W71" s="13">
        <v>501.41</v>
      </c>
      <c r="X71" s="13">
        <v>501.45</v>
      </c>
      <c r="Y71" s="13">
        <v>501.49</v>
      </c>
      <c r="Z71" s="13">
        <v>501.54</v>
      </c>
      <c r="AA71" s="13">
        <v>501.6</v>
      </c>
      <c r="AB71" s="13">
        <v>501.66</v>
      </c>
      <c r="AC71" s="13">
        <v>501.69</v>
      </c>
      <c r="AD71" s="13">
        <v>501.74</v>
      </c>
      <c r="AE71" s="13">
        <v>501.81</v>
      </c>
      <c r="AF71" s="13">
        <v>393.94</v>
      </c>
      <c r="AG71" s="13">
        <v>394.08</v>
      </c>
      <c r="AH71" s="13">
        <v>394.25</v>
      </c>
      <c r="AI71" s="13">
        <v>394.43</v>
      </c>
      <c r="AJ71" s="13">
        <v>394.66</v>
      </c>
      <c r="AK71" s="13">
        <v>394.93</v>
      </c>
      <c r="AL71" s="13">
        <v>395.24</v>
      </c>
      <c r="AM71" s="13">
        <v>395.6</v>
      </c>
      <c r="AN71" s="13">
        <v>396.01</v>
      </c>
      <c r="AO71" s="13">
        <v>396.46</v>
      </c>
      <c r="AP71" s="13">
        <v>397.03</v>
      </c>
      <c r="AQ71" s="13">
        <v>397.74</v>
      </c>
      <c r="AR71" s="13">
        <v>398.58</v>
      </c>
      <c r="AS71" s="13">
        <v>399.58</v>
      </c>
      <c r="AT71" s="13">
        <v>400.84</v>
      </c>
      <c r="AU71" s="13">
        <v>402.43</v>
      </c>
    </row>
    <row r="73" spans="1:47" ht="18.75" x14ac:dyDescent="0.3">
      <c r="A73" s="14" t="s">
        <v>452</v>
      </c>
    </row>
    <row r="74" spans="1:47" x14ac:dyDescent="0.25">
      <c r="A74" s="13" t="s">
        <v>328</v>
      </c>
      <c r="B74" s="13" t="s">
        <v>329</v>
      </c>
      <c r="C74" s="13" t="s">
        <v>330</v>
      </c>
      <c r="D74" s="13" t="s">
        <v>331</v>
      </c>
      <c r="E74" s="13" t="s">
        <v>332</v>
      </c>
      <c r="F74" s="13" t="s">
        <v>333</v>
      </c>
      <c r="G74" s="13" t="s">
        <v>334</v>
      </c>
      <c r="H74" s="13" t="s">
        <v>335</v>
      </c>
      <c r="I74" s="13" t="s">
        <v>336</v>
      </c>
      <c r="J74" s="13" t="s">
        <v>337</v>
      </c>
      <c r="K74" s="13" t="s">
        <v>338</v>
      </c>
      <c r="L74" s="13" t="s">
        <v>339</v>
      </c>
      <c r="M74" s="13" t="s">
        <v>340</v>
      </c>
      <c r="N74" s="13" t="s">
        <v>341</v>
      </c>
      <c r="O74" s="13" t="s">
        <v>342</v>
      </c>
      <c r="P74" s="13" t="s">
        <v>343</v>
      </c>
      <c r="Q74" s="13" t="s">
        <v>344</v>
      </c>
      <c r="R74" s="13" t="s">
        <v>345</v>
      </c>
      <c r="S74" s="13" t="s">
        <v>346</v>
      </c>
      <c r="T74" s="13" t="s">
        <v>347</v>
      </c>
      <c r="U74" s="13" t="s">
        <v>348</v>
      </c>
      <c r="V74" s="13" t="s">
        <v>349</v>
      </c>
      <c r="W74" s="13" t="s">
        <v>350</v>
      </c>
      <c r="X74" s="13" t="s">
        <v>351</v>
      </c>
      <c r="Y74" s="13" t="s">
        <v>352</v>
      </c>
      <c r="Z74" s="13" t="s">
        <v>353</v>
      </c>
      <c r="AA74" s="13" t="s">
        <v>354</v>
      </c>
      <c r="AB74" s="13" t="s">
        <v>355</v>
      </c>
      <c r="AC74" s="13" t="s">
        <v>356</v>
      </c>
      <c r="AD74" s="13" t="s">
        <v>357</v>
      </c>
      <c r="AE74" s="13" t="s">
        <v>358</v>
      </c>
      <c r="AF74" s="13" t="s">
        <v>359</v>
      </c>
      <c r="AG74" s="13" t="s">
        <v>360</v>
      </c>
      <c r="AH74" s="13" t="s">
        <v>361</v>
      </c>
      <c r="AI74" s="13" t="s">
        <v>362</v>
      </c>
      <c r="AJ74" s="13" t="s">
        <v>363</v>
      </c>
      <c r="AK74" s="13" t="s">
        <v>364</v>
      </c>
      <c r="AL74" s="13" t="s">
        <v>365</v>
      </c>
      <c r="AM74" s="13" t="s">
        <v>366</v>
      </c>
      <c r="AN74" s="13" t="s">
        <v>367</v>
      </c>
      <c r="AO74" s="13" t="s">
        <v>368</v>
      </c>
      <c r="AP74" s="13" t="s">
        <v>369</v>
      </c>
      <c r="AQ74" s="13" t="s">
        <v>370</v>
      </c>
      <c r="AR74" s="13" t="s">
        <v>371</v>
      </c>
      <c r="AS74" s="13" t="s">
        <v>372</v>
      </c>
      <c r="AT74" s="13" t="s">
        <v>373</v>
      </c>
      <c r="AU74" s="13" t="s">
        <v>374</v>
      </c>
    </row>
    <row r="75" spans="1:47" x14ac:dyDescent="0.25">
      <c r="A75" s="13" t="s">
        <v>500</v>
      </c>
      <c r="B75" s="13">
        <v>35480</v>
      </c>
      <c r="C75" s="13">
        <v>36031.99</v>
      </c>
      <c r="D75" s="13">
        <v>34315</v>
      </c>
      <c r="E75" s="13">
        <v>39614.99</v>
      </c>
      <c r="F75" s="13">
        <v>39685.01</v>
      </c>
      <c r="G75" s="13">
        <v>32555</v>
      </c>
      <c r="H75" s="13">
        <v>34907</v>
      </c>
      <c r="I75" s="13">
        <v>33887</v>
      </c>
      <c r="J75" s="13">
        <v>37936</v>
      </c>
      <c r="K75" s="13">
        <v>39199.480000000003</v>
      </c>
      <c r="L75" s="13">
        <v>35042.89</v>
      </c>
      <c r="M75" s="13">
        <v>36513</v>
      </c>
      <c r="N75" s="13">
        <v>40016.01</v>
      </c>
      <c r="O75" s="13">
        <v>38280.99</v>
      </c>
      <c r="P75" s="13">
        <v>36210.019999999997</v>
      </c>
      <c r="Q75" s="13">
        <v>40201.39</v>
      </c>
      <c r="R75" s="13">
        <v>40194.480000000003</v>
      </c>
      <c r="S75" s="13">
        <v>40229.9</v>
      </c>
      <c r="T75" s="13">
        <v>40230.120000000003</v>
      </c>
      <c r="U75" s="13">
        <v>40193.25</v>
      </c>
      <c r="V75" s="13">
        <v>40193.360000000001</v>
      </c>
      <c r="W75" s="13">
        <v>40262.199999999997</v>
      </c>
      <c r="X75" s="13">
        <v>40228.11</v>
      </c>
      <c r="Y75" s="13">
        <v>40230.239999999998</v>
      </c>
      <c r="Z75" s="13">
        <v>40262.21</v>
      </c>
      <c r="AA75" s="13">
        <v>40262.18</v>
      </c>
      <c r="AB75" s="13">
        <v>40863.480000000003</v>
      </c>
      <c r="AC75" s="13">
        <v>40863.46</v>
      </c>
      <c r="AD75" s="13">
        <v>40863.46</v>
      </c>
      <c r="AE75" s="13">
        <v>41404.65</v>
      </c>
      <c r="AF75" s="13">
        <v>41404.67</v>
      </c>
      <c r="AG75" s="13">
        <v>41891.730000000003</v>
      </c>
      <c r="AH75" s="13">
        <v>41891.72</v>
      </c>
      <c r="AI75" s="13">
        <v>41891.699999999997</v>
      </c>
      <c r="AJ75" s="13">
        <v>41891.71</v>
      </c>
      <c r="AK75" s="13">
        <v>41891.71</v>
      </c>
      <c r="AL75" s="13">
        <v>42330.06</v>
      </c>
      <c r="AM75" s="13">
        <v>42724.61</v>
      </c>
      <c r="AN75" s="13">
        <v>42724.61</v>
      </c>
      <c r="AO75" s="13">
        <v>42724.59</v>
      </c>
      <c r="AP75" s="13">
        <v>42724.62</v>
      </c>
      <c r="AQ75" s="13">
        <v>42724.6</v>
      </c>
      <c r="AR75" s="13">
        <v>42724.61</v>
      </c>
      <c r="AS75" s="13">
        <v>42724.62</v>
      </c>
      <c r="AT75" s="13">
        <v>42724.63</v>
      </c>
      <c r="AU75" s="13">
        <v>42724.63</v>
      </c>
    </row>
    <row r="76" spans="1:47" x14ac:dyDescent="0.25">
      <c r="A76" s="13" t="s">
        <v>501</v>
      </c>
      <c r="B76" s="13">
        <v>26</v>
      </c>
      <c r="C76" s="13">
        <v>145</v>
      </c>
      <c r="D76" s="13">
        <v>494</v>
      </c>
      <c r="E76" s="13">
        <v>1400</v>
      </c>
      <c r="F76" s="13">
        <v>2300</v>
      </c>
      <c r="G76" s="13">
        <v>2800</v>
      </c>
      <c r="H76" s="13">
        <v>3900</v>
      </c>
      <c r="I76" s="13">
        <v>4600</v>
      </c>
      <c r="J76" s="13">
        <v>5200</v>
      </c>
      <c r="K76" s="13">
        <v>6900.64</v>
      </c>
      <c r="L76" s="13">
        <v>11396</v>
      </c>
      <c r="M76" s="13">
        <v>10758</v>
      </c>
      <c r="N76" s="13">
        <v>10464</v>
      </c>
      <c r="O76" s="13">
        <v>11922.01</v>
      </c>
      <c r="P76" s="13">
        <v>10957</v>
      </c>
      <c r="Q76" s="13">
        <v>14436.84</v>
      </c>
      <c r="R76" s="13">
        <v>15840.41</v>
      </c>
      <c r="S76" s="13">
        <v>15845.88</v>
      </c>
      <c r="T76" s="13">
        <v>15851.45</v>
      </c>
      <c r="U76" s="13">
        <v>15857.69</v>
      </c>
      <c r="V76" s="13">
        <v>15864.13</v>
      </c>
      <c r="W76" s="13">
        <v>15873.41</v>
      </c>
      <c r="X76" s="13">
        <v>15883.12</v>
      </c>
      <c r="Y76" s="13">
        <v>15893.64</v>
      </c>
      <c r="Z76" s="13">
        <v>15906.04</v>
      </c>
      <c r="AA76" s="13">
        <v>20454.37</v>
      </c>
      <c r="AB76" s="13">
        <v>23480.44</v>
      </c>
      <c r="AC76" s="13">
        <v>26519.73</v>
      </c>
      <c r="AD76" s="13">
        <v>27144.23</v>
      </c>
      <c r="AE76" s="13">
        <v>27777.52</v>
      </c>
      <c r="AF76" s="13">
        <v>28650.55</v>
      </c>
      <c r="AG76" s="13">
        <v>29519.65</v>
      </c>
      <c r="AH76" s="13">
        <v>30468.080000000002</v>
      </c>
      <c r="AI76" s="13">
        <v>34029.57</v>
      </c>
      <c r="AJ76" s="13">
        <v>35345.519999999997</v>
      </c>
      <c r="AK76" s="13">
        <v>39642.559999999998</v>
      </c>
      <c r="AL76" s="13">
        <v>42406.09</v>
      </c>
      <c r="AM76" s="13">
        <v>48126.720000000001</v>
      </c>
      <c r="AN76" s="13">
        <v>51957.77</v>
      </c>
      <c r="AO76" s="13">
        <v>57907.68</v>
      </c>
      <c r="AP76" s="13">
        <v>61081.599999999999</v>
      </c>
      <c r="AQ76" s="13">
        <v>66113.36</v>
      </c>
      <c r="AR76" s="13">
        <v>67863.91</v>
      </c>
      <c r="AS76" s="13">
        <v>71512.89</v>
      </c>
      <c r="AT76" s="13">
        <v>72496.14</v>
      </c>
      <c r="AU76" s="13">
        <v>73400.41</v>
      </c>
    </row>
    <row r="77" spans="1:47" x14ac:dyDescent="0.25">
      <c r="A77" s="13" t="s">
        <v>502</v>
      </c>
      <c r="B77" s="13">
        <v>807.53</v>
      </c>
      <c r="C77" s="13">
        <v>733.51</v>
      </c>
      <c r="D77" s="13">
        <v>598.95000000000005</v>
      </c>
      <c r="E77" s="13">
        <v>484.04</v>
      </c>
      <c r="F77" s="13">
        <v>657.05</v>
      </c>
      <c r="G77" s="13">
        <v>735.1</v>
      </c>
      <c r="H77" s="13">
        <v>607.89</v>
      </c>
      <c r="I77" s="13">
        <v>672.86</v>
      </c>
      <c r="J77" s="13">
        <v>586.34</v>
      </c>
      <c r="K77" s="13">
        <v>905.14</v>
      </c>
      <c r="L77" s="13">
        <v>937.11</v>
      </c>
      <c r="M77" s="13">
        <v>1444.15</v>
      </c>
      <c r="N77" s="13">
        <v>962.05</v>
      </c>
      <c r="O77" s="13">
        <v>1310.77</v>
      </c>
      <c r="P77" s="13">
        <v>1249.3900000000001</v>
      </c>
      <c r="Q77" s="13">
        <v>756.17</v>
      </c>
      <c r="R77" s="13">
        <v>767.62</v>
      </c>
      <c r="S77" s="13">
        <v>773.88</v>
      </c>
      <c r="T77" s="13">
        <v>772.61</v>
      </c>
      <c r="U77" s="13">
        <v>759.22</v>
      </c>
      <c r="V77" s="13">
        <v>758.82</v>
      </c>
      <c r="W77" s="13">
        <v>784.37</v>
      </c>
      <c r="X77" s="13">
        <v>770.68</v>
      </c>
      <c r="Y77" s="13">
        <v>769.88</v>
      </c>
      <c r="Z77" s="13">
        <v>781.76</v>
      </c>
      <c r="AA77" s="13">
        <v>780.58</v>
      </c>
      <c r="AB77" s="13">
        <v>780.41</v>
      </c>
      <c r="AC77" s="13">
        <v>767.81</v>
      </c>
      <c r="AD77" s="13">
        <v>780.87</v>
      </c>
      <c r="AE77" s="13">
        <v>754.83</v>
      </c>
      <c r="AF77" s="13">
        <v>754.27</v>
      </c>
      <c r="AG77" s="13">
        <v>779.3</v>
      </c>
      <c r="AH77" s="13">
        <v>765.67</v>
      </c>
      <c r="AI77" s="13">
        <v>765.03</v>
      </c>
      <c r="AJ77" s="13">
        <v>764.29</v>
      </c>
      <c r="AK77" s="13">
        <v>750.62</v>
      </c>
      <c r="AL77" s="13">
        <v>754.81</v>
      </c>
      <c r="AM77" s="13">
        <v>784.72</v>
      </c>
      <c r="AN77" s="13">
        <v>783.36</v>
      </c>
      <c r="AO77" s="13">
        <v>782.12</v>
      </c>
      <c r="AP77" s="13">
        <v>782.76</v>
      </c>
      <c r="AQ77" s="13">
        <v>787.71</v>
      </c>
      <c r="AR77" s="13">
        <v>786.25</v>
      </c>
      <c r="AS77" s="13">
        <v>784.8</v>
      </c>
      <c r="AT77" s="13">
        <v>783.24</v>
      </c>
      <c r="AU77" s="13">
        <v>783.61</v>
      </c>
    </row>
    <row r="78" spans="1:47" x14ac:dyDescent="0.25">
      <c r="A78" s="13" t="s">
        <v>503</v>
      </c>
      <c r="B78" s="13">
        <v>0</v>
      </c>
      <c r="C78" s="13">
        <v>0</v>
      </c>
      <c r="D78" s="13">
        <v>0</v>
      </c>
      <c r="E78" s="13">
        <v>0</v>
      </c>
      <c r="F78" s="13">
        <v>5</v>
      </c>
      <c r="G78" s="13">
        <v>123</v>
      </c>
      <c r="H78" s="13">
        <v>398</v>
      </c>
      <c r="I78" s="13">
        <v>842</v>
      </c>
      <c r="J78" s="13">
        <v>1173</v>
      </c>
      <c r="K78" s="13">
        <v>1757.71</v>
      </c>
      <c r="L78" s="13">
        <v>1425</v>
      </c>
      <c r="M78" s="13">
        <v>1776</v>
      </c>
      <c r="N78" s="13">
        <v>1998</v>
      </c>
      <c r="O78" s="13">
        <v>2163</v>
      </c>
      <c r="P78" s="13">
        <v>2168</v>
      </c>
      <c r="Q78" s="13">
        <v>2168</v>
      </c>
      <c r="R78" s="13">
        <v>2169.9699999999998</v>
      </c>
      <c r="S78" s="13">
        <v>2174.56</v>
      </c>
      <c r="T78" s="13">
        <v>2179.17</v>
      </c>
      <c r="U78" s="13">
        <v>2184.7800000000002</v>
      </c>
      <c r="V78" s="13">
        <v>2189.98</v>
      </c>
      <c r="W78" s="13">
        <v>2196.85</v>
      </c>
      <c r="X78" s="13">
        <v>2204.6799999999998</v>
      </c>
      <c r="Y78" s="13">
        <v>2213.5500000000002</v>
      </c>
      <c r="Z78" s="13">
        <v>2548.61</v>
      </c>
      <c r="AA78" s="13">
        <v>3038.16</v>
      </c>
      <c r="AB78" s="13">
        <v>3198.15</v>
      </c>
      <c r="AC78" s="13">
        <v>3699.65</v>
      </c>
      <c r="AD78" s="13">
        <v>4069.13</v>
      </c>
      <c r="AE78" s="13">
        <v>4459.7299999999996</v>
      </c>
      <c r="AF78" s="13">
        <v>5072.47</v>
      </c>
      <c r="AG78" s="13">
        <v>5675.31</v>
      </c>
      <c r="AH78" s="13">
        <v>6347.37</v>
      </c>
      <c r="AI78" s="13">
        <v>7330.43</v>
      </c>
      <c r="AJ78" s="13">
        <v>8323.26</v>
      </c>
      <c r="AK78" s="13">
        <v>9958.99</v>
      </c>
      <c r="AL78" s="13">
        <v>12186.32</v>
      </c>
      <c r="AM78" s="13">
        <v>15133.07</v>
      </c>
      <c r="AN78" s="13">
        <v>18326.669999999998</v>
      </c>
      <c r="AO78" s="13">
        <v>21566.41</v>
      </c>
      <c r="AP78" s="13">
        <v>24227.89</v>
      </c>
      <c r="AQ78" s="13">
        <v>26587.89</v>
      </c>
      <c r="AR78" s="13">
        <v>27950.43</v>
      </c>
      <c r="AS78" s="13">
        <v>29111.9</v>
      </c>
      <c r="AT78" s="13">
        <v>29805.31</v>
      </c>
      <c r="AU78" s="13">
        <v>30297.55</v>
      </c>
    </row>
    <row r="79" spans="1:47" x14ac:dyDescent="0.25">
      <c r="A79" s="13" t="s">
        <v>504</v>
      </c>
      <c r="B79" s="13">
        <v>77969</v>
      </c>
      <c r="C79" s="13">
        <v>83457</v>
      </c>
      <c r="D79" s="13">
        <v>79750</v>
      </c>
      <c r="E79" s="13">
        <v>85832</v>
      </c>
      <c r="F79" s="13">
        <v>81395.98</v>
      </c>
      <c r="G79" s="13">
        <v>81975</v>
      </c>
      <c r="H79" s="13">
        <v>84766</v>
      </c>
      <c r="I79" s="13">
        <v>84866</v>
      </c>
      <c r="J79" s="13">
        <v>93102.99</v>
      </c>
      <c r="K79" s="13">
        <v>96195.59</v>
      </c>
      <c r="L79" s="13">
        <v>91768.98</v>
      </c>
      <c r="M79" s="13">
        <v>91142.01</v>
      </c>
      <c r="N79" s="13">
        <v>90445</v>
      </c>
      <c r="O79" s="13">
        <v>90155.01</v>
      </c>
      <c r="P79" s="13">
        <v>90454</v>
      </c>
      <c r="Q79" s="13">
        <v>78513.960000000006</v>
      </c>
      <c r="R79" s="13">
        <v>73695.8</v>
      </c>
      <c r="S79" s="13">
        <v>76110.52</v>
      </c>
      <c r="T79" s="13">
        <v>64975.64</v>
      </c>
      <c r="U79" s="13">
        <v>75346.559999999998</v>
      </c>
      <c r="V79" s="13">
        <v>68445.5</v>
      </c>
      <c r="W79" s="13">
        <v>63105.11</v>
      </c>
      <c r="X79" s="13">
        <v>69400.34</v>
      </c>
      <c r="Y79" s="13">
        <v>75838.45</v>
      </c>
      <c r="Z79" s="13">
        <v>70893.45</v>
      </c>
      <c r="AA79" s="13">
        <v>77736.77</v>
      </c>
      <c r="AB79" s="13">
        <v>71040.09</v>
      </c>
      <c r="AC79" s="13">
        <v>77883.41</v>
      </c>
      <c r="AD79" s="13">
        <v>77924.14</v>
      </c>
      <c r="AE79" s="13">
        <v>84767.45</v>
      </c>
      <c r="AF79" s="13">
        <v>86590.41</v>
      </c>
      <c r="AG79" s="13">
        <v>86590.41</v>
      </c>
      <c r="AH79" s="13">
        <v>86632.02</v>
      </c>
      <c r="AI79" s="13">
        <v>86632.02</v>
      </c>
      <c r="AJ79" s="13">
        <v>86715.24</v>
      </c>
      <c r="AK79" s="13">
        <v>86881.68</v>
      </c>
      <c r="AL79" s="13">
        <v>87048.12</v>
      </c>
      <c r="AM79" s="13">
        <v>87214.55</v>
      </c>
      <c r="AN79" s="13">
        <v>87381</v>
      </c>
      <c r="AO79" s="13">
        <v>87589.05</v>
      </c>
      <c r="AP79" s="13">
        <v>87797.09</v>
      </c>
      <c r="AQ79" s="13">
        <v>88213.2</v>
      </c>
      <c r="AR79" s="13">
        <v>89045.4</v>
      </c>
      <c r="AS79" s="13">
        <v>89877.59</v>
      </c>
      <c r="AT79" s="13">
        <v>90709.79</v>
      </c>
      <c r="AU79" s="13">
        <v>90709.79</v>
      </c>
    </row>
    <row r="80" spans="1:47" x14ac:dyDescent="0.25">
      <c r="A80" s="13" t="s">
        <v>505</v>
      </c>
      <c r="B80" s="13">
        <v>28734.080000000002</v>
      </c>
      <c r="C80" s="13">
        <v>23808.080000000002</v>
      </c>
      <c r="D80" s="13">
        <v>27468.720000000001</v>
      </c>
      <c r="E80" s="13">
        <v>22638.21</v>
      </c>
      <c r="F80" s="13">
        <v>10461.15</v>
      </c>
      <c r="G80" s="13">
        <v>10336.620000000001</v>
      </c>
      <c r="H80" s="13">
        <v>4329.34</v>
      </c>
      <c r="I80" s="13">
        <v>3596.74</v>
      </c>
      <c r="J80" s="13">
        <v>2742.24</v>
      </c>
      <c r="K80" s="13">
        <v>94.81</v>
      </c>
      <c r="L80" s="13">
        <v>0</v>
      </c>
      <c r="M80" s="13">
        <v>0</v>
      </c>
      <c r="N80" s="13">
        <v>0</v>
      </c>
      <c r="O80" s="13">
        <v>0</v>
      </c>
      <c r="P80" s="13">
        <v>0</v>
      </c>
      <c r="Q80" s="13">
        <v>0</v>
      </c>
      <c r="R80" s="13">
        <v>0</v>
      </c>
      <c r="S80" s="13">
        <v>0</v>
      </c>
      <c r="T80" s="13">
        <v>0</v>
      </c>
      <c r="U80" s="13">
        <v>0</v>
      </c>
      <c r="V80" s="13">
        <v>0</v>
      </c>
      <c r="W80" s="13">
        <v>0</v>
      </c>
      <c r="X80" s="13">
        <v>0</v>
      </c>
      <c r="Y80" s="13">
        <v>0</v>
      </c>
      <c r="Z80" s="13">
        <v>0</v>
      </c>
      <c r="AA80" s="13">
        <v>0</v>
      </c>
      <c r="AB80" s="13">
        <v>0</v>
      </c>
      <c r="AC80" s="13">
        <v>0</v>
      </c>
      <c r="AD80" s="13">
        <v>0</v>
      </c>
      <c r="AE80" s="13">
        <v>0</v>
      </c>
      <c r="AF80" s="13">
        <v>0</v>
      </c>
      <c r="AG80" s="13">
        <v>0</v>
      </c>
      <c r="AH80" s="13">
        <v>0</v>
      </c>
      <c r="AI80" s="13">
        <v>0</v>
      </c>
      <c r="AJ80" s="13">
        <v>0</v>
      </c>
      <c r="AK80" s="13">
        <v>0</v>
      </c>
      <c r="AL80" s="13">
        <v>0</v>
      </c>
      <c r="AM80" s="13">
        <v>0</v>
      </c>
      <c r="AN80" s="13">
        <v>0</v>
      </c>
      <c r="AO80" s="13">
        <v>0</v>
      </c>
      <c r="AP80" s="13">
        <v>0</v>
      </c>
      <c r="AQ80" s="13">
        <v>0</v>
      </c>
      <c r="AR80" s="13">
        <v>0</v>
      </c>
      <c r="AS80" s="13">
        <v>0</v>
      </c>
      <c r="AT80" s="13">
        <v>0</v>
      </c>
      <c r="AU80" s="13">
        <v>0</v>
      </c>
    </row>
    <row r="81" spans="1:47" x14ac:dyDescent="0.25">
      <c r="A81" s="13" t="s">
        <v>376</v>
      </c>
      <c r="B81" s="13">
        <v>13282.59</v>
      </c>
      <c r="C81" s="13">
        <v>11807.7</v>
      </c>
      <c r="D81" s="13">
        <v>13530.81</v>
      </c>
      <c r="E81" s="13">
        <v>11214.3</v>
      </c>
      <c r="F81" s="13">
        <v>7490.9</v>
      </c>
      <c r="G81" s="13">
        <v>16885.54</v>
      </c>
      <c r="H81" s="13">
        <v>24281.59</v>
      </c>
      <c r="I81" s="13">
        <v>23380.22</v>
      </c>
      <c r="J81" s="13">
        <v>18653.16</v>
      </c>
      <c r="K81" s="13">
        <v>15720.97</v>
      </c>
      <c r="L81" s="13">
        <v>16218.48</v>
      </c>
      <c r="M81" s="13">
        <v>14862.2</v>
      </c>
      <c r="N81" s="13">
        <v>8378.6200000000008</v>
      </c>
      <c r="O81" s="13">
        <v>11831.22</v>
      </c>
      <c r="P81" s="13">
        <v>11504.17</v>
      </c>
      <c r="Q81" s="13">
        <v>9751.43</v>
      </c>
      <c r="R81" s="13">
        <v>12661.08</v>
      </c>
      <c r="S81" s="13">
        <v>16084.9</v>
      </c>
      <c r="T81" s="13">
        <v>19884.34</v>
      </c>
      <c r="U81" s="13">
        <v>13823.89</v>
      </c>
      <c r="V81" s="13">
        <v>17526.53</v>
      </c>
      <c r="W81" s="13">
        <v>23150.5</v>
      </c>
      <c r="X81" s="13">
        <v>20545.72</v>
      </c>
      <c r="Y81" s="13">
        <v>19372.939999999999</v>
      </c>
      <c r="Z81" s="13">
        <v>25389.35</v>
      </c>
      <c r="AA81" s="13">
        <v>21398.93</v>
      </c>
      <c r="AB81" s="13">
        <v>26543.49</v>
      </c>
      <c r="AC81" s="13">
        <v>20464.93</v>
      </c>
      <c r="AD81" s="13">
        <v>20015.419999999998</v>
      </c>
      <c r="AE81" s="13">
        <v>16768.240000000002</v>
      </c>
      <c r="AF81" s="13">
        <v>16155.25</v>
      </c>
      <c r="AG81" s="13">
        <v>5265.33</v>
      </c>
      <c r="AH81" s="13">
        <v>4989.55</v>
      </c>
      <c r="AI81" s="13">
        <v>4046.97</v>
      </c>
      <c r="AJ81" s="13">
        <v>4037.94</v>
      </c>
      <c r="AK81" s="13">
        <v>3694.78</v>
      </c>
      <c r="AL81" s="13">
        <v>3993.06</v>
      </c>
      <c r="AM81" s="13">
        <v>4469.17</v>
      </c>
      <c r="AN81" s="13">
        <v>4732.95</v>
      </c>
      <c r="AO81" s="13">
        <v>4432.57</v>
      </c>
      <c r="AP81" s="13">
        <v>4596.84</v>
      </c>
      <c r="AQ81" s="13">
        <v>4613.88</v>
      </c>
      <c r="AR81" s="13">
        <v>4757.4399999999996</v>
      </c>
      <c r="AS81" s="13">
        <v>4601.67</v>
      </c>
      <c r="AT81" s="13">
        <v>4709.57</v>
      </c>
      <c r="AU81" s="13">
        <v>4852.41</v>
      </c>
    </row>
    <row r="82" spans="1:47" x14ac:dyDescent="0.25">
      <c r="A82" s="13" t="s">
        <v>70</v>
      </c>
      <c r="B82" s="13">
        <v>309.95</v>
      </c>
      <c r="C82" s="13">
        <v>309.95</v>
      </c>
      <c r="D82" s="13">
        <v>309.95</v>
      </c>
      <c r="E82" s="13">
        <v>182.56</v>
      </c>
      <c r="F82" s="13">
        <v>215.24</v>
      </c>
      <c r="G82" s="13">
        <v>73.47</v>
      </c>
      <c r="H82" s="13">
        <v>45.67</v>
      </c>
      <c r="I82" s="13">
        <v>65.78</v>
      </c>
      <c r="J82" s="13">
        <v>45.15</v>
      </c>
      <c r="K82" s="13">
        <v>381.13</v>
      </c>
      <c r="L82" s="13">
        <v>657.48</v>
      </c>
      <c r="M82" s="13">
        <v>544.26</v>
      </c>
      <c r="N82" s="13">
        <v>377.97</v>
      </c>
      <c r="O82" s="13">
        <v>459.69</v>
      </c>
      <c r="P82" s="13">
        <v>409.18</v>
      </c>
      <c r="Q82" s="13">
        <v>15.38</v>
      </c>
      <c r="R82" s="13">
        <v>156.56</v>
      </c>
      <c r="S82" s="13">
        <v>132.34</v>
      </c>
      <c r="T82" s="13">
        <v>539.23</v>
      </c>
      <c r="U82" s="13">
        <v>84.08</v>
      </c>
      <c r="V82" s="13">
        <v>1000.86</v>
      </c>
      <c r="W82" s="13">
        <v>3605.96</v>
      </c>
      <c r="X82" s="13">
        <v>2234.2800000000002</v>
      </c>
      <c r="Y82" s="13">
        <v>1372.22</v>
      </c>
      <c r="Z82" s="13">
        <v>3631.94</v>
      </c>
      <c r="AA82" s="13">
        <v>875.73</v>
      </c>
      <c r="AB82" s="13">
        <v>4113.8500000000004</v>
      </c>
      <c r="AC82" s="13">
        <v>1998.32</v>
      </c>
      <c r="AD82" s="13">
        <v>2758.81</v>
      </c>
      <c r="AE82" s="13">
        <v>1821.14</v>
      </c>
      <c r="AF82" s="13">
        <v>1456.37</v>
      </c>
      <c r="AG82" s="13">
        <v>4175.8500000000004</v>
      </c>
      <c r="AH82" s="13">
        <v>4212.34</v>
      </c>
      <c r="AI82" s="13">
        <v>3408.68</v>
      </c>
      <c r="AJ82" s="13">
        <v>3589.03</v>
      </c>
      <c r="AK82" s="13">
        <v>3003.27</v>
      </c>
      <c r="AL82" s="13">
        <v>4115.29</v>
      </c>
      <c r="AM82" s="13">
        <v>2659.02</v>
      </c>
      <c r="AN82" s="13">
        <v>3427.68</v>
      </c>
      <c r="AO82" s="13">
        <v>2475.3000000000002</v>
      </c>
      <c r="AP82" s="13">
        <v>3127.13</v>
      </c>
      <c r="AQ82" s="13">
        <v>2847.24</v>
      </c>
      <c r="AR82" s="13">
        <v>3271.8</v>
      </c>
      <c r="AS82" s="13">
        <v>2712.5</v>
      </c>
      <c r="AT82" s="13">
        <v>3184.36</v>
      </c>
      <c r="AU82" s="13">
        <v>4029.9</v>
      </c>
    </row>
    <row r="84" spans="1:47" ht="18.75" x14ac:dyDescent="0.3">
      <c r="A84" s="14" t="s">
        <v>434</v>
      </c>
    </row>
    <row r="85" spans="1:47" x14ac:dyDescent="0.25">
      <c r="A85" s="13" t="s">
        <v>328</v>
      </c>
      <c r="B85" s="13" t="s">
        <v>329</v>
      </c>
      <c r="C85" s="13" t="s">
        <v>330</v>
      </c>
      <c r="D85" s="13" t="s">
        <v>331</v>
      </c>
      <c r="E85" s="13" t="s">
        <v>332</v>
      </c>
      <c r="F85" s="13" t="s">
        <v>333</v>
      </c>
      <c r="G85" s="13" t="s">
        <v>334</v>
      </c>
      <c r="H85" s="13" t="s">
        <v>335</v>
      </c>
      <c r="I85" s="13" t="s">
        <v>336</v>
      </c>
      <c r="J85" s="13" t="s">
        <v>337</v>
      </c>
      <c r="K85" s="13" t="s">
        <v>338</v>
      </c>
      <c r="L85" s="13" t="s">
        <v>339</v>
      </c>
      <c r="M85" s="13" t="s">
        <v>340</v>
      </c>
      <c r="N85" s="13" t="s">
        <v>341</v>
      </c>
      <c r="O85" s="13" t="s">
        <v>342</v>
      </c>
      <c r="P85" s="13" t="s">
        <v>343</v>
      </c>
      <c r="Q85" s="13" t="s">
        <v>344</v>
      </c>
      <c r="R85" s="13" t="s">
        <v>345</v>
      </c>
      <c r="S85" s="13" t="s">
        <v>346</v>
      </c>
      <c r="T85" s="13" t="s">
        <v>347</v>
      </c>
      <c r="U85" s="13" t="s">
        <v>348</v>
      </c>
      <c r="V85" s="13" t="s">
        <v>349</v>
      </c>
      <c r="W85" s="13" t="s">
        <v>350</v>
      </c>
      <c r="X85" s="13" t="s">
        <v>351</v>
      </c>
      <c r="Y85" s="13" t="s">
        <v>352</v>
      </c>
      <c r="Z85" s="13" t="s">
        <v>353</v>
      </c>
      <c r="AA85" s="13" t="s">
        <v>354</v>
      </c>
      <c r="AB85" s="13" t="s">
        <v>355</v>
      </c>
      <c r="AC85" s="13" t="s">
        <v>356</v>
      </c>
      <c r="AD85" s="13" t="s">
        <v>357</v>
      </c>
      <c r="AE85" s="13" t="s">
        <v>358</v>
      </c>
      <c r="AF85" s="13" t="s">
        <v>359</v>
      </c>
      <c r="AG85" s="13" t="s">
        <v>360</v>
      </c>
      <c r="AH85" s="13" t="s">
        <v>361</v>
      </c>
      <c r="AI85" s="13" t="s">
        <v>362</v>
      </c>
      <c r="AJ85" s="13" t="s">
        <v>363</v>
      </c>
      <c r="AK85" s="13" t="s">
        <v>364</v>
      </c>
      <c r="AL85" s="13" t="s">
        <v>365</v>
      </c>
      <c r="AM85" s="13" t="s">
        <v>366</v>
      </c>
      <c r="AN85" s="13" t="s">
        <v>367</v>
      </c>
      <c r="AO85" s="13" t="s">
        <v>368</v>
      </c>
      <c r="AP85" s="13" t="s">
        <v>369</v>
      </c>
      <c r="AQ85" s="13" t="s">
        <v>370</v>
      </c>
      <c r="AR85" s="13" t="s">
        <v>371</v>
      </c>
      <c r="AS85" s="13" t="s">
        <v>372</v>
      </c>
      <c r="AT85" s="13" t="s">
        <v>373</v>
      </c>
      <c r="AU85" s="13" t="s">
        <v>374</v>
      </c>
    </row>
    <row r="86" spans="1:47" x14ac:dyDescent="0.25">
      <c r="A86" s="13" t="s">
        <v>500</v>
      </c>
      <c r="B86" s="13">
        <v>36440</v>
      </c>
      <c r="C86" s="13">
        <v>33651</v>
      </c>
      <c r="D86" s="13">
        <v>33513</v>
      </c>
      <c r="E86" s="13">
        <v>34588</v>
      </c>
      <c r="F86" s="13">
        <v>33549</v>
      </c>
      <c r="G86" s="13">
        <v>33269</v>
      </c>
      <c r="H86" s="13">
        <v>34206</v>
      </c>
      <c r="I86" s="13">
        <v>32185</v>
      </c>
      <c r="J86" s="13">
        <v>35337</v>
      </c>
      <c r="K86" s="13">
        <v>34494.879999999997</v>
      </c>
      <c r="L86" s="13">
        <v>34774</v>
      </c>
      <c r="M86" s="13">
        <v>36599</v>
      </c>
      <c r="N86" s="13">
        <v>35991</v>
      </c>
      <c r="O86" s="13">
        <v>30732</v>
      </c>
      <c r="P86" s="13">
        <v>32935</v>
      </c>
      <c r="Q86" s="13">
        <v>33738.22</v>
      </c>
      <c r="R86" s="13">
        <v>34368.94</v>
      </c>
      <c r="S86" s="13">
        <v>38153.279999999999</v>
      </c>
      <c r="T86" s="13">
        <v>38153.25</v>
      </c>
      <c r="U86" s="13">
        <v>38153.26</v>
      </c>
      <c r="V86" s="13">
        <v>38153.269999999997</v>
      </c>
      <c r="W86" s="13">
        <v>38153.230000000003</v>
      </c>
      <c r="X86" s="13">
        <v>38153.269999999997</v>
      </c>
      <c r="Y86" s="13">
        <v>38191.410000000003</v>
      </c>
      <c r="Z86" s="13">
        <v>38229.629999999997</v>
      </c>
      <c r="AA86" s="13">
        <v>38267.86</v>
      </c>
      <c r="AB86" s="13">
        <v>38306.089999999997</v>
      </c>
      <c r="AC86" s="13">
        <v>38344.42</v>
      </c>
      <c r="AD86" s="13">
        <v>38382.78</v>
      </c>
      <c r="AE86" s="13">
        <v>38421.120000000003</v>
      </c>
      <c r="AF86" s="13">
        <v>38459.58</v>
      </c>
      <c r="AG86" s="13">
        <v>38498.03</v>
      </c>
      <c r="AH86" s="13">
        <v>38536.49</v>
      </c>
      <c r="AI86" s="13">
        <v>38575.08</v>
      </c>
      <c r="AJ86" s="13">
        <v>38613.64</v>
      </c>
      <c r="AK86" s="13">
        <v>38652.239999999998</v>
      </c>
      <c r="AL86" s="13">
        <v>38690.93</v>
      </c>
      <c r="AM86" s="13">
        <v>38729.61</v>
      </c>
      <c r="AN86" s="13">
        <v>38768.31</v>
      </c>
      <c r="AO86" s="13">
        <v>38807.06</v>
      </c>
      <c r="AP86" s="13">
        <v>38845.89</v>
      </c>
      <c r="AQ86" s="13">
        <v>38884.71</v>
      </c>
      <c r="AR86" s="13">
        <v>38923.599999999999</v>
      </c>
      <c r="AS86" s="13">
        <v>38962.550000000003</v>
      </c>
      <c r="AT86" s="13">
        <v>39001.5</v>
      </c>
      <c r="AU86" s="13">
        <v>39040.559999999998</v>
      </c>
    </row>
    <row r="87" spans="1:47" x14ac:dyDescent="0.25">
      <c r="A87" s="13" t="s">
        <v>501</v>
      </c>
      <c r="B87" s="13">
        <v>53</v>
      </c>
      <c r="C87" s="13">
        <v>325</v>
      </c>
      <c r="D87" s="13">
        <v>325</v>
      </c>
      <c r="E87" s="13">
        <v>412</v>
      </c>
      <c r="F87" s="13">
        <v>365</v>
      </c>
      <c r="G87" s="13">
        <v>343</v>
      </c>
      <c r="H87" s="13">
        <v>747</v>
      </c>
      <c r="I87" s="13">
        <v>877</v>
      </c>
      <c r="J87" s="13">
        <v>868</v>
      </c>
      <c r="K87" s="13">
        <v>911.32</v>
      </c>
      <c r="L87" s="13">
        <v>903</v>
      </c>
      <c r="M87" s="13">
        <v>966</v>
      </c>
      <c r="N87" s="13">
        <v>927</v>
      </c>
      <c r="O87" s="13">
        <v>873</v>
      </c>
      <c r="P87" s="13">
        <v>884</v>
      </c>
      <c r="Q87" s="13">
        <v>884</v>
      </c>
      <c r="R87" s="13">
        <v>885</v>
      </c>
      <c r="S87" s="13">
        <v>887.31</v>
      </c>
      <c r="T87" s="13">
        <v>889.64</v>
      </c>
      <c r="U87" s="13">
        <v>1008.18</v>
      </c>
      <c r="V87" s="13">
        <v>1124.3499999999999</v>
      </c>
      <c r="W87" s="13">
        <v>1245.17</v>
      </c>
      <c r="X87" s="13">
        <v>1369.69</v>
      </c>
      <c r="Y87" s="13">
        <v>1497.67</v>
      </c>
      <c r="Z87" s="13">
        <v>1628.83</v>
      </c>
      <c r="AA87" s="13">
        <v>1770.91</v>
      </c>
      <c r="AB87" s="13">
        <v>1916.32</v>
      </c>
      <c r="AC87" s="13">
        <v>2065.79</v>
      </c>
      <c r="AD87" s="13">
        <v>2223.11</v>
      </c>
      <c r="AE87" s="13">
        <v>2384.0300000000002</v>
      </c>
      <c r="AF87" s="13">
        <v>2552.8000000000002</v>
      </c>
      <c r="AG87" s="13">
        <v>2727.04</v>
      </c>
      <c r="AH87" s="13">
        <v>2908.15</v>
      </c>
      <c r="AI87" s="13">
        <v>3100.09</v>
      </c>
      <c r="AJ87" s="13">
        <v>3309.26</v>
      </c>
      <c r="AK87" s="13">
        <v>3548.76</v>
      </c>
      <c r="AL87" s="13">
        <v>3835.53</v>
      </c>
      <c r="AM87" s="13">
        <v>4146.99</v>
      </c>
      <c r="AN87" s="13">
        <v>4478.46</v>
      </c>
      <c r="AO87" s="13">
        <v>4795.55</v>
      </c>
      <c r="AP87" s="13">
        <v>5092.3500000000004</v>
      </c>
      <c r="AQ87" s="13">
        <v>5370.75</v>
      </c>
      <c r="AR87" s="13">
        <v>5619.18</v>
      </c>
      <c r="AS87" s="13">
        <v>5852.22</v>
      </c>
      <c r="AT87" s="13">
        <v>6080.23</v>
      </c>
      <c r="AU87" s="13">
        <v>6301.06</v>
      </c>
    </row>
    <row r="88" spans="1:47" x14ac:dyDescent="0.25">
      <c r="A88" s="13" t="s">
        <v>502</v>
      </c>
      <c r="B88" s="13">
        <v>27.33</v>
      </c>
      <c r="C88" s="13">
        <v>32</v>
      </c>
      <c r="D88" s="13">
        <v>27</v>
      </c>
      <c r="E88" s="13">
        <v>38</v>
      </c>
      <c r="F88" s="13">
        <v>0</v>
      </c>
      <c r="G88" s="13">
        <v>0</v>
      </c>
      <c r="H88" s="13">
        <v>0</v>
      </c>
      <c r="I88" s="13">
        <v>39</v>
      </c>
      <c r="J88" s="13">
        <v>42</v>
      </c>
      <c r="K88" s="13">
        <v>64.400000000000006</v>
      </c>
      <c r="L88" s="13">
        <v>82</v>
      </c>
      <c r="M88" s="13">
        <v>108</v>
      </c>
      <c r="N88" s="13">
        <v>56</v>
      </c>
      <c r="O88" s="13">
        <v>46</v>
      </c>
      <c r="P88" s="13">
        <v>82</v>
      </c>
      <c r="Q88" s="13">
        <v>82</v>
      </c>
      <c r="R88" s="13">
        <v>82</v>
      </c>
      <c r="S88" s="13">
        <v>82</v>
      </c>
      <c r="T88" s="13">
        <v>82</v>
      </c>
      <c r="U88" s="13">
        <v>82</v>
      </c>
      <c r="V88" s="13">
        <v>82</v>
      </c>
      <c r="W88" s="13">
        <v>82</v>
      </c>
      <c r="X88" s="13">
        <v>82</v>
      </c>
      <c r="Y88" s="13">
        <v>82</v>
      </c>
      <c r="Z88" s="13">
        <v>82</v>
      </c>
      <c r="AA88" s="13">
        <v>82</v>
      </c>
      <c r="AB88" s="13">
        <v>82</v>
      </c>
      <c r="AC88" s="13">
        <v>82</v>
      </c>
      <c r="AD88" s="13">
        <v>82</v>
      </c>
      <c r="AE88" s="13">
        <v>82</v>
      </c>
      <c r="AF88" s="13">
        <v>82</v>
      </c>
      <c r="AG88" s="13">
        <v>82</v>
      </c>
      <c r="AH88" s="13">
        <v>82</v>
      </c>
      <c r="AI88" s="13">
        <v>82</v>
      </c>
      <c r="AJ88" s="13">
        <v>82</v>
      </c>
      <c r="AK88" s="13">
        <v>82</v>
      </c>
      <c r="AL88" s="13">
        <v>82</v>
      </c>
      <c r="AM88" s="13">
        <v>82</v>
      </c>
      <c r="AN88" s="13">
        <v>82</v>
      </c>
      <c r="AO88" s="13">
        <v>82</v>
      </c>
      <c r="AP88" s="13">
        <v>82</v>
      </c>
      <c r="AQ88" s="13">
        <v>82</v>
      </c>
      <c r="AR88" s="13">
        <v>82</v>
      </c>
      <c r="AS88" s="13">
        <v>82</v>
      </c>
      <c r="AT88" s="13">
        <v>82</v>
      </c>
      <c r="AU88" s="13">
        <v>82</v>
      </c>
    </row>
    <row r="89" spans="1:47" x14ac:dyDescent="0.25">
      <c r="A89" s="13" t="s">
        <v>503</v>
      </c>
      <c r="B89" s="13">
        <v>0</v>
      </c>
      <c r="C89" s="13">
        <v>0</v>
      </c>
      <c r="D89" s="13">
        <v>0</v>
      </c>
      <c r="E89" s="13">
        <v>0</v>
      </c>
      <c r="F89" s="13">
        <v>0</v>
      </c>
      <c r="G89" s="13">
        <v>0</v>
      </c>
      <c r="H89" s="13">
        <v>0</v>
      </c>
      <c r="I89" s="13">
        <v>0</v>
      </c>
      <c r="J89" s="13">
        <v>0</v>
      </c>
      <c r="K89" s="13">
        <v>0</v>
      </c>
      <c r="L89" s="13">
        <v>0</v>
      </c>
      <c r="M89" s="13">
        <v>0</v>
      </c>
      <c r="N89" s="13">
        <v>0</v>
      </c>
      <c r="O89" s="13">
        <v>0</v>
      </c>
      <c r="P89" s="13">
        <v>0</v>
      </c>
      <c r="Q89" s="13">
        <v>5.26</v>
      </c>
      <c r="R89" s="13">
        <v>6.26</v>
      </c>
      <c r="S89" s="13">
        <v>8.26</v>
      </c>
      <c r="T89" s="13">
        <v>10.37</v>
      </c>
      <c r="U89" s="13">
        <v>70.16</v>
      </c>
      <c r="V89" s="13">
        <v>72.97</v>
      </c>
      <c r="W89" s="13">
        <v>76.02</v>
      </c>
      <c r="X89" s="13">
        <v>79.27</v>
      </c>
      <c r="Y89" s="13">
        <v>82.78</v>
      </c>
      <c r="Z89" s="13">
        <v>86.69</v>
      </c>
      <c r="AA89" s="13">
        <v>90.97</v>
      </c>
      <c r="AB89" s="13">
        <v>95.48</v>
      </c>
      <c r="AC89" s="13">
        <v>100.62</v>
      </c>
      <c r="AD89" s="13">
        <v>110.4</v>
      </c>
      <c r="AE89" s="13">
        <v>120.88</v>
      </c>
      <c r="AF89" s="13">
        <v>136.36000000000001</v>
      </c>
      <c r="AG89" s="13">
        <v>154.72999999999999</v>
      </c>
      <c r="AH89" s="13">
        <v>244.35</v>
      </c>
      <c r="AI89" s="13">
        <v>345.37</v>
      </c>
      <c r="AJ89" s="13">
        <v>463.64</v>
      </c>
      <c r="AK89" s="13">
        <v>609.78</v>
      </c>
      <c r="AL89" s="13">
        <v>798.98</v>
      </c>
      <c r="AM89" s="13">
        <v>1010.43</v>
      </c>
      <c r="AN89" s="13">
        <v>1240.03</v>
      </c>
      <c r="AO89" s="13">
        <v>1455.72</v>
      </c>
      <c r="AP89" s="13">
        <v>1651.96</v>
      </c>
      <c r="AQ89" s="13">
        <v>1830.27</v>
      </c>
      <c r="AR89" s="13">
        <v>1979.73</v>
      </c>
      <c r="AS89" s="13">
        <v>2113.79</v>
      </c>
      <c r="AT89" s="13">
        <v>2234.4299999999998</v>
      </c>
      <c r="AU89" s="13">
        <v>2353.86</v>
      </c>
    </row>
    <row r="90" spans="1:47" x14ac:dyDescent="0.25">
      <c r="A90" s="13" t="s">
        <v>504</v>
      </c>
      <c r="B90" s="13">
        <v>0</v>
      </c>
      <c r="C90" s="13">
        <v>0</v>
      </c>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0</v>
      </c>
      <c r="W90" s="13">
        <v>0</v>
      </c>
      <c r="X90" s="13">
        <v>0</v>
      </c>
      <c r="Y90" s="13">
        <v>0</v>
      </c>
      <c r="Z90" s="13">
        <v>0</v>
      </c>
      <c r="AA90" s="13">
        <v>0</v>
      </c>
      <c r="AB90" s="13">
        <v>0</v>
      </c>
      <c r="AC90" s="13">
        <v>0</v>
      </c>
      <c r="AD90" s="13">
        <v>0</v>
      </c>
      <c r="AE90" s="13">
        <v>0</v>
      </c>
      <c r="AF90" s="13">
        <v>0</v>
      </c>
      <c r="AG90" s="13">
        <v>0</v>
      </c>
      <c r="AH90" s="13">
        <v>0</v>
      </c>
      <c r="AI90" s="13">
        <v>0</v>
      </c>
      <c r="AJ90" s="13">
        <v>0</v>
      </c>
      <c r="AK90" s="13">
        <v>0</v>
      </c>
      <c r="AL90" s="13">
        <v>0</v>
      </c>
      <c r="AM90" s="13">
        <v>0</v>
      </c>
      <c r="AN90" s="13">
        <v>0</v>
      </c>
      <c r="AO90" s="13">
        <v>0</v>
      </c>
      <c r="AP90" s="13">
        <v>0</v>
      </c>
      <c r="AQ90" s="13">
        <v>0</v>
      </c>
      <c r="AR90" s="13">
        <v>0</v>
      </c>
      <c r="AS90" s="13">
        <v>0</v>
      </c>
      <c r="AT90" s="13">
        <v>0</v>
      </c>
      <c r="AU90" s="13">
        <v>0</v>
      </c>
    </row>
    <row r="91" spans="1:47" x14ac:dyDescent="0.25">
      <c r="A91" s="13" t="s">
        <v>505</v>
      </c>
      <c r="B91" s="13">
        <v>413.26</v>
      </c>
      <c r="C91" s="13">
        <v>316.98</v>
      </c>
      <c r="D91" s="13">
        <v>380.97</v>
      </c>
      <c r="E91" s="13">
        <v>380.18</v>
      </c>
      <c r="F91" s="13">
        <v>137.79</v>
      </c>
      <c r="G91" s="13">
        <v>43.57</v>
      </c>
      <c r="H91" s="13">
        <v>48.77</v>
      </c>
      <c r="I91" s="13">
        <v>50.54</v>
      </c>
      <c r="J91" s="13">
        <v>64.180000000000007</v>
      </c>
      <c r="K91" s="13">
        <v>67.62</v>
      </c>
      <c r="L91" s="13">
        <v>61.83</v>
      </c>
      <c r="M91" s="13">
        <v>27.48</v>
      </c>
      <c r="N91" s="13">
        <v>29.44</v>
      </c>
      <c r="O91" s="13">
        <v>4.91</v>
      </c>
      <c r="P91" s="13">
        <v>0</v>
      </c>
      <c r="Q91" s="13">
        <v>0</v>
      </c>
      <c r="R91" s="13">
        <v>0</v>
      </c>
      <c r="S91" s="13">
        <v>0</v>
      </c>
      <c r="T91" s="13">
        <v>0</v>
      </c>
      <c r="U91" s="13">
        <v>0</v>
      </c>
      <c r="V91" s="13">
        <v>0</v>
      </c>
      <c r="W91" s="13">
        <v>0</v>
      </c>
      <c r="X91" s="13">
        <v>0</v>
      </c>
      <c r="Y91" s="13">
        <v>0</v>
      </c>
      <c r="Z91" s="13">
        <v>0</v>
      </c>
      <c r="AA91" s="13">
        <v>0</v>
      </c>
      <c r="AB91" s="13">
        <v>0</v>
      </c>
      <c r="AC91" s="13">
        <v>0</v>
      </c>
      <c r="AD91" s="13">
        <v>0</v>
      </c>
      <c r="AE91" s="13">
        <v>0</v>
      </c>
      <c r="AF91" s="13">
        <v>0</v>
      </c>
      <c r="AG91" s="13">
        <v>0</v>
      </c>
      <c r="AH91" s="13">
        <v>0</v>
      </c>
      <c r="AI91" s="13">
        <v>0</v>
      </c>
      <c r="AJ91" s="13">
        <v>0</v>
      </c>
      <c r="AK91" s="13">
        <v>0</v>
      </c>
      <c r="AL91" s="13">
        <v>0</v>
      </c>
      <c r="AM91" s="13">
        <v>0</v>
      </c>
      <c r="AN91" s="13">
        <v>0</v>
      </c>
      <c r="AO91" s="13">
        <v>0</v>
      </c>
      <c r="AP91" s="13">
        <v>0</v>
      </c>
      <c r="AQ91" s="13">
        <v>0</v>
      </c>
      <c r="AR91" s="13">
        <v>0</v>
      </c>
      <c r="AS91" s="13">
        <v>0</v>
      </c>
      <c r="AT91" s="13">
        <v>0</v>
      </c>
      <c r="AU91" s="13">
        <v>0</v>
      </c>
    </row>
    <row r="92" spans="1:47" x14ac:dyDescent="0.25">
      <c r="A92" s="13" t="s">
        <v>376</v>
      </c>
      <c r="B92" s="13">
        <v>41.65</v>
      </c>
      <c r="C92" s="13">
        <v>90.76</v>
      </c>
      <c r="D92" s="13">
        <v>172.59</v>
      </c>
      <c r="E92" s="13">
        <v>133.66</v>
      </c>
      <c r="F92" s="13">
        <v>129.41</v>
      </c>
      <c r="G92" s="13">
        <v>98.95</v>
      </c>
      <c r="H92" s="13">
        <v>109.3</v>
      </c>
      <c r="I92" s="13">
        <v>60.7</v>
      </c>
      <c r="J92" s="13">
        <v>30.49</v>
      </c>
      <c r="K92" s="13">
        <v>32.090000000000003</v>
      </c>
      <c r="L92" s="13">
        <v>119.35</v>
      </c>
      <c r="M92" s="13">
        <v>69.02</v>
      </c>
      <c r="N92" s="13">
        <v>70.72</v>
      </c>
      <c r="O92" s="13">
        <v>51.46</v>
      </c>
      <c r="P92" s="13">
        <v>39.9</v>
      </c>
      <c r="Q92" s="13">
        <v>247.24</v>
      </c>
      <c r="R92" s="13">
        <v>380.91</v>
      </c>
      <c r="S92" s="13">
        <v>151.19999999999999</v>
      </c>
      <c r="T92" s="13">
        <v>151.08000000000001</v>
      </c>
      <c r="U92" s="13">
        <v>116.1</v>
      </c>
      <c r="V92" s="13">
        <v>150.65</v>
      </c>
      <c r="W92" s="13">
        <v>115.51</v>
      </c>
      <c r="X92" s="13">
        <v>115.51</v>
      </c>
      <c r="Y92" s="13">
        <v>57.19</v>
      </c>
      <c r="Z92" s="13">
        <v>57.19</v>
      </c>
      <c r="AA92" s="13">
        <v>22.2</v>
      </c>
      <c r="AB92" s="13">
        <v>22.16</v>
      </c>
      <c r="AC92" s="13">
        <v>22.11</v>
      </c>
      <c r="AD92" s="13">
        <v>22.06</v>
      </c>
      <c r="AE92" s="13">
        <v>22.01</v>
      </c>
      <c r="AF92" s="13">
        <v>21.96</v>
      </c>
      <c r="AG92" s="13">
        <v>21.92</v>
      </c>
      <c r="AH92" s="13">
        <v>21.87</v>
      </c>
      <c r="AI92" s="13">
        <v>21.81</v>
      </c>
      <c r="AJ92" s="13">
        <v>21.75</v>
      </c>
      <c r="AK92" s="13">
        <v>21.7</v>
      </c>
      <c r="AL92" s="13">
        <v>21.7</v>
      </c>
      <c r="AM92" s="13">
        <v>21.7</v>
      </c>
      <c r="AN92" s="13">
        <v>21.7</v>
      </c>
      <c r="AO92" s="13">
        <v>21.69</v>
      </c>
      <c r="AP92" s="13">
        <v>21.69</v>
      </c>
      <c r="AQ92" s="13">
        <v>21.68</v>
      </c>
      <c r="AR92" s="13">
        <v>21.68</v>
      </c>
      <c r="AS92" s="13">
        <v>21.67</v>
      </c>
      <c r="AT92" s="13">
        <v>192.58</v>
      </c>
      <c r="AU92" s="13">
        <v>168.86</v>
      </c>
    </row>
    <row r="93" spans="1:47" x14ac:dyDescent="0.25">
      <c r="A93" s="13" t="s">
        <v>70</v>
      </c>
      <c r="B93" s="13">
        <v>8.2899999999999991</v>
      </c>
      <c r="C93" s="13">
        <v>7.35</v>
      </c>
      <c r="D93" s="13">
        <v>10.64</v>
      </c>
      <c r="E93" s="13">
        <v>9.4499999999999993</v>
      </c>
      <c r="F93" s="13">
        <v>4.71</v>
      </c>
      <c r="G93" s="13">
        <v>2.37</v>
      </c>
      <c r="H93" s="13">
        <v>3.53</v>
      </c>
      <c r="I93" s="13">
        <v>2.65</v>
      </c>
      <c r="J93" s="13">
        <v>1.93</v>
      </c>
      <c r="K93" s="13">
        <v>6.79</v>
      </c>
      <c r="L93" s="13">
        <v>5.82</v>
      </c>
      <c r="M93" s="13">
        <v>2.5099999999999998</v>
      </c>
      <c r="N93" s="13">
        <v>2.84</v>
      </c>
      <c r="O93" s="13">
        <v>1.64</v>
      </c>
      <c r="P93" s="13">
        <v>1.1000000000000001</v>
      </c>
      <c r="Q93" s="13">
        <v>10.78</v>
      </c>
      <c r="R93" s="13">
        <v>19.850000000000001</v>
      </c>
      <c r="S93" s="13">
        <v>0.47</v>
      </c>
      <c r="T93" s="13">
        <v>0.6</v>
      </c>
      <c r="U93" s="13">
        <v>0.77</v>
      </c>
      <c r="V93" s="13">
        <v>1.02</v>
      </c>
      <c r="W93" s="13">
        <v>1.37</v>
      </c>
      <c r="X93" s="13">
        <v>1.37</v>
      </c>
      <c r="Y93" s="13">
        <v>1.37</v>
      </c>
      <c r="Z93" s="13">
        <v>1.37</v>
      </c>
      <c r="AA93" s="13">
        <v>1.38</v>
      </c>
      <c r="AB93" s="13">
        <v>1.41</v>
      </c>
      <c r="AC93" s="13">
        <v>1.46</v>
      </c>
      <c r="AD93" s="13">
        <v>1.51</v>
      </c>
      <c r="AE93" s="13">
        <v>1.56</v>
      </c>
      <c r="AF93" s="13">
        <v>1.61</v>
      </c>
      <c r="AG93" s="13">
        <v>1.66</v>
      </c>
      <c r="AH93" s="13">
        <v>1.71</v>
      </c>
      <c r="AI93" s="13">
        <v>1.76</v>
      </c>
      <c r="AJ93" s="13">
        <v>1.82</v>
      </c>
      <c r="AK93" s="13">
        <v>1.88</v>
      </c>
      <c r="AL93" s="13">
        <v>1.87</v>
      </c>
      <c r="AM93" s="13">
        <v>1.87</v>
      </c>
      <c r="AN93" s="13">
        <v>1.87</v>
      </c>
      <c r="AO93" s="13">
        <v>1.88</v>
      </c>
      <c r="AP93" s="13">
        <v>1.89</v>
      </c>
      <c r="AQ93" s="13">
        <v>1.89</v>
      </c>
      <c r="AR93" s="13">
        <v>1.9</v>
      </c>
      <c r="AS93" s="13">
        <v>1.91</v>
      </c>
      <c r="AT93" s="13">
        <v>33.93</v>
      </c>
      <c r="AU93" s="13">
        <v>24.1</v>
      </c>
    </row>
    <row r="95" spans="1:47" ht="18.75" x14ac:dyDescent="0.3">
      <c r="A95" s="14" t="s">
        <v>418</v>
      </c>
    </row>
    <row r="96" spans="1:47" x14ac:dyDescent="0.25">
      <c r="A96" s="13" t="s">
        <v>328</v>
      </c>
      <c r="B96" s="13" t="s">
        <v>329</v>
      </c>
      <c r="C96" s="13" t="s">
        <v>330</v>
      </c>
      <c r="D96" s="13" t="s">
        <v>331</v>
      </c>
      <c r="E96" s="13" t="s">
        <v>332</v>
      </c>
      <c r="F96" s="13" t="s">
        <v>333</v>
      </c>
      <c r="G96" s="13" t="s">
        <v>334</v>
      </c>
      <c r="H96" s="13" t="s">
        <v>335</v>
      </c>
      <c r="I96" s="13" t="s">
        <v>336</v>
      </c>
      <c r="J96" s="13" t="s">
        <v>337</v>
      </c>
      <c r="K96" s="13" t="s">
        <v>338</v>
      </c>
      <c r="L96" s="13" t="s">
        <v>339</v>
      </c>
      <c r="M96" s="13" t="s">
        <v>340</v>
      </c>
      <c r="N96" s="13" t="s">
        <v>341</v>
      </c>
      <c r="O96" s="13" t="s">
        <v>342</v>
      </c>
      <c r="P96" s="13" t="s">
        <v>343</v>
      </c>
      <c r="Q96" s="13" t="s">
        <v>344</v>
      </c>
      <c r="R96" s="13" t="s">
        <v>345</v>
      </c>
      <c r="S96" s="13" t="s">
        <v>346</v>
      </c>
      <c r="T96" s="13" t="s">
        <v>347</v>
      </c>
      <c r="U96" s="13" t="s">
        <v>348</v>
      </c>
      <c r="V96" s="13" t="s">
        <v>349</v>
      </c>
      <c r="W96" s="13" t="s">
        <v>350</v>
      </c>
      <c r="X96" s="13" t="s">
        <v>351</v>
      </c>
      <c r="Y96" s="13" t="s">
        <v>352</v>
      </c>
      <c r="Z96" s="13" t="s">
        <v>353</v>
      </c>
      <c r="AA96" s="13" t="s">
        <v>354</v>
      </c>
      <c r="AB96" s="13" t="s">
        <v>355</v>
      </c>
      <c r="AC96" s="13" t="s">
        <v>356</v>
      </c>
      <c r="AD96" s="13" t="s">
        <v>357</v>
      </c>
      <c r="AE96" s="13" t="s">
        <v>358</v>
      </c>
      <c r="AF96" s="13" t="s">
        <v>359</v>
      </c>
      <c r="AG96" s="13" t="s">
        <v>360</v>
      </c>
      <c r="AH96" s="13" t="s">
        <v>361</v>
      </c>
      <c r="AI96" s="13" t="s">
        <v>362</v>
      </c>
      <c r="AJ96" s="13" t="s">
        <v>363</v>
      </c>
      <c r="AK96" s="13" t="s">
        <v>364</v>
      </c>
      <c r="AL96" s="13" t="s">
        <v>365</v>
      </c>
      <c r="AM96" s="13" t="s">
        <v>366</v>
      </c>
      <c r="AN96" s="13" t="s">
        <v>367</v>
      </c>
      <c r="AO96" s="13" t="s">
        <v>368</v>
      </c>
      <c r="AP96" s="13" t="s">
        <v>369</v>
      </c>
      <c r="AQ96" s="13" t="s">
        <v>370</v>
      </c>
      <c r="AR96" s="13" t="s">
        <v>371</v>
      </c>
      <c r="AS96" s="13" t="s">
        <v>372</v>
      </c>
      <c r="AT96" s="13" t="s">
        <v>373</v>
      </c>
      <c r="AU96" s="13" t="s">
        <v>374</v>
      </c>
    </row>
    <row r="97" spans="1:47" x14ac:dyDescent="0.25">
      <c r="A97" s="13" t="s">
        <v>500</v>
      </c>
      <c r="B97" s="13">
        <v>2316</v>
      </c>
      <c r="C97" s="13">
        <v>1966</v>
      </c>
      <c r="D97" s="13">
        <v>2113</v>
      </c>
      <c r="E97" s="13">
        <v>2150</v>
      </c>
      <c r="F97" s="13">
        <v>1695</v>
      </c>
      <c r="G97" s="13">
        <v>1620</v>
      </c>
      <c r="H97" s="13">
        <v>2036</v>
      </c>
      <c r="I97" s="13">
        <v>2319</v>
      </c>
      <c r="J97" s="13">
        <v>2028</v>
      </c>
      <c r="K97" s="13">
        <v>1821.38</v>
      </c>
      <c r="L97" s="13">
        <v>1977</v>
      </c>
      <c r="M97" s="13">
        <v>1971</v>
      </c>
      <c r="N97" s="13">
        <v>2062</v>
      </c>
      <c r="O97" s="13">
        <v>1991</v>
      </c>
      <c r="P97" s="13">
        <v>2043</v>
      </c>
      <c r="Q97" s="13">
        <v>2043.02</v>
      </c>
      <c r="R97" s="13">
        <v>2042.98</v>
      </c>
      <c r="S97" s="13">
        <v>2034.64</v>
      </c>
      <c r="T97" s="13">
        <v>1733.2</v>
      </c>
      <c r="U97" s="13">
        <v>1752.85</v>
      </c>
      <c r="V97" s="13">
        <v>1749.79</v>
      </c>
      <c r="W97" s="13">
        <v>1749.74</v>
      </c>
      <c r="X97" s="13">
        <v>1730.78</v>
      </c>
      <c r="Y97" s="13">
        <v>1306.46</v>
      </c>
      <c r="Z97" s="13">
        <v>800.58</v>
      </c>
      <c r="AA97" s="13">
        <v>1083.69</v>
      </c>
      <c r="AB97" s="13">
        <v>908.48</v>
      </c>
      <c r="AC97" s="13">
        <v>722.81</v>
      </c>
      <c r="AD97" s="13">
        <v>685.25</v>
      </c>
      <c r="AE97" s="13">
        <v>666.41</v>
      </c>
      <c r="AF97" s="13">
        <v>634.45000000000005</v>
      </c>
      <c r="AG97" s="13">
        <v>622.97</v>
      </c>
      <c r="AH97" s="13">
        <v>622.1</v>
      </c>
      <c r="AI97" s="13">
        <v>596.49</v>
      </c>
      <c r="AJ97" s="13">
        <v>599.95000000000005</v>
      </c>
      <c r="AK97" s="13">
        <v>554</v>
      </c>
      <c r="AL97" s="13">
        <v>557.14</v>
      </c>
      <c r="AM97" s="13">
        <v>529.51</v>
      </c>
      <c r="AN97" s="13">
        <v>524.26</v>
      </c>
      <c r="AO97" s="13">
        <v>508.21</v>
      </c>
      <c r="AP97" s="13">
        <v>493.01</v>
      </c>
      <c r="AQ97" s="13">
        <v>480.62</v>
      </c>
      <c r="AR97" s="13">
        <v>486.98</v>
      </c>
      <c r="AS97" s="13">
        <v>478.84</v>
      </c>
      <c r="AT97" s="13">
        <v>491.28</v>
      </c>
      <c r="AU97" s="13">
        <v>505.55</v>
      </c>
    </row>
    <row r="98" spans="1:47" x14ac:dyDescent="0.25">
      <c r="A98" s="13" t="s">
        <v>501</v>
      </c>
      <c r="B98" s="13">
        <v>741</v>
      </c>
      <c r="C98" s="13">
        <v>921</v>
      </c>
      <c r="D98" s="13">
        <v>1430</v>
      </c>
      <c r="E98" s="13">
        <v>1473</v>
      </c>
      <c r="F98" s="13">
        <v>1558</v>
      </c>
      <c r="G98" s="13">
        <v>1629</v>
      </c>
      <c r="H98" s="13">
        <v>2372</v>
      </c>
      <c r="I98" s="13">
        <v>2601</v>
      </c>
      <c r="J98" s="13">
        <v>3058</v>
      </c>
      <c r="K98" s="13">
        <v>3518.87</v>
      </c>
      <c r="L98" s="13">
        <v>4089</v>
      </c>
      <c r="M98" s="13">
        <v>4586</v>
      </c>
      <c r="N98" s="13">
        <v>4634</v>
      </c>
      <c r="O98" s="13">
        <v>4119</v>
      </c>
      <c r="P98" s="13">
        <v>4206</v>
      </c>
      <c r="Q98" s="13">
        <v>4206</v>
      </c>
      <c r="R98" s="13">
        <v>4206.1099999999997</v>
      </c>
      <c r="S98" s="13">
        <v>15769.94</v>
      </c>
      <c r="T98" s="13">
        <v>15347.17</v>
      </c>
      <c r="U98" s="13">
        <v>15301.37</v>
      </c>
      <c r="V98" s="13">
        <v>15129.24</v>
      </c>
      <c r="W98" s="13">
        <v>15071.71</v>
      </c>
      <c r="X98" s="13">
        <v>21206.05</v>
      </c>
      <c r="Y98" s="13">
        <v>23490.57</v>
      </c>
      <c r="Z98" s="13">
        <v>27204.89</v>
      </c>
      <c r="AA98" s="13">
        <v>29182.71</v>
      </c>
      <c r="AB98" s="13">
        <v>30569.98</v>
      </c>
      <c r="AC98" s="13">
        <v>31781.22</v>
      </c>
      <c r="AD98" s="13">
        <v>30619.53</v>
      </c>
      <c r="AE98" s="13">
        <v>30246.01</v>
      </c>
      <c r="AF98" s="13">
        <v>29004.62</v>
      </c>
      <c r="AG98" s="13">
        <v>29035.8</v>
      </c>
      <c r="AH98" s="13">
        <v>29254.17</v>
      </c>
      <c r="AI98" s="13">
        <v>29980.02</v>
      </c>
      <c r="AJ98" s="13">
        <v>30361.1</v>
      </c>
      <c r="AK98" s="13">
        <v>30113.61</v>
      </c>
      <c r="AL98" s="13">
        <v>30451.95</v>
      </c>
      <c r="AM98" s="13">
        <v>31252.58</v>
      </c>
      <c r="AN98" s="13">
        <v>30938.7</v>
      </c>
      <c r="AO98" s="13">
        <v>32060.54</v>
      </c>
      <c r="AP98" s="13">
        <v>31143.439999999999</v>
      </c>
      <c r="AQ98" s="13">
        <v>32308.49</v>
      </c>
      <c r="AR98" s="13">
        <v>32693.200000000001</v>
      </c>
      <c r="AS98" s="13">
        <v>34076.6</v>
      </c>
      <c r="AT98" s="13">
        <v>34900.14</v>
      </c>
      <c r="AU98" s="13">
        <v>35844.17</v>
      </c>
    </row>
    <row r="99" spans="1:47" x14ac:dyDescent="0.25">
      <c r="A99" s="13" t="s">
        <v>502</v>
      </c>
      <c r="B99" s="13">
        <v>1725.17</v>
      </c>
      <c r="C99" s="13">
        <v>1855.17</v>
      </c>
      <c r="D99" s="13">
        <v>1870.36</v>
      </c>
      <c r="E99" s="13">
        <v>1917.39</v>
      </c>
      <c r="F99" s="13">
        <v>1861.5</v>
      </c>
      <c r="G99" s="13">
        <v>1908.78</v>
      </c>
      <c r="H99" s="13">
        <v>1972.19</v>
      </c>
      <c r="I99" s="13">
        <v>2089.12</v>
      </c>
      <c r="J99" s="13">
        <v>2250.1</v>
      </c>
      <c r="K99" s="13">
        <v>3497.7</v>
      </c>
      <c r="L99" s="13">
        <v>2120.3000000000002</v>
      </c>
      <c r="M99" s="13">
        <v>2127.4499999999998</v>
      </c>
      <c r="N99" s="13">
        <v>1158.51</v>
      </c>
      <c r="O99" s="13">
        <v>1837.13</v>
      </c>
      <c r="P99" s="13">
        <v>1844.11</v>
      </c>
      <c r="Q99" s="13">
        <v>1631.82</v>
      </c>
      <c r="R99" s="13">
        <v>1631.82</v>
      </c>
      <c r="S99" s="13">
        <v>1807.02</v>
      </c>
      <c r="T99" s="13">
        <v>1788.06</v>
      </c>
      <c r="U99" s="13">
        <v>1785.96</v>
      </c>
      <c r="V99" s="13">
        <v>1778.17</v>
      </c>
      <c r="W99" s="13">
        <v>1775.53</v>
      </c>
      <c r="X99" s="13">
        <v>1743</v>
      </c>
      <c r="Y99" s="13">
        <v>1671.79</v>
      </c>
      <c r="Z99" s="13">
        <v>1606.43</v>
      </c>
      <c r="AA99" s="13">
        <v>1482.13</v>
      </c>
      <c r="AB99" s="13">
        <v>1419.91</v>
      </c>
      <c r="AC99" s="13">
        <v>1353.69</v>
      </c>
      <c r="AD99" s="13">
        <v>1340.59</v>
      </c>
      <c r="AE99" s="13">
        <v>1333.82</v>
      </c>
      <c r="AF99" s="13">
        <v>1322.39</v>
      </c>
      <c r="AG99" s="13">
        <v>1318.26</v>
      </c>
      <c r="AH99" s="13">
        <v>1317.95</v>
      </c>
      <c r="AI99" s="13">
        <v>1308.77</v>
      </c>
      <c r="AJ99" s="13">
        <v>1310.01</v>
      </c>
      <c r="AK99" s="13">
        <v>1295.6300000000001</v>
      </c>
      <c r="AL99" s="13">
        <v>1296.79</v>
      </c>
      <c r="AM99" s="13">
        <v>1286.81</v>
      </c>
      <c r="AN99" s="13">
        <v>1284.92</v>
      </c>
      <c r="AO99" s="13">
        <v>1279.1199999999999</v>
      </c>
      <c r="AP99" s="13">
        <v>1273.6300000000001</v>
      </c>
      <c r="AQ99" s="13">
        <v>1269.1400000000001</v>
      </c>
      <c r="AR99" s="13">
        <v>1271.44</v>
      </c>
      <c r="AS99" s="13">
        <v>1268.5</v>
      </c>
      <c r="AT99" s="13">
        <v>1273</v>
      </c>
      <c r="AU99" s="13">
        <v>1278.17</v>
      </c>
    </row>
    <row r="100" spans="1:47" x14ac:dyDescent="0.25">
      <c r="A100" s="13" t="s">
        <v>503</v>
      </c>
      <c r="B100" s="13">
        <v>0</v>
      </c>
      <c r="C100" s="13">
        <v>0</v>
      </c>
      <c r="D100" s="13">
        <v>0</v>
      </c>
      <c r="E100" s="13">
        <v>0</v>
      </c>
      <c r="F100" s="13">
        <v>0</v>
      </c>
      <c r="G100" s="13">
        <v>0</v>
      </c>
      <c r="H100" s="13">
        <v>0</v>
      </c>
      <c r="I100" s="13">
        <v>0</v>
      </c>
      <c r="J100" s="13">
        <v>0</v>
      </c>
      <c r="K100" s="13">
        <v>0</v>
      </c>
      <c r="L100" s="13">
        <v>0</v>
      </c>
      <c r="M100" s="13">
        <v>2</v>
      </c>
      <c r="N100" s="13">
        <v>2</v>
      </c>
      <c r="O100" s="13">
        <v>25</v>
      </c>
      <c r="P100" s="13">
        <v>23</v>
      </c>
      <c r="Q100" s="13">
        <v>23</v>
      </c>
      <c r="R100" s="13">
        <v>319.41000000000003</v>
      </c>
      <c r="S100" s="13">
        <v>912.5</v>
      </c>
      <c r="T100" s="13">
        <v>888.66</v>
      </c>
      <c r="U100" s="13">
        <v>886.52</v>
      </c>
      <c r="V100" s="13">
        <v>876.85</v>
      </c>
      <c r="W100" s="13">
        <v>1015.56</v>
      </c>
      <c r="X100" s="13">
        <v>1102.56</v>
      </c>
      <c r="Y100" s="13">
        <v>989.34</v>
      </c>
      <c r="Z100" s="13">
        <v>1780.21</v>
      </c>
      <c r="AA100" s="13">
        <v>2017.55</v>
      </c>
      <c r="AB100" s="13">
        <v>2303.0100000000002</v>
      </c>
      <c r="AC100" s="13">
        <v>2376.67</v>
      </c>
      <c r="AD100" s="13">
        <v>2755.79</v>
      </c>
      <c r="AE100" s="13">
        <v>3185.11</v>
      </c>
      <c r="AF100" s="13">
        <v>4935.75</v>
      </c>
      <c r="AG100" s="13">
        <v>5068.67</v>
      </c>
      <c r="AH100" s="13">
        <v>5262.64</v>
      </c>
      <c r="AI100" s="13">
        <v>5271.81</v>
      </c>
      <c r="AJ100" s="13">
        <v>5422.67</v>
      </c>
      <c r="AK100" s="13">
        <v>7129.05</v>
      </c>
      <c r="AL100" s="13">
        <v>7325.38</v>
      </c>
      <c r="AM100" s="13">
        <v>7135.43</v>
      </c>
      <c r="AN100" s="13">
        <v>7082.7</v>
      </c>
      <c r="AO100" s="13">
        <v>6935.56</v>
      </c>
      <c r="AP100" s="13">
        <v>8459.59</v>
      </c>
      <c r="AQ100" s="13">
        <v>8325.4699999999993</v>
      </c>
      <c r="AR100" s="13">
        <v>8455.52</v>
      </c>
      <c r="AS100" s="13">
        <v>8385.52</v>
      </c>
      <c r="AT100" s="13">
        <v>8617.1299999999992</v>
      </c>
      <c r="AU100" s="13">
        <v>8876.16</v>
      </c>
    </row>
    <row r="101" spans="1:47" x14ac:dyDescent="0.25">
      <c r="A101" s="13" t="s">
        <v>504</v>
      </c>
      <c r="B101" s="13">
        <v>0</v>
      </c>
      <c r="C101" s="13">
        <v>0</v>
      </c>
      <c r="D101" s="13">
        <v>0</v>
      </c>
      <c r="E101" s="13">
        <v>0</v>
      </c>
      <c r="F101" s="13">
        <v>0</v>
      </c>
      <c r="G101" s="13">
        <v>0</v>
      </c>
      <c r="H101" s="13">
        <v>0</v>
      </c>
      <c r="I101" s="13">
        <v>0</v>
      </c>
      <c r="J101" s="13">
        <v>0</v>
      </c>
      <c r="K101" s="13">
        <v>0</v>
      </c>
      <c r="L101" s="13">
        <v>0</v>
      </c>
      <c r="M101" s="13">
        <v>0</v>
      </c>
      <c r="N101" s="13">
        <v>0</v>
      </c>
      <c r="O101" s="13">
        <v>0</v>
      </c>
      <c r="P101" s="13">
        <v>0</v>
      </c>
      <c r="Q101" s="13">
        <v>0</v>
      </c>
      <c r="R101" s="13">
        <v>0</v>
      </c>
      <c r="S101" s="13">
        <v>0</v>
      </c>
      <c r="T101" s="13">
        <v>0</v>
      </c>
      <c r="U101" s="13">
        <v>0</v>
      </c>
      <c r="V101" s="13">
        <v>0</v>
      </c>
      <c r="W101" s="13">
        <v>0</v>
      </c>
      <c r="X101" s="13">
        <v>0</v>
      </c>
      <c r="Y101" s="13">
        <v>0</v>
      </c>
      <c r="Z101" s="13">
        <v>0</v>
      </c>
      <c r="AA101" s="13">
        <v>0</v>
      </c>
      <c r="AB101" s="13">
        <v>0</v>
      </c>
      <c r="AC101" s="13">
        <v>0</v>
      </c>
      <c r="AD101" s="13">
        <v>0</v>
      </c>
      <c r="AE101" s="13">
        <v>0</v>
      </c>
      <c r="AF101" s="13">
        <v>0</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row>
    <row r="102" spans="1:47" x14ac:dyDescent="0.25">
      <c r="A102" s="13" t="s">
        <v>505</v>
      </c>
      <c r="B102" s="13">
        <v>43581.07</v>
      </c>
      <c r="C102" s="13">
        <v>44117.04</v>
      </c>
      <c r="D102" s="13">
        <v>43868.23</v>
      </c>
      <c r="E102" s="13">
        <v>42131.1</v>
      </c>
      <c r="F102" s="13">
        <v>40805</v>
      </c>
      <c r="G102" s="13">
        <v>37566.910000000003</v>
      </c>
      <c r="H102" s="13">
        <v>38509.519999999997</v>
      </c>
      <c r="I102" s="13">
        <v>38070.06</v>
      </c>
      <c r="J102" s="13">
        <v>38933.51</v>
      </c>
      <c r="K102" s="13">
        <v>43727.18</v>
      </c>
      <c r="L102" s="13">
        <v>38468.68</v>
      </c>
      <c r="M102" s="13">
        <v>38222.75</v>
      </c>
      <c r="N102" s="13">
        <v>36385.089999999997</v>
      </c>
      <c r="O102" s="13">
        <v>28913.59</v>
      </c>
      <c r="P102" s="13">
        <v>27252.84</v>
      </c>
      <c r="Q102" s="13">
        <v>23554.78</v>
      </c>
      <c r="R102" s="13">
        <v>27816.82</v>
      </c>
      <c r="S102" s="13">
        <v>11779.94</v>
      </c>
      <c r="T102" s="13">
        <v>0</v>
      </c>
      <c r="U102" s="13">
        <v>0</v>
      </c>
      <c r="V102" s="13">
        <v>0</v>
      </c>
      <c r="W102" s="13">
        <v>0</v>
      </c>
      <c r="X102" s="13">
        <v>0</v>
      </c>
      <c r="Y102" s="13">
        <v>0</v>
      </c>
      <c r="Z102" s="13">
        <v>0</v>
      </c>
      <c r="AA102" s="13">
        <v>0</v>
      </c>
      <c r="AB102" s="13">
        <v>0</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c r="AU102" s="13">
        <v>0</v>
      </c>
    </row>
    <row r="103" spans="1:47" x14ac:dyDescent="0.25">
      <c r="A103" s="13" t="s">
        <v>376</v>
      </c>
      <c r="B103" s="13">
        <v>19568.759999999998</v>
      </c>
      <c r="C103" s="13">
        <v>22063.15</v>
      </c>
      <c r="D103" s="13">
        <v>22337.97</v>
      </c>
      <c r="E103" s="13">
        <v>23347.1</v>
      </c>
      <c r="F103" s="13">
        <v>26233.32</v>
      </c>
      <c r="G103" s="13">
        <v>27594.87</v>
      </c>
      <c r="H103" s="13">
        <v>28106.9</v>
      </c>
      <c r="I103" s="13">
        <v>29938.05</v>
      </c>
      <c r="J103" s="13">
        <v>31739.48</v>
      </c>
      <c r="K103" s="13">
        <v>31585.45</v>
      </c>
      <c r="L103" s="13">
        <v>33998.07</v>
      </c>
      <c r="M103" s="13">
        <v>31541.040000000001</v>
      </c>
      <c r="N103" s="13">
        <v>36050.99</v>
      </c>
      <c r="O103" s="13">
        <v>38692.25</v>
      </c>
      <c r="P103" s="13">
        <v>40690.339999999997</v>
      </c>
      <c r="Q103" s="13">
        <v>45033.64</v>
      </c>
      <c r="R103" s="13">
        <v>44597.279999999999</v>
      </c>
      <c r="S103" s="13">
        <v>48861.02</v>
      </c>
      <c r="T103" s="13">
        <v>62823.519999999997</v>
      </c>
      <c r="U103" s="13">
        <v>63023.13</v>
      </c>
      <c r="V103" s="13">
        <v>62955.26</v>
      </c>
      <c r="W103" s="13">
        <v>62878.33</v>
      </c>
      <c r="X103" s="13">
        <v>57075.95</v>
      </c>
      <c r="Y103" s="13">
        <v>55581.21</v>
      </c>
      <c r="Z103" s="13">
        <v>52228.42</v>
      </c>
      <c r="AA103" s="13">
        <v>50221.23</v>
      </c>
      <c r="AB103" s="13">
        <v>49182.05</v>
      </c>
      <c r="AC103" s="13">
        <v>48479.39</v>
      </c>
      <c r="AD103" s="13">
        <v>49363.9</v>
      </c>
      <c r="AE103" s="13">
        <v>49454.04</v>
      </c>
      <c r="AF103" s="13">
        <v>49209.95</v>
      </c>
      <c r="AG103" s="13">
        <v>49402.66</v>
      </c>
      <c r="AH103" s="13">
        <v>49388.26</v>
      </c>
      <c r="AI103" s="13">
        <v>49331.63</v>
      </c>
      <c r="AJ103" s="13">
        <v>49391.519999999997</v>
      </c>
      <c r="AK103" s="13">
        <v>48698.59</v>
      </c>
      <c r="AL103" s="13">
        <v>48755.519999999997</v>
      </c>
      <c r="AM103" s="13">
        <v>48744.78</v>
      </c>
      <c r="AN103" s="13">
        <v>49579.11</v>
      </c>
      <c r="AO103" s="13">
        <v>49257.11</v>
      </c>
      <c r="AP103" s="13">
        <v>49388.85</v>
      </c>
      <c r="AQ103" s="13">
        <v>49129.14</v>
      </c>
      <c r="AR103" s="13">
        <v>49479.16</v>
      </c>
      <c r="AS103" s="13">
        <v>49305.120000000003</v>
      </c>
      <c r="AT103" s="13">
        <v>49573.04</v>
      </c>
      <c r="AU103" s="13">
        <v>49880.18</v>
      </c>
    </row>
    <row r="104" spans="1:47" x14ac:dyDescent="0.25">
      <c r="A104" s="13" t="s">
        <v>70</v>
      </c>
      <c r="B104" s="13">
        <v>509.44</v>
      </c>
      <c r="C104" s="13">
        <v>860.08</v>
      </c>
      <c r="D104" s="13">
        <v>922.06</v>
      </c>
      <c r="E104" s="13">
        <v>635.87</v>
      </c>
      <c r="F104" s="13">
        <v>14.15</v>
      </c>
      <c r="G104" s="13">
        <v>26.51</v>
      </c>
      <c r="H104" s="13">
        <v>25.4</v>
      </c>
      <c r="I104" s="13">
        <v>28.93</v>
      </c>
      <c r="J104" s="13">
        <v>27</v>
      </c>
      <c r="K104" s="13">
        <v>78.41</v>
      </c>
      <c r="L104" s="13">
        <v>80.239999999999995</v>
      </c>
      <c r="M104" s="13">
        <v>48.21</v>
      </c>
      <c r="N104" s="13">
        <v>98.92</v>
      </c>
      <c r="O104" s="13">
        <v>38.159999999999997</v>
      </c>
      <c r="P104" s="13">
        <v>63.82</v>
      </c>
      <c r="Q104" s="13">
        <v>55.32</v>
      </c>
      <c r="R104" s="13">
        <v>117.3</v>
      </c>
      <c r="S104" s="13">
        <v>80.62</v>
      </c>
      <c r="T104" s="13">
        <v>82.7</v>
      </c>
      <c r="U104" s="13">
        <v>92.57</v>
      </c>
      <c r="V104" s="13">
        <v>101.95</v>
      </c>
      <c r="W104" s="13">
        <v>112.55</v>
      </c>
      <c r="X104" s="13">
        <v>103.49</v>
      </c>
      <c r="Y104" s="13">
        <v>89.13</v>
      </c>
      <c r="Z104" s="13">
        <v>75.930000000000007</v>
      </c>
      <c r="AA104" s="13">
        <v>54.75</v>
      </c>
      <c r="AB104" s="13">
        <v>46.32</v>
      </c>
      <c r="AC104" s="13">
        <v>37.94</v>
      </c>
      <c r="AD104" s="13">
        <v>36.9</v>
      </c>
      <c r="AE104" s="13">
        <v>36.14</v>
      </c>
      <c r="AF104" s="13">
        <v>34.270000000000003</v>
      </c>
      <c r="AG104" s="13">
        <v>33.31</v>
      </c>
      <c r="AH104" s="13">
        <v>33</v>
      </c>
      <c r="AI104" s="13">
        <v>31.58</v>
      </c>
      <c r="AJ104" s="13">
        <v>31.64</v>
      </c>
      <c r="AK104" s="13">
        <v>29.45</v>
      </c>
      <c r="AL104" s="13">
        <v>28.4</v>
      </c>
      <c r="AM104" s="13">
        <v>26.02</v>
      </c>
      <c r="AN104" s="13">
        <v>24.87</v>
      </c>
      <c r="AO104" s="13">
        <v>23.42</v>
      </c>
      <c r="AP104" s="13">
        <v>22.02</v>
      </c>
      <c r="AQ104" s="13">
        <v>20.74</v>
      </c>
      <c r="AR104" s="13">
        <v>20.36</v>
      </c>
      <c r="AS104" s="13">
        <v>19.41</v>
      </c>
      <c r="AT104" s="13">
        <v>19.25</v>
      </c>
      <c r="AU104" s="13">
        <v>19.079999999999998</v>
      </c>
    </row>
    <row r="106" spans="1:47" ht="18.75" x14ac:dyDescent="0.3">
      <c r="A106" s="14" t="s">
        <v>429</v>
      </c>
    </row>
    <row r="107" spans="1:47" x14ac:dyDescent="0.25">
      <c r="A107" s="13" t="s">
        <v>328</v>
      </c>
      <c r="B107" s="13" t="s">
        <v>329</v>
      </c>
      <c r="C107" s="13" t="s">
        <v>330</v>
      </c>
      <c r="D107" s="13" t="s">
        <v>331</v>
      </c>
      <c r="E107" s="13" t="s">
        <v>332</v>
      </c>
      <c r="F107" s="13" t="s">
        <v>333</v>
      </c>
      <c r="G107" s="13" t="s">
        <v>334</v>
      </c>
      <c r="H107" s="13" t="s">
        <v>335</v>
      </c>
      <c r="I107" s="13" t="s">
        <v>336</v>
      </c>
      <c r="J107" s="13" t="s">
        <v>337</v>
      </c>
      <c r="K107" s="13" t="s">
        <v>338</v>
      </c>
      <c r="L107" s="13" t="s">
        <v>339</v>
      </c>
      <c r="M107" s="13" t="s">
        <v>340</v>
      </c>
      <c r="N107" s="13" t="s">
        <v>341</v>
      </c>
      <c r="O107" s="13" t="s">
        <v>342</v>
      </c>
      <c r="P107" s="13" t="s">
        <v>343</v>
      </c>
      <c r="Q107" s="13" t="s">
        <v>344</v>
      </c>
      <c r="R107" s="13" t="s">
        <v>345</v>
      </c>
      <c r="S107" s="13" t="s">
        <v>346</v>
      </c>
      <c r="T107" s="13" t="s">
        <v>347</v>
      </c>
      <c r="U107" s="13" t="s">
        <v>348</v>
      </c>
      <c r="V107" s="13" t="s">
        <v>349</v>
      </c>
      <c r="W107" s="13" t="s">
        <v>350</v>
      </c>
      <c r="X107" s="13" t="s">
        <v>351</v>
      </c>
      <c r="Y107" s="13" t="s">
        <v>352</v>
      </c>
      <c r="Z107" s="13" t="s">
        <v>353</v>
      </c>
      <c r="AA107" s="13" t="s">
        <v>354</v>
      </c>
      <c r="AB107" s="13" t="s">
        <v>355</v>
      </c>
      <c r="AC107" s="13" t="s">
        <v>356</v>
      </c>
      <c r="AD107" s="13" t="s">
        <v>357</v>
      </c>
      <c r="AE107" s="13" t="s">
        <v>358</v>
      </c>
      <c r="AF107" s="13" t="s">
        <v>359</v>
      </c>
      <c r="AG107" s="13" t="s">
        <v>360</v>
      </c>
      <c r="AH107" s="13" t="s">
        <v>361</v>
      </c>
      <c r="AI107" s="13" t="s">
        <v>362</v>
      </c>
      <c r="AJ107" s="13" t="s">
        <v>363</v>
      </c>
      <c r="AK107" s="13" t="s">
        <v>364</v>
      </c>
      <c r="AL107" s="13" t="s">
        <v>365</v>
      </c>
      <c r="AM107" s="13" t="s">
        <v>366</v>
      </c>
      <c r="AN107" s="13" t="s">
        <v>367</v>
      </c>
      <c r="AO107" s="13" t="s">
        <v>368</v>
      </c>
      <c r="AP107" s="13" t="s">
        <v>369</v>
      </c>
      <c r="AQ107" s="13" t="s">
        <v>370</v>
      </c>
      <c r="AR107" s="13" t="s">
        <v>371</v>
      </c>
      <c r="AS107" s="13" t="s">
        <v>372</v>
      </c>
      <c r="AT107" s="13" t="s">
        <v>373</v>
      </c>
      <c r="AU107" s="13" t="s">
        <v>374</v>
      </c>
    </row>
    <row r="108" spans="1:47" x14ac:dyDescent="0.25">
      <c r="A108" s="13" t="s">
        <v>500</v>
      </c>
      <c r="B108" s="13">
        <v>60327</v>
      </c>
      <c r="C108" s="13">
        <v>53902.91</v>
      </c>
      <c r="D108" s="13">
        <v>64015.8</v>
      </c>
      <c r="E108" s="13">
        <v>58525.63</v>
      </c>
      <c r="F108" s="13">
        <v>56298.400000000001</v>
      </c>
      <c r="G108" s="13">
        <v>53970.879999999997</v>
      </c>
      <c r="H108" s="13">
        <v>60772.07</v>
      </c>
      <c r="I108" s="13">
        <v>64477.04</v>
      </c>
      <c r="J108" s="13">
        <v>58666.27</v>
      </c>
      <c r="K108" s="13">
        <v>57572.87</v>
      </c>
      <c r="L108" s="13">
        <v>64999.01</v>
      </c>
      <c r="M108" s="13">
        <v>61840</v>
      </c>
      <c r="N108" s="13">
        <v>66503.02</v>
      </c>
      <c r="O108" s="13">
        <v>61791</v>
      </c>
      <c r="P108" s="13">
        <v>56107.99</v>
      </c>
      <c r="Q108" s="13">
        <v>56127.08</v>
      </c>
      <c r="R108" s="13">
        <v>56127.05</v>
      </c>
      <c r="S108" s="13">
        <v>72486.33</v>
      </c>
      <c r="T108" s="13">
        <v>72486.34</v>
      </c>
      <c r="U108" s="13">
        <v>72486.27</v>
      </c>
      <c r="V108" s="13">
        <v>77593.37</v>
      </c>
      <c r="W108" s="13">
        <v>77593.429999999993</v>
      </c>
      <c r="X108" s="13">
        <v>77593.41</v>
      </c>
      <c r="Y108" s="13">
        <v>77593.440000000002</v>
      </c>
      <c r="Z108" s="13">
        <v>77593.48</v>
      </c>
      <c r="AA108" s="13">
        <v>77954.070000000007</v>
      </c>
      <c r="AB108" s="13">
        <v>78316.42</v>
      </c>
      <c r="AC108" s="13">
        <v>78680.710000000006</v>
      </c>
      <c r="AD108" s="13">
        <v>79046.679999999993</v>
      </c>
      <c r="AE108" s="13">
        <v>79414.53</v>
      </c>
      <c r="AF108" s="13">
        <v>80144.73</v>
      </c>
      <c r="AG108" s="13">
        <v>80840.679999999993</v>
      </c>
      <c r="AH108" s="13">
        <v>81506.09</v>
      </c>
      <c r="AI108" s="13">
        <v>82144.13</v>
      </c>
      <c r="AJ108" s="13">
        <v>82521.279999999999</v>
      </c>
      <c r="AK108" s="13">
        <v>82900.36</v>
      </c>
      <c r="AL108" s="13">
        <v>83281.259999999995</v>
      </c>
      <c r="AM108" s="13">
        <v>83664.05</v>
      </c>
      <c r="AN108" s="13">
        <v>84048.87</v>
      </c>
      <c r="AO108" s="13">
        <v>84435.520000000004</v>
      </c>
      <c r="AP108" s="13">
        <v>84824.08</v>
      </c>
      <c r="AQ108" s="13">
        <v>85214.98</v>
      </c>
      <c r="AR108" s="13">
        <v>85607.39</v>
      </c>
      <c r="AS108" s="13">
        <v>86001.7</v>
      </c>
      <c r="AT108" s="13">
        <v>85654.5</v>
      </c>
      <c r="AU108" s="13">
        <v>86796.58</v>
      </c>
    </row>
    <row r="109" spans="1:47" x14ac:dyDescent="0.25">
      <c r="A109" s="13" t="s">
        <v>501</v>
      </c>
      <c r="B109" s="13">
        <v>0</v>
      </c>
      <c r="C109" s="13">
        <v>0</v>
      </c>
      <c r="D109" s="13">
        <v>0</v>
      </c>
      <c r="E109" s="13">
        <v>0</v>
      </c>
      <c r="F109" s="13">
        <v>34</v>
      </c>
      <c r="G109" s="13">
        <v>123</v>
      </c>
      <c r="H109" s="13">
        <v>484.6</v>
      </c>
      <c r="I109" s="13">
        <v>507.98</v>
      </c>
      <c r="J109" s="13">
        <v>860</v>
      </c>
      <c r="K109" s="13">
        <v>1071.1400000000001</v>
      </c>
      <c r="L109" s="13">
        <v>868</v>
      </c>
      <c r="M109" s="13">
        <v>1223</v>
      </c>
      <c r="N109" s="13">
        <v>1631</v>
      </c>
      <c r="O109" s="13">
        <v>1724</v>
      </c>
      <c r="P109" s="13">
        <v>1693</v>
      </c>
      <c r="Q109" s="13">
        <v>1693</v>
      </c>
      <c r="R109" s="13">
        <v>1693.86</v>
      </c>
      <c r="S109" s="13">
        <v>1695.92</v>
      </c>
      <c r="T109" s="13">
        <v>1698.09</v>
      </c>
      <c r="U109" s="13">
        <v>1990.71</v>
      </c>
      <c r="V109" s="13">
        <v>2290.09</v>
      </c>
      <c r="W109" s="13">
        <v>2299.2399999999998</v>
      </c>
      <c r="X109" s="13">
        <v>2634.67</v>
      </c>
      <c r="Y109" s="13">
        <v>2987.27</v>
      </c>
      <c r="Z109" s="13">
        <v>3337.63</v>
      </c>
      <c r="AA109" s="13">
        <v>3740.1</v>
      </c>
      <c r="AB109" s="13">
        <v>4174.42</v>
      </c>
      <c r="AC109" s="13">
        <v>4651.75</v>
      </c>
      <c r="AD109" s="13">
        <v>5187.16</v>
      </c>
      <c r="AE109" s="13">
        <v>5769.82</v>
      </c>
      <c r="AF109" s="13">
        <v>6938.97</v>
      </c>
      <c r="AG109" s="13">
        <v>8308.9</v>
      </c>
      <c r="AH109" s="13">
        <v>9632.6299999999992</v>
      </c>
      <c r="AI109" s="13">
        <v>11012.51</v>
      </c>
      <c r="AJ109" s="13">
        <v>12317.75</v>
      </c>
      <c r="AK109" s="13">
        <v>13408.14</v>
      </c>
      <c r="AL109" s="13">
        <v>13982.74</v>
      </c>
      <c r="AM109" s="13">
        <v>14505.43</v>
      </c>
      <c r="AN109" s="13">
        <v>15136.01</v>
      </c>
      <c r="AO109" s="13">
        <v>15792.09</v>
      </c>
      <c r="AP109" s="13">
        <v>16357.15</v>
      </c>
      <c r="AQ109" s="13">
        <v>16932</v>
      </c>
      <c r="AR109" s="13">
        <v>17519.91</v>
      </c>
      <c r="AS109" s="13">
        <v>18122.060000000001</v>
      </c>
      <c r="AT109" s="13">
        <v>18753.169999999998</v>
      </c>
      <c r="AU109" s="13">
        <v>19386.72</v>
      </c>
    </row>
    <row r="110" spans="1:47" x14ac:dyDescent="0.25">
      <c r="A110" s="13" t="s">
        <v>502</v>
      </c>
      <c r="B110" s="13">
        <v>2863.41</v>
      </c>
      <c r="C110" s="13">
        <v>2948.7</v>
      </c>
      <c r="D110" s="13">
        <v>2948.7</v>
      </c>
      <c r="E110" s="13">
        <v>2467.38</v>
      </c>
      <c r="F110" s="13">
        <v>2162.84</v>
      </c>
      <c r="G110" s="13">
        <v>3810.74</v>
      </c>
      <c r="H110" s="13">
        <v>4111</v>
      </c>
      <c r="I110" s="13">
        <v>4034.09</v>
      </c>
      <c r="J110" s="13">
        <v>3821.9</v>
      </c>
      <c r="K110" s="13">
        <v>5856.07</v>
      </c>
      <c r="L110" s="13">
        <v>3658.62</v>
      </c>
      <c r="M110" s="13">
        <v>4486.41</v>
      </c>
      <c r="N110" s="13">
        <v>1858.06</v>
      </c>
      <c r="O110" s="13">
        <v>3319.56</v>
      </c>
      <c r="P110" s="13">
        <v>3275.15</v>
      </c>
      <c r="Q110" s="13">
        <v>3275.54</v>
      </c>
      <c r="R110" s="13">
        <v>3310.29</v>
      </c>
      <c r="S110" s="13">
        <v>3292.73</v>
      </c>
      <c r="T110" s="13">
        <v>3288.62</v>
      </c>
      <c r="U110" s="13">
        <v>3287.18</v>
      </c>
      <c r="V110" s="13">
        <v>3285.82</v>
      </c>
      <c r="W110" s="13">
        <v>3284.92</v>
      </c>
      <c r="X110" s="13">
        <v>3281.87</v>
      </c>
      <c r="Y110" s="13">
        <v>3278.72</v>
      </c>
      <c r="Z110" s="13">
        <v>3274.56</v>
      </c>
      <c r="AA110" s="13">
        <v>3269.22</v>
      </c>
      <c r="AB110" s="13">
        <v>3268.4</v>
      </c>
      <c r="AC110" s="13">
        <v>3269.72</v>
      </c>
      <c r="AD110" s="13">
        <v>3270.62</v>
      </c>
      <c r="AE110" s="13">
        <v>3269.51</v>
      </c>
      <c r="AF110" s="13">
        <v>3266.8</v>
      </c>
      <c r="AG110" s="13">
        <v>3262.89</v>
      </c>
      <c r="AH110" s="13">
        <v>3258.86</v>
      </c>
      <c r="AI110" s="13">
        <v>3255.35</v>
      </c>
      <c r="AJ110" s="13">
        <v>3251.12</v>
      </c>
      <c r="AK110" s="13">
        <v>3246.78</v>
      </c>
      <c r="AL110" s="13">
        <v>3237.46</v>
      </c>
      <c r="AM110" s="13">
        <v>3228.3</v>
      </c>
      <c r="AN110" s="13">
        <v>3218.65</v>
      </c>
      <c r="AO110" s="13">
        <v>3209.34</v>
      </c>
      <c r="AP110" s="13">
        <v>3198.75</v>
      </c>
      <c r="AQ110" s="13">
        <v>3186.73</v>
      </c>
      <c r="AR110" s="13">
        <v>3174.13</v>
      </c>
      <c r="AS110" s="13">
        <v>3161</v>
      </c>
      <c r="AT110" s="13">
        <v>3146.22</v>
      </c>
      <c r="AU110" s="13">
        <v>3129.69</v>
      </c>
    </row>
    <row r="111" spans="1:47" x14ac:dyDescent="0.25">
      <c r="A111" s="13" t="s">
        <v>503</v>
      </c>
      <c r="B111" s="13">
        <v>0</v>
      </c>
      <c r="C111" s="13">
        <v>0</v>
      </c>
      <c r="D111" s="13">
        <v>0</v>
      </c>
      <c r="E111" s="13">
        <v>0</v>
      </c>
      <c r="F111" s="13">
        <v>0</v>
      </c>
      <c r="G111" s="13">
        <v>0</v>
      </c>
      <c r="H111" s="13">
        <v>0</v>
      </c>
      <c r="I111" s="13">
        <v>0</v>
      </c>
      <c r="J111" s="13">
        <v>0</v>
      </c>
      <c r="K111" s="13">
        <v>0</v>
      </c>
      <c r="L111" s="13">
        <v>0</v>
      </c>
      <c r="M111" s="13">
        <v>0</v>
      </c>
      <c r="N111" s="13">
        <v>0</v>
      </c>
      <c r="O111" s="13">
        <v>2</v>
      </c>
      <c r="P111" s="13">
        <v>2</v>
      </c>
      <c r="Q111" s="13">
        <v>19.54</v>
      </c>
      <c r="R111" s="13">
        <v>20.37</v>
      </c>
      <c r="S111" s="13">
        <v>22.15</v>
      </c>
      <c r="T111" s="13">
        <v>59.19</v>
      </c>
      <c r="U111" s="13">
        <v>61.25</v>
      </c>
      <c r="V111" s="13">
        <v>63.61</v>
      </c>
      <c r="W111" s="13">
        <v>102.16</v>
      </c>
      <c r="X111" s="13">
        <v>105.69</v>
      </c>
      <c r="Y111" s="13">
        <v>109.38</v>
      </c>
      <c r="Z111" s="13">
        <v>149.29</v>
      </c>
      <c r="AA111" s="13">
        <v>164.97</v>
      </c>
      <c r="AB111" s="13">
        <v>387.48</v>
      </c>
      <c r="AC111" s="13">
        <v>657.83</v>
      </c>
      <c r="AD111" s="13">
        <v>1007.56</v>
      </c>
      <c r="AE111" s="13">
        <v>1364.51</v>
      </c>
      <c r="AF111" s="13">
        <v>2282.84</v>
      </c>
      <c r="AG111" s="13">
        <v>2904.97</v>
      </c>
      <c r="AH111" s="13">
        <v>3515.96</v>
      </c>
      <c r="AI111" s="13">
        <v>4136.49</v>
      </c>
      <c r="AJ111" s="13">
        <v>4731.88</v>
      </c>
      <c r="AK111" s="13">
        <v>5110.41</v>
      </c>
      <c r="AL111" s="13">
        <v>5445.8</v>
      </c>
      <c r="AM111" s="13">
        <v>5730.04</v>
      </c>
      <c r="AN111" s="13">
        <v>6109.41</v>
      </c>
      <c r="AO111" s="13">
        <v>6514.28</v>
      </c>
      <c r="AP111" s="13">
        <v>6842.57</v>
      </c>
      <c r="AQ111" s="13">
        <v>7170.24</v>
      </c>
      <c r="AR111" s="13">
        <v>7508.62</v>
      </c>
      <c r="AS111" s="13">
        <v>7856.21</v>
      </c>
      <c r="AT111" s="13">
        <v>8235.89</v>
      </c>
      <c r="AU111" s="13">
        <v>8396.49</v>
      </c>
    </row>
    <row r="112" spans="1:47" x14ac:dyDescent="0.25">
      <c r="A112" s="13" t="s">
        <v>504</v>
      </c>
      <c r="B112" s="13">
        <v>0</v>
      </c>
      <c r="C112" s="13">
        <v>0</v>
      </c>
      <c r="D112" s="13">
        <v>0</v>
      </c>
      <c r="E112" s="13">
        <v>0</v>
      </c>
      <c r="F112" s="13">
        <v>0</v>
      </c>
      <c r="G112" s="13">
        <v>0</v>
      </c>
      <c r="H112" s="13">
        <v>0</v>
      </c>
      <c r="I112" s="13">
        <v>0</v>
      </c>
      <c r="J112" s="13">
        <v>0</v>
      </c>
      <c r="K112" s="13">
        <v>0</v>
      </c>
      <c r="L112" s="13">
        <v>0</v>
      </c>
      <c r="M112" s="13">
        <v>0</v>
      </c>
      <c r="N112" s="13">
        <v>0</v>
      </c>
      <c r="O112" s="13">
        <v>0</v>
      </c>
      <c r="P112" s="13">
        <v>0</v>
      </c>
      <c r="Q112" s="13">
        <v>0</v>
      </c>
      <c r="R112" s="13">
        <v>0</v>
      </c>
      <c r="S112" s="13">
        <v>0</v>
      </c>
      <c r="T112" s="13">
        <v>0</v>
      </c>
      <c r="U112" s="13">
        <v>0</v>
      </c>
      <c r="V112" s="13">
        <v>0</v>
      </c>
      <c r="W112" s="13">
        <v>0</v>
      </c>
      <c r="X112" s="13">
        <v>0</v>
      </c>
      <c r="Y112" s="13">
        <v>0</v>
      </c>
      <c r="Z112" s="13">
        <v>0</v>
      </c>
      <c r="AA112" s="13">
        <v>0</v>
      </c>
      <c r="AB112" s="13">
        <v>0</v>
      </c>
      <c r="AC112" s="13">
        <v>0</v>
      </c>
      <c r="AD112" s="13">
        <v>0</v>
      </c>
      <c r="AE112" s="13">
        <v>0</v>
      </c>
      <c r="AF112" s="13">
        <v>0</v>
      </c>
      <c r="AG112" s="13">
        <v>0</v>
      </c>
      <c r="AH112" s="13">
        <v>0</v>
      </c>
      <c r="AI112" s="13">
        <v>0</v>
      </c>
      <c r="AJ112" s="13">
        <v>0</v>
      </c>
      <c r="AK112" s="13">
        <v>0</v>
      </c>
      <c r="AL112" s="13">
        <v>0</v>
      </c>
      <c r="AM112" s="13">
        <v>0</v>
      </c>
      <c r="AN112" s="13">
        <v>0</v>
      </c>
      <c r="AO112" s="13">
        <v>0</v>
      </c>
      <c r="AP112" s="13">
        <v>0</v>
      </c>
      <c r="AQ112" s="13">
        <v>0</v>
      </c>
      <c r="AR112" s="13">
        <v>0</v>
      </c>
      <c r="AS112" s="13">
        <v>0</v>
      </c>
      <c r="AT112" s="13">
        <v>0</v>
      </c>
      <c r="AU112" s="13">
        <v>0</v>
      </c>
    </row>
    <row r="113" spans="1:47" x14ac:dyDescent="0.25">
      <c r="A113" s="13" t="s">
        <v>505</v>
      </c>
      <c r="B113" s="13">
        <v>0</v>
      </c>
      <c r="C113" s="13">
        <v>0</v>
      </c>
      <c r="D113" s="13">
        <v>0</v>
      </c>
      <c r="E113" s="13">
        <v>0</v>
      </c>
      <c r="F113" s="13">
        <v>0</v>
      </c>
      <c r="G113" s="13">
        <v>0</v>
      </c>
      <c r="H113" s="13">
        <v>0</v>
      </c>
      <c r="I113" s="13">
        <v>0</v>
      </c>
      <c r="J113" s="13">
        <v>0</v>
      </c>
      <c r="K113" s="13">
        <v>0</v>
      </c>
      <c r="L113" s="13">
        <v>0</v>
      </c>
      <c r="M113" s="13">
        <v>0</v>
      </c>
      <c r="N113" s="13">
        <v>0</v>
      </c>
      <c r="O113" s="13">
        <v>0</v>
      </c>
      <c r="P113" s="13">
        <v>0</v>
      </c>
      <c r="Q113" s="13">
        <v>0</v>
      </c>
      <c r="R113" s="13">
        <v>0</v>
      </c>
      <c r="S113" s="13">
        <v>0</v>
      </c>
      <c r="T113" s="13">
        <v>0</v>
      </c>
      <c r="U113" s="13">
        <v>0</v>
      </c>
      <c r="V113" s="13">
        <v>0</v>
      </c>
      <c r="W113" s="13">
        <v>0</v>
      </c>
      <c r="X113" s="13">
        <v>0</v>
      </c>
      <c r="Y113" s="13">
        <v>0</v>
      </c>
      <c r="Z113" s="13">
        <v>0</v>
      </c>
      <c r="AA113" s="13">
        <v>0</v>
      </c>
      <c r="AB113" s="13">
        <v>0</v>
      </c>
      <c r="AC113" s="13">
        <v>0</v>
      </c>
      <c r="AD113" s="13">
        <v>0</v>
      </c>
      <c r="AE113" s="13">
        <v>0</v>
      </c>
      <c r="AF113" s="13">
        <v>0</v>
      </c>
      <c r="AG113" s="13">
        <v>0</v>
      </c>
      <c r="AH113" s="13">
        <v>0</v>
      </c>
      <c r="AI113" s="13">
        <v>0</v>
      </c>
      <c r="AJ113" s="13">
        <v>0</v>
      </c>
      <c r="AK113" s="13">
        <v>0</v>
      </c>
      <c r="AL113" s="13">
        <v>0</v>
      </c>
      <c r="AM113" s="13">
        <v>0</v>
      </c>
      <c r="AN113" s="13">
        <v>0</v>
      </c>
      <c r="AO113" s="13">
        <v>0</v>
      </c>
      <c r="AP113" s="13">
        <v>0</v>
      </c>
      <c r="AQ113" s="13">
        <v>0</v>
      </c>
      <c r="AR113" s="13">
        <v>0</v>
      </c>
      <c r="AS113" s="13">
        <v>0</v>
      </c>
      <c r="AT113" s="13">
        <v>0</v>
      </c>
      <c r="AU113" s="13">
        <v>0</v>
      </c>
    </row>
    <row r="114" spans="1:47" x14ac:dyDescent="0.25">
      <c r="A114" s="13" t="s">
        <v>376</v>
      </c>
      <c r="B114" s="13">
        <v>2382.92</v>
      </c>
      <c r="C114" s="13">
        <v>2388.62</v>
      </c>
      <c r="D114" s="13">
        <v>2388.62</v>
      </c>
      <c r="E114" s="13">
        <v>2635.13</v>
      </c>
      <c r="F114" s="13">
        <v>1635.69</v>
      </c>
      <c r="G114" s="13">
        <v>2089</v>
      </c>
      <c r="H114" s="13">
        <v>3214.86</v>
      </c>
      <c r="I114" s="13">
        <v>2557.92</v>
      </c>
      <c r="J114" s="13">
        <v>1520.03</v>
      </c>
      <c r="K114" s="13">
        <v>1689.2</v>
      </c>
      <c r="L114" s="13">
        <v>1768.08</v>
      </c>
      <c r="M114" s="13">
        <v>1872.05</v>
      </c>
      <c r="N114" s="13">
        <v>3761.41</v>
      </c>
      <c r="O114" s="13">
        <v>2122.27</v>
      </c>
      <c r="P114" s="13">
        <v>2948.6</v>
      </c>
      <c r="Q114" s="13">
        <v>1330.82</v>
      </c>
      <c r="R114" s="13">
        <v>1290.78</v>
      </c>
      <c r="S114" s="13">
        <v>1300.28</v>
      </c>
      <c r="T114" s="13">
        <v>1304.49</v>
      </c>
      <c r="U114" s="13">
        <v>1276.8399999999999</v>
      </c>
      <c r="V114" s="13">
        <v>1541</v>
      </c>
      <c r="W114" s="13">
        <v>1541.01</v>
      </c>
      <c r="X114" s="13">
        <v>1866.74</v>
      </c>
      <c r="Y114" s="13">
        <v>1896.39</v>
      </c>
      <c r="Z114" s="13">
        <v>1900.35</v>
      </c>
      <c r="AA114" s="13">
        <v>1951.78</v>
      </c>
      <c r="AB114" s="13">
        <v>2342.35</v>
      </c>
      <c r="AC114" s="13">
        <v>2341.02</v>
      </c>
      <c r="AD114" s="13">
        <v>2340.12</v>
      </c>
      <c r="AE114" s="13">
        <v>2315.0300000000002</v>
      </c>
      <c r="AF114" s="13">
        <v>2317.73</v>
      </c>
      <c r="AG114" s="13">
        <v>2321.65</v>
      </c>
      <c r="AH114" s="13">
        <v>2294.4899999999998</v>
      </c>
      <c r="AI114" s="13">
        <v>2329.19</v>
      </c>
      <c r="AJ114" s="13">
        <v>2333.42</v>
      </c>
      <c r="AK114" s="13">
        <v>2337.7600000000002</v>
      </c>
      <c r="AL114" s="13">
        <v>2347.08</v>
      </c>
      <c r="AM114" s="13">
        <v>2341.27</v>
      </c>
      <c r="AN114" s="13">
        <v>2344.87</v>
      </c>
      <c r="AO114" s="13">
        <v>2354.17</v>
      </c>
      <c r="AP114" s="13">
        <v>2323.4299999999998</v>
      </c>
      <c r="AQ114" s="13">
        <v>2367.9899999999998</v>
      </c>
      <c r="AR114" s="13">
        <v>2370.1999999999998</v>
      </c>
      <c r="AS114" s="13">
        <v>2402.5100000000002</v>
      </c>
      <c r="AT114" s="13">
        <v>2391.25</v>
      </c>
      <c r="AU114" s="13">
        <v>2433.8200000000002</v>
      </c>
    </row>
    <row r="115" spans="1:47" x14ac:dyDescent="0.25">
      <c r="A115" s="13" t="s">
        <v>70</v>
      </c>
      <c r="B115" s="13">
        <v>91.06</v>
      </c>
      <c r="C115" s="13">
        <v>35.56</v>
      </c>
      <c r="D115" s="13">
        <v>91.56</v>
      </c>
      <c r="E115" s="13">
        <v>94.57</v>
      </c>
      <c r="F115" s="13">
        <v>111.11</v>
      </c>
      <c r="G115" s="13">
        <v>107.1</v>
      </c>
      <c r="H115" s="13">
        <v>91.71</v>
      </c>
      <c r="I115" s="13">
        <v>46.18</v>
      </c>
      <c r="J115" s="13">
        <v>289.31</v>
      </c>
      <c r="K115" s="13">
        <v>556.96</v>
      </c>
      <c r="L115" s="13">
        <v>130.32</v>
      </c>
      <c r="M115" s="13">
        <v>187.96</v>
      </c>
      <c r="N115" s="13">
        <v>335.65</v>
      </c>
      <c r="O115" s="13">
        <v>276.77999999999997</v>
      </c>
      <c r="P115" s="13">
        <v>307.08</v>
      </c>
      <c r="Q115" s="13">
        <v>107</v>
      </c>
      <c r="R115" s="13">
        <v>107</v>
      </c>
      <c r="S115" s="13">
        <v>107</v>
      </c>
      <c r="T115" s="13">
        <v>107</v>
      </c>
      <c r="U115" s="13">
        <v>107</v>
      </c>
      <c r="V115" s="13">
        <v>107</v>
      </c>
      <c r="W115" s="13">
        <v>107</v>
      </c>
      <c r="X115" s="13">
        <v>107</v>
      </c>
      <c r="Y115" s="13">
        <v>123.44</v>
      </c>
      <c r="Z115" s="13">
        <v>131.18</v>
      </c>
      <c r="AA115" s="13">
        <v>171.47</v>
      </c>
      <c r="AB115" s="13">
        <v>171.47</v>
      </c>
      <c r="AC115" s="13">
        <v>171.47</v>
      </c>
      <c r="AD115" s="13">
        <v>171.47</v>
      </c>
      <c r="AE115" s="13">
        <v>171.47</v>
      </c>
      <c r="AF115" s="13">
        <v>171.47</v>
      </c>
      <c r="AG115" s="13">
        <v>147.87</v>
      </c>
      <c r="AH115" s="13">
        <v>131.18</v>
      </c>
      <c r="AI115" s="13">
        <v>171.47</v>
      </c>
      <c r="AJ115" s="13">
        <v>171.47</v>
      </c>
      <c r="AK115" s="13">
        <v>171.47</v>
      </c>
      <c r="AL115" s="13">
        <v>164.04</v>
      </c>
      <c r="AM115" s="13">
        <v>131.18</v>
      </c>
      <c r="AN115" s="13">
        <v>171.47</v>
      </c>
      <c r="AO115" s="13">
        <v>171.47</v>
      </c>
      <c r="AP115" s="13">
        <v>131.18</v>
      </c>
      <c r="AQ115" s="13">
        <v>133.22999999999999</v>
      </c>
      <c r="AR115" s="13">
        <v>131.18</v>
      </c>
      <c r="AS115" s="13">
        <v>152.63999999999999</v>
      </c>
      <c r="AT115" s="13">
        <v>131.18</v>
      </c>
      <c r="AU115" s="13">
        <v>171.47</v>
      </c>
    </row>
    <row r="117" spans="1:47" ht="18.75" x14ac:dyDescent="0.3">
      <c r="A117" s="14" t="s">
        <v>470</v>
      </c>
    </row>
    <row r="118" spans="1:47" x14ac:dyDescent="0.25">
      <c r="A118" s="13" t="s">
        <v>328</v>
      </c>
      <c r="B118" s="13" t="s">
        <v>329</v>
      </c>
      <c r="C118" s="13" t="s">
        <v>330</v>
      </c>
      <c r="D118" s="13" t="s">
        <v>331</v>
      </c>
      <c r="E118" s="13" t="s">
        <v>332</v>
      </c>
      <c r="F118" s="13" t="s">
        <v>333</v>
      </c>
      <c r="G118" s="13" t="s">
        <v>334</v>
      </c>
      <c r="H118" s="13" t="s">
        <v>335</v>
      </c>
      <c r="I118" s="13" t="s">
        <v>336</v>
      </c>
      <c r="J118" s="13" t="s">
        <v>337</v>
      </c>
      <c r="K118" s="13" t="s">
        <v>338</v>
      </c>
      <c r="L118" s="13" t="s">
        <v>339</v>
      </c>
      <c r="M118" s="13" t="s">
        <v>340</v>
      </c>
      <c r="N118" s="13" t="s">
        <v>341</v>
      </c>
      <c r="O118" s="13" t="s">
        <v>342</v>
      </c>
      <c r="P118" s="13" t="s">
        <v>343</v>
      </c>
      <c r="Q118" s="13" t="s">
        <v>344</v>
      </c>
      <c r="R118" s="13" t="s">
        <v>345</v>
      </c>
      <c r="S118" s="13" t="s">
        <v>346</v>
      </c>
      <c r="T118" s="13" t="s">
        <v>347</v>
      </c>
      <c r="U118" s="13" t="s">
        <v>348</v>
      </c>
      <c r="V118" s="13" t="s">
        <v>349</v>
      </c>
      <c r="W118" s="13" t="s">
        <v>350</v>
      </c>
      <c r="X118" s="13" t="s">
        <v>351</v>
      </c>
      <c r="Y118" s="13" t="s">
        <v>352</v>
      </c>
      <c r="Z118" s="13" t="s">
        <v>353</v>
      </c>
      <c r="AA118" s="13" t="s">
        <v>354</v>
      </c>
      <c r="AB118" s="13" t="s">
        <v>355</v>
      </c>
      <c r="AC118" s="13" t="s">
        <v>356</v>
      </c>
      <c r="AD118" s="13" t="s">
        <v>357</v>
      </c>
      <c r="AE118" s="13" t="s">
        <v>358</v>
      </c>
      <c r="AF118" s="13" t="s">
        <v>359</v>
      </c>
      <c r="AG118" s="13" t="s">
        <v>360</v>
      </c>
      <c r="AH118" s="13" t="s">
        <v>361</v>
      </c>
      <c r="AI118" s="13" t="s">
        <v>362</v>
      </c>
      <c r="AJ118" s="13" t="s">
        <v>363</v>
      </c>
      <c r="AK118" s="13" t="s">
        <v>364</v>
      </c>
      <c r="AL118" s="13" t="s">
        <v>365</v>
      </c>
      <c r="AM118" s="13" t="s">
        <v>366</v>
      </c>
      <c r="AN118" s="13" t="s">
        <v>367</v>
      </c>
      <c r="AO118" s="13" t="s">
        <v>368</v>
      </c>
      <c r="AP118" s="13" t="s">
        <v>369</v>
      </c>
      <c r="AQ118" s="13" t="s">
        <v>370</v>
      </c>
      <c r="AR118" s="13" t="s">
        <v>371</v>
      </c>
      <c r="AS118" s="13" t="s">
        <v>372</v>
      </c>
      <c r="AT118" s="13" t="s">
        <v>373</v>
      </c>
      <c r="AU118" s="13" t="s">
        <v>374</v>
      </c>
    </row>
    <row r="119" spans="1:47" x14ac:dyDescent="0.25">
      <c r="A119" s="13" t="s">
        <v>500</v>
      </c>
      <c r="B119" s="13">
        <v>4573</v>
      </c>
      <c r="C119" s="13">
        <v>4032</v>
      </c>
      <c r="D119" s="13">
        <v>4393</v>
      </c>
      <c r="E119" s="13">
        <v>4030</v>
      </c>
      <c r="F119" s="13">
        <v>2962</v>
      </c>
      <c r="G119" s="13">
        <v>3866</v>
      </c>
      <c r="H119" s="13">
        <v>4641</v>
      </c>
      <c r="I119" s="13">
        <v>4240</v>
      </c>
      <c r="J119" s="13">
        <v>4449</v>
      </c>
      <c r="K119" s="13">
        <v>4706.09</v>
      </c>
      <c r="L119" s="13">
        <v>3426</v>
      </c>
      <c r="M119" s="13">
        <v>3285</v>
      </c>
      <c r="N119" s="13">
        <v>3855</v>
      </c>
      <c r="O119" s="13">
        <v>3591</v>
      </c>
      <c r="P119" s="13">
        <v>3666</v>
      </c>
      <c r="Q119" s="13">
        <v>3660.45</v>
      </c>
      <c r="R119" s="13">
        <v>3660.45</v>
      </c>
      <c r="S119" s="13">
        <v>3660.43</v>
      </c>
      <c r="T119" s="13">
        <v>3660.43</v>
      </c>
      <c r="U119" s="13">
        <v>3696.35</v>
      </c>
      <c r="V119" s="13">
        <v>3799.28</v>
      </c>
      <c r="W119" s="13">
        <v>3831.52</v>
      </c>
      <c r="X119" s="13">
        <v>3831.53</v>
      </c>
      <c r="Y119" s="13">
        <v>3831.52</v>
      </c>
      <c r="Z119" s="13">
        <v>3831.52</v>
      </c>
      <c r="AA119" s="13">
        <v>3710.86</v>
      </c>
      <c r="AB119" s="13">
        <v>3551.85</v>
      </c>
      <c r="AC119" s="13">
        <v>3388.99</v>
      </c>
      <c r="AD119" s="13">
        <v>3367.25</v>
      </c>
      <c r="AE119" s="13">
        <v>3261.38</v>
      </c>
      <c r="AF119" s="13">
        <v>3235.49</v>
      </c>
      <c r="AG119" s="13">
        <v>3340.47</v>
      </c>
      <c r="AH119" s="13">
        <v>3329.75</v>
      </c>
      <c r="AI119" s="13">
        <v>2990.77</v>
      </c>
      <c r="AJ119" s="13">
        <v>2985.37</v>
      </c>
      <c r="AK119" s="13">
        <v>2723.05</v>
      </c>
      <c r="AL119" s="13">
        <v>2721.77</v>
      </c>
      <c r="AM119" s="13">
        <v>2584.88</v>
      </c>
      <c r="AN119" s="13">
        <v>2589.23</v>
      </c>
      <c r="AO119" s="13">
        <v>2453.96</v>
      </c>
      <c r="AP119" s="13">
        <v>2450.33</v>
      </c>
      <c r="AQ119" s="13">
        <v>2334.4499999999998</v>
      </c>
      <c r="AR119" s="13">
        <v>2348</v>
      </c>
      <c r="AS119" s="13">
        <v>2247.61</v>
      </c>
      <c r="AT119" s="13">
        <v>2265.33</v>
      </c>
      <c r="AU119" s="13">
        <v>2285.31</v>
      </c>
    </row>
    <row r="120" spans="1:47" x14ac:dyDescent="0.25">
      <c r="A120" s="13" t="s">
        <v>501</v>
      </c>
      <c r="B120" s="13">
        <v>92</v>
      </c>
      <c r="C120" s="13">
        <v>573</v>
      </c>
      <c r="D120" s="13">
        <v>620</v>
      </c>
      <c r="E120" s="13">
        <v>574</v>
      </c>
      <c r="F120" s="13">
        <v>579</v>
      </c>
      <c r="G120" s="13">
        <v>507</v>
      </c>
      <c r="H120" s="13">
        <v>682</v>
      </c>
      <c r="I120" s="13">
        <v>655</v>
      </c>
      <c r="J120" s="13">
        <v>646</v>
      </c>
      <c r="K120" s="13">
        <v>615.26</v>
      </c>
      <c r="L120" s="13">
        <v>620</v>
      </c>
      <c r="M120" s="13">
        <v>746</v>
      </c>
      <c r="N120" s="13">
        <v>739</v>
      </c>
      <c r="O120" s="13">
        <v>694</v>
      </c>
      <c r="P120" s="13">
        <v>707</v>
      </c>
      <c r="Q120" s="13">
        <v>775.02</v>
      </c>
      <c r="R120" s="13">
        <v>775.18</v>
      </c>
      <c r="S120" s="13">
        <v>775.96</v>
      </c>
      <c r="T120" s="13">
        <v>858.01</v>
      </c>
      <c r="U120" s="13">
        <v>1295.3399999999999</v>
      </c>
      <c r="V120" s="13">
        <v>2669.78</v>
      </c>
      <c r="W120" s="13">
        <v>2754.88</v>
      </c>
      <c r="X120" s="13">
        <v>2839.03</v>
      </c>
      <c r="Y120" s="13">
        <v>3447.83</v>
      </c>
      <c r="Z120" s="13">
        <v>3531.97</v>
      </c>
      <c r="AA120" s="13">
        <v>4893.53</v>
      </c>
      <c r="AB120" s="13">
        <v>6439.58</v>
      </c>
      <c r="AC120" s="13">
        <v>7932.6</v>
      </c>
      <c r="AD120" s="13">
        <v>8004.52</v>
      </c>
      <c r="AE120" s="13">
        <v>8404.0300000000007</v>
      </c>
      <c r="AF120" s="13">
        <v>8435.99</v>
      </c>
      <c r="AG120" s="13">
        <v>8624.1299999999992</v>
      </c>
      <c r="AH120" s="13">
        <v>8683.15</v>
      </c>
      <c r="AI120" s="13">
        <v>9791.5400000000009</v>
      </c>
      <c r="AJ120" s="13">
        <v>9864.61</v>
      </c>
      <c r="AK120" s="13">
        <v>10597.5</v>
      </c>
      <c r="AL120" s="13">
        <v>10683.97</v>
      </c>
      <c r="AM120" s="13">
        <v>11204.44</v>
      </c>
      <c r="AN120" s="13">
        <v>11316.47</v>
      </c>
      <c r="AO120" s="13">
        <v>11872.76</v>
      </c>
      <c r="AP120" s="13">
        <v>11952.68</v>
      </c>
      <c r="AQ120" s="13">
        <v>12502.07</v>
      </c>
      <c r="AR120" s="13">
        <v>12673.16</v>
      </c>
      <c r="AS120" s="13">
        <v>13226.64</v>
      </c>
      <c r="AT120" s="13">
        <v>13434.76</v>
      </c>
      <c r="AU120" s="13">
        <v>13656.86</v>
      </c>
    </row>
    <row r="121" spans="1:47" x14ac:dyDescent="0.25">
      <c r="A121" s="13" t="s">
        <v>502</v>
      </c>
      <c r="B121" s="13">
        <v>0</v>
      </c>
      <c r="C121" s="13">
        <v>0</v>
      </c>
      <c r="D121" s="13">
        <v>0</v>
      </c>
      <c r="E121" s="13">
        <v>0</v>
      </c>
      <c r="F121" s="13">
        <v>0</v>
      </c>
      <c r="G121" s="13">
        <v>0</v>
      </c>
      <c r="H121" s="13">
        <v>0</v>
      </c>
      <c r="I121" s="13">
        <v>0</v>
      </c>
      <c r="J121" s="13">
        <v>0</v>
      </c>
      <c r="K121" s="13">
        <v>0</v>
      </c>
      <c r="L121" s="13">
        <v>0</v>
      </c>
      <c r="M121" s="13">
        <v>0</v>
      </c>
      <c r="N121" s="13">
        <v>0</v>
      </c>
      <c r="O121" s="13">
        <v>123</v>
      </c>
      <c r="P121" s="13">
        <v>109</v>
      </c>
      <c r="Q121" s="13">
        <v>109</v>
      </c>
      <c r="R121" s="13">
        <v>109</v>
      </c>
      <c r="S121" s="13">
        <v>109</v>
      </c>
      <c r="T121" s="13">
        <v>196.6</v>
      </c>
      <c r="U121" s="13">
        <v>196.6</v>
      </c>
      <c r="V121" s="13">
        <v>196.6</v>
      </c>
      <c r="W121" s="13">
        <v>199.26</v>
      </c>
      <c r="X121" s="13">
        <v>199.26</v>
      </c>
      <c r="Y121" s="13">
        <v>199.26</v>
      </c>
      <c r="Z121" s="13">
        <v>199.26</v>
      </c>
      <c r="AA121" s="13">
        <v>190.6</v>
      </c>
      <c r="AB121" s="13">
        <v>182.48</v>
      </c>
      <c r="AC121" s="13">
        <v>169.31</v>
      </c>
      <c r="AD121" s="13">
        <v>168.11</v>
      </c>
      <c r="AE121" s="13">
        <v>162.66999999999999</v>
      </c>
      <c r="AF121" s="13">
        <v>161.22999999999999</v>
      </c>
      <c r="AG121" s="13">
        <v>163.19</v>
      </c>
      <c r="AH121" s="13">
        <v>162.69999999999999</v>
      </c>
      <c r="AI121" s="13">
        <v>145.75</v>
      </c>
      <c r="AJ121" s="13">
        <v>145.63999999999999</v>
      </c>
      <c r="AK121" s="13">
        <v>132.77000000000001</v>
      </c>
      <c r="AL121" s="13">
        <v>132.91</v>
      </c>
      <c r="AM121" s="13">
        <v>126.29</v>
      </c>
      <c r="AN121" s="13">
        <v>126.7</v>
      </c>
      <c r="AO121" s="13">
        <v>120.17</v>
      </c>
      <c r="AP121" s="13">
        <v>120.17</v>
      </c>
      <c r="AQ121" s="13">
        <v>114.58</v>
      </c>
      <c r="AR121" s="13">
        <v>115.41</v>
      </c>
      <c r="AS121" s="13">
        <v>110.58</v>
      </c>
      <c r="AT121" s="13">
        <v>111.61</v>
      </c>
      <c r="AU121" s="13">
        <v>112.74</v>
      </c>
    </row>
    <row r="122" spans="1:47" x14ac:dyDescent="0.25">
      <c r="A122" s="13" t="s">
        <v>503</v>
      </c>
      <c r="B122" s="13">
        <v>0</v>
      </c>
      <c r="C122" s="13">
        <v>0</v>
      </c>
      <c r="D122" s="13">
        <v>0</v>
      </c>
      <c r="E122" s="13">
        <v>0</v>
      </c>
      <c r="F122" s="13">
        <v>0</v>
      </c>
      <c r="G122" s="13">
        <v>0</v>
      </c>
      <c r="H122" s="13">
        <v>0</v>
      </c>
      <c r="I122" s="13">
        <v>0</v>
      </c>
      <c r="J122" s="13">
        <v>0</v>
      </c>
      <c r="K122" s="13">
        <v>0</v>
      </c>
      <c r="L122" s="13">
        <v>0</v>
      </c>
      <c r="M122" s="13">
        <v>0</v>
      </c>
      <c r="N122" s="13">
        <v>0</v>
      </c>
      <c r="O122" s="13">
        <v>0</v>
      </c>
      <c r="P122" s="13">
        <v>0</v>
      </c>
      <c r="Q122" s="13">
        <v>38.049999999999997</v>
      </c>
      <c r="R122" s="13">
        <v>73.2</v>
      </c>
      <c r="S122" s="13">
        <v>149.37</v>
      </c>
      <c r="T122" s="13">
        <v>192.9</v>
      </c>
      <c r="U122" s="13">
        <v>235.49</v>
      </c>
      <c r="V122" s="13">
        <v>278.02</v>
      </c>
      <c r="W122" s="13">
        <v>495.19</v>
      </c>
      <c r="X122" s="13">
        <v>535.09</v>
      </c>
      <c r="Y122" s="13">
        <v>536.09</v>
      </c>
      <c r="Z122" s="13">
        <v>537.84</v>
      </c>
      <c r="AA122" s="13">
        <v>608.52</v>
      </c>
      <c r="AB122" s="13">
        <v>667.82</v>
      </c>
      <c r="AC122" s="13">
        <v>701.74</v>
      </c>
      <c r="AD122" s="13">
        <v>779.84</v>
      </c>
      <c r="AE122" s="13">
        <v>911.2</v>
      </c>
      <c r="AF122" s="13">
        <v>1086.07</v>
      </c>
      <c r="AG122" s="13">
        <v>1125.01</v>
      </c>
      <c r="AH122" s="13">
        <v>1146.08</v>
      </c>
      <c r="AI122" s="13">
        <v>1066.2</v>
      </c>
      <c r="AJ122" s="13">
        <v>1084.43</v>
      </c>
      <c r="AK122" s="13">
        <v>1139.72</v>
      </c>
      <c r="AL122" s="13">
        <v>1154.78</v>
      </c>
      <c r="AM122" s="13">
        <v>1119.76</v>
      </c>
      <c r="AN122" s="13">
        <v>1135.74</v>
      </c>
      <c r="AO122" s="13">
        <v>1103.92</v>
      </c>
      <c r="AP122" s="13">
        <v>1225.4100000000001</v>
      </c>
      <c r="AQ122" s="13">
        <v>1196.76</v>
      </c>
      <c r="AR122" s="13">
        <v>1218.8</v>
      </c>
      <c r="AS122" s="13">
        <v>1197.92</v>
      </c>
      <c r="AT122" s="13">
        <v>1224</v>
      </c>
      <c r="AU122" s="13">
        <v>1251.07</v>
      </c>
    </row>
    <row r="123" spans="1:47" x14ac:dyDescent="0.25">
      <c r="A123" s="13" t="s">
        <v>504</v>
      </c>
      <c r="B123" s="13">
        <v>0</v>
      </c>
      <c r="C123" s="13">
        <v>0</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row>
    <row r="124" spans="1:47" x14ac:dyDescent="0.25">
      <c r="A124" s="13" t="s">
        <v>505</v>
      </c>
      <c r="B124" s="13">
        <v>13157.72</v>
      </c>
      <c r="C124" s="13">
        <v>12734.72</v>
      </c>
      <c r="D124" s="13">
        <v>13706.72</v>
      </c>
      <c r="E124" s="13">
        <v>14055.07</v>
      </c>
      <c r="F124" s="13">
        <v>14446.21</v>
      </c>
      <c r="G124" s="13">
        <v>13510.41</v>
      </c>
      <c r="H124" s="13">
        <v>13181.21</v>
      </c>
      <c r="I124" s="13">
        <v>13089.82</v>
      </c>
      <c r="J124" s="13">
        <v>13578.27</v>
      </c>
      <c r="K124" s="13">
        <v>11726.75</v>
      </c>
      <c r="L124" s="13">
        <v>12023.56</v>
      </c>
      <c r="M124" s="13">
        <v>11974.82</v>
      </c>
      <c r="N124" s="13">
        <v>11915.14</v>
      </c>
      <c r="O124" s="13">
        <v>10290.84</v>
      </c>
      <c r="P124" s="13">
        <v>9981.5</v>
      </c>
      <c r="Q124" s="13">
        <v>1706.95</v>
      </c>
      <c r="R124" s="13">
        <v>1575.51</v>
      </c>
      <c r="S124" s="13">
        <v>1444.06</v>
      </c>
      <c r="T124" s="13">
        <v>1444.06</v>
      </c>
      <c r="U124" s="13">
        <v>1444.06</v>
      </c>
      <c r="V124" s="13">
        <v>1444.07</v>
      </c>
      <c r="W124" s="13">
        <v>1221.6500000000001</v>
      </c>
      <c r="X124" s="13">
        <v>799.55</v>
      </c>
      <c r="Y124" s="13">
        <v>361</v>
      </c>
      <c r="Z124" s="13">
        <v>361</v>
      </c>
      <c r="AA124" s="13">
        <v>194.47</v>
      </c>
      <c r="AB124" s="13">
        <v>159.91</v>
      </c>
      <c r="AC124" s="13">
        <v>133.08000000000001</v>
      </c>
      <c r="AD124" s="13">
        <v>132.13999999999999</v>
      </c>
      <c r="AE124" s="13">
        <v>127.86</v>
      </c>
      <c r="AF124" s="13">
        <v>126.73</v>
      </c>
      <c r="AG124" s="13">
        <v>128.27000000000001</v>
      </c>
      <c r="AH124" s="13">
        <v>127.89</v>
      </c>
      <c r="AI124" s="13">
        <v>114.56</v>
      </c>
      <c r="AJ124" s="13">
        <v>114.48</v>
      </c>
      <c r="AK124" s="13">
        <v>104.37</v>
      </c>
      <c r="AL124" s="13">
        <v>104.48</v>
      </c>
      <c r="AM124" s="13">
        <v>99.27</v>
      </c>
      <c r="AN124" s="13">
        <v>99.59</v>
      </c>
      <c r="AO124" s="13">
        <v>94.46</v>
      </c>
      <c r="AP124" s="13">
        <v>94.46</v>
      </c>
      <c r="AQ124" s="13">
        <v>90.07</v>
      </c>
      <c r="AR124" s="13">
        <v>90.72</v>
      </c>
      <c r="AS124" s="13">
        <v>86.92</v>
      </c>
      <c r="AT124" s="13">
        <v>87.73</v>
      </c>
      <c r="AU124" s="13">
        <v>88.62</v>
      </c>
    </row>
    <row r="125" spans="1:47" x14ac:dyDescent="0.25">
      <c r="A125" s="13" t="s">
        <v>376</v>
      </c>
      <c r="B125" s="13">
        <v>1896.28</v>
      </c>
      <c r="C125" s="13">
        <v>2247.2800000000002</v>
      </c>
      <c r="D125" s="13">
        <v>1869.28</v>
      </c>
      <c r="E125" s="13">
        <v>3083.94</v>
      </c>
      <c r="F125" s="13">
        <v>2763.79</v>
      </c>
      <c r="G125" s="13">
        <v>2503.59</v>
      </c>
      <c r="H125" s="13">
        <v>2678.79</v>
      </c>
      <c r="I125" s="13">
        <v>3253.18</v>
      </c>
      <c r="J125" s="13">
        <v>4493.7299999999996</v>
      </c>
      <c r="K125" s="13">
        <v>6022.45</v>
      </c>
      <c r="L125" s="13">
        <v>7348.4</v>
      </c>
      <c r="M125" s="13">
        <v>8613.18</v>
      </c>
      <c r="N125" s="13">
        <v>9045.8700000000008</v>
      </c>
      <c r="O125" s="13">
        <v>9436.16</v>
      </c>
      <c r="P125" s="13">
        <v>9714.5</v>
      </c>
      <c r="Q125" s="13">
        <v>14877.15</v>
      </c>
      <c r="R125" s="13">
        <v>14977.46</v>
      </c>
      <c r="S125" s="13">
        <v>14512.86</v>
      </c>
      <c r="T125" s="13">
        <v>14644.4</v>
      </c>
      <c r="U125" s="13">
        <v>14979.18</v>
      </c>
      <c r="V125" s="13">
        <v>13924.21</v>
      </c>
      <c r="W125" s="13">
        <v>13847.29</v>
      </c>
      <c r="X125" s="13">
        <v>13951.26</v>
      </c>
      <c r="Y125" s="13">
        <v>13650.46</v>
      </c>
      <c r="Z125" s="13">
        <v>13253.71</v>
      </c>
      <c r="AA125" s="13">
        <v>12503.35</v>
      </c>
      <c r="AB125" s="13">
        <v>11109.27</v>
      </c>
      <c r="AC125" s="13">
        <v>9809.23</v>
      </c>
      <c r="AD125" s="13">
        <v>9673.07</v>
      </c>
      <c r="AE125" s="13">
        <v>9248.89</v>
      </c>
      <c r="AF125" s="13">
        <v>9135.48</v>
      </c>
      <c r="AG125" s="13">
        <v>8839.84</v>
      </c>
      <c r="AH125" s="13">
        <v>8814.1299999999992</v>
      </c>
      <c r="AI125" s="13">
        <v>8235.0300000000007</v>
      </c>
      <c r="AJ125" s="13">
        <v>8231.7099999999991</v>
      </c>
      <c r="AK125" s="13">
        <v>7828.55</v>
      </c>
      <c r="AL125" s="13">
        <v>7832.91</v>
      </c>
      <c r="AM125" s="13">
        <v>7625.5</v>
      </c>
      <c r="AN125" s="13">
        <v>7638.28</v>
      </c>
      <c r="AO125" s="13">
        <v>7433.7</v>
      </c>
      <c r="AP125" s="13">
        <v>7433.6</v>
      </c>
      <c r="AQ125" s="13">
        <v>7258.6</v>
      </c>
      <c r="AR125" s="13">
        <v>7284.47</v>
      </c>
      <c r="AS125" s="13">
        <v>7133.12</v>
      </c>
      <c r="AT125" s="13">
        <v>7165.4</v>
      </c>
      <c r="AU125" s="13">
        <v>7200.9</v>
      </c>
    </row>
    <row r="126" spans="1:47" x14ac:dyDescent="0.25">
      <c r="A126" s="13" t="s">
        <v>70</v>
      </c>
      <c r="B126" s="13">
        <v>17.899999999999999</v>
      </c>
      <c r="C126" s="13">
        <v>19.5</v>
      </c>
      <c r="D126" s="13">
        <v>25.9</v>
      </c>
      <c r="E126" s="13">
        <v>22.6</v>
      </c>
      <c r="F126" s="13">
        <v>17.899999999999999</v>
      </c>
      <c r="G126" s="13">
        <v>20.8</v>
      </c>
      <c r="H126" s="13">
        <v>12.3</v>
      </c>
      <c r="I126" s="13">
        <v>11.3</v>
      </c>
      <c r="J126" s="13">
        <v>15</v>
      </c>
      <c r="K126" s="13">
        <v>12.4</v>
      </c>
      <c r="L126" s="13">
        <v>2</v>
      </c>
      <c r="M126" s="13">
        <v>1</v>
      </c>
      <c r="N126" s="13">
        <v>1</v>
      </c>
      <c r="O126" s="13">
        <v>1</v>
      </c>
      <c r="P126" s="13">
        <v>1</v>
      </c>
      <c r="Q126" s="13">
        <v>17.03</v>
      </c>
      <c r="R126" s="13">
        <v>25.9</v>
      </c>
      <c r="S126" s="13">
        <v>25.9</v>
      </c>
      <c r="T126" s="13">
        <v>24.72</v>
      </c>
      <c r="U126" s="13">
        <v>8.1999999999999993</v>
      </c>
      <c r="V126" s="13">
        <v>8.1999999999999993</v>
      </c>
      <c r="W126" s="13">
        <v>8.1999999999999993</v>
      </c>
      <c r="X126" s="13">
        <v>8.1999999999999993</v>
      </c>
      <c r="Y126" s="13">
        <v>8.1999999999999993</v>
      </c>
      <c r="Z126" s="13">
        <v>8.1999999999999993</v>
      </c>
      <c r="AA126" s="13">
        <v>7.95</v>
      </c>
      <c r="AB126" s="13">
        <v>7.61</v>
      </c>
      <c r="AC126" s="13">
        <v>7.06</v>
      </c>
      <c r="AD126" s="13">
        <v>7.01</v>
      </c>
      <c r="AE126" s="13">
        <v>6.78</v>
      </c>
      <c r="AF126" s="13">
        <v>6.72</v>
      </c>
      <c r="AG126" s="13">
        <v>6.81</v>
      </c>
      <c r="AH126" s="13">
        <v>6.79</v>
      </c>
      <c r="AI126" s="13">
        <v>6.08</v>
      </c>
      <c r="AJ126" s="13">
        <v>6.07</v>
      </c>
      <c r="AK126" s="13">
        <v>5.54</v>
      </c>
      <c r="AL126" s="13">
        <v>5.54</v>
      </c>
      <c r="AM126" s="13">
        <v>5.27</v>
      </c>
      <c r="AN126" s="13">
        <v>5.28</v>
      </c>
      <c r="AO126" s="13">
        <v>5.01</v>
      </c>
      <c r="AP126" s="13">
        <v>5.01</v>
      </c>
      <c r="AQ126" s="13">
        <v>4.78</v>
      </c>
      <c r="AR126" s="13">
        <v>4.8099999999999996</v>
      </c>
      <c r="AS126" s="13">
        <v>4.6100000000000003</v>
      </c>
      <c r="AT126" s="13">
        <v>4.6500000000000004</v>
      </c>
      <c r="AU126" s="13">
        <v>4.7</v>
      </c>
    </row>
    <row r="128" spans="1:47" ht="18.75" x14ac:dyDescent="0.3">
      <c r="A128" s="14" t="s">
        <v>484</v>
      </c>
    </row>
    <row r="129" spans="1:47" x14ac:dyDescent="0.25">
      <c r="A129" s="13" t="s">
        <v>328</v>
      </c>
      <c r="B129" s="13" t="s">
        <v>329</v>
      </c>
      <c r="C129" s="13" t="s">
        <v>330</v>
      </c>
      <c r="D129" s="13" t="s">
        <v>331</v>
      </c>
      <c r="E129" s="13" t="s">
        <v>332</v>
      </c>
      <c r="F129" s="13" t="s">
        <v>333</v>
      </c>
      <c r="G129" s="13" t="s">
        <v>334</v>
      </c>
      <c r="H129" s="13" t="s">
        <v>335</v>
      </c>
      <c r="I129" s="13" t="s">
        <v>336</v>
      </c>
      <c r="J129" s="13" t="s">
        <v>337</v>
      </c>
      <c r="K129" s="13" t="s">
        <v>338</v>
      </c>
      <c r="L129" s="13" t="s">
        <v>339</v>
      </c>
      <c r="M129" s="13" t="s">
        <v>340</v>
      </c>
      <c r="N129" s="13" t="s">
        <v>341</v>
      </c>
      <c r="O129" s="13" t="s">
        <v>342</v>
      </c>
      <c r="P129" s="13" t="s">
        <v>343</v>
      </c>
      <c r="Q129" s="13" t="s">
        <v>344</v>
      </c>
      <c r="R129" s="13" t="s">
        <v>345</v>
      </c>
      <c r="S129" s="13" t="s">
        <v>346</v>
      </c>
      <c r="T129" s="13" t="s">
        <v>347</v>
      </c>
      <c r="U129" s="13" t="s">
        <v>348</v>
      </c>
      <c r="V129" s="13" t="s">
        <v>349</v>
      </c>
      <c r="W129" s="13" t="s">
        <v>350</v>
      </c>
      <c r="X129" s="13" t="s">
        <v>351</v>
      </c>
      <c r="Y129" s="13" t="s">
        <v>352</v>
      </c>
      <c r="Z129" s="13" t="s">
        <v>353</v>
      </c>
      <c r="AA129" s="13" t="s">
        <v>354</v>
      </c>
      <c r="AB129" s="13" t="s">
        <v>355</v>
      </c>
      <c r="AC129" s="13" t="s">
        <v>356</v>
      </c>
      <c r="AD129" s="13" t="s">
        <v>357</v>
      </c>
      <c r="AE129" s="13" t="s">
        <v>358</v>
      </c>
      <c r="AF129" s="13" t="s">
        <v>359</v>
      </c>
      <c r="AG129" s="13" t="s">
        <v>360</v>
      </c>
      <c r="AH129" s="13" t="s">
        <v>361</v>
      </c>
      <c r="AI129" s="13" t="s">
        <v>362</v>
      </c>
      <c r="AJ129" s="13" t="s">
        <v>363</v>
      </c>
      <c r="AK129" s="13" t="s">
        <v>364</v>
      </c>
      <c r="AL129" s="13" t="s">
        <v>365</v>
      </c>
      <c r="AM129" s="13" t="s">
        <v>366</v>
      </c>
      <c r="AN129" s="13" t="s">
        <v>367</v>
      </c>
      <c r="AO129" s="13" t="s">
        <v>368</v>
      </c>
      <c r="AP129" s="13" t="s">
        <v>369</v>
      </c>
      <c r="AQ129" s="13" t="s">
        <v>370</v>
      </c>
      <c r="AR129" s="13" t="s">
        <v>371</v>
      </c>
      <c r="AS129" s="13" t="s">
        <v>372</v>
      </c>
      <c r="AT129" s="13" t="s">
        <v>373</v>
      </c>
      <c r="AU129" s="13" t="s">
        <v>374</v>
      </c>
    </row>
    <row r="130" spans="1:47" x14ac:dyDescent="0.25">
      <c r="A130" s="13" t="s">
        <v>500</v>
      </c>
      <c r="B130" s="13">
        <v>330.63</v>
      </c>
      <c r="C130" s="13">
        <v>330.63</v>
      </c>
      <c r="D130" s="13">
        <v>330.63</v>
      </c>
      <c r="E130" s="13">
        <v>348.29</v>
      </c>
      <c r="F130" s="13">
        <v>379.06</v>
      </c>
      <c r="G130" s="13">
        <v>380.43</v>
      </c>
      <c r="H130" s="13">
        <v>388.07</v>
      </c>
      <c r="I130" s="13">
        <v>430.19</v>
      </c>
      <c r="J130" s="13">
        <v>347.19</v>
      </c>
      <c r="K130" s="13">
        <v>410.67</v>
      </c>
      <c r="L130" s="13">
        <v>422</v>
      </c>
      <c r="M130" s="13">
        <v>419</v>
      </c>
      <c r="N130" s="13">
        <v>448</v>
      </c>
      <c r="O130" s="13">
        <v>419</v>
      </c>
      <c r="P130" s="13">
        <v>376</v>
      </c>
      <c r="Q130" s="13">
        <v>375.99</v>
      </c>
      <c r="R130" s="13">
        <v>376.02</v>
      </c>
      <c r="S130" s="13">
        <v>419.59</v>
      </c>
      <c r="T130" s="13">
        <v>419.58</v>
      </c>
      <c r="U130" s="13">
        <v>419.57</v>
      </c>
      <c r="V130" s="13">
        <v>472.09</v>
      </c>
      <c r="W130" s="13">
        <v>472.07</v>
      </c>
      <c r="X130" s="13">
        <v>603.39</v>
      </c>
      <c r="Y130" s="13">
        <v>653.54</v>
      </c>
      <c r="Z130" s="13">
        <v>642.04</v>
      </c>
      <c r="AA130" s="13">
        <v>634.28</v>
      </c>
      <c r="AB130" s="13">
        <v>541.6</v>
      </c>
      <c r="AC130" s="13">
        <v>442.31</v>
      </c>
      <c r="AD130" s="13">
        <v>439.25</v>
      </c>
      <c r="AE130" s="13">
        <v>443.84</v>
      </c>
      <c r="AF130" s="13">
        <v>398.65</v>
      </c>
      <c r="AG130" s="13">
        <v>400.66</v>
      </c>
      <c r="AH130" s="13">
        <v>403.11</v>
      </c>
      <c r="AI130" s="13">
        <v>402.94</v>
      </c>
      <c r="AJ130" s="13">
        <v>408.32</v>
      </c>
      <c r="AK130" s="13">
        <v>411.7</v>
      </c>
      <c r="AL130" s="13">
        <v>415.42</v>
      </c>
      <c r="AM130" s="13">
        <v>420.13</v>
      </c>
      <c r="AN130" s="13">
        <v>427</v>
      </c>
      <c r="AO130" s="13">
        <v>429.87</v>
      </c>
      <c r="AP130" s="13">
        <v>437.06</v>
      </c>
      <c r="AQ130" s="13">
        <v>444.32</v>
      </c>
      <c r="AR130" s="13">
        <v>450.64</v>
      </c>
      <c r="AS130" s="13">
        <v>456.64</v>
      </c>
      <c r="AT130" s="13">
        <v>464.14</v>
      </c>
      <c r="AU130" s="13">
        <v>471.9</v>
      </c>
    </row>
    <row r="131" spans="1:47" x14ac:dyDescent="0.25">
      <c r="A131" s="13" t="s">
        <v>501</v>
      </c>
      <c r="B131" s="13">
        <v>0.41</v>
      </c>
      <c r="C131" s="13">
        <v>0.41</v>
      </c>
      <c r="D131" s="13">
        <v>0.41</v>
      </c>
      <c r="E131" s="13">
        <v>0.44</v>
      </c>
      <c r="F131" s="13">
        <v>0.23</v>
      </c>
      <c r="G131" s="13">
        <v>0.09</v>
      </c>
      <c r="H131" s="13">
        <v>0.4</v>
      </c>
      <c r="I131" s="13">
        <v>0.45</v>
      </c>
      <c r="J131" s="13">
        <v>0.28000000000000003</v>
      </c>
      <c r="K131" s="13">
        <v>0.33</v>
      </c>
      <c r="L131" s="13">
        <v>1</v>
      </c>
      <c r="M131" s="13">
        <v>1</v>
      </c>
      <c r="N131" s="13">
        <v>0</v>
      </c>
      <c r="O131" s="13">
        <v>0</v>
      </c>
      <c r="P131" s="13">
        <v>0</v>
      </c>
      <c r="Q131" s="13">
        <v>0</v>
      </c>
      <c r="R131" s="13">
        <v>0</v>
      </c>
      <c r="S131" s="13">
        <v>0</v>
      </c>
      <c r="T131" s="13">
        <v>2.5099999999999998</v>
      </c>
      <c r="U131" s="13">
        <v>5.37</v>
      </c>
      <c r="V131" s="13">
        <v>52.05</v>
      </c>
      <c r="W131" s="13">
        <v>55.18</v>
      </c>
      <c r="X131" s="13">
        <v>58.8</v>
      </c>
      <c r="Y131" s="13">
        <v>62.09</v>
      </c>
      <c r="Z131" s="13">
        <v>65.3</v>
      </c>
      <c r="AA131" s="13">
        <v>68.58</v>
      </c>
      <c r="AB131" s="13">
        <v>68.25</v>
      </c>
      <c r="AC131" s="13">
        <v>60.82</v>
      </c>
      <c r="AD131" s="13">
        <v>60.48</v>
      </c>
      <c r="AE131" s="13">
        <v>61.17</v>
      </c>
      <c r="AF131" s="13">
        <v>56.88</v>
      </c>
      <c r="AG131" s="13">
        <v>57.18</v>
      </c>
      <c r="AH131" s="13">
        <v>57.53</v>
      </c>
      <c r="AI131" s="13">
        <v>57.49</v>
      </c>
      <c r="AJ131" s="13">
        <v>58.29</v>
      </c>
      <c r="AK131" s="13">
        <v>58.57</v>
      </c>
      <c r="AL131" s="13">
        <v>59.03</v>
      </c>
      <c r="AM131" s="13">
        <v>59.69</v>
      </c>
      <c r="AN131" s="13">
        <v>60.48</v>
      </c>
      <c r="AO131" s="13">
        <v>60.76</v>
      </c>
      <c r="AP131" s="13">
        <v>61.47</v>
      </c>
      <c r="AQ131" s="13">
        <v>62.11</v>
      </c>
      <c r="AR131" s="13">
        <v>62.74</v>
      </c>
      <c r="AS131" s="13">
        <v>63.37</v>
      </c>
      <c r="AT131" s="13">
        <v>64.010000000000005</v>
      </c>
      <c r="AU131" s="13">
        <v>64.64</v>
      </c>
    </row>
    <row r="132" spans="1:47" x14ac:dyDescent="0.25">
      <c r="A132" s="13" t="s">
        <v>502</v>
      </c>
      <c r="B132" s="13">
        <v>0</v>
      </c>
      <c r="C132" s="13">
        <v>0</v>
      </c>
      <c r="D132" s="13">
        <v>0</v>
      </c>
      <c r="E132" s="13">
        <v>0</v>
      </c>
      <c r="F132" s="13">
        <v>0</v>
      </c>
      <c r="G132" s="13">
        <v>0</v>
      </c>
      <c r="H132" s="13">
        <v>0</v>
      </c>
      <c r="I132" s="13">
        <v>0</v>
      </c>
      <c r="J132" s="13">
        <v>0</v>
      </c>
      <c r="K132" s="13">
        <v>0</v>
      </c>
      <c r="L132" s="13">
        <v>0</v>
      </c>
      <c r="M132" s="13">
        <v>0</v>
      </c>
      <c r="N132" s="13">
        <v>0</v>
      </c>
      <c r="O132" s="13">
        <v>0</v>
      </c>
      <c r="P132" s="13">
        <v>0</v>
      </c>
      <c r="Q132" s="13">
        <v>0</v>
      </c>
      <c r="R132" s="13">
        <v>0</v>
      </c>
      <c r="S132" s="13">
        <v>0</v>
      </c>
      <c r="T132" s="13">
        <v>0</v>
      </c>
      <c r="U132" s="13">
        <v>0</v>
      </c>
      <c r="V132" s="13">
        <v>0</v>
      </c>
      <c r="W132" s="13">
        <v>0</v>
      </c>
      <c r="X132" s="13">
        <v>0</v>
      </c>
      <c r="Y132" s="13">
        <v>0</v>
      </c>
      <c r="Z132" s="13">
        <v>0</v>
      </c>
      <c r="AA132" s="13">
        <v>0</v>
      </c>
      <c r="AB132" s="13">
        <v>0</v>
      </c>
      <c r="AC132" s="13">
        <v>0</v>
      </c>
      <c r="AD132" s="13">
        <v>0</v>
      </c>
      <c r="AE132" s="13">
        <v>0</v>
      </c>
      <c r="AF132" s="13">
        <v>0</v>
      </c>
      <c r="AG132" s="13">
        <v>0</v>
      </c>
      <c r="AH132" s="13">
        <v>0</v>
      </c>
      <c r="AI132" s="13">
        <v>0</v>
      </c>
      <c r="AJ132" s="13">
        <v>0</v>
      </c>
      <c r="AK132" s="13">
        <v>0</v>
      </c>
      <c r="AL132" s="13">
        <v>0</v>
      </c>
      <c r="AM132" s="13">
        <v>0</v>
      </c>
      <c r="AN132" s="13">
        <v>0</v>
      </c>
      <c r="AO132" s="13">
        <v>0</v>
      </c>
      <c r="AP132" s="13">
        <v>0</v>
      </c>
      <c r="AQ132" s="13">
        <v>0</v>
      </c>
      <c r="AR132" s="13">
        <v>0</v>
      </c>
      <c r="AS132" s="13">
        <v>0</v>
      </c>
      <c r="AT132" s="13">
        <v>0</v>
      </c>
      <c r="AU132" s="13">
        <v>0</v>
      </c>
    </row>
    <row r="133" spans="1:47" x14ac:dyDescent="0.25">
      <c r="A133" s="13" t="s">
        <v>503</v>
      </c>
      <c r="B133" s="13">
        <v>0</v>
      </c>
      <c r="C133" s="13">
        <v>0</v>
      </c>
      <c r="D133" s="13">
        <v>0</v>
      </c>
      <c r="E133" s="13">
        <v>0</v>
      </c>
      <c r="F133" s="13">
        <v>0</v>
      </c>
      <c r="G133" s="13">
        <v>0</v>
      </c>
      <c r="H133" s="13">
        <v>0</v>
      </c>
      <c r="I133" s="13">
        <v>0</v>
      </c>
      <c r="J133" s="13">
        <v>0</v>
      </c>
      <c r="K133" s="13">
        <v>0</v>
      </c>
      <c r="L133" s="13">
        <v>0</v>
      </c>
      <c r="M133" s="13">
        <v>0</v>
      </c>
      <c r="N133" s="13">
        <v>0</v>
      </c>
      <c r="O133" s="13">
        <v>0</v>
      </c>
      <c r="P133" s="13">
        <v>0</v>
      </c>
      <c r="Q133" s="13">
        <v>0</v>
      </c>
      <c r="R133" s="13">
        <v>0</v>
      </c>
      <c r="S133" s="13">
        <v>1.3</v>
      </c>
      <c r="T133" s="13">
        <v>1.3</v>
      </c>
      <c r="U133" s="13">
        <v>2.79</v>
      </c>
      <c r="V133" s="13">
        <v>4.41</v>
      </c>
      <c r="W133" s="13">
        <v>6.28</v>
      </c>
      <c r="X133" s="13">
        <v>7.98</v>
      </c>
      <c r="Y133" s="13">
        <v>9.81</v>
      </c>
      <c r="Z133" s="13">
        <v>11.51</v>
      </c>
      <c r="AA133" s="13">
        <v>11.51</v>
      </c>
      <c r="AB133" s="13">
        <v>11.46</v>
      </c>
      <c r="AC133" s="13">
        <v>10.210000000000001</v>
      </c>
      <c r="AD133" s="13">
        <v>10.15</v>
      </c>
      <c r="AE133" s="13">
        <v>10.27</v>
      </c>
      <c r="AF133" s="13">
        <v>9.5500000000000007</v>
      </c>
      <c r="AG133" s="13">
        <v>9.6</v>
      </c>
      <c r="AH133" s="13">
        <v>9.66</v>
      </c>
      <c r="AI133" s="13">
        <v>9.65</v>
      </c>
      <c r="AJ133" s="13">
        <v>9.7799999999999994</v>
      </c>
      <c r="AK133" s="13">
        <v>9.83</v>
      </c>
      <c r="AL133" s="13">
        <v>9.91</v>
      </c>
      <c r="AM133" s="13">
        <v>10.02</v>
      </c>
      <c r="AN133" s="13">
        <v>10.15</v>
      </c>
      <c r="AO133" s="13">
        <v>10.199999999999999</v>
      </c>
      <c r="AP133" s="13">
        <v>10.32</v>
      </c>
      <c r="AQ133" s="13">
        <v>10.42</v>
      </c>
      <c r="AR133" s="13">
        <v>10.53</v>
      </c>
      <c r="AS133" s="13">
        <v>10.64</v>
      </c>
      <c r="AT133" s="13">
        <v>10.74</v>
      </c>
      <c r="AU133" s="13">
        <v>10.85</v>
      </c>
    </row>
    <row r="134" spans="1:47" x14ac:dyDescent="0.25">
      <c r="A134" s="13" t="s">
        <v>504</v>
      </c>
      <c r="B134" s="13">
        <v>0</v>
      </c>
      <c r="C134" s="13">
        <v>0</v>
      </c>
      <c r="D134" s="13">
        <v>0</v>
      </c>
      <c r="E134" s="13">
        <v>0</v>
      </c>
      <c r="F134" s="13">
        <v>0</v>
      </c>
      <c r="G134" s="13">
        <v>0</v>
      </c>
      <c r="H134" s="13">
        <v>0</v>
      </c>
      <c r="I134" s="13">
        <v>0</v>
      </c>
      <c r="J134" s="13">
        <v>0</v>
      </c>
      <c r="K134" s="13">
        <v>0</v>
      </c>
      <c r="L134" s="13">
        <v>0</v>
      </c>
      <c r="M134" s="13">
        <v>0</v>
      </c>
      <c r="N134" s="13">
        <v>0</v>
      </c>
      <c r="O134" s="13">
        <v>0</v>
      </c>
      <c r="P134" s="13">
        <v>0</v>
      </c>
      <c r="Q134" s="13">
        <v>0</v>
      </c>
      <c r="R134" s="13">
        <v>0</v>
      </c>
      <c r="S134" s="13">
        <v>0</v>
      </c>
      <c r="T134" s="13">
        <v>0</v>
      </c>
      <c r="U134" s="13">
        <v>0</v>
      </c>
      <c r="V134" s="13">
        <v>0</v>
      </c>
      <c r="W134" s="13">
        <v>0</v>
      </c>
      <c r="X134" s="13">
        <v>0</v>
      </c>
      <c r="Y134" s="13">
        <v>0</v>
      </c>
      <c r="Z134" s="13">
        <v>0</v>
      </c>
      <c r="AA134" s="13">
        <v>0</v>
      </c>
      <c r="AB134" s="13">
        <v>0</v>
      </c>
      <c r="AC134" s="13">
        <v>0</v>
      </c>
      <c r="AD134" s="13">
        <v>0</v>
      </c>
      <c r="AE134" s="13">
        <v>0</v>
      </c>
      <c r="AF134" s="13">
        <v>0</v>
      </c>
      <c r="AG134" s="13">
        <v>0</v>
      </c>
      <c r="AH134" s="13">
        <v>0</v>
      </c>
      <c r="AI134" s="13">
        <v>0</v>
      </c>
      <c r="AJ134" s="13">
        <v>0</v>
      </c>
      <c r="AK134" s="13">
        <v>0</v>
      </c>
      <c r="AL134" s="13">
        <v>0</v>
      </c>
      <c r="AM134" s="13">
        <v>0</v>
      </c>
      <c r="AN134" s="13">
        <v>0</v>
      </c>
      <c r="AO134" s="13">
        <v>0</v>
      </c>
      <c r="AP134" s="13">
        <v>0</v>
      </c>
      <c r="AQ134" s="13">
        <v>0</v>
      </c>
      <c r="AR134" s="13">
        <v>0</v>
      </c>
      <c r="AS134" s="13">
        <v>0</v>
      </c>
      <c r="AT134" s="13">
        <v>0</v>
      </c>
      <c r="AU134" s="13">
        <v>0</v>
      </c>
    </row>
    <row r="135" spans="1:47" x14ac:dyDescent="0.25">
      <c r="A135" s="13" t="s">
        <v>505</v>
      </c>
      <c r="B135" s="13">
        <v>0</v>
      </c>
      <c r="C135" s="13">
        <v>0</v>
      </c>
      <c r="D135" s="13">
        <v>0</v>
      </c>
      <c r="E135" s="13">
        <v>0</v>
      </c>
      <c r="F135" s="13">
        <v>0</v>
      </c>
      <c r="G135" s="13">
        <v>0</v>
      </c>
      <c r="H135" s="13">
        <v>0</v>
      </c>
      <c r="I135" s="13">
        <v>0</v>
      </c>
      <c r="J135" s="13">
        <v>0</v>
      </c>
      <c r="K135" s="13">
        <v>0</v>
      </c>
      <c r="L135" s="13">
        <v>0</v>
      </c>
      <c r="M135" s="13">
        <v>0</v>
      </c>
      <c r="N135" s="13">
        <v>0</v>
      </c>
      <c r="O135" s="13">
        <v>0</v>
      </c>
      <c r="P135" s="13">
        <v>0</v>
      </c>
      <c r="Q135" s="13">
        <v>0</v>
      </c>
      <c r="R135" s="13">
        <v>0</v>
      </c>
      <c r="S135" s="13">
        <v>0</v>
      </c>
      <c r="T135" s="13">
        <v>0</v>
      </c>
      <c r="U135" s="13">
        <v>0</v>
      </c>
      <c r="V135" s="13">
        <v>0</v>
      </c>
      <c r="W135" s="13">
        <v>0</v>
      </c>
      <c r="X135" s="13">
        <v>0</v>
      </c>
      <c r="Y135" s="13">
        <v>0</v>
      </c>
      <c r="Z135" s="13">
        <v>0</v>
      </c>
      <c r="AA135" s="13">
        <v>0</v>
      </c>
      <c r="AB135" s="13">
        <v>0</v>
      </c>
      <c r="AC135" s="13">
        <v>0</v>
      </c>
      <c r="AD135" s="13">
        <v>0</v>
      </c>
      <c r="AE135" s="13">
        <v>0</v>
      </c>
      <c r="AF135" s="13">
        <v>0</v>
      </c>
      <c r="AG135" s="13">
        <v>0</v>
      </c>
      <c r="AH135" s="13">
        <v>0</v>
      </c>
      <c r="AI135" s="13">
        <v>0</v>
      </c>
      <c r="AJ135" s="13">
        <v>0</v>
      </c>
      <c r="AK135" s="13">
        <v>0</v>
      </c>
      <c r="AL135" s="13">
        <v>0</v>
      </c>
      <c r="AM135" s="13">
        <v>0</v>
      </c>
      <c r="AN135" s="13">
        <v>0</v>
      </c>
      <c r="AO135" s="13">
        <v>0</v>
      </c>
      <c r="AP135" s="13">
        <v>0</v>
      </c>
      <c r="AQ135" s="13">
        <v>0</v>
      </c>
      <c r="AR135" s="13">
        <v>0</v>
      </c>
      <c r="AS135" s="13">
        <v>0</v>
      </c>
      <c r="AT135" s="13">
        <v>0</v>
      </c>
      <c r="AU135" s="13">
        <v>0</v>
      </c>
    </row>
    <row r="136" spans="1:47" x14ac:dyDescent="0.25">
      <c r="A136" s="13" t="s">
        <v>376</v>
      </c>
      <c r="B136" s="13">
        <v>0</v>
      </c>
      <c r="C136" s="13">
        <v>0</v>
      </c>
      <c r="D136" s="13">
        <v>0</v>
      </c>
      <c r="E136" s="13">
        <v>0</v>
      </c>
      <c r="F136" s="13">
        <v>0</v>
      </c>
      <c r="G136" s="13">
        <v>0</v>
      </c>
      <c r="H136" s="13">
        <v>0</v>
      </c>
      <c r="I136" s="13">
        <v>0</v>
      </c>
      <c r="J136" s="13">
        <v>0</v>
      </c>
      <c r="K136" s="13">
        <v>0</v>
      </c>
      <c r="L136" s="13">
        <v>26</v>
      </c>
      <c r="M136" s="13">
        <v>27</v>
      </c>
      <c r="N136" s="13">
        <v>37</v>
      </c>
      <c r="O136" s="13">
        <v>59</v>
      </c>
      <c r="P136" s="13">
        <v>92</v>
      </c>
      <c r="Q136" s="13">
        <v>117.86</v>
      </c>
      <c r="R136" s="13">
        <v>167.92</v>
      </c>
      <c r="S136" s="13">
        <v>146.97</v>
      </c>
      <c r="T136" s="13">
        <v>173.45</v>
      </c>
      <c r="U136" s="13">
        <v>173.45</v>
      </c>
      <c r="V136" s="13">
        <v>167.1</v>
      </c>
      <c r="W136" s="13">
        <v>153.49</v>
      </c>
      <c r="X136" s="13">
        <v>65.83</v>
      </c>
      <c r="Y136" s="13">
        <v>26.07</v>
      </c>
      <c r="Z136" s="13">
        <v>3.5</v>
      </c>
      <c r="AA136" s="13">
        <v>1.81</v>
      </c>
      <c r="AB136" s="13">
        <v>0</v>
      </c>
      <c r="AC136" s="13">
        <v>0</v>
      </c>
      <c r="AD136" s="13">
        <v>0</v>
      </c>
      <c r="AE136" s="13">
        <v>0</v>
      </c>
      <c r="AF136" s="13">
        <v>0</v>
      </c>
      <c r="AG136" s="13">
        <v>0</v>
      </c>
      <c r="AH136" s="13">
        <v>0</v>
      </c>
      <c r="AI136" s="13">
        <v>0</v>
      </c>
      <c r="AJ136" s="13">
        <v>0</v>
      </c>
      <c r="AK136" s="13">
        <v>0</v>
      </c>
      <c r="AL136" s="13">
        <v>0</v>
      </c>
      <c r="AM136" s="13">
        <v>0</v>
      </c>
      <c r="AN136" s="13">
        <v>0</v>
      </c>
      <c r="AO136" s="13">
        <v>0</v>
      </c>
      <c r="AP136" s="13">
        <v>0</v>
      </c>
      <c r="AQ136" s="13">
        <v>0</v>
      </c>
      <c r="AR136" s="13">
        <v>0</v>
      </c>
      <c r="AS136" s="13">
        <v>0</v>
      </c>
      <c r="AT136" s="13">
        <v>0</v>
      </c>
      <c r="AU136" s="13">
        <v>0</v>
      </c>
    </row>
    <row r="137" spans="1:47" x14ac:dyDescent="0.25">
      <c r="A137" s="13" t="s">
        <v>70</v>
      </c>
      <c r="B137" s="13">
        <v>22.09</v>
      </c>
      <c r="C137" s="13">
        <v>22.09</v>
      </c>
      <c r="D137" s="13">
        <v>22.09</v>
      </c>
      <c r="E137" s="13">
        <v>22.33</v>
      </c>
      <c r="F137" s="13">
        <v>18.54</v>
      </c>
      <c r="G137" s="13">
        <v>24.78</v>
      </c>
      <c r="H137" s="13">
        <v>36.869999999999997</v>
      </c>
      <c r="I137" s="13">
        <v>24.37</v>
      </c>
      <c r="J137" s="13">
        <v>23.29</v>
      </c>
      <c r="K137" s="13">
        <v>23</v>
      </c>
      <c r="L137" s="13">
        <v>0</v>
      </c>
      <c r="M137" s="13">
        <v>0</v>
      </c>
      <c r="N137" s="13">
        <v>0</v>
      </c>
      <c r="O137" s="13">
        <v>0</v>
      </c>
      <c r="P137" s="13">
        <v>0</v>
      </c>
      <c r="Q137" s="13">
        <v>5.2</v>
      </c>
      <c r="R137" s="13">
        <v>35.83</v>
      </c>
      <c r="S137" s="13">
        <v>23.56</v>
      </c>
      <c r="T137" s="13">
        <v>60.29</v>
      </c>
      <c r="U137" s="13">
        <v>164.84</v>
      </c>
      <c r="V137" s="13">
        <v>40.229999999999997</v>
      </c>
      <c r="W137" s="13">
        <v>31.34</v>
      </c>
      <c r="X137" s="13">
        <v>0.36</v>
      </c>
      <c r="Y137" s="13">
        <v>0</v>
      </c>
      <c r="Z137" s="13">
        <v>0</v>
      </c>
      <c r="AA137" s="13">
        <v>0</v>
      </c>
      <c r="AB137" s="13">
        <v>0</v>
      </c>
      <c r="AC137" s="13">
        <v>0</v>
      </c>
      <c r="AD137" s="13">
        <v>0</v>
      </c>
      <c r="AE137" s="13">
        <v>0</v>
      </c>
      <c r="AF137" s="13">
        <v>0</v>
      </c>
      <c r="AG137" s="13">
        <v>0</v>
      </c>
      <c r="AH137" s="13">
        <v>0</v>
      </c>
      <c r="AI137" s="13">
        <v>0</v>
      </c>
      <c r="AJ137" s="13">
        <v>0</v>
      </c>
      <c r="AK137" s="13">
        <v>0</v>
      </c>
      <c r="AL137" s="13">
        <v>0</v>
      </c>
      <c r="AM137" s="13">
        <v>0</v>
      </c>
      <c r="AN137" s="13">
        <v>0</v>
      </c>
      <c r="AO137" s="13">
        <v>0</v>
      </c>
      <c r="AP137" s="13">
        <v>0</v>
      </c>
      <c r="AQ137" s="13">
        <v>0</v>
      </c>
      <c r="AR137" s="13">
        <v>0</v>
      </c>
      <c r="AS137" s="13">
        <v>0</v>
      </c>
      <c r="AT137" s="13">
        <v>0</v>
      </c>
      <c r="AU137" s="13">
        <v>0</v>
      </c>
    </row>
    <row r="139" spans="1:47" ht="18.75" x14ac:dyDescent="0.3">
      <c r="A139" s="14" t="s">
        <v>445</v>
      </c>
    </row>
    <row r="140" spans="1:47" x14ac:dyDescent="0.25">
      <c r="A140" s="13" t="s">
        <v>328</v>
      </c>
      <c r="B140" s="13" t="s">
        <v>329</v>
      </c>
      <c r="C140" s="13" t="s">
        <v>330</v>
      </c>
      <c r="D140" s="13" t="s">
        <v>331</v>
      </c>
      <c r="E140" s="13" t="s">
        <v>332</v>
      </c>
      <c r="F140" s="13" t="s">
        <v>333</v>
      </c>
      <c r="G140" s="13" t="s">
        <v>334</v>
      </c>
      <c r="H140" s="13" t="s">
        <v>335</v>
      </c>
      <c r="I140" s="13" t="s">
        <v>336</v>
      </c>
      <c r="J140" s="13" t="s">
        <v>337</v>
      </c>
      <c r="K140" s="13" t="s">
        <v>338</v>
      </c>
      <c r="L140" s="13" t="s">
        <v>339</v>
      </c>
      <c r="M140" s="13" t="s">
        <v>340</v>
      </c>
      <c r="N140" s="13" t="s">
        <v>341</v>
      </c>
      <c r="O140" s="13" t="s">
        <v>342</v>
      </c>
      <c r="P140" s="13" t="s">
        <v>343</v>
      </c>
      <c r="Q140" s="13" t="s">
        <v>344</v>
      </c>
      <c r="R140" s="13" t="s">
        <v>345</v>
      </c>
      <c r="S140" s="13" t="s">
        <v>346</v>
      </c>
      <c r="T140" s="13" t="s">
        <v>347</v>
      </c>
      <c r="U140" s="13" t="s">
        <v>348</v>
      </c>
      <c r="V140" s="13" t="s">
        <v>349</v>
      </c>
      <c r="W140" s="13" t="s">
        <v>350</v>
      </c>
      <c r="X140" s="13" t="s">
        <v>351</v>
      </c>
      <c r="Y140" s="13" t="s">
        <v>352</v>
      </c>
      <c r="Z140" s="13" t="s">
        <v>353</v>
      </c>
      <c r="AA140" s="13" t="s">
        <v>354</v>
      </c>
      <c r="AB140" s="13" t="s">
        <v>355</v>
      </c>
      <c r="AC140" s="13" t="s">
        <v>356</v>
      </c>
      <c r="AD140" s="13" t="s">
        <v>357</v>
      </c>
      <c r="AE140" s="13" t="s">
        <v>358</v>
      </c>
      <c r="AF140" s="13" t="s">
        <v>359</v>
      </c>
      <c r="AG140" s="13" t="s">
        <v>360</v>
      </c>
      <c r="AH140" s="13" t="s">
        <v>361</v>
      </c>
      <c r="AI140" s="13" t="s">
        <v>362</v>
      </c>
      <c r="AJ140" s="13" t="s">
        <v>363</v>
      </c>
      <c r="AK140" s="13" t="s">
        <v>364</v>
      </c>
      <c r="AL140" s="13" t="s">
        <v>365</v>
      </c>
      <c r="AM140" s="13" t="s">
        <v>366</v>
      </c>
      <c r="AN140" s="13" t="s">
        <v>367</v>
      </c>
      <c r="AO140" s="13" t="s">
        <v>368</v>
      </c>
      <c r="AP140" s="13" t="s">
        <v>369</v>
      </c>
      <c r="AQ140" s="13" t="s">
        <v>370</v>
      </c>
      <c r="AR140" s="13" t="s">
        <v>371</v>
      </c>
      <c r="AS140" s="13" t="s">
        <v>372</v>
      </c>
      <c r="AT140" s="13" t="s">
        <v>373</v>
      </c>
      <c r="AU140" s="13" t="s">
        <v>374</v>
      </c>
    </row>
    <row r="141" spans="1:47" x14ac:dyDescent="0.25">
      <c r="A141" s="13" t="s">
        <v>500</v>
      </c>
      <c r="B141" s="13">
        <v>259.11</v>
      </c>
      <c r="C141" s="13">
        <v>251.87</v>
      </c>
      <c r="D141" s="13">
        <v>250.25</v>
      </c>
      <c r="E141" s="13">
        <v>246.58</v>
      </c>
      <c r="F141" s="13">
        <v>253.95</v>
      </c>
      <c r="G141" s="13">
        <v>253.95</v>
      </c>
      <c r="H141" s="13">
        <v>260.35000000000002</v>
      </c>
      <c r="I141" s="13">
        <v>255.2</v>
      </c>
      <c r="J141" s="13">
        <v>262.76</v>
      </c>
      <c r="K141" s="13">
        <v>233.82</v>
      </c>
      <c r="L141" s="13">
        <v>164</v>
      </c>
      <c r="M141" s="13">
        <v>243</v>
      </c>
      <c r="N141" s="13">
        <v>249</v>
      </c>
      <c r="O141" s="13">
        <v>253</v>
      </c>
      <c r="P141" s="13">
        <v>267</v>
      </c>
      <c r="Q141" s="13">
        <v>115.84</v>
      </c>
      <c r="R141" s="13">
        <v>114.72</v>
      </c>
      <c r="S141" s="13">
        <v>114</v>
      </c>
      <c r="T141" s="13">
        <v>112.95</v>
      </c>
      <c r="U141" s="13">
        <v>246.46</v>
      </c>
      <c r="V141" s="13">
        <v>277.14999999999998</v>
      </c>
      <c r="W141" s="13">
        <v>281.58999999999997</v>
      </c>
      <c r="X141" s="13">
        <v>286.38</v>
      </c>
      <c r="Y141" s="13">
        <v>287.41000000000003</v>
      </c>
      <c r="Z141" s="13">
        <v>308.39999999999998</v>
      </c>
      <c r="AA141" s="13">
        <v>308.39999999999998</v>
      </c>
      <c r="AB141" s="13">
        <v>307.25</v>
      </c>
      <c r="AC141" s="13">
        <v>307.11</v>
      </c>
      <c r="AD141" s="13">
        <v>306.97000000000003</v>
      </c>
      <c r="AE141" s="13">
        <v>306.82</v>
      </c>
      <c r="AF141" s="13">
        <v>306.69</v>
      </c>
      <c r="AG141" s="13">
        <v>305.58</v>
      </c>
      <c r="AH141" s="13">
        <v>304.77999999999997</v>
      </c>
      <c r="AI141" s="13">
        <v>303</v>
      </c>
      <c r="AJ141" s="13">
        <v>300.77</v>
      </c>
      <c r="AK141" s="13">
        <v>299.52</v>
      </c>
      <c r="AL141" s="13">
        <v>300.2</v>
      </c>
      <c r="AM141" s="13">
        <v>298.51</v>
      </c>
      <c r="AN141" s="13">
        <v>297.77999999999997</v>
      </c>
      <c r="AO141" s="13">
        <v>297.05</v>
      </c>
      <c r="AP141" s="13">
        <v>296.31</v>
      </c>
      <c r="AQ141" s="13">
        <v>297.45</v>
      </c>
      <c r="AR141" s="13">
        <v>294.82</v>
      </c>
      <c r="AS141" s="13">
        <v>295.02</v>
      </c>
      <c r="AT141" s="13">
        <v>294.29000000000002</v>
      </c>
      <c r="AU141" s="13">
        <v>294.02999999999997</v>
      </c>
    </row>
    <row r="142" spans="1:47" x14ac:dyDescent="0.25">
      <c r="A142" s="13" t="s">
        <v>501</v>
      </c>
      <c r="B142" s="13">
        <v>0</v>
      </c>
      <c r="C142" s="13">
        <v>0</v>
      </c>
      <c r="D142" s="13">
        <v>0</v>
      </c>
      <c r="E142" s="13">
        <v>0</v>
      </c>
      <c r="F142" s="13">
        <v>0</v>
      </c>
      <c r="G142" s="13">
        <v>0</v>
      </c>
      <c r="H142" s="13">
        <v>0</v>
      </c>
      <c r="I142" s="13">
        <v>1.3</v>
      </c>
      <c r="J142" s="13">
        <v>1.6</v>
      </c>
      <c r="K142" s="13">
        <v>19.850000000000001</v>
      </c>
      <c r="L142" s="13">
        <v>21</v>
      </c>
      <c r="M142" s="13">
        <v>14</v>
      </c>
      <c r="N142" s="13">
        <v>17</v>
      </c>
      <c r="O142" s="13">
        <v>18</v>
      </c>
      <c r="P142" s="13">
        <v>17</v>
      </c>
      <c r="Q142" s="13">
        <v>6.8</v>
      </c>
      <c r="R142" s="13">
        <v>6.8</v>
      </c>
      <c r="S142" s="13">
        <v>20.82</v>
      </c>
      <c r="T142" s="13">
        <v>14.02</v>
      </c>
      <c r="U142" s="13">
        <v>11.17</v>
      </c>
      <c r="V142" s="13">
        <v>13.81</v>
      </c>
      <c r="W142" s="13">
        <v>14.55</v>
      </c>
      <c r="X142" s="13">
        <v>15.32</v>
      </c>
      <c r="Y142" s="13">
        <v>15.38</v>
      </c>
      <c r="Z142" s="13">
        <v>15.82</v>
      </c>
      <c r="AA142" s="13">
        <v>15.82</v>
      </c>
      <c r="AB142" s="13">
        <v>16.309999999999999</v>
      </c>
      <c r="AC142" s="13">
        <v>16.84</v>
      </c>
      <c r="AD142" s="13">
        <v>17.38</v>
      </c>
      <c r="AE142" s="13">
        <v>17.91</v>
      </c>
      <c r="AF142" s="13">
        <v>18.45</v>
      </c>
      <c r="AG142" s="13">
        <v>18.920000000000002</v>
      </c>
      <c r="AH142" s="13">
        <v>19.41</v>
      </c>
      <c r="AI142" s="13">
        <v>19.829999999999998</v>
      </c>
      <c r="AJ142" s="13">
        <v>20.22</v>
      </c>
      <c r="AK142" s="13">
        <v>20.67</v>
      </c>
      <c r="AL142" s="13">
        <v>21.24</v>
      </c>
      <c r="AM142" s="13">
        <v>21.65</v>
      </c>
      <c r="AN142" s="13">
        <v>22.13</v>
      </c>
      <c r="AO142" s="13">
        <v>22.6</v>
      </c>
      <c r="AP142" s="13">
        <v>23.06</v>
      </c>
      <c r="AQ142" s="13">
        <v>23.68</v>
      </c>
      <c r="AR142" s="13">
        <v>23.99</v>
      </c>
      <c r="AS142" s="13">
        <v>24.53</v>
      </c>
      <c r="AT142" s="13">
        <v>24.99</v>
      </c>
      <c r="AU142" s="13">
        <v>25.49</v>
      </c>
    </row>
    <row r="143" spans="1:47" x14ac:dyDescent="0.25">
      <c r="A143" s="13" t="s">
        <v>502</v>
      </c>
      <c r="B143" s="13">
        <v>0</v>
      </c>
      <c r="C143" s="13">
        <v>0</v>
      </c>
      <c r="D143" s="13">
        <v>0</v>
      </c>
      <c r="E143" s="13">
        <v>0</v>
      </c>
      <c r="F143" s="13">
        <v>0</v>
      </c>
      <c r="G143" s="13">
        <v>0</v>
      </c>
      <c r="H143" s="13">
        <v>0</v>
      </c>
      <c r="I143" s="13">
        <v>0</v>
      </c>
      <c r="J143" s="13">
        <v>0</v>
      </c>
      <c r="K143" s="13">
        <v>0</v>
      </c>
      <c r="L143" s="13">
        <v>0</v>
      </c>
      <c r="M143" s="13">
        <v>0</v>
      </c>
      <c r="N143" s="13">
        <v>0</v>
      </c>
      <c r="O143" s="13">
        <v>0</v>
      </c>
      <c r="P143" s="13">
        <v>0</v>
      </c>
      <c r="Q143" s="13">
        <v>0</v>
      </c>
      <c r="R143" s="13">
        <v>0</v>
      </c>
      <c r="S143" s="13">
        <v>0</v>
      </c>
      <c r="T143" s="13">
        <v>0</v>
      </c>
      <c r="U143" s="13">
        <v>0</v>
      </c>
      <c r="V143" s="13">
        <v>0</v>
      </c>
      <c r="W143" s="13">
        <v>0</v>
      </c>
      <c r="X143" s="13">
        <v>0</v>
      </c>
      <c r="Y143" s="13">
        <v>0</v>
      </c>
      <c r="Z143" s="13">
        <v>0</v>
      </c>
      <c r="AA143" s="13">
        <v>0</v>
      </c>
      <c r="AB143" s="13">
        <v>0</v>
      </c>
      <c r="AC143" s="13">
        <v>0</v>
      </c>
      <c r="AD143" s="13">
        <v>0</v>
      </c>
      <c r="AE143" s="13">
        <v>0</v>
      </c>
      <c r="AF143" s="13">
        <v>0</v>
      </c>
      <c r="AG143" s="13">
        <v>0</v>
      </c>
      <c r="AH143" s="13">
        <v>0</v>
      </c>
      <c r="AI143" s="13">
        <v>0</v>
      </c>
      <c r="AJ143" s="13">
        <v>0</v>
      </c>
      <c r="AK143" s="13">
        <v>0</v>
      </c>
      <c r="AL143" s="13">
        <v>0</v>
      </c>
      <c r="AM143" s="13">
        <v>0</v>
      </c>
      <c r="AN143" s="13">
        <v>0</v>
      </c>
      <c r="AO143" s="13">
        <v>0</v>
      </c>
      <c r="AP143" s="13">
        <v>0</v>
      </c>
      <c r="AQ143" s="13">
        <v>0</v>
      </c>
      <c r="AR143" s="13">
        <v>0</v>
      </c>
      <c r="AS143" s="13">
        <v>0</v>
      </c>
      <c r="AT143" s="13">
        <v>0</v>
      </c>
      <c r="AU143" s="13">
        <v>0</v>
      </c>
    </row>
    <row r="144" spans="1:47" x14ac:dyDescent="0.25">
      <c r="A144" s="13" t="s">
        <v>503</v>
      </c>
      <c r="B144" s="13">
        <v>0</v>
      </c>
      <c r="C144" s="13">
        <v>0</v>
      </c>
      <c r="D144" s="13">
        <v>0</v>
      </c>
      <c r="E144" s="13">
        <v>0</v>
      </c>
      <c r="F144" s="13">
        <v>0</v>
      </c>
      <c r="G144" s="13">
        <v>0</v>
      </c>
      <c r="H144" s="13">
        <v>0</v>
      </c>
      <c r="I144" s="13">
        <v>0</v>
      </c>
      <c r="J144" s="13">
        <v>0</v>
      </c>
      <c r="K144" s="13">
        <v>0</v>
      </c>
      <c r="L144" s="13">
        <v>0</v>
      </c>
      <c r="M144" s="13">
        <v>0</v>
      </c>
      <c r="N144" s="13">
        <v>0</v>
      </c>
      <c r="O144" s="13">
        <v>0</v>
      </c>
      <c r="P144" s="13">
        <v>0</v>
      </c>
      <c r="Q144" s="13">
        <v>0</v>
      </c>
      <c r="R144" s="13">
        <v>0</v>
      </c>
      <c r="S144" s="13">
        <v>0</v>
      </c>
      <c r="T144" s="13">
        <v>0.73</v>
      </c>
      <c r="U144" s="13">
        <v>1.1200000000000001</v>
      </c>
      <c r="V144" s="13">
        <v>2.0299999999999998</v>
      </c>
      <c r="W144" s="13">
        <v>2.8</v>
      </c>
      <c r="X144" s="13">
        <v>2.85</v>
      </c>
      <c r="Y144" s="13">
        <v>2.86</v>
      </c>
      <c r="Z144" s="13">
        <v>2.94</v>
      </c>
      <c r="AA144" s="13">
        <v>2.94</v>
      </c>
      <c r="AB144" s="13">
        <v>2.93</v>
      </c>
      <c r="AC144" s="13">
        <v>2.93</v>
      </c>
      <c r="AD144" s="13">
        <v>2.93</v>
      </c>
      <c r="AE144" s="13">
        <v>2.92</v>
      </c>
      <c r="AF144" s="13">
        <v>2.92</v>
      </c>
      <c r="AG144" s="13">
        <v>3.81</v>
      </c>
      <c r="AH144" s="13">
        <v>4.7300000000000004</v>
      </c>
      <c r="AI144" s="13">
        <v>5.65</v>
      </c>
      <c r="AJ144" s="13">
        <v>5.61</v>
      </c>
      <c r="AK144" s="13">
        <v>5.58</v>
      </c>
      <c r="AL144" s="13">
        <v>5.6</v>
      </c>
      <c r="AM144" s="13">
        <v>6.41</v>
      </c>
      <c r="AN144" s="13">
        <v>7.26</v>
      </c>
      <c r="AO144" s="13">
        <v>8.1199999999999992</v>
      </c>
      <c r="AP144" s="13">
        <v>9.01</v>
      </c>
      <c r="AQ144" s="13">
        <v>9.98</v>
      </c>
      <c r="AR144" s="13">
        <v>10.82</v>
      </c>
      <c r="AS144" s="13">
        <v>11.76</v>
      </c>
      <c r="AT144" s="13">
        <v>12.65</v>
      </c>
      <c r="AU144" s="13">
        <v>12.64</v>
      </c>
    </row>
    <row r="145" spans="1:47" x14ac:dyDescent="0.25">
      <c r="A145" s="13" t="s">
        <v>504</v>
      </c>
      <c r="B145" s="13">
        <v>0</v>
      </c>
      <c r="C145" s="13">
        <v>0</v>
      </c>
      <c r="D145" s="13">
        <v>0</v>
      </c>
      <c r="E145" s="13">
        <v>0</v>
      </c>
      <c r="F145" s="13">
        <v>0</v>
      </c>
      <c r="G145" s="13">
        <v>0</v>
      </c>
      <c r="H145" s="13">
        <v>0</v>
      </c>
      <c r="I145" s="13">
        <v>0</v>
      </c>
      <c r="J145" s="13">
        <v>0</v>
      </c>
      <c r="K145" s="13">
        <v>0</v>
      </c>
      <c r="L145" s="13">
        <v>0</v>
      </c>
      <c r="M145" s="13">
        <v>0</v>
      </c>
      <c r="N145" s="13">
        <v>0</v>
      </c>
      <c r="O145" s="13">
        <v>0</v>
      </c>
      <c r="P145" s="13">
        <v>0</v>
      </c>
      <c r="Q145" s="13">
        <v>0</v>
      </c>
      <c r="R145" s="13">
        <v>0</v>
      </c>
      <c r="S145" s="13">
        <v>0</v>
      </c>
      <c r="T145" s="13">
        <v>0</v>
      </c>
      <c r="U145" s="13">
        <v>0</v>
      </c>
      <c r="V145" s="13">
        <v>0</v>
      </c>
      <c r="W145" s="13">
        <v>0</v>
      </c>
      <c r="X145" s="13">
        <v>0</v>
      </c>
      <c r="Y145" s="13">
        <v>0</v>
      </c>
      <c r="Z145" s="13">
        <v>0</v>
      </c>
      <c r="AA145" s="13">
        <v>0</v>
      </c>
      <c r="AB145" s="13">
        <v>0</v>
      </c>
      <c r="AC145" s="13">
        <v>0</v>
      </c>
      <c r="AD145" s="13">
        <v>0</v>
      </c>
      <c r="AE145" s="13">
        <v>0</v>
      </c>
      <c r="AF145" s="13">
        <v>0</v>
      </c>
      <c r="AG145" s="13">
        <v>0</v>
      </c>
      <c r="AH145" s="13">
        <v>0</v>
      </c>
      <c r="AI145" s="13">
        <v>0</v>
      </c>
      <c r="AJ145" s="13">
        <v>0</v>
      </c>
      <c r="AK145" s="13">
        <v>0</v>
      </c>
      <c r="AL145" s="13">
        <v>0</v>
      </c>
      <c r="AM145" s="13">
        <v>0</v>
      </c>
      <c r="AN145" s="13">
        <v>0</v>
      </c>
      <c r="AO145" s="13">
        <v>0</v>
      </c>
      <c r="AP145" s="13">
        <v>0</v>
      </c>
      <c r="AQ145" s="13">
        <v>0</v>
      </c>
      <c r="AR145" s="13">
        <v>0</v>
      </c>
      <c r="AS145" s="13">
        <v>0</v>
      </c>
      <c r="AT145" s="13">
        <v>0</v>
      </c>
      <c r="AU145" s="13">
        <v>0</v>
      </c>
    </row>
    <row r="146" spans="1:47" x14ac:dyDescent="0.25">
      <c r="A146" s="13" t="s">
        <v>505</v>
      </c>
      <c r="B146" s="13">
        <v>0</v>
      </c>
      <c r="C146" s="13">
        <v>0</v>
      </c>
      <c r="D146" s="13">
        <v>0</v>
      </c>
      <c r="E146" s="13">
        <v>0</v>
      </c>
      <c r="F146" s="13">
        <v>0</v>
      </c>
      <c r="G146" s="13">
        <v>0</v>
      </c>
      <c r="H146" s="13">
        <v>0</v>
      </c>
      <c r="I146" s="13">
        <v>0</v>
      </c>
      <c r="J146" s="13">
        <v>0</v>
      </c>
      <c r="K146" s="13">
        <v>0</v>
      </c>
      <c r="L146" s="13">
        <v>0</v>
      </c>
      <c r="M146" s="13">
        <v>0</v>
      </c>
      <c r="N146" s="13">
        <v>0</v>
      </c>
      <c r="O146" s="13">
        <v>0</v>
      </c>
      <c r="P146" s="13">
        <v>0</v>
      </c>
      <c r="Q146" s="13">
        <v>0</v>
      </c>
      <c r="R146" s="13">
        <v>0</v>
      </c>
      <c r="S146" s="13">
        <v>0</v>
      </c>
      <c r="T146" s="13">
        <v>0</v>
      </c>
      <c r="U146" s="13">
        <v>0</v>
      </c>
      <c r="V146" s="13">
        <v>0</v>
      </c>
      <c r="W146" s="13">
        <v>0</v>
      </c>
      <c r="X146" s="13">
        <v>0</v>
      </c>
      <c r="Y146" s="13">
        <v>0</v>
      </c>
      <c r="Z146" s="13">
        <v>0</v>
      </c>
      <c r="AA146" s="13">
        <v>0</v>
      </c>
      <c r="AB146" s="13">
        <v>0</v>
      </c>
      <c r="AC146" s="13">
        <v>0</v>
      </c>
      <c r="AD146" s="13">
        <v>0</v>
      </c>
      <c r="AE146" s="13">
        <v>0</v>
      </c>
      <c r="AF146" s="13">
        <v>0</v>
      </c>
      <c r="AG146" s="13">
        <v>0</v>
      </c>
      <c r="AH146" s="13">
        <v>0</v>
      </c>
      <c r="AI146" s="13">
        <v>0</v>
      </c>
      <c r="AJ146" s="13">
        <v>0</v>
      </c>
      <c r="AK146" s="13">
        <v>0</v>
      </c>
      <c r="AL146" s="13">
        <v>0</v>
      </c>
      <c r="AM146" s="13">
        <v>0</v>
      </c>
      <c r="AN146" s="13">
        <v>0</v>
      </c>
      <c r="AO146" s="13">
        <v>0</v>
      </c>
      <c r="AP146" s="13">
        <v>0</v>
      </c>
      <c r="AQ146" s="13">
        <v>0</v>
      </c>
      <c r="AR146" s="13">
        <v>0</v>
      </c>
      <c r="AS146" s="13">
        <v>0</v>
      </c>
      <c r="AT146" s="13">
        <v>0</v>
      </c>
      <c r="AU146" s="13">
        <v>0</v>
      </c>
    </row>
    <row r="147" spans="1:47" x14ac:dyDescent="0.25">
      <c r="A147" s="13" t="s">
        <v>376</v>
      </c>
      <c r="B147" s="13">
        <v>162.4</v>
      </c>
      <c r="C147" s="13">
        <v>169.77</v>
      </c>
      <c r="D147" s="13">
        <v>116.92</v>
      </c>
      <c r="E147" s="13">
        <v>171.91</v>
      </c>
      <c r="F147" s="13">
        <v>191.5</v>
      </c>
      <c r="G147" s="13">
        <v>97.44</v>
      </c>
      <c r="H147" s="13">
        <v>61.32</v>
      </c>
      <c r="I147" s="13">
        <v>34.270000000000003</v>
      </c>
      <c r="J147" s="13">
        <v>151.62</v>
      </c>
      <c r="K147" s="13">
        <v>35</v>
      </c>
      <c r="L147" s="13">
        <v>125.39</v>
      </c>
      <c r="M147" s="13">
        <v>124.29</v>
      </c>
      <c r="N147" s="13">
        <v>108.51</v>
      </c>
      <c r="O147" s="13">
        <v>110.64</v>
      </c>
      <c r="P147" s="13">
        <v>98.24</v>
      </c>
      <c r="Q147" s="13">
        <v>89.43</v>
      </c>
      <c r="R147" s="13">
        <v>89.34</v>
      </c>
      <c r="S147" s="13">
        <v>89.37</v>
      </c>
      <c r="T147" s="13">
        <v>89.33</v>
      </c>
      <c r="U147" s="13">
        <v>72.39</v>
      </c>
      <c r="V147" s="13">
        <v>86.98</v>
      </c>
      <c r="W147" s="13">
        <v>86.98</v>
      </c>
      <c r="X147" s="13">
        <v>86.98</v>
      </c>
      <c r="Y147" s="13">
        <v>86.99</v>
      </c>
      <c r="Z147" s="13">
        <v>89.59</v>
      </c>
      <c r="AA147" s="13">
        <v>89.59</v>
      </c>
      <c r="AB147" s="13">
        <v>88.37</v>
      </c>
      <c r="AC147" s="13">
        <v>88.2</v>
      </c>
      <c r="AD147" s="13">
        <v>88.03</v>
      </c>
      <c r="AE147" s="13">
        <v>87.86</v>
      </c>
      <c r="AF147" s="13">
        <v>87.7</v>
      </c>
      <c r="AG147" s="13">
        <v>86.98</v>
      </c>
      <c r="AH147" s="13">
        <v>86.98</v>
      </c>
      <c r="AI147" s="13">
        <v>86.98</v>
      </c>
      <c r="AJ147" s="13">
        <v>86.98</v>
      </c>
      <c r="AK147" s="13">
        <v>86.97</v>
      </c>
      <c r="AL147" s="13">
        <v>86.98</v>
      </c>
      <c r="AM147" s="13">
        <v>86.98</v>
      </c>
      <c r="AN147" s="13">
        <v>86.98</v>
      </c>
      <c r="AO147" s="13">
        <v>86.98</v>
      </c>
      <c r="AP147" s="13">
        <v>86.98</v>
      </c>
      <c r="AQ147" s="13">
        <v>86.98</v>
      </c>
      <c r="AR147" s="13">
        <v>86.8</v>
      </c>
      <c r="AS147" s="13">
        <v>86.61</v>
      </c>
      <c r="AT147" s="13">
        <v>86.41</v>
      </c>
      <c r="AU147" s="13">
        <v>86.34</v>
      </c>
    </row>
    <row r="148" spans="1:47" x14ac:dyDescent="0.25">
      <c r="A148" s="13" t="s">
        <v>70</v>
      </c>
      <c r="B148" s="13">
        <v>71.63</v>
      </c>
      <c r="C148" s="13">
        <v>41.21</v>
      </c>
      <c r="D148" s="13">
        <v>60.64</v>
      </c>
      <c r="E148" s="13">
        <v>57.56</v>
      </c>
      <c r="F148" s="13">
        <v>61.1</v>
      </c>
      <c r="G148" s="13">
        <v>57.78</v>
      </c>
      <c r="H148" s="13">
        <v>59.13</v>
      </c>
      <c r="I148" s="13">
        <v>77.16</v>
      </c>
      <c r="J148" s="13">
        <v>78.73</v>
      </c>
      <c r="K148" s="13">
        <v>101.67</v>
      </c>
      <c r="L148" s="13">
        <v>429.61</v>
      </c>
      <c r="M148" s="13">
        <v>426.71</v>
      </c>
      <c r="N148" s="13">
        <v>373.49</v>
      </c>
      <c r="O148" s="13">
        <v>377.36</v>
      </c>
      <c r="P148" s="13">
        <v>335.76</v>
      </c>
      <c r="Q148" s="13">
        <v>277.33999999999997</v>
      </c>
      <c r="R148" s="13">
        <v>282.58</v>
      </c>
      <c r="S148" s="13">
        <v>275.63</v>
      </c>
      <c r="T148" s="13">
        <v>283.73</v>
      </c>
      <c r="U148" s="13">
        <v>197.18</v>
      </c>
      <c r="V148" s="13">
        <v>103.57</v>
      </c>
      <c r="W148" s="13">
        <v>108.63</v>
      </c>
      <c r="X148" s="13">
        <v>112.82</v>
      </c>
      <c r="Y148" s="13">
        <v>114.41</v>
      </c>
      <c r="Z148" s="13">
        <v>42.01</v>
      </c>
      <c r="AA148" s="13">
        <v>43.11</v>
      </c>
      <c r="AB148" s="13">
        <v>41.88</v>
      </c>
      <c r="AC148" s="13">
        <v>41.7</v>
      </c>
      <c r="AD148" s="13">
        <v>41.43</v>
      </c>
      <c r="AE148" s="13">
        <v>41.21</v>
      </c>
      <c r="AF148" s="13">
        <v>40.9</v>
      </c>
      <c r="AG148" s="13">
        <v>39.85</v>
      </c>
      <c r="AH148" s="13">
        <v>38.26</v>
      </c>
      <c r="AI148" s="13">
        <v>37.15</v>
      </c>
      <c r="AJ148" s="13">
        <v>35.25</v>
      </c>
      <c r="AK148" s="13">
        <v>34.409999999999997</v>
      </c>
      <c r="AL148" s="13">
        <v>34.67</v>
      </c>
      <c r="AM148" s="13">
        <v>33.72</v>
      </c>
      <c r="AN148" s="13">
        <v>33.24</v>
      </c>
      <c r="AO148" s="13">
        <v>32.75</v>
      </c>
      <c r="AP148" s="13">
        <v>32.69</v>
      </c>
      <c r="AQ148" s="13">
        <v>32.19</v>
      </c>
      <c r="AR148" s="13">
        <v>31.72</v>
      </c>
      <c r="AS148" s="13">
        <v>31.54</v>
      </c>
      <c r="AT148" s="13">
        <v>31.01</v>
      </c>
      <c r="AU148" s="13">
        <v>31.42</v>
      </c>
    </row>
    <row r="150" spans="1:47" ht="18.75" x14ac:dyDescent="0.3">
      <c r="A150" s="14" t="s">
        <v>451</v>
      </c>
    </row>
    <row r="151" spans="1:47" x14ac:dyDescent="0.25">
      <c r="A151" s="13" t="s">
        <v>328</v>
      </c>
      <c r="B151" s="13" t="s">
        <v>329</v>
      </c>
      <c r="C151" s="13" t="s">
        <v>330</v>
      </c>
      <c r="D151" s="13" t="s">
        <v>331</v>
      </c>
      <c r="E151" s="13" t="s">
        <v>332</v>
      </c>
      <c r="F151" s="13" t="s">
        <v>333</v>
      </c>
      <c r="G151" s="13" t="s">
        <v>334</v>
      </c>
      <c r="H151" s="13" t="s">
        <v>335</v>
      </c>
      <c r="I151" s="13" t="s">
        <v>336</v>
      </c>
      <c r="J151" s="13" t="s">
        <v>337</v>
      </c>
      <c r="K151" s="13" t="s">
        <v>338</v>
      </c>
      <c r="L151" s="13" t="s">
        <v>339</v>
      </c>
      <c r="M151" s="13" t="s">
        <v>340</v>
      </c>
      <c r="N151" s="13" t="s">
        <v>341</v>
      </c>
      <c r="O151" s="13" t="s">
        <v>342</v>
      </c>
      <c r="P151" s="13" t="s">
        <v>343</v>
      </c>
      <c r="Q151" s="13" t="s">
        <v>344</v>
      </c>
      <c r="R151" s="13" t="s">
        <v>345</v>
      </c>
      <c r="S151" s="13" t="s">
        <v>346</v>
      </c>
      <c r="T151" s="13" t="s">
        <v>347</v>
      </c>
      <c r="U151" s="13" t="s">
        <v>348</v>
      </c>
      <c r="V151" s="13" t="s">
        <v>349</v>
      </c>
      <c r="W151" s="13" t="s">
        <v>350</v>
      </c>
      <c r="X151" s="13" t="s">
        <v>351</v>
      </c>
      <c r="Y151" s="13" t="s">
        <v>352</v>
      </c>
      <c r="Z151" s="13" t="s">
        <v>353</v>
      </c>
      <c r="AA151" s="13" t="s">
        <v>354</v>
      </c>
      <c r="AB151" s="13" t="s">
        <v>355</v>
      </c>
      <c r="AC151" s="13" t="s">
        <v>356</v>
      </c>
      <c r="AD151" s="13" t="s">
        <v>357</v>
      </c>
      <c r="AE151" s="13" t="s">
        <v>358</v>
      </c>
      <c r="AF151" s="13" t="s">
        <v>359</v>
      </c>
      <c r="AG151" s="13" t="s">
        <v>360</v>
      </c>
      <c r="AH151" s="13" t="s">
        <v>361</v>
      </c>
      <c r="AI151" s="13" t="s">
        <v>362</v>
      </c>
      <c r="AJ151" s="13" t="s">
        <v>363</v>
      </c>
      <c r="AK151" s="13" t="s">
        <v>364</v>
      </c>
      <c r="AL151" s="13" t="s">
        <v>365</v>
      </c>
      <c r="AM151" s="13" t="s">
        <v>366</v>
      </c>
      <c r="AN151" s="13" t="s">
        <v>367</v>
      </c>
      <c r="AO151" s="13" t="s">
        <v>368</v>
      </c>
      <c r="AP151" s="13" t="s">
        <v>369</v>
      </c>
      <c r="AQ151" s="13" t="s">
        <v>370</v>
      </c>
      <c r="AR151" s="13" t="s">
        <v>371</v>
      </c>
      <c r="AS151" s="13" t="s">
        <v>372</v>
      </c>
      <c r="AT151" s="13" t="s">
        <v>373</v>
      </c>
      <c r="AU151" s="13" t="s">
        <v>374</v>
      </c>
    </row>
    <row r="152" spans="1:47" x14ac:dyDescent="0.25">
      <c r="A152" s="13" t="s">
        <v>500</v>
      </c>
      <c r="B152" s="13">
        <v>0</v>
      </c>
      <c r="C152" s="13">
        <v>0</v>
      </c>
      <c r="D152" s="13">
        <v>0</v>
      </c>
      <c r="E152" s="13">
        <v>0</v>
      </c>
      <c r="F152" s="13">
        <v>0</v>
      </c>
      <c r="G152" s="13">
        <v>0</v>
      </c>
      <c r="H152" s="13">
        <v>0</v>
      </c>
      <c r="I152" s="13">
        <v>0</v>
      </c>
      <c r="J152" s="13">
        <v>0</v>
      </c>
      <c r="K152" s="13">
        <v>0</v>
      </c>
      <c r="L152" s="13">
        <v>0</v>
      </c>
      <c r="M152" s="13">
        <v>0</v>
      </c>
      <c r="N152" s="13">
        <v>0</v>
      </c>
      <c r="O152" s="13">
        <v>0</v>
      </c>
      <c r="P152" s="13">
        <v>0</v>
      </c>
      <c r="Q152" s="13">
        <v>0</v>
      </c>
      <c r="R152" s="13">
        <v>0</v>
      </c>
      <c r="S152" s="13">
        <v>0</v>
      </c>
      <c r="T152" s="13">
        <v>0</v>
      </c>
      <c r="U152" s="13">
        <v>0</v>
      </c>
      <c r="V152" s="13">
        <v>0</v>
      </c>
      <c r="W152" s="13">
        <v>0</v>
      </c>
      <c r="X152" s="13">
        <v>0</v>
      </c>
      <c r="Y152" s="13">
        <v>0</v>
      </c>
      <c r="Z152" s="13">
        <v>0</v>
      </c>
      <c r="AA152" s="13">
        <v>0</v>
      </c>
      <c r="AB152" s="13">
        <v>0</v>
      </c>
      <c r="AC152" s="13">
        <v>0</v>
      </c>
      <c r="AD152" s="13">
        <v>0</v>
      </c>
      <c r="AE152" s="13">
        <v>0</v>
      </c>
      <c r="AF152" s="13">
        <v>0</v>
      </c>
      <c r="AG152" s="13">
        <v>0</v>
      </c>
      <c r="AH152" s="13">
        <v>0</v>
      </c>
      <c r="AI152" s="13">
        <v>0</v>
      </c>
      <c r="AJ152" s="13">
        <v>0</v>
      </c>
      <c r="AK152" s="13">
        <v>0</v>
      </c>
      <c r="AL152" s="13">
        <v>0</v>
      </c>
      <c r="AM152" s="13">
        <v>0</v>
      </c>
      <c r="AN152" s="13">
        <v>0</v>
      </c>
      <c r="AO152" s="13">
        <v>0</v>
      </c>
      <c r="AP152" s="13">
        <v>0</v>
      </c>
      <c r="AQ152" s="13">
        <v>0</v>
      </c>
      <c r="AR152" s="13">
        <v>0</v>
      </c>
      <c r="AS152" s="13">
        <v>0</v>
      </c>
      <c r="AT152" s="13">
        <v>0</v>
      </c>
      <c r="AU152" s="13">
        <v>0</v>
      </c>
    </row>
    <row r="153" spans="1:47" x14ac:dyDescent="0.25">
      <c r="A153" s="13" t="s">
        <v>501</v>
      </c>
      <c r="B153" s="13">
        <v>0</v>
      </c>
      <c r="C153" s="13">
        <v>0</v>
      </c>
      <c r="D153" s="13">
        <v>0</v>
      </c>
      <c r="E153" s="13">
        <v>0</v>
      </c>
      <c r="F153" s="13">
        <v>0</v>
      </c>
      <c r="G153" s="13">
        <v>0</v>
      </c>
      <c r="H153" s="13">
        <v>0</v>
      </c>
      <c r="I153" s="13">
        <v>0</v>
      </c>
      <c r="J153" s="13">
        <v>0</v>
      </c>
      <c r="K153" s="13">
        <v>0</v>
      </c>
      <c r="L153" s="13">
        <v>0</v>
      </c>
      <c r="M153" s="13">
        <v>0</v>
      </c>
      <c r="N153" s="13">
        <v>0</v>
      </c>
      <c r="O153" s="13">
        <v>0</v>
      </c>
      <c r="P153" s="13">
        <v>0</v>
      </c>
      <c r="Q153" s="13">
        <v>0</v>
      </c>
      <c r="R153" s="13">
        <v>0</v>
      </c>
      <c r="S153" s="13">
        <v>0</v>
      </c>
      <c r="T153" s="13">
        <v>0.9</v>
      </c>
      <c r="U153" s="13">
        <v>1.82</v>
      </c>
      <c r="V153" s="13">
        <v>2.75</v>
      </c>
      <c r="W153" s="13">
        <v>3.67</v>
      </c>
      <c r="X153" s="13">
        <v>4.59</v>
      </c>
      <c r="Y153" s="13">
        <v>5.51</v>
      </c>
      <c r="Z153" s="13">
        <v>6.43</v>
      </c>
      <c r="AA153" s="13">
        <v>7.36</v>
      </c>
      <c r="AB153" s="13">
        <v>8.33</v>
      </c>
      <c r="AC153" s="13">
        <v>9.26</v>
      </c>
      <c r="AD153" s="13">
        <v>10.24</v>
      </c>
      <c r="AE153" s="13">
        <v>11.16</v>
      </c>
      <c r="AF153" s="13">
        <v>12.14</v>
      </c>
      <c r="AG153" s="13">
        <v>13.13</v>
      </c>
      <c r="AH153" s="13">
        <v>14.05</v>
      </c>
      <c r="AI153" s="13">
        <v>15.03</v>
      </c>
      <c r="AJ153" s="13">
        <v>15.95</v>
      </c>
      <c r="AK153" s="13">
        <v>16.93</v>
      </c>
      <c r="AL153" s="13">
        <v>17.86</v>
      </c>
      <c r="AM153" s="13">
        <v>18.84</v>
      </c>
      <c r="AN153" s="13">
        <v>19.82</v>
      </c>
      <c r="AO153" s="13">
        <v>20.8</v>
      </c>
      <c r="AP153" s="13">
        <v>21.77</v>
      </c>
      <c r="AQ153" s="13">
        <v>22.75</v>
      </c>
      <c r="AR153" s="13">
        <v>23.73</v>
      </c>
      <c r="AS153" s="13">
        <v>24.71</v>
      </c>
      <c r="AT153" s="13">
        <v>25.69</v>
      </c>
      <c r="AU153" s="13">
        <v>26.73</v>
      </c>
    </row>
    <row r="154" spans="1:47" x14ac:dyDescent="0.25">
      <c r="A154" s="13" t="s">
        <v>502</v>
      </c>
      <c r="B154" s="13">
        <v>0</v>
      </c>
      <c r="C154" s="13">
        <v>0</v>
      </c>
      <c r="D154" s="13">
        <v>0</v>
      </c>
      <c r="E154" s="13">
        <v>0</v>
      </c>
      <c r="F154" s="13">
        <v>0</v>
      </c>
      <c r="G154" s="13">
        <v>0</v>
      </c>
      <c r="H154" s="13">
        <v>0</v>
      </c>
      <c r="I154" s="13">
        <v>0</v>
      </c>
      <c r="J154" s="13">
        <v>0</v>
      </c>
      <c r="K154" s="13">
        <v>0</v>
      </c>
      <c r="L154" s="13">
        <v>0</v>
      </c>
      <c r="M154" s="13">
        <v>0</v>
      </c>
      <c r="N154" s="13">
        <v>0</v>
      </c>
      <c r="O154" s="13">
        <v>0</v>
      </c>
      <c r="P154" s="13">
        <v>0</v>
      </c>
      <c r="Q154" s="13">
        <v>0</v>
      </c>
      <c r="R154" s="13">
        <v>0</v>
      </c>
      <c r="S154" s="13">
        <v>0</v>
      </c>
      <c r="T154" s="13">
        <v>0</v>
      </c>
      <c r="U154" s="13">
        <v>0</v>
      </c>
      <c r="V154" s="13">
        <v>0</v>
      </c>
      <c r="W154" s="13">
        <v>0</v>
      </c>
      <c r="X154" s="13">
        <v>0</v>
      </c>
      <c r="Y154" s="13">
        <v>0</v>
      </c>
      <c r="Z154" s="13">
        <v>0</v>
      </c>
      <c r="AA154" s="13">
        <v>0</v>
      </c>
      <c r="AB154" s="13">
        <v>0</v>
      </c>
      <c r="AC154" s="13">
        <v>0</v>
      </c>
      <c r="AD154" s="13">
        <v>0</v>
      </c>
      <c r="AE154" s="13">
        <v>0</v>
      </c>
      <c r="AF154" s="13">
        <v>0</v>
      </c>
      <c r="AG154" s="13">
        <v>0</v>
      </c>
      <c r="AH154" s="13">
        <v>0</v>
      </c>
      <c r="AI154" s="13">
        <v>0</v>
      </c>
      <c r="AJ154" s="13">
        <v>0</v>
      </c>
      <c r="AK154" s="13">
        <v>0</v>
      </c>
      <c r="AL154" s="13">
        <v>0</v>
      </c>
      <c r="AM154" s="13">
        <v>0</v>
      </c>
      <c r="AN154" s="13">
        <v>0</v>
      </c>
      <c r="AO154" s="13">
        <v>0</v>
      </c>
      <c r="AP154" s="13">
        <v>0</v>
      </c>
      <c r="AQ154" s="13">
        <v>0</v>
      </c>
      <c r="AR154" s="13">
        <v>0</v>
      </c>
      <c r="AS154" s="13">
        <v>0</v>
      </c>
      <c r="AT154" s="13">
        <v>0</v>
      </c>
      <c r="AU154" s="13">
        <v>0</v>
      </c>
    </row>
    <row r="155" spans="1:47" x14ac:dyDescent="0.25">
      <c r="A155" s="13" t="s">
        <v>503</v>
      </c>
      <c r="B155" s="13">
        <v>0</v>
      </c>
      <c r="C155" s="13">
        <v>0</v>
      </c>
      <c r="D155" s="13">
        <v>0</v>
      </c>
      <c r="E155" s="13">
        <v>0</v>
      </c>
      <c r="F155" s="13">
        <v>0</v>
      </c>
      <c r="G155" s="13">
        <v>0</v>
      </c>
      <c r="H155" s="13">
        <v>0</v>
      </c>
      <c r="I155" s="13">
        <v>0</v>
      </c>
      <c r="J155" s="13">
        <v>0</v>
      </c>
      <c r="K155" s="13">
        <v>0</v>
      </c>
      <c r="L155" s="13">
        <v>0</v>
      </c>
      <c r="M155" s="13">
        <v>0</v>
      </c>
      <c r="N155" s="13">
        <v>0</v>
      </c>
      <c r="O155" s="13">
        <v>0</v>
      </c>
      <c r="P155" s="13">
        <v>0</v>
      </c>
      <c r="Q155" s="13">
        <v>0</v>
      </c>
      <c r="R155" s="13">
        <v>0</v>
      </c>
      <c r="S155" s="13">
        <v>0.44</v>
      </c>
      <c r="T155" s="13">
        <v>0.94</v>
      </c>
      <c r="U155" s="13">
        <v>1.42</v>
      </c>
      <c r="V155" s="13">
        <v>1.9</v>
      </c>
      <c r="W155" s="13">
        <v>2.37</v>
      </c>
      <c r="X155" s="13">
        <v>2.85</v>
      </c>
      <c r="Y155" s="13">
        <v>3.34</v>
      </c>
      <c r="Z155" s="13">
        <v>3.82</v>
      </c>
      <c r="AA155" s="13">
        <v>4.3</v>
      </c>
      <c r="AB155" s="13">
        <v>4.8099999999999996</v>
      </c>
      <c r="AC155" s="13">
        <v>5.28</v>
      </c>
      <c r="AD155" s="13">
        <v>5.79</v>
      </c>
      <c r="AE155" s="13">
        <v>6.27</v>
      </c>
      <c r="AF155" s="13">
        <v>6.78</v>
      </c>
      <c r="AG155" s="13">
        <v>7.29</v>
      </c>
      <c r="AH155" s="13">
        <v>7.76</v>
      </c>
      <c r="AI155" s="13">
        <v>8.27</v>
      </c>
      <c r="AJ155" s="13">
        <v>8.75</v>
      </c>
      <c r="AK155" s="13">
        <v>9.26</v>
      </c>
      <c r="AL155" s="13">
        <v>9.74</v>
      </c>
      <c r="AM155" s="13">
        <v>10.25</v>
      </c>
      <c r="AN155" s="13">
        <v>10.76</v>
      </c>
      <c r="AO155" s="13">
        <v>11.27</v>
      </c>
      <c r="AP155" s="13">
        <v>11.78</v>
      </c>
      <c r="AQ155" s="13">
        <v>12.29</v>
      </c>
      <c r="AR155" s="13">
        <v>12.8</v>
      </c>
      <c r="AS155" s="13">
        <v>13.31</v>
      </c>
      <c r="AT155" s="13">
        <v>13.82</v>
      </c>
      <c r="AU155" s="13">
        <v>14.35</v>
      </c>
    </row>
    <row r="156" spans="1:47" x14ac:dyDescent="0.25">
      <c r="A156" s="13" t="s">
        <v>504</v>
      </c>
      <c r="B156" s="13">
        <v>0</v>
      </c>
      <c r="C156" s="13">
        <v>0</v>
      </c>
      <c r="D156" s="13">
        <v>0</v>
      </c>
      <c r="E156" s="13">
        <v>0</v>
      </c>
      <c r="F156" s="13">
        <v>0</v>
      </c>
      <c r="G156" s="13">
        <v>0</v>
      </c>
      <c r="H156" s="13">
        <v>0</v>
      </c>
      <c r="I156" s="13">
        <v>0</v>
      </c>
      <c r="J156" s="13">
        <v>0</v>
      </c>
      <c r="K156" s="13">
        <v>0</v>
      </c>
      <c r="L156" s="13">
        <v>0</v>
      </c>
      <c r="M156" s="13">
        <v>0</v>
      </c>
      <c r="N156" s="13">
        <v>0</v>
      </c>
      <c r="O156" s="13">
        <v>0</v>
      </c>
      <c r="P156" s="13">
        <v>0</v>
      </c>
      <c r="Q156" s="13">
        <v>0</v>
      </c>
      <c r="R156" s="13">
        <v>0</v>
      </c>
      <c r="S156" s="13">
        <v>0</v>
      </c>
      <c r="T156" s="13">
        <v>0</v>
      </c>
      <c r="U156" s="13">
        <v>0</v>
      </c>
      <c r="V156" s="13">
        <v>0</v>
      </c>
      <c r="W156" s="13">
        <v>0</v>
      </c>
      <c r="X156" s="13">
        <v>0</v>
      </c>
      <c r="Y156" s="13">
        <v>0</v>
      </c>
      <c r="Z156" s="13">
        <v>0</v>
      </c>
      <c r="AA156" s="13">
        <v>0</v>
      </c>
      <c r="AB156" s="13">
        <v>0</v>
      </c>
      <c r="AC156" s="13">
        <v>0</v>
      </c>
      <c r="AD156" s="13">
        <v>0</v>
      </c>
      <c r="AE156" s="13">
        <v>0</v>
      </c>
      <c r="AF156" s="13">
        <v>0</v>
      </c>
      <c r="AG156" s="13">
        <v>0</v>
      </c>
      <c r="AH156" s="13">
        <v>0</v>
      </c>
      <c r="AI156" s="13">
        <v>0</v>
      </c>
      <c r="AJ156" s="13">
        <v>0</v>
      </c>
      <c r="AK156" s="13">
        <v>0</v>
      </c>
      <c r="AL156" s="13">
        <v>0</v>
      </c>
      <c r="AM156" s="13">
        <v>0</v>
      </c>
      <c r="AN156" s="13">
        <v>0</v>
      </c>
      <c r="AO156" s="13">
        <v>0</v>
      </c>
      <c r="AP156" s="13">
        <v>0</v>
      </c>
      <c r="AQ156" s="13">
        <v>0</v>
      </c>
      <c r="AR156" s="13">
        <v>0</v>
      </c>
      <c r="AS156" s="13">
        <v>0</v>
      </c>
      <c r="AT156" s="13">
        <v>0</v>
      </c>
      <c r="AU156" s="13">
        <v>0</v>
      </c>
    </row>
    <row r="157" spans="1:47" x14ac:dyDescent="0.25">
      <c r="A157" s="13" t="s">
        <v>505</v>
      </c>
      <c r="B157" s="13">
        <v>0</v>
      </c>
      <c r="C157" s="13">
        <v>0</v>
      </c>
      <c r="D157" s="13">
        <v>0</v>
      </c>
      <c r="E157" s="13">
        <v>0</v>
      </c>
      <c r="F157" s="13">
        <v>0</v>
      </c>
      <c r="G157" s="13">
        <v>0</v>
      </c>
      <c r="H157" s="13">
        <v>0</v>
      </c>
      <c r="I157" s="13">
        <v>0</v>
      </c>
      <c r="J157" s="13">
        <v>0</v>
      </c>
      <c r="K157" s="13">
        <v>0</v>
      </c>
      <c r="L157" s="13">
        <v>0</v>
      </c>
      <c r="M157" s="13">
        <v>0</v>
      </c>
      <c r="N157" s="13">
        <v>0</v>
      </c>
      <c r="O157" s="13">
        <v>0</v>
      </c>
      <c r="P157" s="13">
        <v>0</v>
      </c>
      <c r="Q157" s="13">
        <v>0</v>
      </c>
      <c r="R157" s="13">
        <v>0</v>
      </c>
      <c r="S157" s="13">
        <v>0</v>
      </c>
      <c r="T157" s="13">
        <v>0</v>
      </c>
      <c r="U157" s="13">
        <v>0</v>
      </c>
      <c r="V157" s="13">
        <v>0</v>
      </c>
      <c r="W157" s="13">
        <v>0</v>
      </c>
      <c r="X157" s="13">
        <v>0</v>
      </c>
      <c r="Y157" s="13">
        <v>0</v>
      </c>
      <c r="Z157" s="13">
        <v>0</v>
      </c>
      <c r="AA157" s="13">
        <v>0</v>
      </c>
      <c r="AB157" s="13">
        <v>0</v>
      </c>
      <c r="AC157" s="13">
        <v>0</v>
      </c>
      <c r="AD157" s="13">
        <v>0</v>
      </c>
      <c r="AE157" s="13">
        <v>0</v>
      </c>
      <c r="AF157" s="13">
        <v>0</v>
      </c>
      <c r="AG157" s="13">
        <v>0</v>
      </c>
      <c r="AH157" s="13">
        <v>0</v>
      </c>
      <c r="AI157" s="13">
        <v>0</v>
      </c>
      <c r="AJ157" s="13">
        <v>0</v>
      </c>
      <c r="AK157" s="13">
        <v>0</v>
      </c>
      <c r="AL157" s="13">
        <v>0</v>
      </c>
      <c r="AM157" s="13">
        <v>0</v>
      </c>
      <c r="AN157" s="13">
        <v>0</v>
      </c>
      <c r="AO157" s="13">
        <v>0</v>
      </c>
      <c r="AP157" s="13">
        <v>0</v>
      </c>
      <c r="AQ157" s="13">
        <v>0</v>
      </c>
      <c r="AR157" s="13">
        <v>0</v>
      </c>
      <c r="AS157" s="13">
        <v>0</v>
      </c>
      <c r="AT157" s="13">
        <v>0</v>
      </c>
      <c r="AU157" s="13">
        <v>0</v>
      </c>
    </row>
    <row r="158" spans="1:47" x14ac:dyDescent="0.25">
      <c r="A158" s="13" t="s">
        <v>376</v>
      </c>
      <c r="B158" s="13">
        <v>0</v>
      </c>
      <c r="C158" s="13">
        <v>0</v>
      </c>
      <c r="D158" s="13">
        <v>0</v>
      </c>
      <c r="E158" s="13">
        <v>0</v>
      </c>
      <c r="F158" s="13">
        <v>0</v>
      </c>
      <c r="G158" s="13">
        <v>0</v>
      </c>
      <c r="H158" s="13">
        <v>0</v>
      </c>
      <c r="I158" s="13">
        <v>0</v>
      </c>
      <c r="J158" s="13">
        <v>0</v>
      </c>
      <c r="K158" s="13">
        <v>0</v>
      </c>
      <c r="L158" s="13">
        <v>0</v>
      </c>
      <c r="M158" s="13">
        <v>0</v>
      </c>
      <c r="N158" s="13">
        <v>0</v>
      </c>
      <c r="O158" s="13">
        <v>0</v>
      </c>
      <c r="P158" s="13">
        <v>0</v>
      </c>
      <c r="Q158" s="13">
        <v>0</v>
      </c>
      <c r="R158" s="13">
        <v>0</v>
      </c>
      <c r="S158" s="13">
        <v>0</v>
      </c>
      <c r="T158" s="13">
        <v>0</v>
      </c>
      <c r="U158" s="13">
        <v>0</v>
      </c>
      <c r="V158" s="13">
        <v>0</v>
      </c>
      <c r="W158" s="13">
        <v>0</v>
      </c>
      <c r="X158" s="13">
        <v>0</v>
      </c>
      <c r="Y158" s="13">
        <v>0</v>
      </c>
      <c r="Z158" s="13">
        <v>0</v>
      </c>
      <c r="AA158" s="13">
        <v>0</v>
      </c>
      <c r="AB158" s="13">
        <v>0</v>
      </c>
      <c r="AC158" s="13">
        <v>0</v>
      </c>
      <c r="AD158" s="13">
        <v>0</v>
      </c>
      <c r="AE158" s="13">
        <v>0</v>
      </c>
      <c r="AF158" s="13">
        <v>0</v>
      </c>
      <c r="AG158" s="13">
        <v>0</v>
      </c>
      <c r="AH158" s="13">
        <v>0</v>
      </c>
      <c r="AI158" s="13">
        <v>0</v>
      </c>
      <c r="AJ158" s="13">
        <v>0</v>
      </c>
      <c r="AK158" s="13">
        <v>0</v>
      </c>
      <c r="AL158" s="13">
        <v>0</v>
      </c>
      <c r="AM158" s="13">
        <v>0</v>
      </c>
      <c r="AN158" s="13">
        <v>0</v>
      </c>
      <c r="AO158" s="13">
        <v>0</v>
      </c>
      <c r="AP158" s="13">
        <v>0</v>
      </c>
      <c r="AQ158" s="13">
        <v>0</v>
      </c>
      <c r="AR158" s="13">
        <v>0</v>
      </c>
      <c r="AS158" s="13">
        <v>0</v>
      </c>
      <c r="AT158" s="13">
        <v>0</v>
      </c>
      <c r="AU158" s="13">
        <v>0</v>
      </c>
    </row>
    <row r="159" spans="1:47" x14ac:dyDescent="0.25">
      <c r="A159" s="13" t="s">
        <v>70</v>
      </c>
      <c r="B159" s="13">
        <v>142</v>
      </c>
      <c r="C159" s="13">
        <v>145</v>
      </c>
      <c r="D159" s="13">
        <v>149</v>
      </c>
      <c r="E159" s="13">
        <v>182</v>
      </c>
      <c r="F159" s="13">
        <v>162</v>
      </c>
      <c r="G159" s="13">
        <v>162</v>
      </c>
      <c r="H159" s="13">
        <v>98</v>
      </c>
      <c r="I159" s="13">
        <v>98</v>
      </c>
      <c r="J159" s="13">
        <v>98</v>
      </c>
      <c r="K159" s="13">
        <v>157.6</v>
      </c>
      <c r="L159" s="13">
        <v>191.06</v>
      </c>
      <c r="M159" s="13">
        <v>251.38</v>
      </c>
      <c r="N159" s="13">
        <v>252.89</v>
      </c>
      <c r="O159" s="13">
        <v>255.89</v>
      </c>
      <c r="P159" s="13">
        <v>254.39</v>
      </c>
      <c r="Q159" s="13">
        <v>265.98</v>
      </c>
      <c r="R159" s="13">
        <v>274.74</v>
      </c>
      <c r="S159" s="13">
        <v>277.11</v>
      </c>
      <c r="T159" s="13">
        <v>274.08999999999997</v>
      </c>
      <c r="U159" s="13">
        <v>272.69</v>
      </c>
      <c r="V159" s="13">
        <v>272.89999999999998</v>
      </c>
      <c r="W159" s="13">
        <v>274.64999999999998</v>
      </c>
      <c r="X159" s="13">
        <v>277.37</v>
      </c>
      <c r="Y159" s="13">
        <v>277.89999999999998</v>
      </c>
      <c r="Z159" s="13">
        <v>276.63</v>
      </c>
      <c r="AA159" s="13">
        <v>279.08</v>
      </c>
      <c r="AB159" s="13">
        <v>277.67</v>
      </c>
      <c r="AC159" s="13">
        <v>278.91000000000003</v>
      </c>
      <c r="AD159" s="13">
        <v>277.99</v>
      </c>
      <c r="AE159" s="13">
        <v>276.02</v>
      </c>
      <c r="AF159" s="13">
        <v>274.97000000000003</v>
      </c>
      <c r="AG159" s="13">
        <v>273.48</v>
      </c>
      <c r="AH159" s="13">
        <v>272.08</v>
      </c>
      <c r="AI159" s="13">
        <v>273.47000000000003</v>
      </c>
      <c r="AJ159" s="13">
        <v>276.81</v>
      </c>
      <c r="AK159" s="13">
        <v>275.89</v>
      </c>
      <c r="AL159" s="13">
        <v>277.10000000000002</v>
      </c>
      <c r="AM159" s="13">
        <v>278.69</v>
      </c>
      <c r="AN159" s="13">
        <v>282.19</v>
      </c>
      <c r="AO159" s="13">
        <v>283.60000000000002</v>
      </c>
      <c r="AP159" s="13">
        <v>285.60000000000002</v>
      </c>
      <c r="AQ159" s="13">
        <v>288.98</v>
      </c>
      <c r="AR159" s="13">
        <v>290.51</v>
      </c>
      <c r="AS159" s="13">
        <v>296.20999999999998</v>
      </c>
      <c r="AT159" s="13">
        <v>295.89999999999998</v>
      </c>
      <c r="AU159" s="13">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Eyab Al-Aini</DisplayName>
        <AccountId>13</AccountId>
        <AccountType/>
      </UserInfo>
      <UserInfo>
        <DisplayName>Emily He</DisplayName>
        <AccountId>45</AccountId>
        <AccountType/>
      </UserInfo>
    </SharedWithUsers>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8CF27B3-C4C7-4E1C-9709-089B086110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444FD6-B7EC-4835-90AD-D1891D4C4AB8}">
  <ds:schemaRefs>
    <ds:schemaRef ds:uri="http://schemas.microsoft.com/sharepoint/v3/contenttype/forms"/>
  </ds:schemaRefs>
</ds:datastoreItem>
</file>

<file path=customXml/itemProps3.xml><?xml version="1.0" encoding="utf-8"?>
<ds:datastoreItem xmlns:ds="http://schemas.openxmlformats.org/officeDocument/2006/customXml" ds:itemID="{33E8D7F4-79B1-4D5A-8515-4761884C4593}">
  <ds:schemaRefs>
    <ds:schemaRef ds:uri="http://schemas.microsoft.com/office/2006/metadata/properties"/>
    <ds:schemaRef ds:uri="http://schemas.microsoft.com/office/infopath/2007/PartnerControls"/>
    <ds:schemaRef ds:uri="52604411-7aeb-406e-8b34-4ce79a7293cc"/>
    <ds:schemaRef ds:uri="d580559a-617d-4d7d-8fb9-71ff64b58360"/>
    <ds:schemaRef ds:uri="de340059-046a-4f1a-8b62-ade039df37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CAN Fossil Subsidies_old</vt:lpstr>
      <vt:lpstr>Fossil Subsidies</vt:lpstr>
      <vt:lpstr>Primary Energy Demand</vt:lpstr>
      <vt:lpstr>Fossil Fuel Calculations</vt:lpstr>
      <vt:lpstr>CAN Primary Energy_old</vt:lpstr>
      <vt:lpstr>CAN Fossil Calculations_old</vt:lpstr>
      <vt:lpstr>RE Subsidies</vt:lpstr>
      <vt:lpstr>Electricity Generation</vt:lpstr>
      <vt:lpstr>RE Calculations</vt:lpstr>
      <vt:lpstr>Subsidies</vt:lpstr>
      <vt:lpstr>New Subsidy data</vt:lpstr>
      <vt:lpstr>BS-BSfTFpEUP</vt:lpstr>
      <vt:lpstr>BS-BSpUEO-PreRet</vt:lpstr>
      <vt:lpstr>BS-BSpUEO-PreNonRet</vt:lpstr>
      <vt:lpstr>BS-BSpUEO-NewBlt</vt:lpstr>
      <vt:lpstr>BS-BSpUECB</vt:lpstr>
      <vt:lpstr>Tasks </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2014-08-21T02:04:37Z</dcterms:created>
  <dcterms:modified xsi:type="dcterms:W3CDTF">2022-08-30T17:53:57Z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