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PLANAbPiaSY/"/>
    </mc:Choice>
  </mc:AlternateContent>
  <xr:revisionPtr revIDLastSave="77" documentId="8_{74B7E32C-CC73-AD40-9E0E-6148B3B06460}" xr6:coauthVersionLast="47" xr6:coauthVersionMax="47" xr10:uidLastSave="{3EF15D97-63C0-4EA0-82AA-67CB9B6B2EE8}"/>
  <bookViews>
    <workbookView xWindow="0" yWindow="460" windowWidth="28800" windowHeight="15840" firstSheet="4" activeTab="4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C7" i="3"/>
  <c r="A13" i="10"/>
  <c r="C35" i="1"/>
  <c r="C36" i="1"/>
  <c r="C33" i="1"/>
  <c r="A11" i="5"/>
  <c r="A13" i="5"/>
  <c r="A8" i="9"/>
  <c r="A10" i="9"/>
  <c r="A11" i="9"/>
  <c r="A33" i="9"/>
  <c r="B4" i="3" s="1"/>
  <c r="A7" i="7"/>
  <c r="A8" i="7"/>
  <c r="B5" i="3" s="1"/>
  <c r="A2" i="6"/>
  <c r="A3" i="6"/>
  <c r="A21" i="6"/>
  <c r="B2" i="3" s="1"/>
  <c r="A2" i="5"/>
  <c r="B3" i="3" s="1"/>
  <c r="A23" i="5"/>
  <c r="A17" i="5"/>
  <c r="A7" i="5"/>
  <c r="A8" i="5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14" i="10"/>
  <c r="A17" i="10"/>
  <c r="B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2" i="11"/>
  <c r="A3" i="11"/>
  <c r="D6" i="3" l="1"/>
  <c r="C6" i="3"/>
  <c r="D3" i="3"/>
  <c r="C3" i="3"/>
  <c r="D2" i="3"/>
  <c r="C2" i="3"/>
  <c r="D5" i="3"/>
  <c r="C5" i="3"/>
  <c r="D4" i="3"/>
  <c r="C4" i="3"/>
</calcChain>
</file>

<file path=xl/sharedStrings.xml><?xml version="1.0" encoding="utf-8"?>
<sst xmlns="http://schemas.openxmlformats.org/spreadsheetml/2006/main" count="147" uniqueCount="127">
  <si>
    <t>PLANAbPiaSY Potential Land Area Newly Affected by Policy in a Single Year</t>
  </si>
  <si>
    <t>Sources:</t>
  </si>
  <si>
    <t>NR Can</t>
  </si>
  <si>
    <t xml:space="preserve">The State of Canada's Forests </t>
  </si>
  <si>
    <t>Annual Report 2019</t>
  </si>
  <si>
    <t>https://cfs.nrcan.gc.ca/publications/download-pdf/40084</t>
  </si>
  <si>
    <t xml:space="preserve">Inventory and land-use change </t>
  </si>
  <si>
    <t>http://www.nrcan.gc.ca/forests/climate-change/carbon-accounting/13111</t>
  </si>
  <si>
    <t xml:space="preserve">(for total area of managed forest) </t>
  </si>
  <si>
    <t>Peat and Peatlands</t>
  </si>
  <si>
    <t xml:space="preserve">Peat and Peatlands Statistics </t>
  </si>
  <si>
    <t>http://peatmoss.com/peat-moss-industry-figures/</t>
  </si>
  <si>
    <t>(for peatland restoration)</t>
  </si>
  <si>
    <t>Canadian Sphagnum Peat Moss</t>
  </si>
  <si>
    <t xml:space="preserve">2017 Statistics about Peatland Areas Managed for Horticultural Peat Harvesting in Canada </t>
  </si>
  <si>
    <t>https://tourbehorticole.com/wp-content/uploads/2020/01/Summary_2016_2017_Indutry_Statistic_AREAS_WEB.pdf</t>
  </si>
  <si>
    <t xml:space="preserve">(for peatland restoration) </t>
  </si>
  <si>
    <t>Notes</t>
  </si>
  <si>
    <t xml:space="preserve">Units: </t>
  </si>
  <si>
    <t xml:space="preserve">ha to acre conversion: </t>
  </si>
  <si>
    <t>1ha=</t>
  </si>
  <si>
    <t>NR Can Data:</t>
  </si>
  <si>
    <t>State of Canada's Forests 2019</t>
  </si>
  <si>
    <t>million ha</t>
  </si>
  <si>
    <t>data yr</t>
  </si>
  <si>
    <t>TOTAL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</si>
  <si>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</si>
  <si>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</si>
  <si>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</si>
  <si>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</si>
  <si>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</si>
  <si>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</si>
  <si>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</si>
  <si>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 </t>
  </si>
  <si>
    <t>Assume 1.5 x current reforestation rate could be done in addition to current rate of regeneration</t>
  </si>
  <si>
    <t>acres</t>
  </si>
  <si>
    <t xml:space="preserve">Rationale: </t>
  </si>
  <si>
    <t xml:space="preserve">Current total forest land: </t>
  </si>
  <si>
    <t xml:space="preserve">Reforestation rate is: </t>
  </si>
  <si>
    <t>ha/year</t>
  </si>
  <si>
    <t>An additional 1.5x ha of reforestation/year is equivalent to</t>
  </si>
  <si>
    <t>in total in 2050</t>
  </si>
  <si>
    <t>34 years from 2016-2050</t>
  </si>
  <si>
    <t xml:space="preserve">To check that this is reasonable: </t>
  </si>
  <si>
    <t xml:space="preserve">This is equivalent to </t>
  </si>
  <si>
    <t xml:space="preserve">% of the land area of the prairies in Canada </t>
  </si>
  <si>
    <t xml:space="preserve">Source: </t>
  </si>
  <si>
    <t>http://www.nrcan.gc.ca/environment/resources/publications/impacts-adaptation/reports/assessments/2008/ch7/10381</t>
  </si>
  <si>
    <t>Table 2</t>
  </si>
  <si>
    <t xml:space="preserve">Land area of the prairies </t>
  </si>
  <si>
    <t>Unit</t>
  </si>
  <si>
    <t xml:space="preserve">km2 </t>
  </si>
  <si>
    <t>ha</t>
  </si>
  <si>
    <t>Note:</t>
  </si>
  <si>
    <t xml:space="preserve">Assume reforesting 11% of the land area of the prairies by 2050 is reasonable, so assume an increase in the current reforestation rate x1.5 is reasonable </t>
  </si>
  <si>
    <t>Harvested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</si>
  <si>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</si>
  <si>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</si>
  <si>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</si>
  <si>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</si>
  <si>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</si>
  <si>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</si>
  <si>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</si>
  <si>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</si>
  <si>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(2017-2050) is 34 years long, so if the policy were to</t>
  </si>
  <si>
    <t>be implemented in full strength throughout the entire model run,</t>
  </si>
  <si>
    <t>there would be a total 68% reduction in timber harvesting per year</t>
  </si>
  <si>
    <t>by the end.</t>
  </si>
  <si>
    <t>potential reduction in timber harvesting achievable per year</t>
  </si>
  <si>
    <t>acres potentially available for forest set-asides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</si>
  <si>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</si>
  <si>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</si>
  <si>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</si>
  <si>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</si>
  <si>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</si>
  <si>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</si>
  <si>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</si>
  <si>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>Area of managed forest</t>
  </si>
  <si>
    <t xml:space="preserve">million ha </t>
  </si>
  <si>
    <t>SOURCE:</t>
  </si>
  <si>
    <t xml:space="preserve">Area certified as sustainably managed </t>
  </si>
  <si>
    <t>https://d1ied5g1xfgpx8.cloudfront.net/pdfs/40084.pdf</t>
  </si>
  <si>
    <t xml:space="preserve">Area that could be managed better </t>
  </si>
  <si>
    <t>Forests that are privately-owned, affected by unfavorable environmental conditions,</t>
  </si>
  <si>
    <t>or other factors may not be suitable for aggressive carbon-sequestering management</t>
  </si>
  <si>
    <t>techniques.</t>
  </si>
  <si>
    <t>In line with assumptions that guide the, U.S. model, we assume that only a share</t>
  </si>
  <si>
    <t>of the forest not already under management is suitable for accelerated carbon sequestration.</t>
  </si>
  <si>
    <t>share of forest that is suitable for improved management</t>
  </si>
  <si>
    <t>We also must account for limited manpower, equipment, and the accessibility of</t>
  </si>
  <si>
    <t>forest to be managed.  Canada has more forest land than the U.S., but much of it</t>
  </si>
  <si>
    <t>is difficult to access, particularly in the far north.  Nonetheless, we assume sufficient</t>
  </si>
  <si>
    <t>access to forest, such thatt the limiting factor on forest management is availability of</t>
  </si>
  <si>
    <t>equipment and manpower.  We estimate availability of equipment and manpower</t>
  </si>
  <si>
    <t>by population, using the using the Canada-to-U.S. population ratio to further adjust</t>
  </si>
  <si>
    <t>the 50% figure taken from the U.S. model above.</t>
  </si>
  <si>
    <t>Canada-to-US population ratio</t>
  </si>
  <si>
    <t>Accounting for the two factors above, the area that could be managed for</t>
  </si>
  <si>
    <t>aggressive carbon sequestration techniques is:</t>
  </si>
  <si>
    <t>Peatlands cover 113.6 million hectares in Canada, or around 13 % of the country’s surface area and are present in all provinces. </t>
  </si>
  <si>
    <t>From that, 30,900 hectares have been or are currently harvested, which represents only 0.03% of the natural capital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</si>
  <si>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</si>
  <si>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</si>
  <si>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</si>
  <si>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</si>
  <si>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</si>
  <si>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</si>
  <si>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>We assume all of this peatland could be restored by the end of the model run (in 2050).</t>
  </si>
  <si>
    <t>acres per year for 2017-2050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</si>
  <si>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</si>
  <si>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</si>
  <si>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</si>
  <si>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</si>
  <si>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</si>
  <si>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 xml:space="preserve">Wildfire and insect degraded forest </t>
  </si>
  <si>
    <t xml:space="preserve">acres </t>
  </si>
  <si>
    <t>This value was left at 0 in the Canada model, because although this amount of land is degraded each year</t>
  </si>
  <si>
    <t xml:space="preserve">due to forest fire or insects, some restoration of this land may be included in federal accounting under. </t>
  </si>
  <si>
    <t>management or regeneration</t>
  </si>
  <si>
    <t>Federal accounting doesn't include a "restoration" category so we choose not to include it in this model either.</t>
  </si>
  <si>
    <t>Acres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</si>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</sst>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2" borderId="0" xfId="0" applyNumberFormat="1" applyFill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4" borderId="0" xfId="0" applyFont="1" applyFill="1"/>
    <xf numFmtId="0" fontId="0" fillId="4" borderId="0" xfId="0" applyFill="1"/>
    <xf numFmtId="1" fontId="0" fillId="3" borderId="0" xfId="0" applyNumberFormat="1" applyFill="1"/>
    <xf numFmtId="1" fontId="1" fillId="3" borderId="0" xfId="0" applyNumberFormat="1" applyFont="1" applyFill="1"/>
    <xf numFmtId="164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/>
    <xf numFmtId="0" fontId="0" fillId="2" borderId="0" xfId="0" applyFill="1"/>
    <xf numFmtId="0" fontId="6" fillId="0" borderId="0" xfId="13"/>
    <xf numFmtId="9" fontId="0" fillId="0" borderId="0" xfId="0" applyNumberFormat="1"/>
  </cellXfs>
  <cellStyles count="14"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3" builtinId="9" hidden="1"/>
    <cellStyle name="Followed Hyperlink" xfId="9" builtinId="9" hidden="1"/>
    <cellStyle name="Followed Hyperlink" xfId="1" builtinId="9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urbehorticole.com/wp-content/uploads/2020/01/Summary_2016_2017_Indutry_Statistic_AREAS_WEB.pdf" TargetMode="External"/><Relationship Id="rId2" Type="http://schemas.openxmlformats.org/officeDocument/2006/relationships/hyperlink" Target="http://www.nrcan.gc.ca/forests/climate-change/carbon-accounting/13111" TargetMode="External"/><Relationship Id="rId1" Type="http://schemas.openxmlformats.org/officeDocument/2006/relationships/hyperlink" Target="https://cfs.nrcan.gc.ca/publications/download-pdf/4008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1ied5g1xfgpx8.cloudfront.net/pdfs/40084.pdf" TargetMode="External"/><Relationship Id="rId1" Type="http://schemas.openxmlformats.org/officeDocument/2006/relationships/hyperlink" Target="http://www.nrcan.gc.ca/forests/climate-change/carbon-accounting/1311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peatmoss.com/peat-moss-industry-figures/" TargetMode="External"/><Relationship Id="rId1" Type="http://schemas.openxmlformats.org/officeDocument/2006/relationships/hyperlink" Target="https://tourbehorticole.com/wp-content/uploads/2020/01/Summary_2016_2017_Indutry_Statistic_AREAS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0" zoomScaleNormal="100" workbookViewId="0">
      <selection activeCell="B6" sqref="B6"/>
    </sheetView>
  </sheetViews>
  <sheetFormatPr defaultColWidth="8.85546875" defaultRowHeight="15"/>
  <cols>
    <col min="2" max="2" width="57.42578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t="s">
        <v>3</v>
      </c>
    </row>
    <row r="5" spans="1:2">
      <c r="B5" t="s">
        <v>4</v>
      </c>
    </row>
    <row r="6" spans="1:2">
      <c r="B6" s="18" t="s">
        <v>5</v>
      </c>
    </row>
    <row r="9" spans="1:2">
      <c r="B9" t="s">
        <v>2</v>
      </c>
    </row>
    <row r="10" spans="1:2">
      <c r="B10" t="s">
        <v>6</v>
      </c>
    </row>
    <row r="11" spans="1:2">
      <c r="B11" s="18" t="s">
        <v>7</v>
      </c>
    </row>
    <row r="12" spans="1:2">
      <c r="B12" t="s">
        <v>8</v>
      </c>
    </row>
    <row r="14" spans="1:2">
      <c r="B14" t="s">
        <v>9</v>
      </c>
    </row>
    <row r="15" spans="1:2">
      <c r="B15" t="s">
        <v>10</v>
      </c>
    </row>
    <row r="16" spans="1:2">
      <c r="B16" t="s">
        <v>11</v>
      </c>
    </row>
    <row r="17" spans="1:5">
      <c r="B17" t="s">
        <v>12</v>
      </c>
    </row>
    <row r="19" spans="1:5">
      <c r="B19" t="s">
        <v>13</v>
      </c>
    </row>
    <row r="20" spans="1:5">
      <c r="B20" t="s">
        <v>14</v>
      </c>
    </row>
    <row r="21" spans="1:5">
      <c r="B21" s="18" t="s">
        <v>15</v>
      </c>
    </row>
    <row r="22" spans="1:5">
      <c r="B22" t="s">
        <v>16</v>
      </c>
    </row>
    <row r="25" spans="1:5">
      <c r="A25" s="1" t="s">
        <v>17</v>
      </c>
    </row>
    <row r="26" spans="1:5">
      <c r="A26" t="s">
        <v>18</v>
      </c>
      <c r="B26" t="s">
        <v>19</v>
      </c>
    </row>
    <row r="27" spans="1:5">
      <c r="B27" t="s">
        <v>20</v>
      </c>
      <c r="C27">
        <v>2.47105</v>
      </c>
    </row>
    <row r="29" spans="1:5">
      <c r="A29" s="9" t="s">
        <v>21</v>
      </c>
      <c r="B29" s="10"/>
      <c r="C29" s="10"/>
      <c r="D29" s="10"/>
      <c r="E29" s="10"/>
    </row>
    <row r="30" spans="1:5">
      <c r="B30" t="s">
        <v>22</v>
      </c>
    </row>
    <row r="31" spans="1:5">
      <c r="C31" s="1" t="s">
        <v>23</v>
      </c>
      <c r="E31" s="1" t="s">
        <v>24</v>
      </c>
    </row>
    <row r="32" spans="1:5">
      <c r="B32" s="1" t="s">
        <v>25</v>
      </c>
      <c r="C32">
        <v>347</v>
      </c>
    </row>
    <row r="33" spans="2:5">
      <c r="B33" t="s">
        <v>26</v>
      </c>
      <c r="C33">
        <f>35385/1000000</f>
        <v>3.5385E-2</v>
      </c>
      <c r="E33">
        <v>2017</v>
      </c>
    </row>
    <row r="34" spans="2:5">
      <c r="B34" t="s">
        <v>27</v>
      </c>
      <c r="C34">
        <v>164</v>
      </c>
      <c r="E34">
        <v>2018</v>
      </c>
    </row>
    <row r="35" spans="2:5">
      <c r="B35" t="s">
        <v>28</v>
      </c>
      <c r="C35">
        <f>396000/1000000</f>
        <v>0.39600000000000002</v>
      </c>
      <c r="E35">
        <v>2017</v>
      </c>
    </row>
    <row r="36" spans="2:5">
      <c r="B36" t="s">
        <v>29</v>
      </c>
      <c r="C36">
        <f>755884/1000000</f>
        <v>0.755884</v>
      </c>
      <c r="E36">
        <v>2017</v>
      </c>
    </row>
    <row r="37" spans="2:5">
      <c r="B37" t="s">
        <v>30</v>
      </c>
      <c r="C37">
        <v>2.2719999999999998</v>
      </c>
      <c r="E37">
        <v>2018</v>
      </c>
    </row>
    <row r="38" spans="2:5">
      <c r="B38" t="s">
        <v>31</v>
      </c>
      <c r="C38">
        <v>29.5</v>
      </c>
      <c r="E38">
        <v>2016</v>
      </c>
    </row>
    <row r="39" spans="2:5">
      <c r="B39" t="s">
        <v>32</v>
      </c>
      <c r="C39">
        <v>15.628</v>
      </c>
      <c r="E39">
        <v>2017</v>
      </c>
    </row>
    <row r="40" spans="2:5">
      <c r="B40" t="s">
        <v>33</v>
      </c>
    </row>
  </sheetData>
  <hyperlinks>
    <hyperlink ref="B6" r:id="rId1" xr:uid="{936CDEAD-90A1-4125-A2EB-D0159B6318BA}"/>
    <hyperlink ref="B11" r:id="rId2" xr:uid="{52F0A99D-A982-463C-BF36-F1B8EC31F862}"/>
    <hyperlink ref="B21" r:id="rId3" xr:uid="{C1064EB9-DA5C-40B2-A6AC-24EE76CDD873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3" zoomScale="118" workbookViewId="0">
      <selection activeCell="A2" sqref="A2"/>
    </sheetView>
  </sheetViews>
  <sheetFormatPr defaultColWidth="8.85546875" defaultRowHeight="15"/>
  <cols>
    <col min="1" max="1" width="22.42578125" customWidth="1"/>
    <col min="2" max="2" width="42" bestFit="1" customWidth="1"/>
    <col min="3" max="3" width="11.140625" bestFit="1" customWidth="1"/>
  </cols>
  <sheetData>
    <row r="1" spans="1:3">
      <c r="A1" t="s">
        <v>34</v>
      </c>
    </row>
    <row r="2" spans="1:3">
      <c r="A2" s="11">
        <f>A11*1.5*About!C27</f>
        <v>1467803.7</v>
      </c>
      <c r="B2" t="s">
        <v>35</v>
      </c>
    </row>
    <row r="5" spans="1:3">
      <c r="A5" s="9" t="s">
        <v>36</v>
      </c>
      <c r="B5" s="10"/>
    </row>
    <row r="6" spans="1:3">
      <c r="A6" t="s">
        <v>37</v>
      </c>
    </row>
    <row r="7" spans="1:3">
      <c r="A7">
        <f>About!C32</f>
        <v>347</v>
      </c>
      <c r="B7" t="s">
        <v>23</v>
      </c>
    </row>
    <row r="8" spans="1:3">
      <c r="A8" s="1">
        <f>A7*10^6*About!C27</f>
        <v>857454350</v>
      </c>
      <c r="B8" t="s">
        <v>35</v>
      </c>
    </row>
    <row r="10" spans="1:3">
      <c r="A10" t="s">
        <v>38</v>
      </c>
    </row>
    <row r="11" spans="1:3">
      <c r="A11">
        <f>About!C35*10^6</f>
        <v>396000</v>
      </c>
      <c r="B11" t="s">
        <v>39</v>
      </c>
    </row>
    <row r="12" spans="1:3">
      <c r="A12" t="s">
        <v>40</v>
      </c>
    </row>
    <row r="13" spans="1:3">
      <c r="A13">
        <f>A11*34*1.5</f>
        <v>20196000</v>
      </c>
      <c r="B13" t="s">
        <v>41</v>
      </c>
      <c r="C13" t="s">
        <v>42</v>
      </c>
    </row>
    <row r="15" spans="1:3">
      <c r="A15" s="16" t="s">
        <v>43</v>
      </c>
    </row>
    <row r="16" spans="1:3">
      <c r="A16" t="s">
        <v>44</v>
      </c>
    </row>
    <row r="17" spans="1:2">
      <c r="A17" s="13">
        <f>A13/A23*100</f>
        <v>11.298189749840983</v>
      </c>
      <c r="B17" t="s">
        <v>45</v>
      </c>
    </row>
    <row r="19" spans="1:2">
      <c r="A19" t="s">
        <v>46</v>
      </c>
      <c r="B19" t="s">
        <v>47</v>
      </c>
    </row>
    <row r="20" spans="1:2">
      <c r="B20" t="s">
        <v>48</v>
      </c>
    </row>
    <row r="21" spans="1:2">
      <c r="A21" s="10" t="s">
        <v>49</v>
      </c>
      <c r="B21" s="10" t="s">
        <v>50</v>
      </c>
    </row>
    <row r="22" spans="1:2">
      <c r="A22" s="6">
        <v>1787543</v>
      </c>
      <c r="B22" t="s">
        <v>51</v>
      </c>
    </row>
    <row r="23" spans="1:2">
      <c r="A23">
        <f>A22*100</f>
        <v>178754300</v>
      </c>
      <c r="B23" t="s">
        <v>52</v>
      </c>
    </row>
    <row r="25" spans="1:2">
      <c r="A25" t="s">
        <v>53</v>
      </c>
    </row>
    <row r="26" spans="1:2">
      <c r="A26" t="s">
        <v>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="125" zoomScaleNormal="125" zoomScalePageLayoutView="125" workbookViewId="0">
      <selection activeCell="A21" sqref="A21"/>
    </sheetView>
  </sheetViews>
  <sheetFormatPr defaultColWidth="8.85546875" defaultRowHeight="15"/>
  <cols>
    <col min="1" max="1" width="15.85546875" customWidth="1"/>
  </cols>
  <sheetData>
    <row r="1" spans="1:2" ht="12.95" customHeight="1">
      <c r="A1" s="1" t="s">
        <v>55</v>
      </c>
    </row>
    <row r="2" spans="1:2">
      <c r="A2">
        <f>About!C36</f>
        <v>0.755884</v>
      </c>
      <c r="B2" t="s">
        <v>23</v>
      </c>
    </row>
    <row r="3" spans="1:2">
      <c r="A3">
        <f>A2*10^6*About!C27</f>
        <v>1867827.1581999999</v>
      </c>
      <c r="B3" t="s">
        <v>35</v>
      </c>
    </row>
    <row r="6" spans="1:2">
      <c r="A6" s="1" t="s">
        <v>56</v>
      </c>
    </row>
    <row r="7" spans="1:2">
      <c r="A7" t="s">
        <v>57</v>
      </c>
    </row>
    <row r="8" spans="1:2">
      <c r="A8" t="s">
        <v>58</v>
      </c>
    </row>
    <row r="9" spans="1:2">
      <c r="A9" t="s">
        <v>59</v>
      </c>
    </row>
    <row r="10" spans="1:2">
      <c r="A10" t="s">
        <v>60</v>
      </c>
    </row>
    <row r="11" spans="1:2">
      <c r="A11" t="s">
        <v>61</v>
      </c>
    </row>
    <row r="12" spans="1:2">
      <c r="A12" t="s">
        <v>62</v>
      </c>
    </row>
    <row r="13" spans="1:2">
      <c r="A13" t="s">
        <v>63</v>
      </c>
    </row>
    <row r="14" spans="1:2">
      <c r="A14" t="s">
        <v>64</v>
      </c>
    </row>
    <row r="15" spans="1:2">
      <c r="A15" t="s">
        <v>65</v>
      </c>
    </row>
    <row r="16" spans="1:2">
      <c r="A16" t="s">
        <v>66</v>
      </c>
    </row>
    <row r="17" spans="1:2">
      <c r="A17" t="s">
        <v>67</v>
      </c>
    </row>
    <row r="19" spans="1:2">
      <c r="A19" s="4">
        <v>0.02</v>
      </c>
      <c r="B19" t="s">
        <v>68</v>
      </c>
    </row>
    <row r="21" spans="1:2">
      <c r="A21" s="7">
        <f>A3*A19</f>
        <v>37356.543164000002</v>
      </c>
      <c r="B21" t="s">
        <v>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="125" zoomScaleNormal="125" zoomScalePageLayoutView="125" workbookViewId="0">
      <selection activeCell="A8" sqref="A8"/>
    </sheetView>
  </sheetViews>
  <sheetFormatPr defaultColWidth="8.85546875" defaultRowHeight="15"/>
  <cols>
    <col min="1" max="1" width="9.140625" customWidth="1"/>
    <col min="2" max="2" width="15.85546875" customWidth="1"/>
  </cols>
  <sheetData>
    <row r="1" spans="1:2">
      <c r="A1" t="s">
        <v>70</v>
      </c>
    </row>
    <row r="2" spans="1:2">
      <c r="A2" t="s">
        <v>71</v>
      </c>
    </row>
    <row r="4" spans="1:2">
      <c r="A4" t="s">
        <v>72</v>
      </c>
    </row>
    <row r="6" spans="1:2">
      <c r="A6" s="1" t="s">
        <v>73</v>
      </c>
    </row>
    <row r="7" spans="1:2">
      <c r="A7">
        <f>About!C33</f>
        <v>3.5385E-2</v>
      </c>
      <c r="B7" t="s">
        <v>23</v>
      </c>
    </row>
    <row r="8" spans="1:2">
      <c r="A8" s="1">
        <f>A7*10^6*About!C27</f>
        <v>87438.104250000004</v>
      </c>
      <c r="B8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abSelected="1" zoomScale="125" zoomScaleNormal="125" zoomScalePageLayoutView="125" workbookViewId="0">
      <selection activeCell="G17" sqref="G17"/>
    </sheetView>
  </sheetViews>
  <sheetFormatPr defaultColWidth="8.85546875" defaultRowHeight="15"/>
  <cols>
    <col min="1" max="1" width="23.42578125" customWidth="1"/>
    <col min="2" max="2" width="17.42578125" style="3" customWidth="1"/>
    <col min="3" max="3" width="16.85546875" customWidth="1"/>
    <col min="4" max="4" width="12.85546875" style="3" customWidth="1"/>
    <col min="5" max="5" width="18.42578125" customWidth="1"/>
    <col min="6" max="6" width="8.85546875" style="3"/>
  </cols>
  <sheetData>
    <row r="1" spans="1:4">
      <c r="A1" t="s">
        <v>74</v>
      </c>
    </row>
    <row r="2" spans="1:4">
      <c r="A2" t="s">
        <v>75</v>
      </c>
    </row>
    <row r="3" spans="1:4">
      <c r="A3" t="s">
        <v>76</v>
      </c>
    </row>
    <row r="5" spans="1:4">
      <c r="A5" s="1" t="s">
        <v>77</v>
      </c>
    </row>
    <row r="6" spans="1:4">
      <c r="A6" s="17">
        <v>232</v>
      </c>
      <c r="B6" s="3" t="s">
        <v>78</v>
      </c>
      <c r="C6" t="s">
        <v>79</v>
      </c>
      <c r="D6" s="18" t="s">
        <v>7</v>
      </c>
    </row>
    <row r="7" spans="1:4">
      <c r="A7" t="s">
        <v>80</v>
      </c>
    </row>
    <row r="8" spans="1:4">
      <c r="A8">
        <f>About!C34</f>
        <v>164</v>
      </c>
      <c r="B8" s="3" t="s">
        <v>23</v>
      </c>
      <c r="C8" t="s">
        <v>79</v>
      </c>
      <c r="D8" s="18" t="s">
        <v>81</v>
      </c>
    </row>
    <row r="9" spans="1:4">
      <c r="A9" t="s">
        <v>82</v>
      </c>
    </row>
    <row r="10" spans="1:4">
      <c r="A10">
        <f>A6-A8</f>
        <v>68</v>
      </c>
      <c r="B10" s="3" t="s">
        <v>23</v>
      </c>
    </row>
    <row r="11" spans="1:4">
      <c r="A11">
        <f>A10*10^6*About!C27</f>
        <v>168031400</v>
      </c>
      <c r="B11" s="3" t="s">
        <v>35</v>
      </c>
    </row>
    <row r="13" spans="1:4">
      <c r="A13" t="s">
        <v>83</v>
      </c>
    </row>
    <row r="14" spans="1:4">
      <c r="A14" t="s">
        <v>84</v>
      </c>
    </row>
    <row r="15" spans="1:4">
      <c r="A15" t="s">
        <v>85</v>
      </c>
    </row>
    <row r="17" spans="1:2">
      <c r="A17" t="s">
        <v>86</v>
      </c>
    </row>
    <row r="18" spans="1:2">
      <c r="A18" t="s">
        <v>87</v>
      </c>
    </row>
    <row r="19" spans="1:2">
      <c r="A19" s="14">
        <v>0.5</v>
      </c>
      <c r="B19" s="3" t="s">
        <v>88</v>
      </c>
    </row>
    <row r="21" spans="1:2">
      <c r="A21" t="s">
        <v>89</v>
      </c>
    </row>
    <row r="22" spans="1:2">
      <c r="A22" t="s">
        <v>90</v>
      </c>
    </row>
    <row r="23" spans="1:2">
      <c r="A23" t="s">
        <v>91</v>
      </c>
    </row>
    <row r="24" spans="1:2">
      <c r="A24" t="s">
        <v>92</v>
      </c>
    </row>
    <row r="25" spans="1:2">
      <c r="A25" t="s">
        <v>93</v>
      </c>
    </row>
    <row r="26" spans="1:2">
      <c r="A26" t="s">
        <v>94</v>
      </c>
    </row>
    <row r="27" spans="1:2">
      <c r="A27" t="s">
        <v>95</v>
      </c>
    </row>
    <row r="28" spans="1:2">
      <c r="A28" s="14">
        <v>0.11</v>
      </c>
      <c r="B28" s="3" t="s">
        <v>96</v>
      </c>
    </row>
    <row r="30" spans="1:2">
      <c r="A30" t="s">
        <v>97</v>
      </c>
    </row>
    <row r="31" spans="1:2">
      <c r="A31" t="s">
        <v>98</v>
      </c>
    </row>
    <row r="33" spans="1:2">
      <c r="A33" s="7">
        <f>A11*A19*A28</f>
        <v>9241727</v>
      </c>
      <c r="B33" s="15" t="s">
        <v>35</v>
      </c>
    </row>
  </sheetData>
  <hyperlinks>
    <hyperlink ref="D6" r:id="rId1" xr:uid="{5DAD584C-3173-4330-B5A8-D2E840F9F4E1}"/>
    <hyperlink ref="D8" r:id="rId2" xr:uid="{CABA3628-3441-4A0C-A4DC-456AAAFA65F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="125" workbookViewId="0">
      <selection activeCell="B5" sqref="B5"/>
    </sheetView>
  </sheetViews>
  <sheetFormatPr defaultColWidth="10.85546875" defaultRowHeight="15"/>
  <cols>
    <col min="1" max="1" width="27.7109375" customWidth="1"/>
  </cols>
  <sheetData>
    <row r="1" spans="1:2">
      <c r="A1" t="s">
        <v>46</v>
      </c>
      <c r="B1" s="18" t="s">
        <v>11</v>
      </c>
    </row>
    <row r="2" spans="1:2">
      <c r="A2" s="5" t="s">
        <v>99</v>
      </c>
    </row>
    <row r="3" spans="1:2">
      <c r="A3" s="5" t="s">
        <v>100</v>
      </c>
    </row>
    <row r="5" spans="1:2">
      <c r="A5" t="s">
        <v>46</v>
      </c>
      <c r="B5" s="18" t="s">
        <v>15</v>
      </c>
    </row>
    <row r="6" spans="1:2">
      <c r="A6" t="s">
        <v>101</v>
      </c>
    </row>
    <row r="7" spans="1:2">
      <c r="A7" t="s">
        <v>102</v>
      </c>
      <c r="B7" s="19">
        <v>0.65</v>
      </c>
    </row>
    <row r="8" spans="1:2">
      <c r="A8" t="s">
        <v>103</v>
      </c>
      <c r="B8" s="19">
        <v>0.17</v>
      </c>
    </row>
    <row r="9" spans="1:2">
      <c r="A9" t="s">
        <v>104</v>
      </c>
      <c r="B9" s="19">
        <v>0.15</v>
      </c>
    </row>
    <row r="10" spans="1:2">
      <c r="A10" t="s">
        <v>105</v>
      </c>
      <c r="B10" s="19">
        <v>0.03</v>
      </c>
    </row>
    <row r="12" spans="1:2">
      <c r="A12" t="s">
        <v>106</v>
      </c>
    </row>
    <row r="13" spans="1:2">
      <c r="A13">
        <f>30900*B9</f>
        <v>4635</v>
      </c>
      <c r="B13" t="s">
        <v>52</v>
      </c>
    </row>
    <row r="14" spans="1:2">
      <c r="A14" s="8">
        <f>A13*About!C27</f>
        <v>11453.31675</v>
      </c>
      <c r="B14" t="s">
        <v>35</v>
      </c>
    </row>
    <row r="15" spans="1:2">
      <c r="A15" s="8"/>
    </row>
    <row r="16" spans="1:2">
      <c r="A16" s="8" t="s">
        <v>107</v>
      </c>
    </row>
    <row r="17" spans="1:2">
      <c r="A17" s="12">
        <f>A14/34</f>
        <v>336.86225735294119</v>
      </c>
      <c r="B17" t="s">
        <v>108</v>
      </c>
    </row>
    <row r="19" spans="1:2">
      <c r="A19" t="s">
        <v>109</v>
      </c>
    </row>
    <row r="20" spans="1:2">
      <c r="A20" t="s">
        <v>110</v>
      </c>
    </row>
    <row r="21" spans="1:2">
      <c r="A21" t="s">
        <v>111</v>
      </c>
    </row>
    <row r="22" spans="1:2">
      <c r="A22" t="s">
        <v>112</v>
      </c>
    </row>
    <row r="23" spans="1:2">
      <c r="A23" t="s">
        <v>113</v>
      </c>
    </row>
  </sheetData>
  <hyperlinks>
    <hyperlink ref="B5" r:id="rId1" xr:uid="{EB676AF8-468B-BD43-8E23-2814151C268E}"/>
    <hyperlink ref="B1" r:id="rId2" xr:uid="{D845E2A5-7C49-9F48-9178-49F49B96663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zoomScale="150" workbookViewId="0">
      <selection activeCell="A3" sqref="A3"/>
    </sheetView>
  </sheetViews>
  <sheetFormatPr defaultColWidth="10.85546875" defaultRowHeight="15"/>
  <sheetData>
    <row r="1" spans="1:2">
      <c r="A1" t="s">
        <v>114</v>
      </c>
    </row>
    <row r="2" spans="1:2">
      <c r="A2">
        <f>About!C37+About!C39</f>
        <v>17.899999999999999</v>
      </c>
      <c r="B2" t="s">
        <v>23</v>
      </c>
    </row>
    <row r="3" spans="1:2">
      <c r="A3">
        <f>A2*10^6*About!C27</f>
        <v>44231795</v>
      </c>
      <c r="B3" t="s">
        <v>115</v>
      </c>
    </row>
    <row r="5" spans="1:2">
      <c r="A5" t="s">
        <v>116</v>
      </c>
    </row>
    <row r="6" spans="1:2">
      <c r="A6" t="s">
        <v>117</v>
      </c>
    </row>
    <row r="7" spans="1:2">
      <c r="A7" t="s">
        <v>118</v>
      </c>
    </row>
    <row r="9" spans="1:2">
      <c r="A9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7"/>
  <sheetViews>
    <sheetView topLeftCell="C14" zoomScale="159" zoomScaleNormal="166" workbookViewId="0">
      <selection activeCell="C14" sqref="C14"/>
    </sheetView>
  </sheetViews>
  <sheetFormatPr defaultColWidth="8.85546875" defaultRowHeight="15"/>
  <cols>
    <col min="1" max="1" width="29.42578125" customWidth="1"/>
    <col min="2" max="34" width="13.42578125" customWidth="1"/>
  </cols>
  <sheetData>
    <row r="1" spans="1:34">
      <c r="A1" s="16" t="s">
        <v>120</v>
      </c>
      <c r="B1" s="2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121</v>
      </c>
      <c r="B2" s="8">
        <f>'Set Asides'!$A$21</f>
        <v>37356.543164000002</v>
      </c>
      <c r="C2" s="8">
        <f t="shared" ref="C2:AH2" si="0">$B2</f>
        <v>37356.543164000002</v>
      </c>
      <c r="D2" s="8">
        <f t="shared" si="0"/>
        <v>37356.543164000002</v>
      </c>
      <c r="E2" s="8">
        <f t="shared" si="0"/>
        <v>37356.543164000002</v>
      </c>
      <c r="F2" s="8">
        <f t="shared" si="0"/>
        <v>37356.543164000002</v>
      </c>
      <c r="G2" s="8">
        <f t="shared" si="0"/>
        <v>37356.543164000002</v>
      </c>
      <c r="H2" s="8">
        <f t="shared" si="0"/>
        <v>37356.543164000002</v>
      </c>
      <c r="I2" s="8">
        <f t="shared" si="0"/>
        <v>37356.543164000002</v>
      </c>
      <c r="J2" s="8">
        <f t="shared" si="0"/>
        <v>37356.543164000002</v>
      </c>
      <c r="K2" s="8">
        <f t="shared" si="0"/>
        <v>37356.543164000002</v>
      </c>
      <c r="L2" s="8">
        <f t="shared" si="0"/>
        <v>37356.543164000002</v>
      </c>
      <c r="M2" s="8">
        <f t="shared" si="0"/>
        <v>37356.543164000002</v>
      </c>
      <c r="N2" s="8">
        <f t="shared" si="0"/>
        <v>37356.543164000002</v>
      </c>
      <c r="O2" s="8">
        <f t="shared" si="0"/>
        <v>37356.543164000002</v>
      </c>
      <c r="P2" s="8">
        <f t="shared" si="0"/>
        <v>37356.543164000002</v>
      </c>
      <c r="Q2" s="8">
        <f t="shared" si="0"/>
        <v>37356.543164000002</v>
      </c>
      <c r="R2" s="8">
        <f t="shared" si="0"/>
        <v>37356.543164000002</v>
      </c>
      <c r="S2" s="8">
        <f t="shared" si="0"/>
        <v>37356.543164000002</v>
      </c>
      <c r="T2" s="8">
        <f t="shared" si="0"/>
        <v>37356.543164000002</v>
      </c>
      <c r="U2" s="8">
        <f t="shared" si="0"/>
        <v>37356.543164000002</v>
      </c>
      <c r="V2" s="8">
        <f t="shared" si="0"/>
        <v>37356.543164000002</v>
      </c>
      <c r="W2" s="8">
        <f t="shared" si="0"/>
        <v>37356.543164000002</v>
      </c>
      <c r="X2" s="8">
        <f t="shared" si="0"/>
        <v>37356.543164000002</v>
      </c>
      <c r="Y2" s="8">
        <f t="shared" si="0"/>
        <v>37356.543164000002</v>
      </c>
      <c r="Z2" s="8">
        <f t="shared" si="0"/>
        <v>37356.543164000002</v>
      </c>
      <c r="AA2" s="8">
        <f t="shared" si="0"/>
        <v>37356.543164000002</v>
      </c>
      <c r="AB2" s="8">
        <f t="shared" si="0"/>
        <v>37356.543164000002</v>
      </c>
      <c r="AC2" s="8">
        <f t="shared" si="0"/>
        <v>37356.543164000002</v>
      </c>
      <c r="AD2" s="8">
        <f t="shared" si="0"/>
        <v>37356.543164000002</v>
      </c>
      <c r="AE2" s="8">
        <f t="shared" si="0"/>
        <v>37356.543164000002</v>
      </c>
      <c r="AF2" s="8">
        <f t="shared" si="0"/>
        <v>37356.543164000002</v>
      </c>
      <c r="AG2" s="8">
        <f t="shared" si="0"/>
        <v>37356.543164000002</v>
      </c>
      <c r="AH2" s="8">
        <f t="shared" si="0"/>
        <v>37356.543164000002</v>
      </c>
    </row>
    <row r="3" spans="1:34">
      <c r="A3" t="s">
        <v>122</v>
      </c>
      <c r="B3" s="8">
        <f>'Aff Ref'!A2</f>
        <v>1467803.7</v>
      </c>
      <c r="C3" s="8">
        <f t="shared" ref="C3:C7" si="1">$B3</f>
        <v>1467803.7</v>
      </c>
      <c r="D3" s="8">
        <f t="shared" ref="D3:M7" si="2">$B3</f>
        <v>1467803.7</v>
      </c>
      <c r="E3" s="8">
        <f t="shared" si="2"/>
        <v>1467803.7</v>
      </c>
      <c r="F3" s="8">
        <f t="shared" si="2"/>
        <v>1467803.7</v>
      </c>
      <c r="G3" s="8">
        <f t="shared" si="2"/>
        <v>1467803.7</v>
      </c>
      <c r="H3" s="8">
        <f t="shared" si="2"/>
        <v>1467803.7</v>
      </c>
      <c r="I3" s="8">
        <f t="shared" si="2"/>
        <v>1467803.7</v>
      </c>
      <c r="J3" s="8">
        <f t="shared" si="2"/>
        <v>1467803.7</v>
      </c>
      <c r="K3" s="8">
        <f t="shared" si="2"/>
        <v>1467803.7</v>
      </c>
      <c r="L3" s="8">
        <f t="shared" si="2"/>
        <v>1467803.7</v>
      </c>
      <c r="M3" s="8">
        <f t="shared" si="2"/>
        <v>1467803.7</v>
      </c>
      <c r="N3" s="8">
        <f t="shared" ref="N3:W7" si="3">$B3</f>
        <v>1467803.7</v>
      </c>
      <c r="O3" s="8">
        <f t="shared" si="3"/>
        <v>1467803.7</v>
      </c>
      <c r="P3" s="8">
        <f t="shared" si="3"/>
        <v>1467803.7</v>
      </c>
      <c r="Q3" s="8">
        <f t="shared" si="3"/>
        <v>1467803.7</v>
      </c>
      <c r="R3" s="8">
        <f t="shared" si="3"/>
        <v>1467803.7</v>
      </c>
      <c r="S3" s="8">
        <f t="shared" si="3"/>
        <v>1467803.7</v>
      </c>
      <c r="T3" s="8">
        <f t="shared" si="3"/>
        <v>1467803.7</v>
      </c>
      <c r="U3" s="8">
        <f t="shared" si="3"/>
        <v>1467803.7</v>
      </c>
      <c r="V3" s="8">
        <f t="shared" si="3"/>
        <v>1467803.7</v>
      </c>
      <c r="W3" s="8">
        <f t="shared" si="3"/>
        <v>1467803.7</v>
      </c>
      <c r="X3" s="8">
        <f t="shared" ref="X3:AH7" si="4">$B3</f>
        <v>1467803.7</v>
      </c>
      <c r="Y3" s="8">
        <f t="shared" si="4"/>
        <v>1467803.7</v>
      </c>
      <c r="Z3" s="8">
        <f t="shared" si="4"/>
        <v>1467803.7</v>
      </c>
      <c r="AA3" s="8">
        <f t="shared" si="4"/>
        <v>1467803.7</v>
      </c>
      <c r="AB3" s="8">
        <f t="shared" si="4"/>
        <v>1467803.7</v>
      </c>
      <c r="AC3" s="8">
        <f t="shared" si="4"/>
        <v>1467803.7</v>
      </c>
      <c r="AD3" s="8">
        <f t="shared" si="4"/>
        <v>1467803.7</v>
      </c>
      <c r="AE3" s="8">
        <f t="shared" si="4"/>
        <v>1467803.7</v>
      </c>
      <c r="AF3" s="8">
        <f t="shared" si="4"/>
        <v>1467803.7</v>
      </c>
      <c r="AG3" s="8">
        <f t="shared" si="4"/>
        <v>1467803.7</v>
      </c>
      <c r="AH3" s="8">
        <f t="shared" si="4"/>
        <v>1467803.7</v>
      </c>
    </row>
    <row r="4" spans="1:34">
      <c r="A4" t="s">
        <v>123</v>
      </c>
      <c r="B4" s="8">
        <f>'Impr Forest Mgmt'!A33</f>
        <v>9241727</v>
      </c>
      <c r="C4" s="8">
        <f t="shared" si="1"/>
        <v>9241727</v>
      </c>
      <c r="D4" s="8">
        <f t="shared" si="2"/>
        <v>9241727</v>
      </c>
      <c r="E4" s="8">
        <f t="shared" si="2"/>
        <v>9241727</v>
      </c>
      <c r="F4" s="8">
        <f t="shared" si="2"/>
        <v>9241727</v>
      </c>
      <c r="G4" s="8">
        <f t="shared" si="2"/>
        <v>9241727</v>
      </c>
      <c r="H4" s="8">
        <f t="shared" si="2"/>
        <v>9241727</v>
      </c>
      <c r="I4" s="8">
        <f t="shared" si="2"/>
        <v>9241727</v>
      </c>
      <c r="J4" s="8">
        <f t="shared" si="2"/>
        <v>9241727</v>
      </c>
      <c r="K4" s="8">
        <f t="shared" si="2"/>
        <v>9241727</v>
      </c>
      <c r="L4" s="8">
        <f t="shared" si="2"/>
        <v>9241727</v>
      </c>
      <c r="M4" s="8">
        <f t="shared" si="2"/>
        <v>9241727</v>
      </c>
      <c r="N4" s="8">
        <f t="shared" si="3"/>
        <v>9241727</v>
      </c>
      <c r="O4" s="8">
        <f t="shared" si="3"/>
        <v>9241727</v>
      </c>
      <c r="P4" s="8">
        <f t="shared" si="3"/>
        <v>9241727</v>
      </c>
      <c r="Q4" s="8">
        <f t="shared" si="3"/>
        <v>9241727</v>
      </c>
      <c r="R4" s="8">
        <f t="shared" si="3"/>
        <v>9241727</v>
      </c>
      <c r="S4" s="8">
        <f t="shared" si="3"/>
        <v>9241727</v>
      </c>
      <c r="T4" s="8">
        <f t="shared" si="3"/>
        <v>9241727</v>
      </c>
      <c r="U4" s="8">
        <f t="shared" si="3"/>
        <v>9241727</v>
      </c>
      <c r="V4" s="8">
        <f t="shared" si="3"/>
        <v>9241727</v>
      </c>
      <c r="W4" s="8">
        <f t="shared" si="3"/>
        <v>9241727</v>
      </c>
      <c r="X4" s="8">
        <f t="shared" si="4"/>
        <v>9241727</v>
      </c>
      <c r="Y4" s="8">
        <f t="shared" si="4"/>
        <v>9241727</v>
      </c>
      <c r="Z4" s="8">
        <f t="shared" si="4"/>
        <v>9241727</v>
      </c>
      <c r="AA4" s="8">
        <f t="shared" si="4"/>
        <v>9241727</v>
      </c>
      <c r="AB4" s="8">
        <f t="shared" si="4"/>
        <v>9241727</v>
      </c>
      <c r="AC4" s="8">
        <f t="shared" si="4"/>
        <v>9241727</v>
      </c>
      <c r="AD4" s="8">
        <f t="shared" si="4"/>
        <v>9241727</v>
      </c>
      <c r="AE4" s="8">
        <f t="shared" si="4"/>
        <v>9241727</v>
      </c>
      <c r="AF4" s="8">
        <f t="shared" si="4"/>
        <v>9241727</v>
      </c>
      <c r="AG4" s="8">
        <f t="shared" si="4"/>
        <v>9241727</v>
      </c>
      <c r="AH4" s="8">
        <f t="shared" si="4"/>
        <v>9241727</v>
      </c>
    </row>
    <row r="5" spans="1:34">
      <c r="A5" t="s">
        <v>124</v>
      </c>
      <c r="B5" s="8">
        <f>'Avoided Def'!$A$8</f>
        <v>87438.104250000004</v>
      </c>
      <c r="C5" s="8">
        <f t="shared" si="1"/>
        <v>87438.104250000004</v>
      </c>
      <c r="D5" s="8">
        <f t="shared" si="2"/>
        <v>87438.104250000004</v>
      </c>
      <c r="E5" s="8">
        <f t="shared" si="2"/>
        <v>87438.104250000004</v>
      </c>
      <c r="F5" s="8">
        <f t="shared" si="2"/>
        <v>87438.104250000004</v>
      </c>
      <c r="G5" s="8">
        <f t="shared" si="2"/>
        <v>87438.104250000004</v>
      </c>
      <c r="H5" s="8">
        <f t="shared" si="2"/>
        <v>87438.104250000004</v>
      </c>
      <c r="I5" s="8">
        <f t="shared" si="2"/>
        <v>87438.104250000004</v>
      </c>
      <c r="J5" s="8">
        <f t="shared" si="2"/>
        <v>87438.104250000004</v>
      </c>
      <c r="K5" s="8">
        <f t="shared" si="2"/>
        <v>87438.104250000004</v>
      </c>
      <c r="L5" s="8">
        <f t="shared" si="2"/>
        <v>87438.104250000004</v>
      </c>
      <c r="M5" s="8">
        <f t="shared" si="2"/>
        <v>87438.104250000004</v>
      </c>
      <c r="N5" s="8">
        <f t="shared" si="3"/>
        <v>87438.104250000004</v>
      </c>
      <c r="O5" s="8">
        <f t="shared" si="3"/>
        <v>87438.104250000004</v>
      </c>
      <c r="P5" s="8">
        <f t="shared" si="3"/>
        <v>87438.104250000004</v>
      </c>
      <c r="Q5" s="8">
        <f t="shared" si="3"/>
        <v>87438.104250000004</v>
      </c>
      <c r="R5" s="8">
        <f t="shared" si="3"/>
        <v>87438.104250000004</v>
      </c>
      <c r="S5" s="8">
        <f t="shared" si="3"/>
        <v>87438.104250000004</v>
      </c>
      <c r="T5" s="8">
        <f t="shared" si="3"/>
        <v>87438.104250000004</v>
      </c>
      <c r="U5" s="8">
        <f t="shared" si="3"/>
        <v>87438.104250000004</v>
      </c>
      <c r="V5" s="8">
        <f t="shared" si="3"/>
        <v>87438.104250000004</v>
      </c>
      <c r="W5" s="8">
        <f t="shared" si="3"/>
        <v>87438.104250000004</v>
      </c>
      <c r="X5" s="8">
        <f t="shared" si="4"/>
        <v>87438.104250000004</v>
      </c>
      <c r="Y5" s="8">
        <f t="shared" si="4"/>
        <v>87438.104250000004</v>
      </c>
      <c r="Z5" s="8">
        <f t="shared" si="4"/>
        <v>87438.104250000004</v>
      </c>
      <c r="AA5" s="8">
        <f t="shared" si="4"/>
        <v>87438.104250000004</v>
      </c>
      <c r="AB5" s="8">
        <f t="shared" si="4"/>
        <v>87438.104250000004</v>
      </c>
      <c r="AC5" s="8">
        <f t="shared" si="4"/>
        <v>87438.104250000004</v>
      </c>
      <c r="AD5" s="8">
        <f t="shared" si="4"/>
        <v>87438.104250000004</v>
      </c>
      <c r="AE5" s="8">
        <f t="shared" si="4"/>
        <v>87438.104250000004</v>
      </c>
      <c r="AF5" s="8">
        <f t="shared" si="4"/>
        <v>87438.104250000004</v>
      </c>
      <c r="AG5" s="8">
        <f t="shared" si="4"/>
        <v>87438.104250000004</v>
      </c>
      <c r="AH5" s="8">
        <f t="shared" si="4"/>
        <v>87438.104250000004</v>
      </c>
    </row>
    <row r="6" spans="1:34">
      <c r="A6" t="s">
        <v>125</v>
      </c>
      <c r="B6" s="8">
        <f>'Peatland restoration'!A17</f>
        <v>336.86225735294119</v>
      </c>
      <c r="C6" s="8">
        <f t="shared" si="1"/>
        <v>336.86225735294119</v>
      </c>
      <c r="D6" s="8">
        <f t="shared" si="2"/>
        <v>336.86225735294119</v>
      </c>
      <c r="E6" s="8">
        <f t="shared" si="2"/>
        <v>336.86225735294119</v>
      </c>
      <c r="F6" s="8">
        <f t="shared" si="2"/>
        <v>336.86225735294119</v>
      </c>
      <c r="G6" s="8">
        <f t="shared" si="2"/>
        <v>336.86225735294119</v>
      </c>
      <c r="H6" s="8">
        <f t="shared" si="2"/>
        <v>336.86225735294119</v>
      </c>
      <c r="I6" s="8">
        <f t="shared" si="2"/>
        <v>336.86225735294119</v>
      </c>
      <c r="J6" s="8">
        <f t="shared" si="2"/>
        <v>336.86225735294119</v>
      </c>
      <c r="K6" s="8">
        <f t="shared" si="2"/>
        <v>336.86225735294119</v>
      </c>
      <c r="L6" s="8">
        <f t="shared" si="2"/>
        <v>336.86225735294119</v>
      </c>
      <c r="M6" s="8">
        <f t="shared" si="2"/>
        <v>336.86225735294119</v>
      </c>
      <c r="N6" s="8">
        <f t="shared" si="3"/>
        <v>336.86225735294119</v>
      </c>
      <c r="O6" s="8">
        <f t="shared" si="3"/>
        <v>336.86225735294119</v>
      </c>
      <c r="P6" s="8">
        <f t="shared" si="3"/>
        <v>336.86225735294119</v>
      </c>
      <c r="Q6" s="8">
        <f t="shared" si="3"/>
        <v>336.86225735294119</v>
      </c>
      <c r="R6" s="8">
        <f t="shared" si="3"/>
        <v>336.86225735294119</v>
      </c>
      <c r="S6" s="8">
        <f t="shared" si="3"/>
        <v>336.86225735294119</v>
      </c>
      <c r="T6" s="8">
        <f t="shared" si="3"/>
        <v>336.86225735294119</v>
      </c>
      <c r="U6" s="8">
        <f t="shared" si="3"/>
        <v>336.86225735294119</v>
      </c>
      <c r="V6" s="8">
        <f t="shared" si="3"/>
        <v>336.86225735294119</v>
      </c>
      <c r="W6" s="8">
        <f t="shared" si="3"/>
        <v>336.86225735294119</v>
      </c>
      <c r="X6" s="8">
        <f t="shared" si="4"/>
        <v>336.86225735294119</v>
      </c>
      <c r="Y6" s="8">
        <f t="shared" si="4"/>
        <v>336.86225735294119</v>
      </c>
      <c r="Z6" s="8">
        <f t="shared" si="4"/>
        <v>336.86225735294119</v>
      </c>
      <c r="AA6" s="8">
        <f t="shared" si="4"/>
        <v>336.86225735294119</v>
      </c>
      <c r="AB6" s="8">
        <f t="shared" si="4"/>
        <v>336.86225735294119</v>
      </c>
      <c r="AC6" s="8">
        <f t="shared" si="4"/>
        <v>336.86225735294119</v>
      </c>
      <c r="AD6" s="8">
        <f t="shared" si="4"/>
        <v>336.86225735294119</v>
      </c>
      <c r="AE6" s="8">
        <f t="shared" si="4"/>
        <v>336.86225735294119</v>
      </c>
      <c r="AF6" s="8">
        <f t="shared" si="4"/>
        <v>336.86225735294119</v>
      </c>
      <c r="AG6" s="8">
        <f t="shared" si="4"/>
        <v>336.86225735294119</v>
      </c>
      <c r="AH6" s="8">
        <f t="shared" si="4"/>
        <v>336.86225735294119</v>
      </c>
    </row>
    <row r="7" spans="1:34">
      <c r="A7" t="s">
        <v>126</v>
      </c>
      <c r="B7" s="8">
        <v>0</v>
      </c>
      <c r="C7" s="8">
        <f t="shared" si="1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4"/>
        <v>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si="4"/>
        <v>0</v>
      </c>
      <c r="AG7" s="8">
        <f t="shared" si="4"/>
        <v>0</v>
      </c>
      <c r="AH7" s="8">
        <f t="shared" si="4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FCD18F95-39B0-45E9-BFB5-BC73734966CA}"/>
</file>

<file path=customXml/itemProps2.xml><?xml version="1.0" encoding="utf-8"?>
<ds:datastoreItem xmlns:ds="http://schemas.openxmlformats.org/officeDocument/2006/customXml" ds:itemID="{B661E4AF-14CB-4572-9ABF-94EBD456A433}"/>
</file>

<file path=customXml/itemProps3.xml><?xml version="1.0" encoding="utf-8"?>
<ds:datastoreItem xmlns:ds="http://schemas.openxmlformats.org/officeDocument/2006/customXml" ds:itemID="{67DBDE92-93F9-4C35-ABA6-B9BBB4CED8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2017-01-27T05:17:42Z</dcterms:created>
  <dcterms:modified xsi:type="dcterms:W3CDTF">2022-04-22T16:23:10Z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