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natha\Pembina Institute\Energy Policy Simulator 2021 - Research and Analysis\CANADA-inputData\elec\BECF\"/>
    </mc:Choice>
  </mc:AlternateContent>
  <xr:revisionPtr revIDLastSave="0" documentId="13_ncr:1_{0AD6EA5D-5445-4FD4-9410-A50DB5AE4FF8}" xr6:coauthVersionLast="47" xr6:coauthVersionMax="47" xr10:uidLastSave="{00000000-0000-0000-0000-000000000000}"/>
  <bookViews>
    <workbookView xWindow="-13890" yWindow="-16365" windowWidth="29040" windowHeight="15840" tabRatio="935" activeTab="11" xr2:uid="{00000000-000D-0000-FFFF-FFFF00000000}"/>
  </bookViews>
  <sheets>
    <sheet name="About" sheetId="1" r:id="rId1"/>
    <sheet name="U.S. About" sheetId="14" state="hidden" r:id="rId2"/>
    <sheet name="U.S. NREL ATB 2021" sheetId="9" state="hidden" r:id="rId3"/>
    <sheet name="U.S. NREL ATB 2022" sheetId="10" state="hidden" r:id="rId4"/>
    <sheet name="U.S. Table 4.8.B" sheetId="11" state="hidden" r:id="rId5"/>
    <sheet name="CER Electricity Generation" sheetId="3" r:id="rId6"/>
    <sheet name="CER Electricity Capacity" sheetId="2" r:id="rId7"/>
    <sheet name="CER CF" sheetId="5" r:id="rId8"/>
    <sheet name="LookupTables" sheetId="6" r:id="rId9"/>
    <sheet name="BECF-pre-ret" sheetId="13" r:id="rId10"/>
    <sheet name="BECF-pre-nonret" sheetId="12" r:id="rId11"/>
    <sheet name="BECF-new" sheetId="7"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7" l="1"/>
  <c r="E12" i="7" s="1"/>
  <c r="F12" i="7" s="1"/>
  <c r="G12" i="7" s="1"/>
  <c r="H12" i="7" s="1"/>
  <c r="I12" i="7" s="1"/>
  <c r="J12" i="7" s="1"/>
  <c r="K12" i="7" s="1"/>
  <c r="L12" i="7" s="1"/>
  <c r="M12" i="7" s="1"/>
  <c r="N12" i="7" s="1"/>
  <c r="O12" i="7" s="1"/>
  <c r="P12" i="7" s="1"/>
  <c r="Q12" i="7" s="1"/>
  <c r="R12" i="7" s="1"/>
  <c r="S12" i="7" s="1"/>
  <c r="T12" i="7" s="1"/>
  <c r="U12" i="7" s="1"/>
  <c r="V12" i="7" s="1"/>
  <c r="W12" i="7" s="1"/>
  <c r="X12" i="7" s="1"/>
  <c r="Y12" i="7" s="1"/>
  <c r="Z12" i="7" s="1"/>
  <c r="AA12" i="7" s="1"/>
  <c r="AB12" i="7" s="1"/>
  <c r="AC12" i="7" s="1"/>
  <c r="AD12" i="7" s="1"/>
  <c r="AE12" i="7" s="1"/>
  <c r="AF12" i="7" s="1"/>
  <c r="AG12" i="7" s="1"/>
  <c r="AH12" i="7" s="1"/>
  <c r="D3" i="7"/>
  <c r="E3" i="7"/>
  <c r="F3" i="7"/>
  <c r="G3" i="7" s="1"/>
  <c r="H3" i="7" s="1"/>
  <c r="I3" i="7" s="1"/>
  <c r="J3" i="7" s="1"/>
  <c r="K3" i="7" s="1"/>
  <c r="L3" i="7" s="1"/>
  <c r="M3" i="7" s="1"/>
  <c r="N3" i="7" s="1"/>
  <c r="O3" i="7" s="1"/>
  <c r="P3" i="7" s="1"/>
  <c r="Q3" i="7" s="1"/>
  <c r="R3" i="7" s="1"/>
  <c r="S3" i="7" s="1"/>
  <c r="T3" i="7" s="1"/>
  <c r="U3" i="7" s="1"/>
  <c r="V3" i="7" s="1"/>
  <c r="W3" i="7" s="1"/>
  <c r="X3" i="7" s="1"/>
  <c r="Y3" i="7" s="1"/>
  <c r="Z3" i="7" s="1"/>
  <c r="AA3" i="7" s="1"/>
  <c r="AB3" i="7" s="1"/>
  <c r="AC3" i="7" s="1"/>
  <c r="AD3" i="7" s="1"/>
  <c r="AE3" i="7" s="1"/>
  <c r="AF3" i="7" s="1"/>
  <c r="AG3" i="7" s="1"/>
  <c r="AH3" i="7" s="1"/>
  <c r="C12" i="7"/>
  <c r="B12" i="7"/>
  <c r="B3" i="7"/>
  <c r="C3" i="7"/>
  <c r="B2" i="7" l="1"/>
  <c r="I76" i="1"/>
  <c r="I74" i="1"/>
  <c r="I72" i="1"/>
  <c r="I71" i="1"/>
  <c r="I70" i="1"/>
  <c r="I69" i="1"/>
  <c r="I67" i="1"/>
  <c r="AU17" i="3"/>
  <c r="H76" i="1"/>
  <c r="H74" i="1"/>
  <c r="H72" i="1"/>
  <c r="H71" i="1"/>
  <c r="H70" i="1"/>
  <c r="H69" i="1"/>
  <c r="H67" i="1"/>
  <c r="Q17" i="3"/>
  <c r="F82" i="1" l="1"/>
  <c r="G82" i="1"/>
  <c r="D73" i="1"/>
  <c r="G73" i="1" s="1"/>
  <c r="D79" i="1"/>
  <c r="G79" i="1" s="1"/>
  <c r="D82" i="1"/>
  <c r="B73" i="1"/>
  <c r="F73" i="1" s="1"/>
  <c r="B75" i="1"/>
  <c r="F75" i="1" s="1"/>
  <c r="B79" i="1"/>
  <c r="F79" i="1" s="1"/>
  <c r="B82" i="1"/>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B10" i="13"/>
  <c r="C10" i="13"/>
  <c r="D10" i="13"/>
  <c r="C14" i="13"/>
  <c r="D14" i="13"/>
  <c r="E14" i="13"/>
  <c r="F14" i="13"/>
  <c r="G14" i="13"/>
  <c r="H14"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B17" i="13"/>
  <c r="C17" i="13"/>
  <c r="D17" i="13"/>
  <c r="E17" i="13"/>
  <c r="F17" i="13"/>
  <c r="G17" i="13"/>
  <c r="H17"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E17" i="7"/>
  <c r="D17" i="7"/>
  <c r="C17" i="7"/>
  <c r="B17" i="7"/>
  <c r="E10" i="7"/>
  <c r="E10" i="13" s="1"/>
  <c r="D10" i="7"/>
  <c r="C10" i="7"/>
  <c r="B10" i="7"/>
  <c r="B14" i="7"/>
  <c r="B14" i="13" s="1"/>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D14" i="7"/>
  <c r="C14"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D8" i="7"/>
  <c r="AA154" i="10"/>
  <c r="Z154" i="10"/>
  <c r="O154" i="10"/>
  <c r="N154" i="10"/>
  <c r="AJ152" i="10"/>
  <c r="AI152" i="10"/>
  <c r="AH152" i="10"/>
  <c r="AG152" i="10"/>
  <c r="AF152" i="10"/>
  <c r="AE152" i="10"/>
  <c r="AD152" i="10"/>
  <c r="AC152" i="10"/>
  <c r="AB152" i="10"/>
  <c r="AA152" i="10"/>
  <c r="Z152" i="10"/>
  <c r="Y152" i="10"/>
  <c r="X152" i="10"/>
  <c r="W152" i="10"/>
  <c r="V152" i="10"/>
  <c r="U152" i="10"/>
  <c r="T152" i="10"/>
  <c r="S152" i="10"/>
  <c r="R152" i="10"/>
  <c r="Q152" i="10"/>
  <c r="P152" i="10"/>
  <c r="O152" i="10"/>
  <c r="N152" i="10"/>
  <c r="M152" i="10"/>
  <c r="L152" i="10"/>
  <c r="K152" i="10"/>
  <c r="J152" i="10"/>
  <c r="I152" i="10"/>
  <c r="H152" i="10"/>
  <c r="G152" i="10"/>
  <c r="F152" i="10"/>
  <c r="E152" i="10"/>
  <c r="D152" i="10"/>
  <c r="AJ151" i="10"/>
  <c r="AI151" i="10"/>
  <c r="AH151" i="10"/>
  <c r="AG151" i="10"/>
  <c r="AF151" i="10"/>
  <c r="AE151" i="10"/>
  <c r="AD151" i="10"/>
  <c r="AC151" i="10"/>
  <c r="AB151" i="10"/>
  <c r="AA151" i="10"/>
  <c r="Z151" i="10"/>
  <c r="Y151" i="10"/>
  <c r="X151" i="10"/>
  <c r="W151" i="10"/>
  <c r="V151" i="10"/>
  <c r="U151" i="10"/>
  <c r="T151" i="10"/>
  <c r="S151" i="10"/>
  <c r="R151" i="10"/>
  <c r="Q151" i="10"/>
  <c r="P151" i="10"/>
  <c r="O151" i="10"/>
  <c r="N151" i="10"/>
  <c r="M151" i="10"/>
  <c r="L151" i="10"/>
  <c r="K151" i="10"/>
  <c r="J151" i="10"/>
  <c r="I151" i="10"/>
  <c r="H151" i="10"/>
  <c r="G151" i="10"/>
  <c r="F151" i="10"/>
  <c r="E151" i="10"/>
  <c r="D151" i="10"/>
  <c r="AJ150" i="10"/>
  <c r="AI150" i="10"/>
  <c r="AH150" i="10"/>
  <c r="AG150" i="10"/>
  <c r="AF150" i="10"/>
  <c r="AE150" i="10"/>
  <c r="AD150" i="10"/>
  <c r="AC150" i="10"/>
  <c r="AB150" i="10"/>
  <c r="AA150" i="10"/>
  <c r="Z150" i="10"/>
  <c r="Y150" i="10"/>
  <c r="X150" i="10"/>
  <c r="W150" i="10"/>
  <c r="V150" i="10"/>
  <c r="U150" i="10"/>
  <c r="T150" i="10"/>
  <c r="S150" i="10"/>
  <c r="R150" i="10"/>
  <c r="Q150" i="10"/>
  <c r="P150" i="10"/>
  <c r="O150" i="10"/>
  <c r="N150" i="10"/>
  <c r="M150" i="10"/>
  <c r="L150" i="10"/>
  <c r="K150" i="10"/>
  <c r="J150" i="10"/>
  <c r="I150" i="10"/>
  <c r="H150" i="10"/>
  <c r="G150" i="10"/>
  <c r="F150" i="10"/>
  <c r="E150" i="10"/>
  <c r="D150" i="10"/>
  <c r="AJ149" i="10"/>
  <c r="AJ154" i="10" s="1"/>
  <c r="AI149" i="10"/>
  <c r="AI154" i="10" s="1"/>
  <c r="AH149" i="10"/>
  <c r="AH154" i="10" s="1"/>
  <c r="AG149" i="10"/>
  <c r="AG154" i="10" s="1"/>
  <c r="AF149" i="10"/>
  <c r="AF154" i="10" s="1"/>
  <c r="AE149" i="10"/>
  <c r="AE154" i="10" s="1"/>
  <c r="AD149" i="10"/>
  <c r="AD154" i="10" s="1"/>
  <c r="AC149" i="10"/>
  <c r="AC154" i="10" s="1"/>
  <c r="AB149" i="10"/>
  <c r="AB154" i="10" s="1"/>
  <c r="AA149" i="10"/>
  <c r="Z149" i="10"/>
  <c r="Y149" i="10"/>
  <c r="Y154" i="10" s="1"/>
  <c r="X149" i="10"/>
  <c r="X154" i="10" s="1"/>
  <c r="W149" i="10"/>
  <c r="W154" i="10" s="1"/>
  <c r="V149" i="10"/>
  <c r="V154" i="10" s="1"/>
  <c r="U149" i="10"/>
  <c r="U154" i="10" s="1"/>
  <c r="T149" i="10"/>
  <c r="T154" i="10" s="1"/>
  <c r="S149" i="10"/>
  <c r="S154" i="10" s="1"/>
  <c r="R149" i="10"/>
  <c r="R154" i="10" s="1"/>
  <c r="Q149" i="10"/>
  <c r="Q154" i="10" s="1"/>
  <c r="P149" i="10"/>
  <c r="P154" i="10" s="1"/>
  <c r="O149" i="10"/>
  <c r="N149" i="10"/>
  <c r="M149" i="10"/>
  <c r="M154" i="10" s="1"/>
  <c r="L149" i="10"/>
  <c r="L154" i="10" s="1"/>
  <c r="K149" i="10"/>
  <c r="K154" i="10" s="1"/>
  <c r="J149" i="10"/>
  <c r="J154" i="10" s="1"/>
  <c r="I149" i="10"/>
  <c r="I154" i="10" s="1"/>
  <c r="H149" i="10"/>
  <c r="H154" i="10" s="1"/>
  <c r="G149" i="10"/>
  <c r="G154" i="10" s="1"/>
  <c r="F149" i="10"/>
  <c r="F154" i="10" s="1"/>
  <c r="E149" i="10"/>
  <c r="E154" i="10" s="1"/>
  <c r="D149" i="10"/>
  <c r="AM96" i="10"/>
  <c r="AL96" i="10"/>
  <c r="AK96" i="10"/>
  <c r="Z96" i="10"/>
  <c r="Y96" i="10"/>
  <c r="N96" i="10"/>
  <c r="M96" i="10"/>
  <c r="AL91" i="10"/>
  <c r="AK91" i="10"/>
  <c r="AJ91" i="10"/>
  <c r="AI91" i="10"/>
  <c r="AH91" i="10"/>
  <c r="AG91" i="10"/>
  <c r="AF91" i="10"/>
  <c r="AE91" i="10"/>
  <c r="AD91" i="10"/>
  <c r="AC91" i="10"/>
  <c r="AB91" i="10"/>
  <c r="AA91" i="10"/>
  <c r="Z91" i="10"/>
  <c r="Y91" i="10"/>
  <c r="X91" i="10"/>
  <c r="W91" i="10"/>
  <c r="V91" i="10"/>
  <c r="U91" i="10"/>
  <c r="T91" i="10"/>
  <c r="S91" i="10"/>
  <c r="R91" i="10"/>
  <c r="Q91" i="10"/>
  <c r="P91" i="10"/>
  <c r="O91" i="10"/>
  <c r="N91" i="10"/>
  <c r="M91" i="10"/>
  <c r="L91" i="10"/>
  <c r="K91" i="10"/>
  <c r="J91" i="10"/>
  <c r="I91" i="10"/>
  <c r="H91" i="10"/>
  <c r="G91" i="10"/>
  <c r="F91" i="10"/>
  <c r="AL90" i="10"/>
  <c r="AK90" i="10"/>
  <c r="AJ90" i="10"/>
  <c r="AI90" i="10"/>
  <c r="AH90" i="10"/>
  <c r="AG90" i="10"/>
  <c r="AF90" i="10"/>
  <c r="AE90" i="10"/>
  <c r="AD90" i="10"/>
  <c r="AC90" i="10"/>
  <c r="AB90" i="10"/>
  <c r="AA90" i="10"/>
  <c r="Z90" i="10"/>
  <c r="Y90" i="10"/>
  <c r="X90" i="10"/>
  <c r="W90" i="10"/>
  <c r="V90" i="10"/>
  <c r="U90" i="10"/>
  <c r="T90" i="10"/>
  <c r="S90" i="10"/>
  <c r="R90" i="10"/>
  <c r="Q90" i="10"/>
  <c r="P90" i="10"/>
  <c r="O90" i="10"/>
  <c r="N90" i="10"/>
  <c r="M90" i="10"/>
  <c r="L90" i="10"/>
  <c r="K90" i="10"/>
  <c r="J90" i="10"/>
  <c r="I90" i="10"/>
  <c r="H90" i="10"/>
  <c r="G90" i="10"/>
  <c r="F90" i="10"/>
  <c r="AL89" i="10"/>
  <c r="AK89" i="10"/>
  <c r="AJ89" i="10"/>
  <c r="AI89" i="10"/>
  <c r="AH89" i="10"/>
  <c r="AG89" i="10"/>
  <c r="AF89" i="10"/>
  <c r="AE89" i="10"/>
  <c r="AD89" i="10"/>
  <c r="AC89" i="10"/>
  <c r="AB89" i="10"/>
  <c r="AA89" i="10"/>
  <c r="AA96" i="10" s="1"/>
  <c r="Z89" i="10"/>
  <c r="Y89" i="10"/>
  <c r="X89" i="10"/>
  <c r="W89" i="10"/>
  <c r="V89" i="10"/>
  <c r="U89" i="10"/>
  <c r="T89" i="10"/>
  <c r="S89" i="10"/>
  <c r="R89" i="10"/>
  <c r="Q89" i="10"/>
  <c r="P89" i="10"/>
  <c r="O89" i="10"/>
  <c r="O96" i="10" s="1"/>
  <c r="N89" i="10"/>
  <c r="M89" i="10"/>
  <c r="L89" i="10"/>
  <c r="K89" i="10"/>
  <c r="J89" i="10"/>
  <c r="I89" i="10"/>
  <c r="H89" i="10"/>
  <c r="G89" i="10"/>
  <c r="F89" i="10"/>
  <c r="AL88" i="10"/>
  <c r="AK88" i="10"/>
  <c r="AJ88" i="10"/>
  <c r="AJ96" i="10" s="1"/>
  <c r="AI88" i="10"/>
  <c r="AI96" i="10" s="1"/>
  <c r="AH88" i="10"/>
  <c r="AH96" i="10" s="1"/>
  <c r="AG88" i="10"/>
  <c r="AG96" i="10" s="1"/>
  <c r="AF88" i="10"/>
  <c r="AF96" i="10" s="1"/>
  <c r="AE88" i="10"/>
  <c r="AE96" i="10" s="1"/>
  <c r="AD88" i="10"/>
  <c r="AD96" i="10" s="1"/>
  <c r="AC88" i="10"/>
  <c r="AC96" i="10" s="1"/>
  <c r="AB88" i="10"/>
  <c r="AB96" i="10" s="1"/>
  <c r="AA88" i="10"/>
  <c r="Z88" i="10"/>
  <c r="Y88" i="10"/>
  <c r="X88" i="10"/>
  <c r="X96" i="10" s="1"/>
  <c r="W88" i="10"/>
  <c r="W96" i="10" s="1"/>
  <c r="V88" i="10"/>
  <c r="V96" i="10" s="1"/>
  <c r="U88" i="10"/>
  <c r="U96" i="10" s="1"/>
  <c r="T88" i="10"/>
  <c r="T96" i="10" s="1"/>
  <c r="S88" i="10"/>
  <c r="S96" i="10" s="1"/>
  <c r="R88" i="10"/>
  <c r="R96" i="10" s="1"/>
  <c r="Q88" i="10"/>
  <c r="Q96" i="10" s="1"/>
  <c r="P88" i="10"/>
  <c r="P96" i="10" s="1"/>
  <c r="O88" i="10"/>
  <c r="N88" i="10"/>
  <c r="M88" i="10"/>
  <c r="L88" i="10"/>
  <c r="L96" i="10" s="1"/>
  <c r="K88" i="10"/>
  <c r="K96" i="10" s="1"/>
  <c r="J88" i="10"/>
  <c r="J96" i="10" s="1"/>
  <c r="I88" i="10"/>
  <c r="I96" i="10" s="1"/>
  <c r="H88" i="10"/>
  <c r="H96" i="10" s="1"/>
  <c r="G88" i="10"/>
  <c r="G96" i="10" s="1"/>
  <c r="F88" i="10"/>
  <c r="AL87" i="10"/>
  <c r="AK87" i="10"/>
  <c r="AJ87" i="10"/>
  <c r="AI87" i="10"/>
  <c r="AH87" i="10"/>
  <c r="AG87" i="10"/>
  <c r="AF87" i="10"/>
  <c r="AE87" i="10"/>
  <c r="AD87" i="10"/>
  <c r="AC87" i="10"/>
  <c r="AB87" i="10"/>
  <c r="AA87" i="10"/>
  <c r="Z87" i="10"/>
  <c r="Y87" i="10"/>
  <c r="X87" i="10"/>
  <c r="W87" i="10"/>
  <c r="V87" i="10"/>
  <c r="U87" i="10"/>
  <c r="T87" i="10"/>
  <c r="S87" i="10"/>
  <c r="R87" i="10"/>
  <c r="Q87" i="10"/>
  <c r="P87" i="10"/>
  <c r="O87" i="10"/>
  <c r="N87" i="10"/>
  <c r="M87" i="10"/>
  <c r="L87" i="10"/>
  <c r="K87" i="10"/>
  <c r="J87" i="10"/>
  <c r="I87" i="10"/>
  <c r="H87" i="10"/>
  <c r="G87"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E50" i="10"/>
  <c r="D50" i="10"/>
  <c r="C50"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F36" i="10"/>
  <c r="E36" i="10"/>
  <c r="D36" i="10"/>
  <c r="C36" i="10"/>
  <c r="B8" i="7"/>
  <c r="B8" i="13" s="1"/>
  <c r="C8" i="7"/>
  <c r="N154" i="9"/>
  <c r="AK152" i="9"/>
  <c r="AJ152" i="9"/>
  <c r="AI152" i="9"/>
  <c r="AH152" i="9"/>
  <c r="AG152" i="9"/>
  <c r="AF152" i="9"/>
  <c r="AE152" i="9"/>
  <c r="AD152" i="9"/>
  <c r="AC152" i="9"/>
  <c r="AB152" i="9"/>
  <c r="AA152" i="9"/>
  <c r="AA154" i="9" s="1"/>
  <c r="Z152" i="9"/>
  <c r="Y152" i="9"/>
  <c r="X152" i="9"/>
  <c r="W152" i="9"/>
  <c r="V152" i="9"/>
  <c r="U152" i="9"/>
  <c r="T152" i="9"/>
  <c r="S152" i="9"/>
  <c r="R152" i="9"/>
  <c r="Q152" i="9"/>
  <c r="P152" i="9"/>
  <c r="O152" i="9"/>
  <c r="O154" i="9" s="1"/>
  <c r="N152" i="9"/>
  <c r="M152" i="9"/>
  <c r="L152" i="9"/>
  <c r="K152" i="9"/>
  <c r="J152" i="9"/>
  <c r="I152" i="9"/>
  <c r="H152" i="9"/>
  <c r="G152" i="9"/>
  <c r="F152" i="9"/>
  <c r="E152" i="9"/>
  <c r="D152" i="9"/>
  <c r="AK151" i="9"/>
  <c r="AK154" i="9" s="1"/>
  <c r="AJ151" i="9"/>
  <c r="AI151" i="9"/>
  <c r="AH151" i="9"/>
  <c r="AG151" i="9"/>
  <c r="AF151" i="9"/>
  <c r="AE151" i="9"/>
  <c r="AD151" i="9"/>
  <c r="AC151" i="9"/>
  <c r="AB151" i="9"/>
  <c r="AA151" i="9"/>
  <c r="Z151" i="9"/>
  <c r="Z154" i="9" s="1"/>
  <c r="Y151" i="9"/>
  <c r="Y154" i="9" s="1"/>
  <c r="X151" i="9"/>
  <c r="W151" i="9"/>
  <c r="V151" i="9"/>
  <c r="U151" i="9"/>
  <c r="T151" i="9"/>
  <c r="S151" i="9"/>
  <c r="R151" i="9"/>
  <c r="Q151" i="9"/>
  <c r="P151" i="9"/>
  <c r="O151" i="9"/>
  <c r="N151" i="9"/>
  <c r="M151" i="9"/>
  <c r="M154" i="9" s="1"/>
  <c r="L151" i="9"/>
  <c r="K151" i="9"/>
  <c r="J151" i="9"/>
  <c r="I151" i="9"/>
  <c r="H151" i="9"/>
  <c r="G151" i="9"/>
  <c r="F151" i="9"/>
  <c r="E151" i="9"/>
  <c r="D151" i="9"/>
  <c r="AK150" i="9"/>
  <c r="AJ150" i="9"/>
  <c r="AI150" i="9"/>
  <c r="AH150" i="9"/>
  <c r="AG150" i="9"/>
  <c r="AF150" i="9"/>
  <c r="AE150" i="9"/>
  <c r="AE154" i="9" s="1"/>
  <c r="AD150" i="9"/>
  <c r="AD154" i="9" s="1"/>
  <c r="AC150" i="9"/>
  <c r="AB150" i="9"/>
  <c r="AA150" i="9"/>
  <c r="Z150" i="9"/>
  <c r="Y150" i="9"/>
  <c r="X150" i="9"/>
  <c r="W150" i="9"/>
  <c r="V150" i="9"/>
  <c r="U150" i="9"/>
  <c r="T150" i="9"/>
  <c r="S150" i="9"/>
  <c r="S154" i="9" s="1"/>
  <c r="R150" i="9"/>
  <c r="R154" i="9" s="1"/>
  <c r="Q150" i="9"/>
  <c r="P150" i="9"/>
  <c r="O150" i="9"/>
  <c r="N150" i="9"/>
  <c r="M150" i="9"/>
  <c r="L150" i="9"/>
  <c r="K150" i="9"/>
  <c r="J150" i="9"/>
  <c r="I150" i="9"/>
  <c r="H150" i="9"/>
  <c r="G150" i="9"/>
  <c r="G154" i="9" s="1"/>
  <c r="F150" i="9"/>
  <c r="F154" i="9" s="1"/>
  <c r="E150" i="9"/>
  <c r="D150" i="9"/>
  <c r="AK149" i="9"/>
  <c r="AJ149" i="9"/>
  <c r="AJ154" i="9" s="1"/>
  <c r="AI149" i="9"/>
  <c r="AI154" i="9" s="1"/>
  <c r="AH149" i="9"/>
  <c r="AH154" i="9" s="1"/>
  <c r="AG149" i="9"/>
  <c r="AG154" i="9" s="1"/>
  <c r="AF149" i="9"/>
  <c r="AF154" i="9" s="1"/>
  <c r="AE149" i="9"/>
  <c r="AD149" i="9"/>
  <c r="AC149" i="9"/>
  <c r="AC154" i="9" s="1"/>
  <c r="AB149" i="9"/>
  <c r="AB154" i="9" s="1"/>
  <c r="AA149" i="9"/>
  <c r="Z149" i="9"/>
  <c r="Y149" i="9"/>
  <c r="X149" i="9"/>
  <c r="X154" i="9" s="1"/>
  <c r="W149" i="9"/>
  <c r="W154" i="9" s="1"/>
  <c r="V149" i="9"/>
  <c r="V154" i="9" s="1"/>
  <c r="U149" i="9"/>
  <c r="U154" i="9" s="1"/>
  <c r="T149" i="9"/>
  <c r="T154" i="9" s="1"/>
  <c r="S149" i="9"/>
  <c r="R149" i="9"/>
  <c r="Q149" i="9"/>
  <c r="Q154" i="9" s="1"/>
  <c r="P149" i="9"/>
  <c r="P154" i="9" s="1"/>
  <c r="O149" i="9"/>
  <c r="N149" i="9"/>
  <c r="M149" i="9"/>
  <c r="L149" i="9"/>
  <c r="L154" i="9" s="1"/>
  <c r="K149" i="9"/>
  <c r="K154" i="9" s="1"/>
  <c r="J149" i="9"/>
  <c r="J154" i="9" s="1"/>
  <c r="I149" i="9"/>
  <c r="I154" i="9" s="1"/>
  <c r="H149" i="9"/>
  <c r="H154" i="9" s="1"/>
  <c r="G149" i="9"/>
  <c r="F149" i="9"/>
  <c r="E149" i="9"/>
  <c r="E154" i="9" s="1"/>
  <c r="D149" i="9"/>
  <c r="AC96" i="9"/>
  <c r="Q96" i="9"/>
  <c r="P96" i="9"/>
  <c r="AM91" i="9"/>
  <c r="AL91" i="9"/>
  <c r="AK91" i="9"/>
  <c r="AJ91" i="9"/>
  <c r="AI91" i="9"/>
  <c r="AH91" i="9"/>
  <c r="AG91" i="9"/>
  <c r="AF91" i="9"/>
  <c r="AE91" i="9"/>
  <c r="AD91" i="9"/>
  <c r="AD96" i="9" s="1"/>
  <c r="AC91" i="9"/>
  <c r="AB91" i="9"/>
  <c r="AA91" i="9"/>
  <c r="Z91" i="9"/>
  <c r="Y91" i="9"/>
  <c r="X91" i="9"/>
  <c r="W91" i="9"/>
  <c r="V91" i="9"/>
  <c r="U91" i="9"/>
  <c r="T91" i="9"/>
  <c r="S91" i="9"/>
  <c r="R91" i="9"/>
  <c r="R96" i="9" s="1"/>
  <c r="Q91" i="9"/>
  <c r="P91" i="9"/>
  <c r="O91" i="9"/>
  <c r="N91" i="9"/>
  <c r="M91" i="9"/>
  <c r="L91" i="9"/>
  <c r="K91" i="9"/>
  <c r="J91" i="9"/>
  <c r="I91" i="9"/>
  <c r="H91" i="9"/>
  <c r="G91" i="9"/>
  <c r="F91" i="9"/>
  <c r="AM90" i="9"/>
  <c r="AL90" i="9"/>
  <c r="AK90" i="9"/>
  <c r="AJ90" i="9"/>
  <c r="AI90" i="9"/>
  <c r="AH90" i="9"/>
  <c r="AG90" i="9"/>
  <c r="AF90" i="9"/>
  <c r="AE90" i="9"/>
  <c r="AD90" i="9"/>
  <c r="AC90" i="9"/>
  <c r="AB90" i="9"/>
  <c r="AB96" i="9" s="1"/>
  <c r="AA90" i="9"/>
  <c r="Z90" i="9"/>
  <c r="Y90" i="9"/>
  <c r="X90" i="9"/>
  <c r="W90" i="9"/>
  <c r="V90" i="9"/>
  <c r="U90" i="9"/>
  <c r="T90" i="9"/>
  <c r="S90" i="9"/>
  <c r="R90" i="9"/>
  <c r="Q90" i="9"/>
  <c r="P90" i="9"/>
  <c r="O90" i="9"/>
  <c r="N90" i="9"/>
  <c r="M90" i="9"/>
  <c r="L90" i="9"/>
  <c r="K90" i="9"/>
  <c r="J90" i="9"/>
  <c r="I90" i="9"/>
  <c r="H90" i="9"/>
  <c r="G90" i="9"/>
  <c r="F90" i="9"/>
  <c r="AM89" i="9"/>
  <c r="AL89" i="9"/>
  <c r="AK89" i="9"/>
  <c r="AJ89" i="9"/>
  <c r="AI89" i="9"/>
  <c r="AH89" i="9"/>
  <c r="AH96" i="9" s="1"/>
  <c r="AG89" i="9"/>
  <c r="AG96" i="9" s="1"/>
  <c r="AF89" i="9"/>
  <c r="AE89" i="9"/>
  <c r="AD89" i="9"/>
  <c r="AC89" i="9"/>
  <c r="AB89" i="9"/>
  <c r="AA89" i="9"/>
  <c r="Z89" i="9"/>
  <c r="Y89" i="9"/>
  <c r="X89" i="9"/>
  <c r="W89" i="9"/>
  <c r="V89" i="9"/>
  <c r="V96" i="9" s="1"/>
  <c r="U89" i="9"/>
  <c r="U96" i="9" s="1"/>
  <c r="T89" i="9"/>
  <c r="S89" i="9"/>
  <c r="R89" i="9"/>
  <c r="Q89" i="9"/>
  <c r="P89" i="9"/>
  <c r="O89" i="9"/>
  <c r="N89" i="9"/>
  <c r="M89" i="9"/>
  <c r="L89" i="9"/>
  <c r="K89" i="9"/>
  <c r="J89" i="9"/>
  <c r="J96" i="9" s="1"/>
  <c r="I89" i="9"/>
  <c r="I96" i="9" s="1"/>
  <c r="H89" i="9"/>
  <c r="G89" i="9"/>
  <c r="F89" i="9"/>
  <c r="AM88" i="9"/>
  <c r="AM96" i="9" s="1"/>
  <c r="AL88" i="9"/>
  <c r="AL96" i="9" s="1"/>
  <c r="AK88" i="9"/>
  <c r="AK96" i="9" s="1"/>
  <c r="AJ88" i="9"/>
  <c r="AJ96" i="9" s="1"/>
  <c r="AI88" i="9"/>
  <c r="AI96" i="9" s="1"/>
  <c r="AH88" i="9"/>
  <c r="AG88" i="9"/>
  <c r="AF88" i="9"/>
  <c r="AF96" i="9" s="1"/>
  <c r="AE88" i="9"/>
  <c r="AE96" i="9" s="1"/>
  <c r="AD88" i="9"/>
  <c r="AC88" i="9"/>
  <c r="AB88" i="9"/>
  <c r="AA88" i="9"/>
  <c r="AA96" i="9" s="1"/>
  <c r="Z88" i="9"/>
  <c r="Z96" i="9" s="1"/>
  <c r="Y88" i="9"/>
  <c r="Y96" i="9" s="1"/>
  <c r="X88" i="9"/>
  <c r="X96" i="9" s="1"/>
  <c r="W88" i="9"/>
  <c r="W96" i="9" s="1"/>
  <c r="V88" i="9"/>
  <c r="U88" i="9"/>
  <c r="T88" i="9"/>
  <c r="T96" i="9" s="1"/>
  <c r="S88" i="9"/>
  <c r="S96" i="9" s="1"/>
  <c r="R88" i="9"/>
  <c r="Q88" i="9"/>
  <c r="P88" i="9"/>
  <c r="O88" i="9"/>
  <c r="O96" i="9" s="1"/>
  <c r="N88" i="9"/>
  <c r="N96" i="9" s="1"/>
  <c r="M88" i="9"/>
  <c r="M96" i="9" s="1"/>
  <c r="L88" i="9"/>
  <c r="L96" i="9" s="1"/>
  <c r="K88" i="9"/>
  <c r="K96" i="9" s="1"/>
  <c r="J88" i="9"/>
  <c r="I88" i="9"/>
  <c r="H88" i="9"/>
  <c r="H96" i="9" s="1"/>
  <c r="G88" i="9"/>
  <c r="G96" i="9" s="1"/>
  <c r="F88" i="9"/>
  <c r="AM87" i="9"/>
  <c r="AL87" i="9"/>
  <c r="AK87" i="9"/>
  <c r="AJ87" i="9"/>
  <c r="AI87" i="9"/>
  <c r="AH87" i="9"/>
  <c r="AG87" i="9"/>
  <c r="AF87" i="9"/>
  <c r="AE87" i="9"/>
  <c r="AD87" i="9"/>
  <c r="AC87" i="9"/>
  <c r="AB87" i="9"/>
  <c r="AA87" i="9"/>
  <c r="Z87" i="9"/>
  <c r="Y87" i="9"/>
  <c r="X87" i="9"/>
  <c r="W87" i="9"/>
  <c r="V87" i="9"/>
  <c r="U87" i="9"/>
  <c r="T87" i="9"/>
  <c r="S87" i="9"/>
  <c r="R87" i="9"/>
  <c r="Q87" i="9"/>
  <c r="P87" i="9"/>
  <c r="O87" i="9"/>
  <c r="N87" i="9"/>
  <c r="M87" i="9"/>
  <c r="L87" i="9"/>
  <c r="K87" i="9"/>
  <c r="J87" i="9"/>
  <c r="I87" i="9"/>
  <c r="H87" i="9"/>
  <c r="G87" i="9"/>
  <c r="AH50" i="9"/>
  <c r="AG50" i="9"/>
  <c r="AF50" i="9"/>
  <c r="AE50" i="9"/>
  <c r="AD50" i="9"/>
  <c r="AC50" i="9"/>
  <c r="AB50" i="9"/>
  <c r="AA50" i="9"/>
  <c r="Z50" i="9"/>
  <c r="Y50" i="9"/>
  <c r="X50" i="9"/>
  <c r="W50" i="9"/>
  <c r="V50" i="9"/>
  <c r="U50" i="9"/>
  <c r="T50" i="9"/>
  <c r="S50" i="9"/>
  <c r="R50" i="9"/>
  <c r="Q50" i="9"/>
  <c r="P50" i="9"/>
  <c r="O50" i="9"/>
  <c r="N50" i="9"/>
  <c r="M50" i="9"/>
  <c r="L50" i="9"/>
  <c r="K50" i="9"/>
  <c r="J50" i="9"/>
  <c r="I50" i="9"/>
  <c r="H50" i="9"/>
  <c r="G50" i="9"/>
  <c r="F50" i="9"/>
  <c r="E50" i="9"/>
  <c r="D50" i="9"/>
  <c r="C50"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c r="F36" i="9"/>
  <c r="E36" i="9"/>
  <c r="D36" i="9"/>
  <c r="C36" i="9"/>
  <c r="F10" i="7" l="1"/>
  <c r="B3" i="13"/>
  <c r="B4" i="7"/>
  <c r="B4" i="13" s="1"/>
  <c r="B5" i="7"/>
  <c r="B5" i="13" s="1"/>
  <c r="B6" i="7"/>
  <c r="B6" i="13" s="1"/>
  <c r="B7" i="7"/>
  <c r="B7" i="13" s="1"/>
  <c r="B9" i="7"/>
  <c r="B9" i="13" s="1"/>
  <c r="B11" i="7"/>
  <c r="B11" i="13" s="1"/>
  <c r="B12" i="13"/>
  <c r="B13" i="7"/>
  <c r="B13" i="13" s="1"/>
  <c r="B15" i="7"/>
  <c r="B15" i="13" s="1"/>
  <c r="B16" i="7"/>
  <c r="B16" i="13" s="1"/>
  <c r="B2" i="13"/>
  <c r="AH2" i="7"/>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B27"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B26"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B25"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B24"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B23"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B21"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B20"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B38"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C37" i="5"/>
  <c r="B37"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C36" i="5"/>
  <c r="B36"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B35"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B34"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C33" i="5"/>
  <c r="B33"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2" i="5"/>
  <c r="B32"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B49"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B48"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C47" i="5"/>
  <c r="B47"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C46" i="5"/>
  <c r="B46"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B45"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C44" i="5"/>
  <c r="B44"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B43"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B42"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C60" i="5"/>
  <c r="B60"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D59" i="5"/>
  <c r="C59" i="5"/>
  <c r="B59"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C58" i="5"/>
  <c r="B58"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C57" i="5"/>
  <c r="B57"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C56" i="5"/>
  <c r="B56"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D55" i="5"/>
  <c r="C55" i="5"/>
  <c r="B55"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54" i="5"/>
  <c r="C54" i="5"/>
  <c r="B54"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C53" i="5"/>
  <c r="B53" i="5"/>
  <c r="AU71" i="5"/>
  <c r="AT71" i="5"/>
  <c r="AS71" i="5"/>
  <c r="AR71" i="5"/>
  <c r="AQ71" i="5"/>
  <c r="AP71" i="5"/>
  <c r="AO71" i="5"/>
  <c r="AN71" i="5"/>
  <c r="AM71" i="5"/>
  <c r="AL71" i="5"/>
  <c r="AK71" i="5"/>
  <c r="AJ71" i="5"/>
  <c r="AI71" i="5"/>
  <c r="AH71"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F71" i="5"/>
  <c r="E71" i="5"/>
  <c r="D71" i="5"/>
  <c r="C71" i="5"/>
  <c r="B71" i="5"/>
  <c r="AU70" i="5"/>
  <c r="AT70" i="5"/>
  <c r="AS70" i="5"/>
  <c r="AR70" i="5"/>
  <c r="AQ70" i="5"/>
  <c r="AP70" i="5"/>
  <c r="AO70" i="5"/>
  <c r="AN70" i="5"/>
  <c r="AM70" i="5"/>
  <c r="AL70" i="5"/>
  <c r="AK70" i="5"/>
  <c r="AJ70" i="5"/>
  <c r="AI70" i="5"/>
  <c r="AH70"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C70" i="5"/>
  <c r="B70" i="5"/>
  <c r="AU69" i="5"/>
  <c r="AT69" i="5"/>
  <c r="AS69" i="5"/>
  <c r="AR69" i="5"/>
  <c r="AQ69" i="5"/>
  <c r="AP69" i="5"/>
  <c r="AO69" i="5"/>
  <c r="AN69" i="5"/>
  <c r="AM69" i="5"/>
  <c r="AL69" i="5"/>
  <c r="AK69" i="5"/>
  <c r="AJ69" i="5"/>
  <c r="AI69" i="5"/>
  <c r="AH69"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F69" i="5"/>
  <c r="E69" i="5"/>
  <c r="D69" i="5"/>
  <c r="C69" i="5"/>
  <c r="B69"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D68" i="5"/>
  <c r="C68" i="5"/>
  <c r="B68"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C67" i="5"/>
  <c r="B67"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D66" i="5"/>
  <c r="C66" i="5"/>
  <c r="B66"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D65" i="5"/>
  <c r="C65" i="5"/>
  <c r="B65"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82"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B81"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C80" i="5"/>
  <c r="B80" i="5"/>
  <c r="AU79" i="5"/>
  <c r="AT79" i="5"/>
  <c r="AS79" i="5"/>
  <c r="AR79" i="5"/>
  <c r="AQ79" i="5"/>
  <c r="AP79" i="5"/>
  <c r="AO79" i="5"/>
  <c r="AN79" i="5"/>
  <c r="AM79" i="5"/>
  <c r="AL79" i="5"/>
  <c r="AK79" i="5"/>
  <c r="AJ79" i="5"/>
  <c r="AI79" i="5"/>
  <c r="AH79"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F79" i="5"/>
  <c r="E79" i="5"/>
  <c r="D79" i="5"/>
  <c r="C79" i="5"/>
  <c r="B79"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D77" i="5"/>
  <c r="C77" i="5"/>
  <c r="B77" i="5"/>
  <c r="AU76" i="5"/>
  <c r="AT76" i="5"/>
  <c r="AS76" i="5"/>
  <c r="AR76" i="5"/>
  <c r="AQ76" i="5"/>
  <c r="AP76" i="5"/>
  <c r="AO76" i="5"/>
  <c r="AN76" i="5"/>
  <c r="AM76" i="5"/>
  <c r="AL76" i="5"/>
  <c r="AK76" i="5"/>
  <c r="AJ76" i="5"/>
  <c r="AI76" i="5"/>
  <c r="AH76"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D76" i="5"/>
  <c r="C76" i="5"/>
  <c r="B76" i="5"/>
  <c r="AU75" i="5"/>
  <c r="AT75" i="5"/>
  <c r="AS75" i="5"/>
  <c r="AR75" i="5"/>
  <c r="AQ75" i="5"/>
  <c r="AP75" i="5"/>
  <c r="AO75" i="5"/>
  <c r="AN75" i="5"/>
  <c r="AM75" i="5"/>
  <c r="AL75" i="5"/>
  <c r="AK75" i="5"/>
  <c r="AJ75" i="5"/>
  <c r="AI75" i="5"/>
  <c r="AH75"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D75" i="5"/>
  <c r="C75" i="5"/>
  <c r="B75" i="5"/>
  <c r="AU93" i="5"/>
  <c r="AT93" i="5"/>
  <c r="AS93" i="5"/>
  <c r="AR93" i="5"/>
  <c r="AQ93" i="5"/>
  <c r="AP93" i="5"/>
  <c r="AO93" i="5"/>
  <c r="AN93" i="5"/>
  <c r="AM93" i="5"/>
  <c r="AL93" i="5"/>
  <c r="AK93" i="5"/>
  <c r="AJ93" i="5"/>
  <c r="AI93" i="5"/>
  <c r="AH93"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F93" i="5"/>
  <c r="E93" i="5"/>
  <c r="D93" i="5"/>
  <c r="C93" i="5"/>
  <c r="B93" i="5"/>
  <c r="AU92" i="5"/>
  <c r="AT92" i="5"/>
  <c r="AS92" i="5"/>
  <c r="AR92" i="5"/>
  <c r="AQ92" i="5"/>
  <c r="AP92" i="5"/>
  <c r="AO92" i="5"/>
  <c r="AN92" i="5"/>
  <c r="AM92" i="5"/>
  <c r="AL92" i="5"/>
  <c r="AK92" i="5"/>
  <c r="AJ92" i="5"/>
  <c r="AI92" i="5"/>
  <c r="AH92"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F92" i="5"/>
  <c r="E92" i="5"/>
  <c r="D92" i="5"/>
  <c r="C92" i="5"/>
  <c r="B92" i="5"/>
  <c r="AU91" i="5"/>
  <c r="AT91" i="5"/>
  <c r="AS91" i="5"/>
  <c r="AR91" i="5"/>
  <c r="AQ91" i="5"/>
  <c r="AP91" i="5"/>
  <c r="AO91" i="5"/>
  <c r="AN91" i="5"/>
  <c r="AM91" i="5"/>
  <c r="AL91" i="5"/>
  <c r="AK91" i="5"/>
  <c r="AJ91" i="5"/>
  <c r="AI91" i="5"/>
  <c r="AH91"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F91" i="5"/>
  <c r="E91" i="5"/>
  <c r="D91" i="5"/>
  <c r="C91" i="5"/>
  <c r="B91" i="5"/>
  <c r="AU90" i="5"/>
  <c r="AT90" i="5"/>
  <c r="AS90"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D90" i="5"/>
  <c r="C90" i="5"/>
  <c r="B90" i="5"/>
  <c r="AU89" i="5"/>
  <c r="AT89" i="5"/>
  <c r="AS89" i="5"/>
  <c r="AR89" i="5"/>
  <c r="AQ89" i="5"/>
  <c r="AP89" i="5"/>
  <c r="AO89" i="5"/>
  <c r="AN89" i="5"/>
  <c r="AM89" i="5"/>
  <c r="AL89" i="5"/>
  <c r="AK89" i="5"/>
  <c r="AJ89" i="5"/>
  <c r="AI89" i="5"/>
  <c r="AH89"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89" i="5"/>
  <c r="E89" i="5"/>
  <c r="D89" i="5"/>
  <c r="C89" i="5"/>
  <c r="B89" i="5"/>
  <c r="AU88" i="5"/>
  <c r="AT88" i="5"/>
  <c r="AS88" i="5"/>
  <c r="AR88" i="5"/>
  <c r="AQ88" i="5"/>
  <c r="AP88" i="5"/>
  <c r="AO88" i="5"/>
  <c r="AN88" i="5"/>
  <c r="AM88" i="5"/>
  <c r="AL88" i="5"/>
  <c r="AK88" i="5"/>
  <c r="AJ88" i="5"/>
  <c r="AI88" i="5"/>
  <c r="AH88"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F88" i="5"/>
  <c r="E88" i="5"/>
  <c r="D88" i="5"/>
  <c r="C88" i="5"/>
  <c r="B88" i="5"/>
  <c r="AU87" i="5"/>
  <c r="AT87" i="5"/>
  <c r="AS87" i="5"/>
  <c r="AR87" i="5"/>
  <c r="AQ87" i="5"/>
  <c r="AP87" i="5"/>
  <c r="AO87" i="5"/>
  <c r="AN87" i="5"/>
  <c r="AM87" i="5"/>
  <c r="AL87" i="5"/>
  <c r="AK87" i="5"/>
  <c r="AJ87" i="5"/>
  <c r="AI87" i="5"/>
  <c r="AH87"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D87" i="5"/>
  <c r="C87" i="5"/>
  <c r="B87" i="5"/>
  <c r="AU86" i="5"/>
  <c r="AT86" i="5"/>
  <c r="AS86" i="5"/>
  <c r="AR86" i="5"/>
  <c r="AQ86" i="5"/>
  <c r="AP86" i="5"/>
  <c r="AO86" i="5"/>
  <c r="AN86" i="5"/>
  <c r="AM86" i="5"/>
  <c r="AL86" i="5"/>
  <c r="AK86" i="5"/>
  <c r="AJ86" i="5"/>
  <c r="AI86" i="5"/>
  <c r="AH86"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F86" i="5"/>
  <c r="E86" i="5"/>
  <c r="D86" i="5"/>
  <c r="C86" i="5"/>
  <c r="B86" i="5"/>
  <c r="AU104" i="5"/>
  <c r="AT104" i="5"/>
  <c r="AS104" i="5"/>
  <c r="AR104" i="5"/>
  <c r="AQ104" i="5"/>
  <c r="AP104" i="5"/>
  <c r="AO104" i="5"/>
  <c r="AN104" i="5"/>
  <c r="AM104" i="5"/>
  <c r="AL104" i="5"/>
  <c r="AK104" i="5"/>
  <c r="AJ104" i="5"/>
  <c r="AI104" i="5"/>
  <c r="AH104"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F104" i="5"/>
  <c r="E104" i="5"/>
  <c r="D104" i="5"/>
  <c r="C104" i="5"/>
  <c r="B104" i="5"/>
  <c r="AU103" i="5"/>
  <c r="AT103" i="5"/>
  <c r="AS103" i="5"/>
  <c r="AR103" i="5"/>
  <c r="AQ103" i="5"/>
  <c r="AP103" i="5"/>
  <c r="AO103" i="5"/>
  <c r="AN103" i="5"/>
  <c r="AM103" i="5"/>
  <c r="AL103" i="5"/>
  <c r="AK103" i="5"/>
  <c r="AJ103" i="5"/>
  <c r="AI103" i="5"/>
  <c r="AH103"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F103" i="5"/>
  <c r="E103" i="5"/>
  <c r="D103" i="5"/>
  <c r="C103" i="5"/>
  <c r="B103" i="5"/>
  <c r="AU102" i="5"/>
  <c r="AT102" i="5"/>
  <c r="AS102" i="5"/>
  <c r="AR102" i="5"/>
  <c r="AQ102" i="5"/>
  <c r="AP102" i="5"/>
  <c r="AO102" i="5"/>
  <c r="AN102" i="5"/>
  <c r="AM102" i="5"/>
  <c r="AL102" i="5"/>
  <c r="AK102" i="5"/>
  <c r="AJ102" i="5"/>
  <c r="AI102" i="5"/>
  <c r="AH102" i="5"/>
  <c r="AG102" i="5"/>
  <c r="AF102" i="5"/>
  <c r="AE102" i="5"/>
  <c r="AD102" i="5"/>
  <c r="AC102" i="5"/>
  <c r="AB102" i="5"/>
  <c r="AA102" i="5"/>
  <c r="Z102" i="5"/>
  <c r="Y102" i="5"/>
  <c r="X102" i="5"/>
  <c r="W102" i="5"/>
  <c r="V102" i="5"/>
  <c r="U102" i="5"/>
  <c r="T102" i="5"/>
  <c r="S102" i="5"/>
  <c r="R102" i="5"/>
  <c r="Q102" i="5"/>
  <c r="P102" i="5"/>
  <c r="O102" i="5"/>
  <c r="N102" i="5"/>
  <c r="M102" i="5"/>
  <c r="L102" i="5"/>
  <c r="K102" i="5"/>
  <c r="J102" i="5"/>
  <c r="I102" i="5"/>
  <c r="H102" i="5"/>
  <c r="G102" i="5"/>
  <c r="F102" i="5"/>
  <c r="E102" i="5"/>
  <c r="D102" i="5"/>
  <c r="C102" i="5"/>
  <c r="B102" i="5"/>
  <c r="AU101" i="5"/>
  <c r="AT101" i="5"/>
  <c r="AS101" i="5"/>
  <c r="AR101" i="5"/>
  <c r="AQ101" i="5"/>
  <c r="AP101" i="5"/>
  <c r="AO101" i="5"/>
  <c r="AN101" i="5"/>
  <c r="AM101" i="5"/>
  <c r="AL101" i="5"/>
  <c r="AK101" i="5"/>
  <c r="AJ101" i="5"/>
  <c r="AI101" i="5"/>
  <c r="AH101"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F101" i="5"/>
  <c r="E101" i="5"/>
  <c r="D101" i="5"/>
  <c r="C101" i="5"/>
  <c r="B101"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F100" i="5"/>
  <c r="E100" i="5"/>
  <c r="D100" i="5"/>
  <c r="C100" i="5"/>
  <c r="B100"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F99" i="5"/>
  <c r="E99" i="5"/>
  <c r="D99" i="5"/>
  <c r="C99" i="5"/>
  <c r="B99"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F98" i="5"/>
  <c r="E98" i="5"/>
  <c r="D98" i="5"/>
  <c r="C98" i="5"/>
  <c r="B98"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D97" i="5"/>
  <c r="C97" i="5"/>
  <c r="B97" i="5"/>
  <c r="AU115" i="5"/>
  <c r="AT115" i="5"/>
  <c r="AS115" i="5"/>
  <c r="AR115" i="5"/>
  <c r="AQ115" i="5"/>
  <c r="AP115" i="5"/>
  <c r="AO115" i="5"/>
  <c r="AN115" i="5"/>
  <c r="AM115" i="5"/>
  <c r="AL115" i="5"/>
  <c r="AK115" i="5"/>
  <c r="AJ115" i="5"/>
  <c r="AI115" i="5"/>
  <c r="AH115" i="5"/>
  <c r="AG115" i="5"/>
  <c r="AF115" i="5"/>
  <c r="AE115" i="5"/>
  <c r="AD115" i="5"/>
  <c r="AC115" i="5"/>
  <c r="AB115" i="5"/>
  <c r="AA115" i="5"/>
  <c r="Z115" i="5"/>
  <c r="Y115" i="5"/>
  <c r="X115" i="5"/>
  <c r="W115" i="5"/>
  <c r="V115" i="5"/>
  <c r="U115" i="5"/>
  <c r="T115" i="5"/>
  <c r="S115" i="5"/>
  <c r="R115" i="5"/>
  <c r="Q115" i="5"/>
  <c r="P115" i="5"/>
  <c r="O115" i="5"/>
  <c r="N115" i="5"/>
  <c r="M115" i="5"/>
  <c r="L115" i="5"/>
  <c r="K115" i="5"/>
  <c r="J115" i="5"/>
  <c r="I115" i="5"/>
  <c r="H115" i="5"/>
  <c r="G115" i="5"/>
  <c r="F115" i="5"/>
  <c r="E115" i="5"/>
  <c r="D115" i="5"/>
  <c r="C115" i="5"/>
  <c r="B115" i="5"/>
  <c r="AU114" i="5"/>
  <c r="AT114" i="5"/>
  <c r="AS114" i="5"/>
  <c r="AR114" i="5"/>
  <c r="AQ114" i="5"/>
  <c r="AP114" i="5"/>
  <c r="AO114" i="5"/>
  <c r="AN114" i="5"/>
  <c r="AM114" i="5"/>
  <c r="AL114" i="5"/>
  <c r="AK114" i="5"/>
  <c r="AJ114" i="5"/>
  <c r="AI114" i="5"/>
  <c r="AH114" i="5"/>
  <c r="AG114" i="5"/>
  <c r="AF114" i="5"/>
  <c r="AE114" i="5"/>
  <c r="AD114" i="5"/>
  <c r="AC114" i="5"/>
  <c r="AB114" i="5"/>
  <c r="AA114" i="5"/>
  <c r="Z114" i="5"/>
  <c r="Y114" i="5"/>
  <c r="X114" i="5"/>
  <c r="W114" i="5"/>
  <c r="V114" i="5"/>
  <c r="U114" i="5"/>
  <c r="T114" i="5"/>
  <c r="S114" i="5"/>
  <c r="R114" i="5"/>
  <c r="Q114" i="5"/>
  <c r="P114" i="5"/>
  <c r="O114" i="5"/>
  <c r="N114" i="5"/>
  <c r="M114" i="5"/>
  <c r="L114" i="5"/>
  <c r="K114" i="5"/>
  <c r="J114" i="5"/>
  <c r="I114" i="5"/>
  <c r="H114" i="5"/>
  <c r="G114" i="5"/>
  <c r="F114" i="5"/>
  <c r="E114" i="5"/>
  <c r="D114" i="5"/>
  <c r="C114" i="5"/>
  <c r="B114" i="5"/>
  <c r="AU113" i="5"/>
  <c r="AT113" i="5"/>
  <c r="AS113" i="5"/>
  <c r="AR113" i="5"/>
  <c r="AQ113" i="5"/>
  <c r="AP113" i="5"/>
  <c r="AO113" i="5"/>
  <c r="AN113" i="5"/>
  <c r="AM113" i="5"/>
  <c r="AL113" i="5"/>
  <c r="AK113" i="5"/>
  <c r="AJ113" i="5"/>
  <c r="AI113" i="5"/>
  <c r="AH113" i="5"/>
  <c r="AG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F113" i="5"/>
  <c r="E113" i="5"/>
  <c r="D113" i="5"/>
  <c r="C113" i="5"/>
  <c r="B113" i="5"/>
  <c r="AU112" i="5"/>
  <c r="AT112" i="5"/>
  <c r="AS112"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D112" i="5"/>
  <c r="C112" i="5"/>
  <c r="B112" i="5"/>
  <c r="AU111" i="5"/>
  <c r="AT111" i="5"/>
  <c r="AS111" i="5"/>
  <c r="AR111" i="5"/>
  <c r="AQ111" i="5"/>
  <c r="AP111" i="5"/>
  <c r="AO111" i="5"/>
  <c r="AN111" i="5"/>
  <c r="AM111" i="5"/>
  <c r="AL111" i="5"/>
  <c r="AK111" i="5"/>
  <c r="AJ111" i="5"/>
  <c r="AI111" i="5"/>
  <c r="AH111"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F111" i="5"/>
  <c r="E111" i="5"/>
  <c r="D111" i="5"/>
  <c r="C111" i="5"/>
  <c r="B111" i="5"/>
  <c r="AU110" i="5"/>
  <c r="AT110" i="5"/>
  <c r="AS110" i="5"/>
  <c r="AR110" i="5"/>
  <c r="AQ110" i="5"/>
  <c r="AP110" i="5"/>
  <c r="AO110" i="5"/>
  <c r="AN110" i="5"/>
  <c r="AM110" i="5"/>
  <c r="AL110" i="5"/>
  <c r="AK110" i="5"/>
  <c r="AJ110" i="5"/>
  <c r="AI110" i="5"/>
  <c r="AH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D110" i="5"/>
  <c r="C110" i="5"/>
  <c r="B110" i="5"/>
  <c r="AU109" i="5"/>
  <c r="AT109" i="5"/>
  <c r="AS109" i="5"/>
  <c r="AR109" i="5"/>
  <c r="AQ109" i="5"/>
  <c r="AP109" i="5"/>
  <c r="AO109" i="5"/>
  <c r="AN109" i="5"/>
  <c r="AM109" i="5"/>
  <c r="AL109" i="5"/>
  <c r="AK109" i="5"/>
  <c r="AJ109" i="5"/>
  <c r="AI109" i="5"/>
  <c r="AH109" i="5"/>
  <c r="AG109" i="5"/>
  <c r="AF109" i="5"/>
  <c r="AE109" i="5"/>
  <c r="AD109" i="5"/>
  <c r="AC109" i="5"/>
  <c r="AB109" i="5"/>
  <c r="AA109" i="5"/>
  <c r="Z109" i="5"/>
  <c r="Y109" i="5"/>
  <c r="X109" i="5"/>
  <c r="W109" i="5"/>
  <c r="V109" i="5"/>
  <c r="U109" i="5"/>
  <c r="T109" i="5"/>
  <c r="S109" i="5"/>
  <c r="R109" i="5"/>
  <c r="Q109" i="5"/>
  <c r="P109" i="5"/>
  <c r="O109" i="5"/>
  <c r="N109" i="5"/>
  <c r="M109" i="5"/>
  <c r="L109" i="5"/>
  <c r="K109" i="5"/>
  <c r="J109" i="5"/>
  <c r="I109" i="5"/>
  <c r="H109" i="5"/>
  <c r="G109" i="5"/>
  <c r="F109" i="5"/>
  <c r="E109" i="5"/>
  <c r="D109" i="5"/>
  <c r="C109" i="5"/>
  <c r="B109" i="5"/>
  <c r="AU108" i="5"/>
  <c r="AT108" i="5"/>
  <c r="AS108" i="5"/>
  <c r="AR108" i="5"/>
  <c r="AQ108" i="5"/>
  <c r="AP108" i="5"/>
  <c r="AO108" i="5"/>
  <c r="AN108" i="5"/>
  <c r="AM108" i="5"/>
  <c r="AL108" i="5"/>
  <c r="AK108" i="5"/>
  <c r="AJ108" i="5"/>
  <c r="AI108" i="5"/>
  <c r="AH108"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F108" i="5"/>
  <c r="E108" i="5"/>
  <c r="D108" i="5"/>
  <c r="C108" i="5"/>
  <c r="B108" i="5"/>
  <c r="AU126" i="5"/>
  <c r="AT126" i="5"/>
  <c r="AS126" i="5"/>
  <c r="AR126" i="5"/>
  <c r="AQ126" i="5"/>
  <c r="AP126" i="5"/>
  <c r="AO126" i="5"/>
  <c r="AN126" i="5"/>
  <c r="AM126" i="5"/>
  <c r="AL126" i="5"/>
  <c r="AK126" i="5"/>
  <c r="AJ126" i="5"/>
  <c r="AI126" i="5"/>
  <c r="AH126" i="5"/>
  <c r="AG126" i="5"/>
  <c r="AF126" i="5"/>
  <c r="AE126" i="5"/>
  <c r="AD126" i="5"/>
  <c r="AC126" i="5"/>
  <c r="AB126" i="5"/>
  <c r="AA126" i="5"/>
  <c r="Z126" i="5"/>
  <c r="Y126" i="5"/>
  <c r="X126" i="5"/>
  <c r="W126" i="5"/>
  <c r="V126" i="5"/>
  <c r="U126" i="5"/>
  <c r="T126" i="5"/>
  <c r="S126" i="5"/>
  <c r="R126" i="5"/>
  <c r="Q126" i="5"/>
  <c r="P126" i="5"/>
  <c r="O126" i="5"/>
  <c r="N126" i="5"/>
  <c r="M126" i="5"/>
  <c r="L126" i="5"/>
  <c r="K126" i="5"/>
  <c r="J126" i="5"/>
  <c r="I126" i="5"/>
  <c r="H126" i="5"/>
  <c r="G126" i="5"/>
  <c r="F126" i="5"/>
  <c r="E126" i="5"/>
  <c r="D126" i="5"/>
  <c r="C126" i="5"/>
  <c r="B126" i="5"/>
  <c r="AU125" i="5"/>
  <c r="AT125" i="5"/>
  <c r="AS125" i="5"/>
  <c r="AR125" i="5"/>
  <c r="AQ125" i="5"/>
  <c r="AP125" i="5"/>
  <c r="AO125" i="5"/>
  <c r="AN125" i="5"/>
  <c r="AM125" i="5"/>
  <c r="AL125" i="5"/>
  <c r="AK125" i="5"/>
  <c r="AJ125" i="5"/>
  <c r="AI125" i="5"/>
  <c r="AH125" i="5"/>
  <c r="AG125" i="5"/>
  <c r="AF125" i="5"/>
  <c r="AE125" i="5"/>
  <c r="AD125" i="5"/>
  <c r="AC125" i="5"/>
  <c r="AB125" i="5"/>
  <c r="AA125" i="5"/>
  <c r="Z125" i="5"/>
  <c r="Y125" i="5"/>
  <c r="X125" i="5"/>
  <c r="W125" i="5"/>
  <c r="V125" i="5"/>
  <c r="U125" i="5"/>
  <c r="T125" i="5"/>
  <c r="S125" i="5"/>
  <c r="R125" i="5"/>
  <c r="Q125" i="5"/>
  <c r="P125" i="5"/>
  <c r="O125" i="5"/>
  <c r="N125" i="5"/>
  <c r="M125" i="5"/>
  <c r="L125" i="5"/>
  <c r="K125" i="5"/>
  <c r="J125" i="5"/>
  <c r="I125" i="5"/>
  <c r="H125" i="5"/>
  <c r="G125" i="5"/>
  <c r="F125" i="5"/>
  <c r="E125" i="5"/>
  <c r="D125" i="5"/>
  <c r="C125" i="5"/>
  <c r="B125" i="5"/>
  <c r="AU124" i="5"/>
  <c r="AT124" i="5"/>
  <c r="AS124" i="5"/>
  <c r="AR124" i="5"/>
  <c r="AQ124" i="5"/>
  <c r="AP124" i="5"/>
  <c r="AO124" i="5"/>
  <c r="AN124" i="5"/>
  <c r="AM124" i="5"/>
  <c r="AL124" i="5"/>
  <c r="AK124" i="5"/>
  <c r="AJ124" i="5"/>
  <c r="AI124" i="5"/>
  <c r="AH124" i="5"/>
  <c r="AG124" i="5"/>
  <c r="AF124" i="5"/>
  <c r="AE124" i="5"/>
  <c r="AD124" i="5"/>
  <c r="AC124" i="5"/>
  <c r="AB124" i="5"/>
  <c r="AA124" i="5"/>
  <c r="Z124" i="5"/>
  <c r="Y124" i="5"/>
  <c r="X124" i="5"/>
  <c r="W124" i="5"/>
  <c r="V124" i="5"/>
  <c r="U124" i="5"/>
  <c r="T124" i="5"/>
  <c r="S124" i="5"/>
  <c r="R124" i="5"/>
  <c r="Q124" i="5"/>
  <c r="P124" i="5"/>
  <c r="O124" i="5"/>
  <c r="N124" i="5"/>
  <c r="M124" i="5"/>
  <c r="L124" i="5"/>
  <c r="K124" i="5"/>
  <c r="J124" i="5"/>
  <c r="I124" i="5"/>
  <c r="H124" i="5"/>
  <c r="G124" i="5"/>
  <c r="F124" i="5"/>
  <c r="E124" i="5"/>
  <c r="D124" i="5"/>
  <c r="C124" i="5"/>
  <c r="B124" i="5"/>
  <c r="AU123" i="5"/>
  <c r="AT123" i="5"/>
  <c r="AS123" i="5"/>
  <c r="AR123" i="5"/>
  <c r="AQ123" i="5"/>
  <c r="AP123" i="5"/>
  <c r="AO123" i="5"/>
  <c r="AN123" i="5"/>
  <c r="AM123" i="5"/>
  <c r="AL123" i="5"/>
  <c r="AK123" i="5"/>
  <c r="AJ123" i="5"/>
  <c r="AI123" i="5"/>
  <c r="AH123" i="5"/>
  <c r="AG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F123" i="5"/>
  <c r="E123" i="5"/>
  <c r="D123" i="5"/>
  <c r="C123" i="5"/>
  <c r="B123" i="5"/>
  <c r="AU122" i="5"/>
  <c r="AT122" i="5"/>
  <c r="AS122" i="5"/>
  <c r="AR122" i="5"/>
  <c r="AQ122" i="5"/>
  <c r="AP122" i="5"/>
  <c r="AO122" i="5"/>
  <c r="AN122" i="5"/>
  <c r="AM122" i="5"/>
  <c r="AL122" i="5"/>
  <c r="AK122" i="5"/>
  <c r="AJ122" i="5"/>
  <c r="AI122" i="5"/>
  <c r="AH122" i="5"/>
  <c r="AG122" i="5"/>
  <c r="AF122" i="5"/>
  <c r="AE122" i="5"/>
  <c r="AD122" i="5"/>
  <c r="AC122" i="5"/>
  <c r="AB122" i="5"/>
  <c r="AA122" i="5"/>
  <c r="Z122" i="5"/>
  <c r="Y122" i="5"/>
  <c r="X122" i="5"/>
  <c r="W122" i="5"/>
  <c r="V122" i="5"/>
  <c r="U122" i="5"/>
  <c r="T122" i="5"/>
  <c r="S122" i="5"/>
  <c r="R122" i="5"/>
  <c r="Q122" i="5"/>
  <c r="P122" i="5"/>
  <c r="O122" i="5"/>
  <c r="N122" i="5"/>
  <c r="M122" i="5"/>
  <c r="L122" i="5"/>
  <c r="K122" i="5"/>
  <c r="J122" i="5"/>
  <c r="I122" i="5"/>
  <c r="H122" i="5"/>
  <c r="G122" i="5"/>
  <c r="F122" i="5"/>
  <c r="E122" i="5"/>
  <c r="D122" i="5"/>
  <c r="C122" i="5"/>
  <c r="B122" i="5"/>
  <c r="AU121" i="5"/>
  <c r="AT121" i="5"/>
  <c r="AS121" i="5"/>
  <c r="AR121" i="5"/>
  <c r="AQ121" i="5"/>
  <c r="AP121" i="5"/>
  <c r="AO121" i="5"/>
  <c r="AN121" i="5"/>
  <c r="AM121" i="5"/>
  <c r="AL121" i="5"/>
  <c r="AK121" i="5"/>
  <c r="AJ121" i="5"/>
  <c r="AI121" i="5"/>
  <c r="AH121" i="5"/>
  <c r="AG121" i="5"/>
  <c r="AF121" i="5"/>
  <c r="AE121" i="5"/>
  <c r="AD121" i="5"/>
  <c r="AC121" i="5"/>
  <c r="AB121" i="5"/>
  <c r="AA121" i="5"/>
  <c r="Z121" i="5"/>
  <c r="Y121" i="5"/>
  <c r="X121" i="5"/>
  <c r="W121" i="5"/>
  <c r="V121" i="5"/>
  <c r="U121" i="5"/>
  <c r="T121" i="5"/>
  <c r="S121" i="5"/>
  <c r="R121" i="5"/>
  <c r="Q121" i="5"/>
  <c r="P121" i="5"/>
  <c r="O121" i="5"/>
  <c r="N121" i="5"/>
  <c r="M121" i="5"/>
  <c r="L121" i="5"/>
  <c r="K121" i="5"/>
  <c r="J121" i="5"/>
  <c r="I121" i="5"/>
  <c r="H121" i="5"/>
  <c r="G121" i="5"/>
  <c r="F121" i="5"/>
  <c r="E121" i="5"/>
  <c r="D121" i="5"/>
  <c r="C121" i="5"/>
  <c r="B121" i="5"/>
  <c r="AU120" i="5"/>
  <c r="AT120" i="5"/>
  <c r="AS120" i="5"/>
  <c r="AR120" i="5"/>
  <c r="AQ120" i="5"/>
  <c r="AP120" i="5"/>
  <c r="AO120" i="5"/>
  <c r="AN120" i="5"/>
  <c r="AM120" i="5"/>
  <c r="AL120" i="5"/>
  <c r="AK120" i="5"/>
  <c r="AJ120" i="5"/>
  <c r="AI120" i="5"/>
  <c r="AH120" i="5"/>
  <c r="AG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F120" i="5"/>
  <c r="E120" i="5"/>
  <c r="D120" i="5"/>
  <c r="C120" i="5"/>
  <c r="B120" i="5"/>
  <c r="AU119" i="5"/>
  <c r="AT119" i="5"/>
  <c r="AS119" i="5"/>
  <c r="AR119" i="5"/>
  <c r="AQ119" i="5"/>
  <c r="AP119" i="5"/>
  <c r="AO119" i="5"/>
  <c r="AN119" i="5"/>
  <c r="AM119" i="5"/>
  <c r="AL119" i="5"/>
  <c r="AK119" i="5"/>
  <c r="AJ119" i="5"/>
  <c r="AI119" i="5"/>
  <c r="AH119" i="5"/>
  <c r="AG119" i="5"/>
  <c r="AF119" i="5"/>
  <c r="AE119" i="5"/>
  <c r="AD119" i="5"/>
  <c r="AC119" i="5"/>
  <c r="AB119" i="5"/>
  <c r="AA119" i="5"/>
  <c r="Z119" i="5"/>
  <c r="Y119" i="5"/>
  <c r="X119" i="5"/>
  <c r="W119" i="5"/>
  <c r="V119" i="5"/>
  <c r="U119" i="5"/>
  <c r="T119" i="5"/>
  <c r="S119" i="5"/>
  <c r="R119" i="5"/>
  <c r="Q119" i="5"/>
  <c r="P119" i="5"/>
  <c r="O119" i="5"/>
  <c r="N119" i="5"/>
  <c r="M119" i="5"/>
  <c r="L119" i="5"/>
  <c r="K119" i="5"/>
  <c r="J119" i="5"/>
  <c r="I119" i="5"/>
  <c r="H119" i="5"/>
  <c r="G119" i="5"/>
  <c r="F119" i="5"/>
  <c r="E119" i="5"/>
  <c r="D119" i="5"/>
  <c r="C119" i="5"/>
  <c r="B119" i="5"/>
  <c r="AU137" i="5"/>
  <c r="AT137" i="5"/>
  <c r="AS137" i="5"/>
  <c r="AR137" i="5"/>
  <c r="AQ137" i="5"/>
  <c r="AP137" i="5"/>
  <c r="AO137" i="5"/>
  <c r="AN137" i="5"/>
  <c r="AM137" i="5"/>
  <c r="AL137" i="5"/>
  <c r="AK137" i="5"/>
  <c r="AJ137" i="5"/>
  <c r="AI137" i="5"/>
  <c r="AH137" i="5"/>
  <c r="AG137" i="5"/>
  <c r="AF137" i="5"/>
  <c r="AE137" i="5"/>
  <c r="AD137" i="5"/>
  <c r="AC137" i="5"/>
  <c r="AB137" i="5"/>
  <c r="AA137" i="5"/>
  <c r="Z137" i="5"/>
  <c r="Y137" i="5"/>
  <c r="X137" i="5"/>
  <c r="W137" i="5"/>
  <c r="V137" i="5"/>
  <c r="U137" i="5"/>
  <c r="T137" i="5"/>
  <c r="S137" i="5"/>
  <c r="R137" i="5"/>
  <c r="Q137" i="5"/>
  <c r="P137" i="5"/>
  <c r="O137" i="5"/>
  <c r="N137" i="5"/>
  <c r="M137" i="5"/>
  <c r="L137" i="5"/>
  <c r="K137" i="5"/>
  <c r="J137" i="5"/>
  <c r="I137" i="5"/>
  <c r="H137" i="5"/>
  <c r="G137" i="5"/>
  <c r="F137" i="5"/>
  <c r="E137" i="5"/>
  <c r="D137" i="5"/>
  <c r="C137" i="5"/>
  <c r="B137" i="5"/>
  <c r="AU136" i="5"/>
  <c r="AT136" i="5"/>
  <c r="AS136" i="5"/>
  <c r="AR136" i="5"/>
  <c r="AQ136" i="5"/>
  <c r="AP136" i="5"/>
  <c r="AO136" i="5"/>
  <c r="AN136" i="5"/>
  <c r="AM136" i="5"/>
  <c r="AL136" i="5"/>
  <c r="AK136" i="5"/>
  <c r="AJ136" i="5"/>
  <c r="AI136" i="5"/>
  <c r="AH136" i="5"/>
  <c r="AG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F136" i="5"/>
  <c r="E136" i="5"/>
  <c r="D136" i="5"/>
  <c r="C136" i="5"/>
  <c r="B136" i="5"/>
  <c r="AU135" i="5"/>
  <c r="AT135" i="5"/>
  <c r="AS135" i="5"/>
  <c r="AR135" i="5"/>
  <c r="AQ135" i="5"/>
  <c r="AP135" i="5"/>
  <c r="AO135" i="5"/>
  <c r="AN135" i="5"/>
  <c r="AM135" i="5"/>
  <c r="AL135" i="5"/>
  <c r="AK135" i="5"/>
  <c r="AJ135" i="5"/>
  <c r="AI135" i="5"/>
  <c r="AH135" i="5"/>
  <c r="AG135" i="5"/>
  <c r="AF135" i="5"/>
  <c r="AE135" i="5"/>
  <c r="AD135" i="5"/>
  <c r="AC135" i="5"/>
  <c r="AB135" i="5"/>
  <c r="AA135" i="5"/>
  <c r="Z135" i="5"/>
  <c r="Y135" i="5"/>
  <c r="X135" i="5"/>
  <c r="W135" i="5"/>
  <c r="V135" i="5"/>
  <c r="U135" i="5"/>
  <c r="T135" i="5"/>
  <c r="S135" i="5"/>
  <c r="R135" i="5"/>
  <c r="Q135" i="5"/>
  <c r="P135" i="5"/>
  <c r="O135" i="5"/>
  <c r="N135" i="5"/>
  <c r="M135" i="5"/>
  <c r="L135" i="5"/>
  <c r="K135" i="5"/>
  <c r="J135" i="5"/>
  <c r="I135" i="5"/>
  <c r="H135" i="5"/>
  <c r="G135" i="5"/>
  <c r="F135" i="5"/>
  <c r="E135" i="5"/>
  <c r="D135" i="5"/>
  <c r="C135" i="5"/>
  <c r="B135" i="5"/>
  <c r="AU134" i="5"/>
  <c r="AT134" i="5"/>
  <c r="AS134" i="5"/>
  <c r="AR134" i="5"/>
  <c r="AQ134" i="5"/>
  <c r="AP134" i="5"/>
  <c r="AO134" i="5"/>
  <c r="AN134" i="5"/>
  <c r="AM134" i="5"/>
  <c r="AL134" i="5"/>
  <c r="AK134" i="5"/>
  <c r="AJ134" i="5"/>
  <c r="AI134" i="5"/>
  <c r="AH134" i="5"/>
  <c r="AG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G134" i="5"/>
  <c r="F134" i="5"/>
  <c r="E134" i="5"/>
  <c r="D134" i="5"/>
  <c r="C134" i="5"/>
  <c r="B134" i="5"/>
  <c r="AU133" i="5"/>
  <c r="AT133" i="5"/>
  <c r="AS133" i="5"/>
  <c r="AR133" i="5"/>
  <c r="AQ133" i="5"/>
  <c r="AP133" i="5"/>
  <c r="AO133" i="5"/>
  <c r="AN133" i="5"/>
  <c r="AM133" i="5"/>
  <c r="AL133" i="5"/>
  <c r="AK133" i="5"/>
  <c r="AJ133" i="5"/>
  <c r="AI133" i="5"/>
  <c r="AH133" i="5"/>
  <c r="AG133" i="5"/>
  <c r="AF133" i="5"/>
  <c r="AE133" i="5"/>
  <c r="AD133" i="5"/>
  <c r="AC133" i="5"/>
  <c r="AB133" i="5"/>
  <c r="AA133" i="5"/>
  <c r="Z133" i="5"/>
  <c r="Y133" i="5"/>
  <c r="X133" i="5"/>
  <c r="W133" i="5"/>
  <c r="V133" i="5"/>
  <c r="U133" i="5"/>
  <c r="T133" i="5"/>
  <c r="S133" i="5"/>
  <c r="R133" i="5"/>
  <c r="Q133" i="5"/>
  <c r="P133" i="5"/>
  <c r="O133" i="5"/>
  <c r="N133" i="5"/>
  <c r="M133" i="5"/>
  <c r="L133" i="5"/>
  <c r="K133" i="5"/>
  <c r="J133" i="5"/>
  <c r="I133" i="5"/>
  <c r="H133" i="5"/>
  <c r="G133" i="5"/>
  <c r="F133" i="5"/>
  <c r="E133" i="5"/>
  <c r="D133" i="5"/>
  <c r="C133" i="5"/>
  <c r="B133" i="5"/>
  <c r="AU132" i="5"/>
  <c r="AT132" i="5"/>
  <c r="AS132" i="5"/>
  <c r="AR132" i="5"/>
  <c r="AQ132" i="5"/>
  <c r="AP132" i="5"/>
  <c r="AO132" i="5"/>
  <c r="AN132" i="5"/>
  <c r="AM132" i="5"/>
  <c r="AL132" i="5"/>
  <c r="AK132" i="5"/>
  <c r="AJ132" i="5"/>
  <c r="AI132" i="5"/>
  <c r="AH132" i="5"/>
  <c r="AG132" i="5"/>
  <c r="AF132" i="5"/>
  <c r="AE132" i="5"/>
  <c r="AD132" i="5"/>
  <c r="AC132" i="5"/>
  <c r="AB132" i="5"/>
  <c r="AA132" i="5"/>
  <c r="Z132" i="5"/>
  <c r="Y132" i="5"/>
  <c r="X132" i="5"/>
  <c r="W132" i="5"/>
  <c r="V132" i="5"/>
  <c r="U132" i="5"/>
  <c r="T132" i="5"/>
  <c r="S132" i="5"/>
  <c r="R132" i="5"/>
  <c r="Q132" i="5"/>
  <c r="P132" i="5"/>
  <c r="O132" i="5"/>
  <c r="N132" i="5"/>
  <c r="M132" i="5"/>
  <c r="L132" i="5"/>
  <c r="K132" i="5"/>
  <c r="J132" i="5"/>
  <c r="I132" i="5"/>
  <c r="H132" i="5"/>
  <c r="G132" i="5"/>
  <c r="F132" i="5"/>
  <c r="E132" i="5"/>
  <c r="D132" i="5"/>
  <c r="C132" i="5"/>
  <c r="B132" i="5"/>
  <c r="AU131" i="5"/>
  <c r="AT131" i="5"/>
  <c r="AS131" i="5"/>
  <c r="AR131" i="5"/>
  <c r="AQ131" i="5"/>
  <c r="AP131" i="5"/>
  <c r="AO131" i="5"/>
  <c r="AN131" i="5"/>
  <c r="AM131" i="5"/>
  <c r="AL131" i="5"/>
  <c r="AK131" i="5"/>
  <c r="AJ131" i="5"/>
  <c r="AI131" i="5"/>
  <c r="AH131" i="5"/>
  <c r="AG131" i="5"/>
  <c r="AF131" i="5"/>
  <c r="AE131" i="5"/>
  <c r="AD131" i="5"/>
  <c r="AC131" i="5"/>
  <c r="AB131" i="5"/>
  <c r="AA131" i="5"/>
  <c r="Z131" i="5"/>
  <c r="Y131" i="5"/>
  <c r="X131" i="5"/>
  <c r="W131" i="5"/>
  <c r="V131" i="5"/>
  <c r="U131" i="5"/>
  <c r="T131" i="5"/>
  <c r="S131" i="5"/>
  <c r="R131" i="5"/>
  <c r="Q131" i="5"/>
  <c r="P131" i="5"/>
  <c r="O131" i="5"/>
  <c r="N131" i="5"/>
  <c r="M131" i="5"/>
  <c r="L131" i="5"/>
  <c r="K131" i="5"/>
  <c r="J131" i="5"/>
  <c r="I131" i="5"/>
  <c r="H131" i="5"/>
  <c r="G131" i="5"/>
  <c r="F131" i="5"/>
  <c r="E131" i="5"/>
  <c r="D131" i="5"/>
  <c r="C131" i="5"/>
  <c r="B131" i="5"/>
  <c r="AU130" i="5"/>
  <c r="AT130" i="5"/>
  <c r="AS130" i="5"/>
  <c r="AR130" i="5"/>
  <c r="AQ130" i="5"/>
  <c r="AP130" i="5"/>
  <c r="AO130" i="5"/>
  <c r="AN130" i="5"/>
  <c r="AM130" i="5"/>
  <c r="AL130" i="5"/>
  <c r="AK130" i="5"/>
  <c r="AJ130" i="5"/>
  <c r="AI130" i="5"/>
  <c r="AH130" i="5"/>
  <c r="AG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F130" i="5"/>
  <c r="E130" i="5"/>
  <c r="D130" i="5"/>
  <c r="C130" i="5"/>
  <c r="B130" i="5"/>
  <c r="AU148" i="5"/>
  <c r="AT148" i="5"/>
  <c r="AS148" i="5"/>
  <c r="AR148" i="5"/>
  <c r="AQ148" i="5"/>
  <c r="AP148" i="5"/>
  <c r="AO148" i="5"/>
  <c r="AN148" i="5"/>
  <c r="AM148" i="5"/>
  <c r="AL148" i="5"/>
  <c r="AK148" i="5"/>
  <c r="AJ148" i="5"/>
  <c r="AI148" i="5"/>
  <c r="AH148" i="5"/>
  <c r="AG148" i="5"/>
  <c r="AF148" i="5"/>
  <c r="AE148" i="5"/>
  <c r="AD148" i="5"/>
  <c r="AC148" i="5"/>
  <c r="AB148" i="5"/>
  <c r="AA148" i="5"/>
  <c r="Z148" i="5"/>
  <c r="Y148" i="5"/>
  <c r="X148" i="5"/>
  <c r="W148" i="5"/>
  <c r="V148" i="5"/>
  <c r="U148" i="5"/>
  <c r="T148" i="5"/>
  <c r="S148" i="5"/>
  <c r="R148" i="5"/>
  <c r="Q148" i="5"/>
  <c r="P148" i="5"/>
  <c r="O148" i="5"/>
  <c r="N148" i="5"/>
  <c r="M148" i="5"/>
  <c r="L148" i="5"/>
  <c r="K148" i="5"/>
  <c r="J148" i="5"/>
  <c r="I148" i="5"/>
  <c r="H148" i="5"/>
  <c r="G148" i="5"/>
  <c r="F148" i="5"/>
  <c r="E148" i="5"/>
  <c r="D148" i="5"/>
  <c r="C148" i="5"/>
  <c r="B148" i="5"/>
  <c r="AU147" i="5"/>
  <c r="AT147" i="5"/>
  <c r="AS147" i="5"/>
  <c r="AR147" i="5"/>
  <c r="AQ147" i="5"/>
  <c r="AP147" i="5"/>
  <c r="AO147" i="5"/>
  <c r="AN147" i="5"/>
  <c r="AM147" i="5"/>
  <c r="AL147" i="5"/>
  <c r="AK147" i="5"/>
  <c r="AJ147" i="5"/>
  <c r="AI147" i="5"/>
  <c r="AH147" i="5"/>
  <c r="AG147" i="5"/>
  <c r="AF147" i="5"/>
  <c r="AE147" i="5"/>
  <c r="AD147" i="5"/>
  <c r="AC147" i="5"/>
  <c r="AB147" i="5"/>
  <c r="AA147" i="5"/>
  <c r="Z147" i="5"/>
  <c r="Y147" i="5"/>
  <c r="X147" i="5"/>
  <c r="W147" i="5"/>
  <c r="V147" i="5"/>
  <c r="U147" i="5"/>
  <c r="T147" i="5"/>
  <c r="S147" i="5"/>
  <c r="R147" i="5"/>
  <c r="Q147" i="5"/>
  <c r="P147" i="5"/>
  <c r="O147" i="5"/>
  <c r="N147" i="5"/>
  <c r="M147" i="5"/>
  <c r="L147" i="5"/>
  <c r="K147" i="5"/>
  <c r="J147" i="5"/>
  <c r="I147" i="5"/>
  <c r="H147" i="5"/>
  <c r="G147" i="5"/>
  <c r="F147" i="5"/>
  <c r="E147" i="5"/>
  <c r="D147" i="5"/>
  <c r="C147" i="5"/>
  <c r="B147" i="5"/>
  <c r="AU146" i="5"/>
  <c r="AT146" i="5"/>
  <c r="AS146" i="5"/>
  <c r="AR146" i="5"/>
  <c r="AQ146" i="5"/>
  <c r="AP146" i="5"/>
  <c r="AO146" i="5"/>
  <c r="AN146" i="5"/>
  <c r="AM146" i="5"/>
  <c r="AL146" i="5"/>
  <c r="AK146" i="5"/>
  <c r="AJ146" i="5"/>
  <c r="AI146" i="5"/>
  <c r="AH146" i="5"/>
  <c r="AG146" i="5"/>
  <c r="AF146" i="5"/>
  <c r="AE146" i="5"/>
  <c r="AD146" i="5"/>
  <c r="AC146" i="5"/>
  <c r="AB146" i="5"/>
  <c r="AA146" i="5"/>
  <c r="Z146" i="5"/>
  <c r="Y146" i="5"/>
  <c r="X146" i="5"/>
  <c r="W146" i="5"/>
  <c r="V146" i="5"/>
  <c r="U146" i="5"/>
  <c r="T146" i="5"/>
  <c r="S146" i="5"/>
  <c r="R146" i="5"/>
  <c r="Q146" i="5"/>
  <c r="P146" i="5"/>
  <c r="O146" i="5"/>
  <c r="N146" i="5"/>
  <c r="M146" i="5"/>
  <c r="L146" i="5"/>
  <c r="K146" i="5"/>
  <c r="J146" i="5"/>
  <c r="I146" i="5"/>
  <c r="H146" i="5"/>
  <c r="G146" i="5"/>
  <c r="F146" i="5"/>
  <c r="E146" i="5"/>
  <c r="D146" i="5"/>
  <c r="C146" i="5"/>
  <c r="B146" i="5"/>
  <c r="AU145" i="5"/>
  <c r="AT145" i="5"/>
  <c r="AS145" i="5"/>
  <c r="AR145" i="5"/>
  <c r="AQ145" i="5"/>
  <c r="AP145" i="5"/>
  <c r="AO145" i="5"/>
  <c r="AN145" i="5"/>
  <c r="AM145" i="5"/>
  <c r="AL145" i="5"/>
  <c r="AK145" i="5"/>
  <c r="AJ145" i="5"/>
  <c r="AI145" i="5"/>
  <c r="AH145" i="5"/>
  <c r="AG145" i="5"/>
  <c r="AF145" i="5"/>
  <c r="AE145" i="5"/>
  <c r="AD145" i="5"/>
  <c r="AC145" i="5"/>
  <c r="AB145" i="5"/>
  <c r="AA145" i="5"/>
  <c r="Z145" i="5"/>
  <c r="Y145" i="5"/>
  <c r="X145" i="5"/>
  <c r="W145" i="5"/>
  <c r="V145" i="5"/>
  <c r="U145" i="5"/>
  <c r="T145" i="5"/>
  <c r="S145" i="5"/>
  <c r="R145" i="5"/>
  <c r="Q145" i="5"/>
  <c r="P145" i="5"/>
  <c r="O145" i="5"/>
  <c r="N145" i="5"/>
  <c r="M145" i="5"/>
  <c r="L145" i="5"/>
  <c r="K145" i="5"/>
  <c r="J145" i="5"/>
  <c r="I145" i="5"/>
  <c r="H145" i="5"/>
  <c r="G145" i="5"/>
  <c r="F145" i="5"/>
  <c r="E145" i="5"/>
  <c r="D145" i="5"/>
  <c r="C145" i="5"/>
  <c r="B145" i="5"/>
  <c r="AU144" i="5"/>
  <c r="AT144" i="5"/>
  <c r="AS144" i="5"/>
  <c r="AR144" i="5"/>
  <c r="AQ144" i="5"/>
  <c r="AP144" i="5"/>
  <c r="AO144" i="5"/>
  <c r="AN144" i="5"/>
  <c r="AM144" i="5"/>
  <c r="AL144" i="5"/>
  <c r="AK144" i="5"/>
  <c r="AJ144" i="5"/>
  <c r="AI144" i="5"/>
  <c r="AH144" i="5"/>
  <c r="AG144" i="5"/>
  <c r="AF144" i="5"/>
  <c r="AE144" i="5"/>
  <c r="AD144" i="5"/>
  <c r="AC144" i="5"/>
  <c r="AB144" i="5"/>
  <c r="AA144" i="5"/>
  <c r="Z144" i="5"/>
  <c r="Y144" i="5"/>
  <c r="X144" i="5"/>
  <c r="W144" i="5"/>
  <c r="V144" i="5"/>
  <c r="U144" i="5"/>
  <c r="T144" i="5"/>
  <c r="S144" i="5"/>
  <c r="R144" i="5"/>
  <c r="Q144" i="5"/>
  <c r="P144" i="5"/>
  <c r="O144" i="5"/>
  <c r="N144" i="5"/>
  <c r="M144" i="5"/>
  <c r="L144" i="5"/>
  <c r="K144" i="5"/>
  <c r="J144" i="5"/>
  <c r="I144" i="5"/>
  <c r="H144" i="5"/>
  <c r="G144" i="5"/>
  <c r="F144" i="5"/>
  <c r="E144" i="5"/>
  <c r="D144" i="5"/>
  <c r="C144" i="5"/>
  <c r="B144" i="5"/>
  <c r="AU143" i="5"/>
  <c r="AT143" i="5"/>
  <c r="AS143" i="5"/>
  <c r="AR143" i="5"/>
  <c r="AQ143" i="5"/>
  <c r="AP143" i="5"/>
  <c r="AO143" i="5"/>
  <c r="AN143" i="5"/>
  <c r="AM143" i="5"/>
  <c r="AL143" i="5"/>
  <c r="AK143" i="5"/>
  <c r="AJ143" i="5"/>
  <c r="AI143" i="5"/>
  <c r="AH143" i="5"/>
  <c r="AG143" i="5"/>
  <c r="AF143" i="5"/>
  <c r="AE143" i="5"/>
  <c r="AD143" i="5"/>
  <c r="AC143" i="5"/>
  <c r="AB143" i="5"/>
  <c r="AA143" i="5"/>
  <c r="Z143" i="5"/>
  <c r="Y143" i="5"/>
  <c r="X143" i="5"/>
  <c r="W143" i="5"/>
  <c r="V143" i="5"/>
  <c r="U143" i="5"/>
  <c r="T143" i="5"/>
  <c r="S143" i="5"/>
  <c r="R143" i="5"/>
  <c r="Q143" i="5"/>
  <c r="P143" i="5"/>
  <c r="O143" i="5"/>
  <c r="N143" i="5"/>
  <c r="M143" i="5"/>
  <c r="L143" i="5"/>
  <c r="K143" i="5"/>
  <c r="J143" i="5"/>
  <c r="I143" i="5"/>
  <c r="H143" i="5"/>
  <c r="G143" i="5"/>
  <c r="F143" i="5"/>
  <c r="E143" i="5"/>
  <c r="D143" i="5"/>
  <c r="C143" i="5"/>
  <c r="B143" i="5"/>
  <c r="AU142" i="5"/>
  <c r="AT142" i="5"/>
  <c r="AS142" i="5"/>
  <c r="AR142" i="5"/>
  <c r="AQ142" i="5"/>
  <c r="AP142" i="5"/>
  <c r="AO142" i="5"/>
  <c r="AN142" i="5"/>
  <c r="AM142" i="5"/>
  <c r="AL142" i="5"/>
  <c r="AK142" i="5"/>
  <c r="AJ142" i="5"/>
  <c r="AI142" i="5"/>
  <c r="AH142" i="5"/>
  <c r="AG142" i="5"/>
  <c r="AF142" i="5"/>
  <c r="AE142" i="5"/>
  <c r="AD142" i="5"/>
  <c r="AC142" i="5"/>
  <c r="AB142" i="5"/>
  <c r="AA142" i="5"/>
  <c r="Z142" i="5"/>
  <c r="Y142" i="5"/>
  <c r="X142" i="5"/>
  <c r="W142" i="5"/>
  <c r="V142" i="5"/>
  <c r="U142" i="5"/>
  <c r="T142" i="5"/>
  <c r="S142" i="5"/>
  <c r="R142" i="5"/>
  <c r="Q142" i="5"/>
  <c r="P142" i="5"/>
  <c r="O142" i="5"/>
  <c r="N142" i="5"/>
  <c r="M142" i="5"/>
  <c r="L142" i="5"/>
  <c r="K142" i="5"/>
  <c r="J142" i="5"/>
  <c r="I142" i="5"/>
  <c r="H142" i="5"/>
  <c r="G142" i="5"/>
  <c r="F142" i="5"/>
  <c r="E142" i="5"/>
  <c r="D142" i="5"/>
  <c r="C142" i="5"/>
  <c r="B142" i="5"/>
  <c r="AU141" i="5"/>
  <c r="AT141" i="5"/>
  <c r="AS141" i="5"/>
  <c r="AR141" i="5"/>
  <c r="AQ141" i="5"/>
  <c r="AP141" i="5"/>
  <c r="AO141" i="5"/>
  <c r="AN141" i="5"/>
  <c r="AM141" i="5"/>
  <c r="AL141" i="5"/>
  <c r="AK141" i="5"/>
  <c r="AJ141" i="5"/>
  <c r="AI141" i="5"/>
  <c r="AH141" i="5"/>
  <c r="AG141" i="5"/>
  <c r="AF141" i="5"/>
  <c r="AE141" i="5"/>
  <c r="AD141" i="5"/>
  <c r="AC141" i="5"/>
  <c r="AB141" i="5"/>
  <c r="AA141" i="5"/>
  <c r="Z141" i="5"/>
  <c r="Y141" i="5"/>
  <c r="X141" i="5"/>
  <c r="W141" i="5"/>
  <c r="V141" i="5"/>
  <c r="U141" i="5"/>
  <c r="T141" i="5"/>
  <c r="S141" i="5"/>
  <c r="R141" i="5"/>
  <c r="Q141" i="5"/>
  <c r="P141" i="5"/>
  <c r="O141" i="5"/>
  <c r="N141" i="5"/>
  <c r="M141" i="5"/>
  <c r="L141" i="5"/>
  <c r="K141" i="5"/>
  <c r="J141" i="5"/>
  <c r="I141" i="5"/>
  <c r="H141" i="5"/>
  <c r="G141" i="5"/>
  <c r="F141" i="5"/>
  <c r="E141" i="5"/>
  <c r="D141" i="5"/>
  <c r="C141" i="5"/>
  <c r="B141" i="5"/>
  <c r="AU159" i="5"/>
  <c r="AT159" i="5"/>
  <c r="AS159" i="5"/>
  <c r="AR159" i="5"/>
  <c r="AQ159" i="5"/>
  <c r="AP159" i="5"/>
  <c r="AO159" i="5"/>
  <c r="AN159" i="5"/>
  <c r="AM159" i="5"/>
  <c r="AL159" i="5"/>
  <c r="AK159" i="5"/>
  <c r="AJ159" i="5"/>
  <c r="AI159" i="5"/>
  <c r="AH159" i="5"/>
  <c r="AG159" i="5"/>
  <c r="AF159" i="5"/>
  <c r="AE159" i="5"/>
  <c r="AD159" i="5"/>
  <c r="AC159" i="5"/>
  <c r="AB159" i="5"/>
  <c r="AA159" i="5"/>
  <c r="Z159" i="5"/>
  <c r="Y159" i="5"/>
  <c r="X159" i="5"/>
  <c r="W159" i="5"/>
  <c r="V159" i="5"/>
  <c r="U159" i="5"/>
  <c r="T159" i="5"/>
  <c r="S159" i="5"/>
  <c r="R159" i="5"/>
  <c r="Q159" i="5"/>
  <c r="P159" i="5"/>
  <c r="O159" i="5"/>
  <c r="N159" i="5"/>
  <c r="M159" i="5"/>
  <c r="L159" i="5"/>
  <c r="K159" i="5"/>
  <c r="J159" i="5"/>
  <c r="I159" i="5"/>
  <c r="H159" i="5"/>
  <c r="G159" i="5"/>
  <c r="F159" i="5"/>
  <c r="E159" i="5"/>
  <c r="D159" i="5"/>
  <c r="C159" i="5"/>
  <c r="B159" i="5"/>
  <c r="AU158" i="5"/>
  <c r="AT158" i="5"/>
  <c r="AS158" i="5"/>
  <c r="AR158" i="5"/>
  <c r="AQ158" i="5"/>
  <c r="AP158" i="5"/>
  <c r="AO158" i="5"/>
  <c r="AN158" i="5"/>
  <c r="AM158" i="5"/>
  <c r="AL158" i="5"/>
  <c r="AK158" i="5"/>
  <c r="AJ158" i="5"/>
  <c r="AI158" i="5"/>
  <c r="AH158" i="5"/>
  <c r="AG158" i="5"/>
  <c r="AF158" i="5"/>
  <c r="AE158" i="5"/>
  <c r="AD158" i="5"/>
  <c r="AC158" i="5"/>
  <c r="AB158" i="5"/>
  <c r="AA158" i="5"/>
  <c r="Z158" i="5"/>
  <c r="Y158" i="5"/>
  <c r="X158" i="5"/>
  <c r="W158" i="5"/>
  <c r="V158" i="5"/>
  <c r="U158" i="5"/>
  <c r="T158" i="5"/>
  <c r="S158" i="5"/>
  <c r="R158" i="5"/>
  <c r="Q158" i="5"/>
  <c r="P158" i="5"/>
  <c r="O158" i="5"/>
  <c r="N158" i="5"/>
  <c r="M158" i="5"/>
  <c r="L158" i="5"/>
  <c r="K158" i="5"/>
  <c r="J158" i="5"/>
  <c r="I158" i="5"/>
  <c r="H158" i="5"/>
  <c r="G158" i="5"/>
  <c r="F158" i="5"/>
  <c r="E158" i="5"/>
  <c r="D158" i="5"/>
  <c r="C158" i="5"/>
  <c r="B158" i="5"/>
  <c r="AU157" i="5"/>
  <c r="AT157" i="5"/>
  <c r="AS157" i="5"/>
  <c r="AR157" i="5"/>
  <c r="AQ157" i="5"/>
  <c r="AP157" i="5"/>
  <c r="AO157" i="5"/>
  <c r="AN157" i="5"/>
  <c r="AM157" i="5"/>
  <c r="AL157" i="5"/>
  <c r="AK157" i="5"/>
  <c r="AJ157" i="5"/>
  <c r="AI157" i="5"/>
  <c r="AH157" i="5"/>
  <c r="AG157" i="5"/>
  <c r="AF157" i="5"/>
  <c r="AE157" i="5"/>
  <c r="AD157" i="5"/>
  <c r="AC157" i="5"/>
  <c r="AB157" i="5"/>
  <c r="AA157" i="5"/>
  <c r="Z157" i="5"/>
  <c r="Y157" i="5"/>
  <c r="X157" i="5"/>
  <c r="W157" i="5"/>
  <c r="V157" i="5"/>
  <c r="U157" i="5"/>
  <c r="T157" i="5"/>
  <c r="S157" i="5"/>
  <c r="R157" i="5"/>
  <c r="Q157" i="5"/>
  <c r="P157" i="5"/>
  <c r="O157" i="5"/>
  <c r="N157" i="5"/>
  <c r="M157" i="5"/>
  <c r="L157" i="5"/>
  <c r="K157" i="5"/>
  <c r="J157" i="5"/>
  <c r="I157" i="5"/>
  <c r="H157" i="5"/>
  <c r="G157" i="5"/>
  <c r="F157" i="5"/>
  <c r="E157" i="5"/>
  <c r="D157" i="5"/>
  <c r="C157" i="5"/>
  <c r="B157" i="5"/>
  <c r="AU156" i="5"/>
  <c r="AT156" i="5"/>
  <c r="AS156" i="5"/>
  <c r="AR156" i="5"/>
  <c r="AQ156" i="5"/>
  <c r="AP156" i="5"/>
  <c r="AO156" i="5"/>
  <c r="AN156" i="5"/>
  <c r="AM156" i="5"/>
  <c r="AL156" i="5"/>
  <c r="AK156" i="5"/>
  <c r="AJ156" i="5"/>
  <c r="AI156" i="5"/>
  <c r="AH156" i="5"/>
  <c r="AG156" i="5"/>
  <c r="AF156" i="5"/>
  <c r="AE156" i="5"/>
  <c r="AD156" i="5"/>
  <c r="AC156" i="5"/>
  <c r="AB156" i="5"/>
  <c r="AA156" i="5"/>
  <c r="Z156" i="5"/>
  <c r="Y156" i="5"/>
  <c r="X156" i="5"/>
  <c r="W156" i="5"/>
  <c r="V156" i="5"/>
  <c r="U156" i="5"/>
  <c r="T156" i="5"/>
  <c r="S156" i="5"/>
  <c r="R156" i="5"/>
  <c r="Q156" i="5"/>
  <c r="P156" i="5"/>
  <c r="O156" i="5"/>
  <c r="N156" i="5"/>
  <c r="M156" i="5"/>
  <c r="L156" i="5"/>
  <c r="K156" i="5"/>
  <c r="J156" i="5"/>
  <c r="I156" i="5"/>
  <c r="H156" i="5"/>
  <c r="G156" i="5"/>
  <c r="F156" i="5"/>
  <c r="E156" i="5"/>
  <c r="D156" i="5"/>
  <c r="C156" i="5"/>
  <c r="B156" i="5"/>
  <c r="AU155" i="5"/>
  <c r="AT155" i="5"/>
  <c r="AS155" i="5"/>
  <c r="AR155" i="5"/>
  <c r="AQ155" i="5"/>
  <c r="AP155" i="5"/>
  <c r="AO155" i="5"/>
  <c r="AN155" i="5"/>
  <c r="AM155" i="5"/>
  <c r="AL155" i="5"/>
  <c r="AK155" i="5"/>
  <c r="AJ155" i="5"/>
  <c r="AI155" i="5"/>
  <c r="AH155" i="5"/>
  <c r="AG155" i="5"/>
  <c r="AF155" i="5"/>
  <c r="AE155" i="5"/>
  <c r="AD155" i="5"/>
  <c r="AC155" i="5"/>
  <c r="AB155" i="5"/>
  <c r="AA155" i="5"/>
  <c r="Z155" i="5"/>
  <c r="Y155" i="5"/>
  <c r="X155" i="5"/>
  <c r="W155" i="5"/>
  <c r="V155" i="5"/>
  <c r="U155" i="5"/>
  <c r="T155" i="5"/>
  <c r="S155" i="5"/>
  <c r="R155" i="5"/>
  <c r="Q155" i="5"/>
  <c r="P155" i="5"/>
  <c r="O155" i="5"/>
  <c r="N155" i="5"/>
  <c r="M155" i="5"/>
  <c r="L155" i="5"/>
  <c r="K155" i="5"/>
  <c r="J155" i="5"/>
  <c r="I155" i="5"/>
  <c r="H155" i="5"/>
  <c r="G155" i="5"/>
  <c r="F155" i="5"/>
  <c r="E155" i="5"/>
  <c r="D155" i="5"/>
  <c r="C155" i="5"/>
  <c r="B155" i="5"/>
  <c r="AU154" i="5"/>
  <c r="AT154" i="5"/>
  <c r="AS154" i="5"/>
  <c r="AR154" i="5"/>
  <c r="AQ154" i="5"/>
  <c r="AP154" i="5"/>
  <c r="AO154" i="5"/>
  <c r="AN154" i="5"/>
  <c r="AM154" i="5"/>
  <c r="AL154" i="5"/>
  <c r="AK154" i="5"/>
  <c r="AJ154" i="5"/>
  <c r="AI154" i="5"/>
  <c r="AH154" i="5"/>
  <c r="AG154" i="5"/>
  <c r="AF154" i="5"/>
  <c r="AE154" i="5"/>
  <c r="AD154" i="5"/>
  <c r="AC154" i="5"/>
  <c r="AB154" i="5"/>
  <c r="AA154" i="5"/>
  <c r="Z154" i="5"/>
  <c r="Y154" i="5"/>
  <c r="X154" i="5"/>
  <c r="W154" i="5"/>
  <c r="V154" i="5"/>
  <c r="U154" i="5"/>
  <c r="T154" i="5"/>
  <c r="S154" i="5"/>
  <c r="R154" i="5"/>
  <c r="Q154" i="5"/>
  <c r="P154" i="5"/>
  <c r="O154" i="5"/>
  <c r="N154" i="5"/>
  <c r="M154" i="5"/>
  <c r="L154" i="5"/>
  <c r="K154" i="5"/>
  <c r="J154" i="5"/>
  <c r="I154" i="5"/>
  <c r="H154" i="5"/>
  <c r="G154" i="5"/>
  <c r="F154" i="5"/>
  <c r="E154" i="5"/>
  <c r="D154" i="5"/>
  <c r="C154" i="5"/>
  <c r="B154" i="5"/>
  <c r="AU153" i="5"/>
  <c r="AT153" i="5"/>
  <c r="AS153" i="5"/>
  <c r="AR153" i="5"/>
  <c r="AQ153" i="5"/>
  <c r="AP153" i="5"/>
  <c r="AO153" i="5"/>
  <c r="AN153" i="5"/>
  <c r="AM153" i="5"/>
  <c r="AL153" i="5"/>
  <c r="AK153" i="5"/>
  <c r="AJ153" i="5"/>
  <c r="AI153" i="5"/>
  <c r="AH153" i="5"/>
  <c r="AG153" i="5"/>
  <c r="AF153" i="5"/>
  <c r="AE153" i="5"/>
  <c r="AD153" i="5"/>
  <c r="AC153" i="5"/>
  <c r="AB153" i="5"/>
  <c r="AA153" i="5"/>
  <c r="Z153" i="5"/>
  <c r="Y153" i="5"/>
  <c r="X153" i="5"/>
  <c r="W153" i="5"/>
  <c r="V153" i="5"/>
  <c r="U153" i="5"/>
  <c r="T153" i="5"/>
  <c r="S153" i="5"/>
  <c r="R153" i="5"/>
  <c r="Q153" i="5"/>
  <c r="P153" i="5"/>
  <c r="O153" i="5"/>
  <c r="N153" i="5"/>
  <c r="M153" i="5"/>
  <c r="L153" i="5"/>
  <c r="K153" i="5"/>
  <c r="J153" i="5"/>
  <c r="I153" i="5"/>
  <c r="H153" i="5"/>
  <c r="G153" i="5"/>
  <c r="F153" i="5"/>
  <c r="E153" i="5"/>
  <c r="D153" i="5"/>
  <c r="C153" i="5"/>
  <c r="B153" i="5"/>
  <c r="AU152" i="5"/>
  <c r="AT152" i="5"/>
  <c r="AS152" i="5"/>
  <c r="AR152" i="5"/>
  <c r="AQ152" i="5"/>
  <c r="AP152" i="5"/>
  <c r="AO152" i="5"/>
  <c r="AN152" i="5"/>
  <c r="AM152" i="5"/>
  <c r="AL152" i="5"/>
  <c r="AK152" i="5"/>
  <c r="AJ152" i="5"/>
  <c r="AI152" i="5"/>
  <c r="AH152" i="5"/>
  <c r="AG152" i="5"/>
  <c r="AF152" i="5"/>
  <c r="AE152" i="5"/>
  <c r="AD152" i="5"/>
  <c r="AC152" i="5"/>
  <c r="AB152" i="5"/>
  <c r="AA152" i="5"/>
  <c r="Z152" i="5"/>
  <c r="Y152" i="5"/>
  <c r="X152" i="5"/>
  <c r="W152" i="5"/>
  <c r="V152" i="5"/>
  <c r="U152" i="5"/>
  <c r="T152" i="5"/>
  <c r="S152" i="5"/>
  <c r="R152" i="5"/>
  <c r="Q152" i="5"/>
  <c r="P152" i="5"/>
  <c r="O152" i="5"/>
  <c r="N152" i="5"/>
  <c r="M152" i="5"/>
  <c r="L152" i="5"/>
  <c r="K152" i="5"/>
  <c r="J152" i="5"/>
  <c r="I152" i="5"/>
  <c r="H152" i="5"/>
  <c r="G152" i="5"/>
  <c r="F152" i="5"/>
  <c r="E152" i="5"/>
  <c r="D152" i="5"/>
  <c r="C152" i="5"/>
  <c r="B152" i="5"/>
  <c r="B10" i="5"/>
  <c r="C10" i="5"/>
  <c r="D10" i="5"/>
  <c r="E10" i="5"/>
  <c r="F10" i="5"/>
  <c r="G10" i="5"/>
  <c r="H10" i="5"/>
  <c r="I10" i="5"/>
  <c r="J10" i="5"/>
  <c r="K10" i="5"/>
  <c r="L10" i="5"/>
  <c r="L17" i="5" s="1"/>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B11"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B12" i="5"/>
  <c r="C12" i="5"/>
  <c r="D12" i="5"/>
  <c r="E12" i="5"/>
  <c r="F12" i="5"/>
  <c r="G12" i="5"/>
  <c r="H12" i="5"/>
  <c r="I12" i="5"/>
  <c r="J12" i="5"/>
  <c r="K12" i="5"/>
  <c r="L12" i="5"/>
  <c r="M12" i="5"/>
  <c r="N12" i="5"/>
  <c r="O12" i="5"/>
  <c r="P12" i="5"/>
  <c r="P17" i="5" s="1"/>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B13"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B14"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B15"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B16"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B9" i="5"/>
  <c r="O17" i="5"/>
  <c r="P17" i="3"/>
  <c r="O17" i="3"/>
  <c r="N17" i="3"/>
  <c r="M17" i="3"/>
  <c r="L17" i="3"/>
  <c r="AF2" i="7" l="1"/>
  <c r="AF2" i="13" s="1"/>
  <c r="AC2" i="7"/>
  <c r="AC2" i="13" s="1"/>
  <c r="Z9" i="7"/>
  <c r="Z9" i="13" s="1"/>
  <c r="Q2" i="7"/>
  <c r="Q2" i="13" s="1"/>
  <c r="H2" i="7"/>
  <c r="H2" i="13" s="1"/>
  <c r="P16" i="7"/>
  <c r="P16" i="13" s="1"/>
  <c r="M16" i="7"/>
  <c r="M16" i="13" s="1"/>
  <c r="AC5" i="7"/>
  <c r="AC5" i="13" s="1"/>
  <c r="Q5" i="7"/>
  <c r="Q5" i="13" s="1"/>
  <c r="W13" i="7"/>
  <c r="W13" i="13" s="1"/>
  <c r="S13" i="7"/>
  <c r="S13" i="13" s="1"/>
  <c r="AG2" i="7"/>
  <c r="AG2" i="13" s="1"/>
  <c r="Q16" i="7"/>
  <c r="Q16" i="13" s="1"/>
  <c r="AE13" i="7"/>
  <c r="AE13" i="13" s="1"/>
  <c r="E11" i="7"/>
  <c r="E11" i="13" s="1"/>
  <c r="U2" i="7"/>
  <c r="U2" i="13" s="1"/>
  <c r="E16" i="7"/>
  <c r="E16" i="13" s="1"/>
  <c r="K13" i="7"/>
  <c r="K13" i="13" s="1"/>
  <c r="N9" i="7"/>
  <c r="N9" i="13" s="1"/>
  <c r="E5" i="7"/>
  <c r="E5" i="13" s="1"/>
  <c r="T2" i="7"/>
  <c r="T2" i="13" s="1"/>
  <c r="D16" i="7"/>
  <c r="G13" i="7"/>
  <c r="G13" i="13" s="1"/>
  <c r="J9" i="7"/>
  <c r="J9" i="13" s="1"/>
  <c r="Z4" i="7"/>
  <c r="Z4" i="13" s="1"/>
  <c r="I2" i="7"/>
  <c r="I2" i="13" s="1"/>
  <c r="AH15" i="7"/>
  <c r="AF12" i="13"/>
  <c r="W7" i="7"/>
  <c r="W7" i="13" s="1"/>
  <c r="N4" i="7"/>
  <c r="N4" i="13" s="1"/>
  <c r="Z15" i="7"/>
  <c r="Z15" i="13" s="1"/>
  <c r="T12" i="13"/>
  <c r="K7" i="7"/>
  <c r="K7" i="13" s="1"/>
  <c r="E2" i="7"/>
  <c r="E2" i="13" s="1"/>
  <c r="V15" i="7"/>
  <c r="V15" i="13" s="1"/>
  <c r="H12" i="13"/>
  <c r="W3" i="13"/>
  <c r="AC16" i="7"/>
  <c r="AC16" i="13" s="1"/>
  <c r="N15" i="7"/>
  <c r="N15" i="13" s="1"/>
  <c r="AF6" i="7"/>
  <c r="AF6" i="13" s="1"/>
  <c r="K3" i="13"/>
  <c r="D67" i="1"/>
  <c r="G67" i="1" s="1"/>
  <c r="AH2" i="13"/>
  <c r="AB16" i="7"/>
  <c r="AB16" i="13" s="1"/>
  <c r="J15" i="7"/>
  <c r="J15" i="13" s="1"/>
  <c r="AC11" i="7"/>
  <c r="AC11" i="13" s="1"/>
  <c r="T6" i="7"/>
  <c r="T6" i="13" s="1"/>
  <c r="Y16" i="7"/>
  <c r="Y16" i="13" s="1"/>
  <c r="Q11" i="7"/>
  <c r="Q11" i="13" s="1"/>
  <c r="H6" i="7"/>
  <c r="H6" i="13" s="1"/>
  <c r="G10" i="7"/>
  <c r="F10" i="13"/>
  <c r="Y15" i="7"/>
  <c r="Y15" i="13" s="1"/>
  <c r="V13" i="7"/>
  <c r="V13" i="13" s="1"/>
  <c r="AE12" i="13"/>
  <c r="G12" i="13"/>
  <c r="AB11" i="7"/>
  <c r="AB11" i="13" s="1"/>
  <c r="D11" i="7"/>
  <c r="Y9" i="7"/>
  <c r="Y9" i="13" s="1"/>
  <c r="M9" i="7"/>
  <c r="M9" i="13" s="1"/>
  <c r="AH7" i="7"/>
  <c r="V7" i="7"/>
  <c r="V7" i="13" s="1"/>
  <c r="J7" i="7"/>
  <c r="J7" i="13" s="1"/>
  <c r="AE6" i="7"/>
  <c r="AE6" i="13" s="1"/>
  <c r="G6" i="7"/>
  <c r="G6" i="13" s="1"/>
  <c r="AB5" i="7"/>
  <c r="AB5" i="13" s="1"/>
  <c r="P5" i="7"/>
  <c r="P5" i="13" s="1"/>
  <c r="D5" i="7"/>
  <c r="M4" i="7"/>
  <c r="M4" i="13" s="1"/>
  <c r="V3" i="13"/>
  <c r="J3" i="13"/>
  <c r="M15" i="7"/>
  <c r="M15" i="13" s="1"/>
  <c r="J13" i="7"/>
  <c r="J13" i="13" s="1"/>
  <c r="S12" i="13"/>
  <c r="P11" i="7"/>
  <c r="P11" i="13" s="1"/>
  <c r="Y4" i="7"/>
  <c r="Y4" i="13" s="1"/>
  <c r="AE2" i="7"/>
  <c r="AE2" i="13" s="1"/>
  <c r="S2" i="7"/>
  <c r="S2" i="13" s="1"/>
  <c r="G2" i="7"/>
  <c r="G2" i="13" s="1"/>
  <c r="AA16" i="7"/>
  <c r="AA16" i="13" s="1"/>
  <c r="O16" i="7"/>
  <c r="O16" i="13" s="1"/>
  <c r="C16" i="7"/>
  <c r="C16" i="13" s="1"/>
  <c r="X15" i="7"/>
  <c r="X15" i="13" s="1"/>
  <c r="L15" i="7"/>
  <c r="L15" i="13" s="1"/>
  <c r="AG13" i="7"/>
  <c r="AG13" i="13" s="1"/>
  <c r="U13" i="7"/>
  <c r="U13" i="13" s="1"/>
  <c r="I13" i="7"/>
  <c r="I13" i="13" s="1"/>
  <c r="AD12" i="13"/>
  <c r="R12" i="13"/>
  <c r="F12" i="13"/>
  <c r="AA11" i="7"/>
  <c r="AA11" i="13" s="1"/>
  <c r="O11" i="7"/>
  <c r="O11" i="13" s="1"/>
  <c r="C11" i="7"/>
  <c r="C11" i="13" s="1"/>
  <c r="X9" i="7"/>
  <c r="X9" i="13" s="1"/>
  <c r="L9" i="7"/>
  <c r="L9" i="13" s="1"/>
  <c r="AG7" i="7"/>
  <c r="AG7" i="13" s="1"/>
  <c r="U7" i="7"/>
  <c r="U7" i="13" s="1"/>
  <c r="I7" i="7"/>
  <c r="I7" i="13" s="1"/>
  <c r="AD6" i="7"/>
  <c r="AD6" i="13" s="1"/>
  <c r="R6" i="7"/>
  <c r="R6" i="13" s="1"/>
  <c r="F6" i="7"/>
  <c r="F6" i="13" s="1"/>
  <c r="AA5" i="7"/>
  <c r="AA5" i="13" s="1"/>
  <c r="O5" i="7"/>
  <c r="O5" i="13" s="1"/>
  <c r="C5" i="7"/>
  <c r="C5" i="13" s="1"/>
  <c r="X4" i="7"/>
  <c r="X4" i="13" s="1"/>
  <c r="L4" i="7"/>
  <c r="L4" i="13" s="1"/>
  <c r="AG3" i="13"/>
  <c r="U3" i="13"/>
  <c r="I3" i="13"/>
  <c r="AH13" i="7"/>
  <c r="S6" i="7"/>
  <c r="S6" i="13" s="1"/>
  <c r="AD2" i="7"/>
  <c r="AD2" i="13" s="1"/>
  <c r="R2" i="7"/>
  <c r="R2" i="13" s="1"/>
  <c r="F2" i="7"/>
  <c r="F2" i="13" s="1"/>
  <c r="Z16" i="7"/>
  <c r="Z16" i="13" s="1"/>
  <c r="N16" i="7"/>
  <c r="N16" i="13" s="1"/>
  <c r="W15" i="7"/>
  <c r="W15" i="13" s="1"/>
  <c r="K15" i="7"/>
  <c r="K15" i="13" s="1"/>
  <c r="AF13" i="7"/>
  <c r="AF13" i="13" s="1"/>
  <c r="T13" i="7"/>
  <c r="T13" i="13" s="1"/>
  <c r="H13" i="7"/>
  <c r="H13" i="13" s="1"/>
  <c r="AC12" i="13"/>
  <c r="Q12" i="13"/>
  <c r="E12" i="13"/>
  <c r="Z11" i="7"/>
  <c r="Z11" i="13" s="1"/>
  <c r="N11" i="7"/>
  <c r="N11" i="13" s="1"/>
  <c r="W9" i="7"/>
  <c r="W9" i="13" s="1"/>
  <c r="K9" i="7"/>
  <c r="K9" i="13" s="1"/>
  <c r="AF7" i="7"/>
  <c r="AF7" i="13" s="1"/>
  <c r="T7" i="7"/>
  <c r="T7" i="13" s="1"/>
  <c r="H7" i="7"/>
  <c r="H7" i="13" s="1"/>
  <c r="AC6" i="7"/>
  <c r="AC6" i="13" s="1"/>
  <c r="Q6" i="7"/>
  <c r="Q6" i="13" s="1"/>
  <c r="E6" i="7"/>
  <c r="E6" i="13" s="1"/>
  <c r="Z5" i="7"/>
  <c r="Z5" i="13" s="1"/>
  <c r="N5" i="7"/>
  <c r="N5" i="13" s="1"/>
  <c r="W4" i="7"/>
  <c r="W4" i="13" s="1"/>
  <c r="K4" i="7"/>
  <c r="K4" i="13" s="1"/>
  <c r="AF3" i="13"/>
  <c r="T3" i="13"/>
  <c r="H3" i="13"/>
  <c r="AE7" i="7"/>
  <c r="AE7" i="13" s="1"/>
  <c r="S7" i="7"/>
  <c r="S7" i="13" s="1"/>
  <c r="G7" i="7"/>
  <c r="G7" i="13" s="1"/>
  <c r="AB6" i="7"/>
  <c r="AB6" i="13" s="1"/>
  <c r="P6" i="7"/>
  <c r="P6" i="13" s="1"/>
  <c r="D6" i="7"/>
  <c r="Y5" i="7"/>
  <c r="Y5" i="13" s="1"/>
  <c r="M5" i="7"/>
  <c r="M5" i="13" s="1"/>
  <c r="AH4" i="7"/>
  <c r="V4" i="7"/>
  <c r="V4" i="13" s="1"/>
  <c r="J4" i="7"/>
  <c r="J4" i="13" s="1"/>
  <c r="AE3" i="13"/>
  <c r="S3" i="13"/>
  <c r="G3" i="13"/>
  <c r="AB12" i="13"/>
  <c r="P12" i="13"/>
  <c r="Y11" i="7"/>
  <c r="Y11" i="13" s="1"/>
  <c r="M11" i="7"/>
  <c r="M11" i="13" s="1"/>
  <c r="AH9" i="7"/>
  <c r="V9" i="7"/>
  <c r="V9" i="13" s="1"/>
  <c r="AB2" i="7"/>
  <c r="AB2" i="13" s="1"/>
  <c r="P2" i="7"/>
  <c r="P2" i="13" s="1"/>
  <c r="D2" i="7"/>
  <c r="X16" i="7"/>
  <c r="X16" i="13" s="1"/>
  <c r="L16" i="7"/>
  <c r="L16" i="13" s="1"/>
  <c r="AG15" i="7"/>
  <c r="AG15" i="13" s="1"/>
  <c r="U15" i="7"/>
  <c r="U15" i="13" s="1"/>
  <c r="I15" i="7"/>
  <c r="I15" i="13" s="1"/>
  <c r="AD13" i="7"/>
  <c r="AD13" i="13" s="1"/>
  <c r="R13" i="7"/>
  <c r="R13" i="13" s="1"/>
  <c r="F13" i="7"/>
  <c r="F13" i="13" s="1"/>
  <c r="AA12" i="13"/>
  <c r="O12" i="13"/>
  <c r="C12" i="13"/>
  <c r="X11" i="7"/>
  <c r="X11" i="13" s="1"/>
  <c r="L11" i="7"/>
  <c r="L11" i="13" s="1"/>
  <c r="AG9" i="7"/>
  <c r="AG9" i="13" s="1"/>
  <c r="U9" i="7"/>
  <c r="U9" i="13" s="1"/>
  <c r="I9" i="7"/>
  <c r="I9" i="13" s="1"/>
  <c r="AD7" i="7"/>
  <c r="AD7" i="13" s="1"/>
  <c r="R7" i="7"/>
  <c r="R7" i="13" s="1"/>
  <c r="F7" i="7"/>
  <c r="F7" i="13" s="1"/>
  <c r="AA6" i="7"/>
  <c r="AA6" i="13" s="1"/>
  <c r="O6" i="7"/>
  <c r="O6" i="13" s="1"/>
  <c r="C6" i="7"/>
  <c r="C6" i="13" s="1"/>
  <c r="X5" i="7"/>
  <c r="X5" i="13" s="1"/>
  <c r="L5" i="7"/>
  <c r="L5" i="13" s="1"/>
  <c r="AG4" i="7"/>
  <c r="AG4" i="13" s="1"/>
  <c r="U4" i="7"/>
  <c r="U4" i="13" s="1"/>
  <c r="I4" i="7"/>
  <c r="I4" i="13" s="1"/>
  <c r="AD3" i="13"/>
  <c r="R3" i="13"/>
  <c r="F3" i="13"/>
  <c r="AA2" i="7"/>
  <c r="AA2" i="13" s="1"/>
  <c r="O2" i="7"/>
  <c r="O2" i="13" s="1"/>
  <c r="C2" i="7"/>
  <c r="C2" i="13" s="1"/>
  <c r="W16" i="7"/>
  <c r="W16" i="13" s="1"/>
  <c r="AF15" i="7"/>
  <c r="AF15" i="13" s="1"/>
  <c r="T15" i="7"/>
  <c r="T15" i="13" s="1"/>
  <c r="H15" i="7"/>
  <c r="H15" i="13" s="1"/>
  <c r="AC13" i="7"/>
  <c r="AC13" i="13" s="1"/>
  <c r="Q13" i="7"/>
  <c r="Q13" i="13" s="1"/>
  <c r="E13" i="7"/>
  <c r="E13" i="13" s="1"/>
  <c r="Z12" i="13"/>
  <c r="N12" i="13"/>
  <c r="W11" i="7"/>
  <c r="W11" i="13" s="1"/>
  <c r="K11" i="7"/>
  <c r="K11" i="13" s="1"/>
  <c r="AF9" i="7"/>
  <c r="AF9" i="13" s="1"/>
  <c r="T9" i="7"/>
  <c r="T9" i="13" s="1"/>
  <c r="H9" i="7"/>
  <c r="H9" i="13" s="1"/>
  <c r="AC7" i="7"/>
  <c r="AC7" i="13" s="1"/>
  <c r="Q7" i="7"/>
  <c r="Q7" i="13" s="1"/>
  <c r="E7" i="7"/>
  <c r="E7" i="13" s="1"/>
  <c r="Z6" i="7"/>
  <c r="Z6" i="13" s="1"/>
  <c r="N6" i="7"/>
  <c r="N6" i="13" s="1"/>
  <c r="W5" i="7"/>
  <c r="W5" i="13" s="1"/>
  <c r="K5" i="7"/>
  <c r="K5" i="13" s="1"/>
  <c r="AF4" i="7"/>
  <c r="AF4" i="13" s="1"/>
  <c r="T4" i="7"/>
  <c r="T4" i="13" s="1"/>
  <c r="H4" i="7"/>
  <c r="H4" i="13" s="1"/>
  <c r="AC3" i="13"/>
  <c r="Q3" i="13"/>
  <c r="E3" i="13"/>
  <c r="K16" i="7"/>
  <c r="K16" i="13" s="1"/>
  <c r="Z2" i="7"/>
  <c r="Z2" i="13" s="1"/>
  <c r="N2" i="7"/>
  <c r="N2" i="13" s="1"/>
  <c r="AH16" i="7"/>
  <c r="V16" i="7"/>
  <c r="V16" i="13" s="1"/>
  <c r="J16" i="7"/>
  <c r="J16" i="13" s="1"/>
  <c r="AE15" i="7"/>
  <c r="AE15" i="13" s="1"/>
  <c r="S15" i="7"/>
  <c r="S15" i="13" s="1"/>
  <c r="G15" i="7"/>
  <c r="G15" i="13" s="1"/>
  <c r="AB13" i="7"/>
  <c r="AB13" i="13" s="1"/>
  <c r="P13" i="7"/>
  <c r="P13" i="13" s="1"/>
  <c r="D13" i="7"/>
  <c r="Y12" i="13"/>
  <c r="M12" i="13"/>
  <c r="AH11" i="7"/>
  <c r="V11" i="7"/>
  <c r="V11" i="13" s="1"/>
  <c r="J11" i="7"/>
  <c r="J11" i="13" s="1"/>
  <c r="AE9" i="7"/>
  <c r="AE9" i="13" s="1"/>
  <c r="S9" i="7"/>
  <c r="S9" i="13" s="1"/>
  <c r="G9" i="7"/>
  <c r="G9" i="13" s="1"/>
  <c r="AB7" i="7"/>
  <c r="AB7" i="13" s="1"/>
  <c r="P7" i="7"/>
  <c r="P7" i="13" s="1"/>
  <c r="D7" i="7"/>
  <c r="Y6" i="7"/>
  <c r="Y6" i="13" s="1"/>
  <c r="M6" i="7"/>
  <c r="M6" i="13" s="1"/>
  <c r="AH5" i="7"/>
  <c r="V5" i="7"/>
  <c r="V5" i="13" s="1"/>
  <c r="J5" i="7"/>
  <c r="J5" i="13" s="1"/>
  <c r="AE4" i="7"/>
  <c r="AE4" i="13" s="1"/>
  <c r="S4" i="7"/>
  <c r="S4" i="13" s="1"/>
  <c r="G4" i="7"/>
  <c r="G4" i="13" s="1"/>
  <c r="AB3" i="13"/>
  <c r="P3" i="13"/>
  <c r="Y2" i="7"/>
  <c r="Y2" i="13" s="1"/>
  <c r="M2" i="7"/>
  <c r="M2" i="13" s="1"/>
  <c r="AG16" i="7"/>
  <c r="AG16" i="13" s="1"/>
  <c r="U16" i="7"/>
  <c r="U16" i="13" s="1"/>
  <c r="I16" i="7"/>
  <c r="I16" i="13" s="1"/>
  <c r="AD15" i="7"/>
  <c r="AD15" i="13" s="1"/>
  <c r="R15" i="7"/>
  <c r="R15" i="13" s="1"/>
  <c r="F15" i="7"/>
  <c r="F15" i="13" s="1"/>
  <c r="AA13" i="7"/>
  <c r="AA13" i="13" s="1"/>
  <c r="O13" i="7"/>
  <c r="O13" i="13" s="1"/>
  <c r="C13" i="7"/>
  <c r="C13" i="13" s="1"/>
  <c r="X12" i="13"/>
  <c r="L12" i="13"/>
  <c r="AG11" i="7"/>
  <c r="AG11" i="13" s="1"/>
  <c r="U11" i="7"/>
  <c r="U11" i="13" s="1"/>
  <c r="I11" i="7"/>
  <c r="I11" i="13" s="1"/>
  <c r="AD9" i="7"/>
  <c r="AD9" i="13" s="1"/>
  <c r="R9" i="7"/>
  <c r="R9" i="13" s="1"/>
  <c r="F9" i="7"/>
  <c r="F9" i="13" s="1"/>
  <c r="AA7" i="7"/>
  <c r="AA7" i="13" s="1"/>
  <c r="O7" i="7"/>
  <c r="O7" i="13" s="1"/>
  <c r="C7" i="7"/>
  <c r="C7" i="13" s="1"/>
  <c r="X6" i="7"/>
  <c r="X6" i="13" s="1"/>
  <c r="L6" i="7"/>
  <c r="L6" i="13" s="1"/>
  <c r="AG5" i="7"/>
  <c r="AG5" i="13" s="1"/>
  <c r="U5" i="7"/>
  <c r="U5" i="13" s="1"/>
  <c r="I5" i="7"/>
  <c r="I5" i="13" s="1"/>
  <c r="AD4" i="7"/>
  <c r="AD4" i="13" s="1"/>
  <c r="R4" i="7"/>
  <c r="R4" i="13" s="1"/>
  <c r="F4" i="7"/>
  <c r="F4" i="13" s="1"/>
  <c r="AA3" i="13"/>
  <c r="O3" i="13"/>
  <c r="C3" i="13"/>
  <c r="X2" i="7"/>
  <c r="X2" i="13" s="1"/>
  <c r="L2" i="7"/>
  <c r="L2" i="13" s="1"/>
  <c r="AF16" i="7"/>
  <c r="AF16" i="13" s="1"/>
  <c r="T16" i="7"/>
  <c r="T16" i="13" s="1"/>
  <c r="H16" i="7"/>
  <c r="H16" i="13" s="1"/>
  <c r="AC15" i="7"/>
  <c r="AC15" i="13" s="1"/>
  <c r="Q15" i="7"/>
  <c r="Q15" i="13" s="1"/>
  <c r="E15" i="7"/>
  <c r="E15" i="13" s="1"/>
  <c r="Z13" i="7"/>
  <c r="Z13" i="13" s="1"/>
  <c r="N13" i="7"/>
  <c r="N13" i="13" s="1"/>
  <c r="W12" i="13"/>
  <c r="K12" i="13"/>
  <c r="AF11" i="7"/>
  <c r="AF11" i="13" s="1"/>
  <c r="T11" i="7"/>
  <c r="T11" i="13" s="1"/>
  <c r="H11" i="7"/>
  <c r="H11" i="13" s="1"/>
  <c r="AC9" i="7"/>
  <c r="AC9" i="13" s="1"/>
  <c r="Q9" i="7"/>
  <c r="Q9" i="13" s="1"/>
  <c r="E9" i="7"/>
  <c r="E9" i="13" s="1"/>
  <c r="Z7" i="7"/>
  <c r="Z7" i="13" s="1"/>
  <c r="N7" i="7"/>
  <c r="N7" i="13" s="1"/>
  <c r="W6" i="7"/>
  <c r="W6" i="13" s="1"/>
  <c r="K6" i="7"/>
  <c r="K6" i="13" s="1"/>
  <c r="AF5" i="7"/>
  <c r="AF5" i="13" s="1"/>
  <c r="T5" i="7"/>
  <c r="T5" i="13" s="1"/>
  <c r="H5" i="7"/>
  <c r="H5" i="13" s="1"/>
  <c r="AC4" i="7"/>
  <c r="AC4" i="13" s="1"/>
  <c r="Q4" i="7"/>
  <c r="Q4" i="13" s="1"/>
  <c r="E4" i="7"/>
  <c r="E4" i="13" s="1"/>
  <c r="Z3" i="13"/>
  <c r="N3" i="13"/>
  <c r="W2" i="7"/>
  <c r="W2" i="13" s="1"/>
  <c r="K2" i="7"/>
  <c r="K2" i="13" s="1"/>
  <c r="AE16" i="7"/>
  <c r="AE16" i="13" s="1"/>
  <c r="S16" i="7"/>
  <c r="S16" i="13" s="1"/>
  <c r="G16" i="7"/>
  <c r="G16" i="13" s="1"/>
  <c r="AB15" i="7"/>
  <c r="AB15" i="13" s="1"/>
  <c r="P15" i="7"/>
  <c r="P15" i="13" s="1"/>
  <c r="D15" i="7"/>
  <c r="M13" i="7"/>
  <c r="M13" i="13" s="1"/>
  <c r="V12" i="13"/>
  <c r="J12" i="13"/>
  <c r="AE11" i="7"/>
  <c r="AE11" i="13" s="1"/>
  <c r="S11" i="7"/>
  <c r="S11" i="13" s="1"/>
  <c r="G11" i="7"/>
  <c r="G11" i="13" s="1"/>
  <c r="AB9" i="7"/>
  <c r="AB9" i="13" s="1"/>
  <c r="P9" i="7"/>
  <c r="P9" i="13" s="1"/>
  <c r="D9" i="7"/>
  <c r="Y7" i="7"/>
  <c r="Y7" i="13" s="1"/>
  <c r="M7" i="7"/>
  <c r="M7" i="13" s="1"/>
  <c r="AH6" i="7"/>
  <c r="V6" i="7"/>
  <c r="V6" i="13" s="1"/>
  <c r="J6" i="7"/>
  <c r="J6" i="13" s="1"/>
  <c r="AE5" i="7"/>
  <c r="AE5" i="13" s="1"/>
  <c r="S5" i="7"/>
  <c r="S5" i="13" s="1"/>
  <c r="G5" i="7"/>
  <c r="G5" i="13" s="1"/>
  <c r="AB4" i="7"/>
  <c r="AB4" i="13" s="1"/>
  <c r="P4" i="7"/>
  <c r="P4" i="13" s="1"/>
  <c r="D4" i="7"/>
  <c r="Y3" i="13"/>
  <c r="M3" i="13"/>
  <c r="Y13" i="7"/>
  <c r="Y13" i="13" s="1"/>
  <c r="V2" i="7"/>
  <c r="V2" i="13" s="1"/>
  <c r="J2" i="7"/>
  <c r="J2" i="13" s="1"/>
  <c r="AD16" i="7"/>
  <c r="AD16" i="13" s="1"/>
  <c r="R16" i="7"/>
  <c r="R16" i="13" s="1"/>
  <c r="F16" i="7"/>
  <c r="F16" i="13" s="1"/>
  <c r="AA15" i="7"/>
  <c r="AA15" i="13" s="1"/>
  <c r="O15" i="7"/>
  <c r="O15" i="13" s="1"/>
  <c r="C15" i="7"/>
  <c r="C15" i="13" s="1"/>
  <c r="X13" i="7"/>
  <c r="X13" i="13" s="1"/>
  <c r="L13" i="7"/>
  <c r="L13" i="13" s="1"/>
  <c r="AG12" i="13"/>
  <c r="U12" i="13"/>
  <c r="I12" i="13"/>
  <c r="AD11" i="7"/>
  <c r="AD11" i="13" s="1"/>
  <c r="R11" i="7"/>
  <c r="R11" i="13" s="1"/>
  <c r="F11" i="7"/>
  <c r="F11" i="13" s="1"/>
  <c r="AA9" i="7"/>
  <c r="AA9" i="13" s="1"/>
  <c r="O9" i="7"/>
  <c r="O9" i="13" s="1"/>
  <c r="C9" i="7"/>
  <c r="C9" i="13" s="1"/>
  <c r="X7" i="7"/>
  <c r="X7" i="13" s="1"/>
  <c r="L7" i="7"/>
  <c r="L7" i="13" s="1"/>
  <c r="AG6" i="7"/>
  <c r="AG6" i="13" s="1"/>
  <c r="U6" i="7"/>
  <c r="U6" i="13" s="1"/>
  <c r="I6" i="7"/>
  <c r="I6" i="13" s="1"/>
  <c r="AD5" i="7"/>
  <c r="AD5" i="13" s="1"/>
  <c r="R5" i="7"/>
  <c r="R5" i="13" s="1"/>
  <c r="F5" i="7"/>
  <c r="F5" i="13" s="1"/>
  <c r="AA4" i="7"/>
  <c r="AA4" i="13" s="1"/>
  <c r="O4" i="7"/>
  <c r="O4" i="13" s="1"/>
  <c r="C4" i="7"/>
  <c r="C4" i="13" s="1"/>
  <c r="X3" i="13"/>
  <c r="L3" i="13"/>
  <c r="N17" i="5"/>
  <c r="M17" i="5"/>
  <c r="AH3" i="13" l="1"/>
  <c r="D68" i="1"/>
  <c r="G68" i="1" s="1"/>
  <c r="D7" i="13"/>
  <c r="B72" i="1"/>
  <c r="F72" i="1" s="1"/>
  <c r="D71" i="1"/>
  <c r="G71" i="1" s="1"/>
  <c r="AH6" i="13"/>
  <c r="D3" i="13"/>
  <c r="B68" i="1"/>
  <c r="F68" i="1" s="1"/>
  <c r="D5" i="13"/>
  <c r="B70" i="1"/>
  <c r="F70" i="1" s="1"/>
  <c r="D15" i="13"/>
  <c r="B80" i="1"/>
  <c r="F80" i="1" s="1"/>
  <c r="D69" i="1"/>
  <c r="G69" i="1" s="1"/>
  <c r="AH4" i="13"/>
  <c r="B81" i="1"/>
  <c r="F81" i="1" s="1"/>
  <c r="D16" i="13"/>
  <c r="AH9" i="13"/>
  <c r="D74" i="1"/>
  <c r="G74" i="1" s="1"/>
  <c r="D9" i="13"/>
  <c r="B74" i="1"/>
  <c r="F74" i="1" s="1"/>
  <c r="B69" i="1"/>
  <c r="F69" i="1" s="1"/>
  <c r="D4" i="13"/>
  <c r="B71" i="1"/>
  <c r="F71" i="1" s="1"/>
  <c r="D6" i="13"/>
  <c r="D12" i="13"/>
  <c r="B77" i="1"/>
  <c r="F77" i="1" s="1"/>
  <c r="D78" i="1"/>
  <c r="G78" i="1" s="1"/>
  <c r="AH13" i="13"/>
  <c r="H10" i="7"/>
  <c r="G10" i="13"/>
  <c r="AH15" i="13"/>
  <c r="D80" i="1"/>
  <c r="G80" i="1" s="1"/>
  <c r="D81" i="1"/>
  <c r="G81" i="1" s="1"/>
  <c r="AH16" i="13"/>
  <c r="B67" i="1"/>
  <c r="F67" i="1" s="1"/>
  <c r="D2" i="13"/>
  <c r="D11" i="13"/>
  <c r="B76" i="1"/>
  <c r="F76" i="1" s="1"/>
  <c r="D77" i="1"/>
  <c r="G77" i="1" s="1"/>
  <c r="AH12" i="13"/>
  <c r="AH11" i="13"/>
  <c r="D76" i="1"/>
  <c r="G76" i="1" s="1"/>
  <c r="D72" i="1"/>
  <c r="G72" i="1" s="1"/>
  <c r="AH7" i="13"/>
  <c r="B78" i="1"/>
  <c r="F78" i="1" s="1"/>
  <c r="D13" i="13"/>
  <c r="D70" i="1"/>
  <c r="G70" i="1" s="1"/>
  <c r="AH5" i="13"/>
  <c r="I10" i="7" l="1"/>
  <c r="H10" i="13"/>
  <c r="J10" i="7" l="1"/>
  <c r="I10" i="13"/>
  <c r="K10" i="7" l="1"/>
  <c r="J10" i="13"/>
  <c r="L10" i="7" l="1"/>
  <c r="K10" i="13"/>
  <c r="M10" i="7" l="1"/>
  <c r="L10" i="13"/>
  <c r="N10" i="7" l="1"/>
  <c r="M10" i="13"/>
  <c r="O10" i="7" l="1"/>
  <c r="N10" i="13"/>
  <c r="P10" i="7" l="1"/>
  <c r="O10" i="13"/>
  <c r="Q10" i="7" l="1"/>
  <c r="P10" i="13"/>
  <c r="R10" i="7" l="1"/>
  <c r="Q10" i="13"/>
  <c r="S10" i="7" l="1"/>
  <c r="R10" i="13"/>
  <c r="T10" i="7" l="1"/>
  <c r="S10" i="13"/>
  <c r="U10" i="7" l="1"/>
  <c r="T10" i="13"/>
  <c r="V10" i="7" l="1"/>
  <c r="U10" i="13"/>
  <c r="W10" i="7" l="1"/>
  <c r="V10" i="13"/>
  <c r="X10" i="7" l="1"/>
  <c r="W10" i="13"/>
  <c r="Y10" i="7" l="1"/>
  <c r="X10" i="13"/>
  <c r="Z10" i="7" l="1"/>
  <c r="Y10" i="13"/>
  <c r="AA10" i="7" l="1"/>
  <c r="Z10" i="13"/>
  <c r="AB10" i="7" l="1"/>
  <c r="AA10" i="13"/>
  <c r="AC10" i="7" l="1"/>
  <c r="AB10" i="13"/>
  <c r="AD10" i="7" l="1"/>
  <c r="AC10" i="13"/>
  <c r="AE10" i="7" l="1"/>
  <c r="AD10" i="13"/>
  <c r="AF10" i="7" l="1"/>
  <c r="AE10" i="13"/>
  <c r="AG10" i="7" l="1"/>
  <c r="AF10" i="13"/>
  <c r="AH10" i="7" l="1"/>
  <c r="AG10" i="13"/>
  <c r="D75" i="1" l="1"/>
  <c r="G75" i="1" s="1"/>
  <c r="AH1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tc={DA2E5874-19FE-49BD-B20E-BE1060310573}</author>
    <author>tc={CCC98270-FCED-4A48-86AE-3BF4BA1A57E3}</author>
  </authors>
  <commentList>
    <comment ref="A75" authorId="0" shapeId="0" xr:uid="{DA2E5874-19FE-49BD-B20E-BE1060310573}">
      <text>
        <t>[Threaded comment]
Your version of Excel allows you to read this threaded comment; however, any edits to it will get removed if the file is opened in a newer version of Excel. Learn more: https://go.microsoft.com/fwlink/?linkid=870924
Comment:
    U.S. applied a 1.1 multiplying factor for BECF-new, presumably to account for improvements in technology.</t>
      </text>
    </comment>
    <comment ref="A78" authorId="1" shapeId="0" xr:uid="{CCC98270-FCED-4A48-86AE-3BF4BA1A57E3}">
      <text>
        <t>[Threaded comment]
Your version of Excel allows you to read this threaded comment; however, any edits to it will get removed if the file is opened in a newer version of Excel. Learn more: https://go.microsoft.com/fwlink/?linkid=870924
Comment:
    Assumed to match hard coal. In reality, lignite CFs are typically higher but there is negligible capacity in Canada, therefore, it is inconsequential.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tc={B475D497-37AC-4D33-B304-094D084E398A}</author>
    <author>tc={C58562A5-E844-4A8F-82F3-1CE4918645B4}</author>
  </authors>
  <commentList>
    <comment ref="A10" authorId="0" shapeId="0" xr:uid="{B475D497-37AC-4D33-B304-094D084E398A}">
      <text>
        <t>[Threaded comment]
Your version of Excel allows you to read this threaded comment; however, any edits to it will get removed if the file is opened in a newer version of Excel. Learn more: https://go.microsoft.com/fwlink/?linkid=870924
Comment:
    U.S. applied a 1.1 multiplying factor for BECF-new, presumably to account for improvements in technology.</t>
      </text>
    </comment>
    <comment ref="A13" authorId="1" shapeId="0" xr:uid="{C58562A5-E844-4A8F-82F3-1CE4918645B4}">
      <text>
        <t>[Threaded comment]
Your version of Excel allows you to read this threaded comment; however, any edits to it will get removed if the file is opened in a newer version of Excel. Learn more: https://go.microsoft.com/fwlink/?linkid=870924
Comment:
    Assumed to match hard coal. In reality, lignite CFs are typically higher but there is negligible capacity in Canada, therefore, it is inconsequential.</t>
      </text>
    </comment>
  </commentList>
</comments>
</file>

<file path=xl/sharedStrings.xml><?xml version="1.0" encoding="utf-8"?>
<sst xmlns="http://schemas.openxmlformats.org/spreadsheetml/2006/main" count="2891" uniqueCount="332">
  <si>
    <t>Select Report Version: Canada’s Energy Future 2021</t>
  </si>
  <si>
    <t>Select Appendices: Electricity Capacity</t>
  </si>
  <si>
    <t>Select Case: Current Policies</t>
  </si>
  <si>
    <t>Select Type: Primary Fuel</t>
  </si>
  <si>
    <t>Units:</t>
  </si>
  <si>
    <t>MW</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</si>
  <si>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</si>
  <si>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</si>
  <si>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</si>
  <si>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</si>
  <si>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</si>
  <si>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</si>
  <si>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</si>
  <si>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</si>
  <si>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</si>
  <si>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</si>
  <si>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</si>
  <si>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</si>
  <si>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</si>
  <si>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</si>
  <si>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</si>
  <si>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</si>
  <si>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</si>
  <si>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</si>
  <si>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</si>
  <si>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</si>
  <si>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</si>
  <si>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</si>
  <si>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</si>
  <si>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</si>
  <si>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</si>
  <si>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</si>
  <si>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</si>
  <si>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</si>
  <si>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</si>
  <si>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</si>
  <si>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</si>
  <si>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</si>
  <si>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</si>
  <si>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</si>
  <si>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</si>
  <si>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</si>
  <si>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</si>
  <si>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</si>
  <si>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</si>
  <si>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</si>
  <si>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</si>
  <si>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</si>
  <si>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</si>
  <si>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</si>
  <si>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</si>
  <si>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</si>
  <si>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</si>
  <si>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</si>
  <si>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</si>
  <si>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</si>
  <si>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</si>
  <si>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</si>
  <si>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</si>
  <si>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</si>
  <si>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</si>
  <si>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</si>
  <si>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</si>
  <si>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</si>
  <si>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</si>
  <si>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</si>
  <si>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</si>
  <si>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</si>
  <si>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</si>
  <si>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</si>
  <si>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</si>
  <si>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</si>
  <si>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</si>
  <si>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</si>
  <si>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</si>
  <si>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Select Appendices: Electricity Generation</t>
  </si>
  <si>
    <t>GWh</t>
  </si>
  <si>
    <t>dimensionless</t>
  </si>
  <si>
    <t>https://apps.cer-rec.gc.ca/ftrppndc/dflt.aspx?GoCTemplateCulture=en-CA</t>
  </si>
  <si>
    <t xml:space="preserve">Select Type: </t>
  </si>
  <si>
    <t>Capacity Factor (CF)</t>
  </si>
  <si>
    <t>References: Canada Energy Future 2021 -- Electricity Generation &amp; Capacity</t>
  </si>
  <si>
    <t>EPS</t>
  </si>
  <si>
    <t>Generation Source</t>
  </si>
  <si>
    <t>hydro</t>
  </si>
  <si>
    <t>biomass</t>
  </si>
  <si>
    <t>onshore wind</t>
  </si>
  <si>
    <t>solar PV</t>
  </si>
  <si>
    <t>nuclear</t>
  </si>
  <si>
    <t>hard coal</t>
  </si>
  <si>
    <t>petroleum</t>
  </si>
  <si>
    <t>natural gas nonpeaker</t>
  </si>
  <si>
    <t>solar thermal</t>
  </si>
  <si>
    <t>geothermal</t>
  </si>
  <si>
    <t>natural gas peaker</t>
  </si>
  <si>
    <t>lignite</t>
  </si>
  <si>
    <t>offshore wind</t>
  </si>
  <si>
    <t>crude oil</t>
  </si>
  <si>
    <t>heavy or residual fuel oil</t>
  </si>
  <si>
    <t>municipal solid waste</t>
  </si>
  <si>
    <t>ATB Solar - Utility PV</t>
  </si>
  <si>
    <t>Basis Year</t>
  </si>
  <si>
    <t>Utility PV - Class 10 - Advanced</t>
  </si>
  <si>
    <t>Utility PV - Class 10 - Moderate</t>
  </si>
  <si>
    <t>Utility PV - Class 10 - Conservative</t>
  </si>
  <si>
    <t>Utility PV - Class 9 - Advanced</t>
  </si>
  <si>
    <t>Utility PV - Class 9 - Moderate</t>
  </si>
  <si>
    <t>Utility PV - Class 9 - Conservative</t>
  </si>
  <si>
    <t>Utility PV - Class 8 - Advanced</t>
  </si>
  <si>
    <t>Utility PV - Class 8 - Moderate</t>
  </si>
  <si>
    <t>Utility PV - Class 8 - Conservative</t>
  </si>
  <si>
    <t>Utility PV - Class 7 - Advanced</t>
  </si>
  <si>
    <t>Utility PV - Class 7 - Moderate</t>
  </si>
  <si>
    <t>Utility PV - Class 7 - Conservative</t>
  </si>
  <si>
    <t>Utility PV - Class 6 - Advanced</t>
  </si>
  <si>
    <t>Utility PV - Class 6 - Moderate</t>
  </si>
  <si>
    <t>Utility PV - Class 6 - Conservative</t>
  </si>
  <si>
    <t>Utility PV - Class 5 - Advanced</t>
  </si>
  <si>
    <t>Utility PV - Class 5 - Moderate</t>
  </si>
  <si>
    <t>Utility PV - Class 5 - Conservative</t>
  </si>
  <si>
    <t>Utility PV - Class 4 - Advanced</t>
  </si>
  <si>
    <t>Utility PV - Class 4 - Moderate</t>
  </si>
  <si>
    <t>Utility PV - Class 4 - Conservative</t>
  </si>
  <si>
    <t>Utility PV - Class 3 - Advanced</t>
  </si>
  <si>
    <t>Utility PV - Class 3 - Moderate</t>
  </si>
  <si>
    <t>Utility PV - Class 3 - Conservative</t>
  </si>
  <si>
    <t>Utility PV - Class 2 - Advanced</t>
  </si>
  <si>
    <t>Utility PV - Class 2 - Moderate</t>
  </si>
  <si>
    <t>Utility PV - Class 2 - Conservative</t>
  </si>
  <si>
    <t>Utility PV - Class 1 - Advanced</t>
  </si>
  <si>
    <t>Utility PV - Class 1 - Moderate</t>
  </si>
  <si>
    <t>Utility PV - Class 1 - Conservative</t>
  </si>
  <si>
    <t>Average</t>
  </si>
  <si>
    <t>ATB Solar Thermal</t>
  </si>
  <si>
    <t>10hrs TES - Class 1 - Advanced</t>
  </si>
  <si>
    <t>10hrs TES - Class 1 - Moderate</t>
  </si>
  <si>
    <t>10hrs TES - Class 1 - Conservative</t>
  </si>
  <si>
    <t>10hrs TES - Class 3 - Advanced</t>
  </si>
  <si>
    <t>10hrs TES - Class 3 - Moderate</t>
  </si>
  <si>
    <t>10hrs TES - Class 3 - Conservative</t>
  </si>
  <si>
    <t>10hrs TES - Class 5 - Advanced</t>
  </si>
  <si>
    <t>10hrs TES - Class 5 - Moderate</t>
  </si>
  <si>
    <t>10hrs TES - Class 5 - Conservative</t>
  </si>
  <si>
    <t>ATB Onshore Wind</t>
  </si>
  <si>
    <t>Class 1 - Advanced</t>
  </si>
  <si>
    <t>Class 1 - Moderate</t>
  </si>
  <si>
    <t>Class 1 - Conservative</t>
  </si>
  <si>
    <t>Class 2 - Advanced</t>
  </si>
  <si>
    <t>Class 2 - Moderate</t>
  </si>
  <si>
    <t>Class 2 - Conservative</t>
  </si>
  <si>
    <t>Class 3 - Advanced</t>
  </si>
  <si>
    <t>Class 3 - Moderate</t>
  </si>
  <si>
    <t>Class 3 - Conservative</t>
  </si>
  <si>
    <t>Class 4 - Advanced</t>
  </si>
  <si>
    <t>Class 4 - Moderate</t>
  </si>
  <si>
    <t>Class 4 - Conservative</t>
  </si>
  <si>
    <t>Class 5 - Advanced</t>
  </si>
  <si>
    <t>Class 5 - Moderate</t>
  </si>
  <si>
    <t>Class 5 - Conservative</t>
  </si>
  <si>
    <t>Class 6 - Advanced</t>
  </si>
  <si>
    <t>Class 6 - Moderate</t>
  </si>
  <si>
    <t>Class 6 - Conservative</t>
  </si>
  <si>
    <t>Class 7 - Advanced</t>
  </si>
  <si>
    <t>Class 7 - Moderate</t>
  </si>
  <si>
    <t>Class 7 - Conservative</t>
  </si>
  <si>
    <t>Class 8 - Advanced</t>
  </si>
  <si>
    <t>Class 8 - Moderate</t>
  </si>
  <si>
    <t>Class 8 - Conservative</t>
  </si>
  <si>
    <t>Class 9 - Advanced</t>
  </si>
  <si>
    <t>Class 9 - Moderate</t>
  </si>
  <si>
    <t>Class 9 - Conservative</t>
  </si>
  <si>
    <t>Class 10 - Advanced</t>
  </si>
  <si>
    <t>Class 10 - Moderate</t>
  </si>
  <si>
    <t>Class 10 - Conservative</t>
  </si>
  <si>
    <t>Land-Based Wind Techno-Resource Groups (TRG)</t>
  </si>
  <si>
    <t>Techno-Resource Group (TRG)</t>
  </si>
  <si>
    <t>Wind Speed Range (m/s)</t>
  </si>
  <si>
    <t>Weighted Average Wind Speed (m/s)</t>
  </si>
  <si>
    <t>Potential Wind Plant Capacity (GW)</t>
  </si>
  <si>
    <t>Class1</t>
  </si>
  <si>
    <t>&gt; 9.0</t>
  </si>
  <si>
    <t>Class2</t>
  </si>
  <si>
    <t>8.8 - 9.0</t>
  </si>
  <si>
    <t>Class3</t>
  </si>
  <si>
    <t>8.6 - 8.8</t>
  </si>
  <si>
    <t>Class4</t>
  </si>
  <si>
    <t>8.4 - 8.6</t>
  </si>
  <si>
    <t>Class5</t>
  </si>
  <si>
    <t>8.1 - 8.4</t>
  </si>
  <si>
    <t>Class6</t>
  </si>
  <si>
    <t>7.6 - 8.1</t>
  </si>
  <si>
    <t>Class7</t>
  </si>
  <si>
    <t>7.1 - 7.6</t>
  </si>
  <si>
    <t>Class8</t>
  </si>
  <si>
    <t>6.5 - 7.1</t>
  </si>
  <si>
    <t>Class9</t>
  </si>
  <si>
    <t>5.9 - 6.5</t>
  </si>
  <si>
    <t>Weighted average of first 4 classes</t>
  </si>
  <si>
    <t>Class10</t>
  </si>
  <si>
    <t>0 - 5.9</t>
  </si>
  <si>
    <t>Total</t>
  </si>
  <si>
    <t>ATB Offshore Wind</t>
  </si>
  <si>
    <t>Class 11 - Advanced</t>
  </si>
  <si>
    <t>Class 11 - Moderate</t>
  </si>
  <si>
    <t>Class 11 - Conservative</t>
  </si>
  <si>
    <t>Class 12 - Advanced</t>
  </si>
  <si>
    <t>Class 12 - Moderate</t>
  </si>
  <si>
    <t>Class 12 - Conservative</t>
  </si>
  <si>
    <t>Class 13 - Advanced</t>
  </si>
  <si>
    <t>Class 13 - Moderate</t>
  </si>
  <si>
    <t>Class 13 - Conservative</t>
  </si>
  <si>
    <t>Class 14 - Advanced</t>
  </si>
  <si>
    <t>Class 14 - Moderate</t>
  </si>
  <si>
    <t>Class 14 - Conservative</t>
  </si>
  <si>
    <t>Potential Capacity (GW)</t>
  </si>
  <si>
    <t>Class 1 - Offshore Fixed</t>
  </si>
  <si>
    <t>Class 2 - Offshore Fixed</t>
  </si>
  <si>
    <t>Class 8 - Offshore Floating</t>
  </si>
  <si>
    <t>Class 9 - Offshore Floating</t>
  </si>
  <si>
    <t>Weighted Average of Classes 1-2 and 8-9</t>
  </si>
  <si>
    <t>ATB Solar CSP</t>
  </si>
  <si>
    <t>CSP - Class 7 - Advanced</t>
  </si>
  <si>
    <t>CSP - Class 7 - Moderate</t>
  </si>
  <si>
    <t>CSP - Class 7 - Conservative</t>
  </si>
  <si>
    <t>CSP - Class 3 - Advanced</t>
  </si>
  <si>
    <t>CSP - Class 3 - Moderate</t>
  </si>
  <si>
    <t>CSP - Class 3 - Conservative</t>
  </si>
  <si>
    <t>CSP - Class 2 - Advanced</t>
  </si>
  <si>
    <t>CSP - Class 2 - Moderate</t>
  </si>
  <si>
    <t>CSP - Class 2 - Conservative</t>
  </si>
  <si>
    <t>Table 4.08.B. Capacity Factors for Utility Scale Generators Primarily Using Non-Fossil Fuels</t>
  </si>
  <si>
    <t/>
  </si>
  <si>
    <t>Geothermal</t>
  </si>
  <si>
    <t>Hydroelectric</t>
  </si>
  <si>
    <t>Nuclear</t>
  </si>
  <si>
    <t>Other Biomass</t>
  </si>
  <si>
    <t>Other Gas</t>
  </si>
  <si>
    <t>Wood</t>
  </si>
  <si>
    <t>Year/Month</t>
  </si>
  <si>
    <t>Photovoltaic</t>
  </si>
  <si>
    <t>Thermal</t>
  </si>
  <si>
    <t>Time Adjusted Capacity</t>
  </si>
  <si>
    <t>Capacity Factor</t>
  </si>
  <si>
    <t>Annual Data</t>
  </si>
  <si>
    <t xml:space="preserve">Values are final.
Time adjusted capacity for month rows is the summer capacity of generators in operation for the entire month; units that began operation during the month or that retired during the month are excluded. Time adjusted capacity for year rows is a time weighted average of the month rows.
Capacity factors are a comparison of net generation with available capacity. See the technical note for an explanation of how capacity factors are calculated.
Sources: U.S. Energy Information Administration, Form EIA-923, Power Plant Operations Report; U.S. Energy Information Administration, Form EIA-860, 'Annual Electric Generator Report' and Form EIA-860M, 'Monthly Update to the Annual Electric Generator Report.'
</t>
  </si>
  <si>
    <t>CAN 2020</t>
  </si>
  <si>
    <t>USA 2020</t>
  </si>
  <si>
    <t>CAN 2050</t>
  </si>
  <si>
    <t>USA 2050</t>
  </si>
  <si>
    <t>Percent Difference</t>
  </si>
  <si>
    <t>BAU Expected Capacity Factors</t>
  </si>
  <si>
    <t>Source:</t>
  </si>
  <si>
    <t>Existing Capacity Factors, Except for Coal (and capacity factor for newly built Nuclear)</t>
  </si>
  <si>
    <t>Existing and New Offshore Wind, New Solar Thermal Capacity Factors; Trends for New Solar PV and Onshore Wind Capacity Factors</t>
  </si>
  <si>
    <t>Energy Information Administration</t>
  </si>
  <si>
    <t>National Renewable Energy Lab</t>
  </si>
  <si>
    <t>2021, 2022</t>
  </si>
  <si>
    <t>Electric Power Annual 2020</t>
  </si>
  <si>
    <t>2021-ATB-Data_Master</t>
  </si>
  <si>
    <t>http://www.eia.gov/electricity/annual/</t>
  </si>
  <si>
    <t>https://atb.nrel.gov/</t>
  </si>
  <si>
    <t>Tables 4.8.A and 4.8.B</t>
  </si>
  <si>
    <t>https://data.openei.org/files/5716/2022%20v1%20Annual%20Technology%20Baseline%20Workbook%20Original%206-14-2022.xlsx</t>
  </si>
  <si>
    <t>Existing Capacity Factor for Hard Coal, Lignite</t>
  </si>
  <si>
    <t>2022 (Data for 2021)</t>
  </si>
  <si>
    <t>Forms 860 and 923</t>
  </si>
  <si>
    <t>https://www.eia.gov/electricity/</t>
  </si>
  <si>
    <t>Form 860: 3_1_Generator_Y2021 (Operable tab) pre-release and Form 923: EIA923_Schedules_2_3_4_5_M_12_2021, (Page 1 Generator and Fuel Data tab)</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</si>
  <si>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</si>
  <si>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</si>
  <si>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</si>
  <si>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</si>
  <si>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 xml:space="preserve">For all sources other than nuclear, onshore/offshore wind, 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</si>
  <si>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</si>
  <si>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</si>
  <si>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</si>
  <si>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 xml:space="preserve">For onshore wind and solar PV, we take capacity factors for new resources from EIA Form 860 and Form 923, </t>
  </si>
  <si>
    <t xml:space="preserve">considering plants built in 2017 and 2018. For solar thermal and offshore wind, we take new capacity factors from the ATB. </t>
  </si>
  <si>
    <t xml:space="preserve">We use the ATB to determine the trend in capacity factors through 2050. For onshore and offshore wind, we average based </t>
  </si>
  <si>
    <t xml:space="preserve">on a subset of the ATB classes for all 4 resources. </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</si>
  <si>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</si>
  <si>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</si>
  <si>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</si>
  <si>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For coal we use data from Form 860 and Form 923 to develop separate capacity factors for lignite and</t>
  </si>
  <si>
    <t>non-lignite coal plants.</t>
  </si>
  <si>
    <t xml:space="preserve">For the U.S., the natural gas preexisting retiring designation for natural gas nonpeakers refers to steam turbines, while the </t>
  </si>
  <si>
    <t>preexisting nonretiring designation refers to combined cycle.</t>
  </si>
  <si>
    <t>Capacity Factors</t>
  </si>
  <si>
    <t>2020 CAN % Generation</t>
  </si>
  <si>
    <t>2050 CAN % Generation</t>
  </si>
  <si>
    <t xml:space="preserve">Downwards trend suggests the difference in CFs okay. U.S. BAU may not account for scaling back of coal power plants, whereas the Canadian BAU should, given policies that are currently in place. </t>
  </si>
  <si>
    <t>CF values converge in the longterm. Additionally, differences may be attributed to inherent differences in nuclear generation techniques between Canada and the U.S.</t>
  </si>
  <si>
    <t>Given the Canadian hydro CFs are higher, this is not as alarming as the inverse would be, especially given Canada's vast hydro resources and their integral part of the electricity grid.</t>
  </si>
  <si>
    <t>Converging CFs correspond to the growing proportion of onshore wind in the electricity grid. No major red flags.</t>
  </si>
  <si>
    <t xml:space="preserve">Significant difference in CFs, however, given the very small contribution to the overall electricity grid, this should be acceptable. </t>
  </si>
  <si>
    <t>Significant difference in CFs, however, given the very small contribution to the overall electricity grid, this should be acceptable. The U.S. may also be able to achieve higher CFs given the amount of solar PV installed in the American Southwest, where the climate is well suited to maximizing PV electrical output.</t>
  </si>
  <si>
    <t>Existing Capacity and Generation</t>
  </si>
  <si>
    <t xml:space="preserve">Canada Energy Regulator </t>
  </si>
  <si>
    <t>Canada's Energy Future 2021</t>
  </si>
  <si>
    <t>https://apps.rec-cer.gc.ca/ftrppndc/dflt.aspx?GoCTemplateCulture&amp;GoCTemplateCulture=en-CA</t>
  </si>
  <si>
    <t>Appendices, Electricity Generation and Electricity Capacity; Current Policies</t>
  </si>
  <si>
    <t xml:space="preserve">Refer to 'U.S. About' sheet for details on the U.S. data that was used. </t>
  </si>
  <si>
    <r>
      <rPr>
        <u/>
        <sz val="11"/>
        <color theme="1"/>
        <rFont val="Calibri"/>
        <family val="2"/>
        <scheme val="minor"/>
      </rPr>
      <t>Specifically</t>
    </r>
    <r>
      <rPr>
        <sz val="11"/>
        <color theme="1"/>
        <rFont val="Calibri"/>
        <family val="2"/>
        <scheme val="minor"/>
      </rPr>
      <t xml:space="preserve">: </t>
    </r>
  </si>
  <si>
    <t>Where available, CER CEF data was used, including projections into the future for the Current Policies (BAU) scenario.</t>
  </si>
  <si>
    <t>Offshore wind is currently non-existent (or insignificant) in Canada compared to Onshore wind, therefore, Wind was considered solely as Onshore wind</t>
  </si>
  <si>
    <t>Wave and Tidal energy is insignificant compared to Hydro, therefore, Hydro / Wave / Tidal was considered to be solely Hydro</t>
  </si>
  <si>
    <t>Geothermal is insignificant compared to Biomass in Canada, therefore, Biomass / Geothermal was considered to be solely Biomass</t>
  </si>
  <si>
    <t>Solar thermal is insignificant compared to Solar PV in Canada, therefore, Solar was considered to be solely Solar PV</t>
  </si>
  <si>
    <t>Coal &amp; Coke were not further disaggregated, therefore, it was all attributed to Hard Coal</t>
  </si>
  <si>
    <t>crude oil and heavy or residual fuel oil were assumed to have the same capacity factors as petroleum</t>
  </si>
  <si>
    <t>Oil was attributed to Petroleum, although (as seen below), crude oil and heavy or residual fuel oil were assumed to have the same CFs as Petroleum</t>
  </si>
  <si>
    <t xml:space="preserve">In the absence of clear Canadian data, rather than labelling Capacity Factors as being zero, or 0.01 arbitrarily, U.S. data was used. </t>
  </si>
  <si>
    <t xml:space="preserve">This was the case for solar thermal, offshore wind, geothermal, and municipal solid waste, each of which contributes very little proportionally to the Canadian electricity grid. </t>
  </si>
  <si>
    <t xml:space="preserve">The 'LookupTables' sheet shows the mapping of CER CEF generation categories to the EPS generation categories. These can be modified. The current assumptions are listed below. </t>
  </si>
  <si>
    <r>
      <t xml:space="preserve">NREL ATB 2021 &amp; 2022 data was used for </t>
    </r>
    <r>
      <rPr>
        <u/>
        <sz val="11"/>
        <color theme="1"/>
        <rFont val="Calibri"/>
        <family val="2"/>
        <scheme val="minor"/>
      </rPr>
      <t>solar thermal</t>
    </r>
    <r>
      <rPr>
        <sz val="11"/>
        <color theme="1"/>
        <rFont val="Calibri"/>
        <family val="2"/>
        <scheme val="minor"/>
      </rPr>
      <t xml:space="preserve"> and </t>
    </r>
    <r>
      <rPr>
        <u/>
        <sz val="11"/>
        <color theme="1"/>
        <rFont val="Calibri"/>
        <family val="2"/>
        <scheme val="minor"/>
      </rPr>
      <t>offshore wind</t>
    </r>
    <r>
      <rPr>
        <sz val="11"/>
        <color theme="1"/>
        <rFont val="Calibri"/>
        <family val="2"/>
        <scheme val="minor"/>
      </rPr>
      <t xml:space="preserve"> capacity factors. </t>
    </r>
  </si>
  <si>
    <r>
      <t xml:space="preserve">EIA Electric Power Annual data from 2020 was used for </t>
    </r>
    <r>
      <rPr>
        <u/>
        <sz val="11"/>
        <color theme="1"/>
        <rFont val="Calibri"/>
        <family val="2"/>
        <scheme val="minor"/>
      </rPr>
      <t>geothermal</t>
    </r>
    <r>
      <rPr>
        <sz val="11"/>
        <color theme="1"/>
        <rFont val="Calibri"/>
        <family val="2"/>
        <scheme val="minor"/>
      </rPr>
      <t xml:space="preserve"> and </t>
    </r>
    <r>
      <rPr>
        <u/>
        <sz val="11"/>
        <color theme="1"/>
        <rFont val="Calibri"/>
        <family val="2"/>
        <scheme val="minor"/>
      </rPr>
      <t>municipal solid waste</t>
    </r>
    <r>
      <rPr>
        <sz val="11"/>
        <color theme="1"/>
        <rFont val="Calibri"/>
        <family val="2"/>
        <scheme val="minor"/>
      </rPr>
      <t xml:space="preserve"> capacity factors.</t>
    </r>
  </si>
  <si>
    <t xml:space="preserve">The U.S. data sheets may be hidden in the ribbon at the bottom of the worksheet. Unhide as required. </t>
  </si>
  <si>
    <t>This variable represents the capacity factors that electricity suppliers expect to run each type of power plant. Given the choice, an electricity supplier</t>
  </si>
  <si>
    <t>would sooner build a new nonpeaker power plant than attempt to rely on running a nonpeaker plant at greater than its Expected Capacity Factor.</t>
  </si>
  <si>
    <t>Data Grouping Assumptions</t>
  </si>
  <si>
    <t>Same Data Assumptions</t>
  </si>
  <si>
    <t>Missing Data Assumptions</t>
  </si>
  <si>
    <t>Assumptions</t>
  </si>
  <si>
    <t>File-Specific Assumptions</t>
  </si>
  <si>
    <t>Expected Capacity Factor (dimensionless)</t>
  </si>
  <si>
    <t xml:space="preserve">Preexisting retiring (BECF-pre-ret) power plants were assumed to have the same Capacity Factors as newly built power plants, as they both follow forecasted data. </t>
  </si>
  <si>
    <t xml:space="preserve">Preexisting non-retiring (BECF-pre-nonret) power plants were assumed to have Capacity Factors of zero. </t>
  </si>
  <si>
    <t>Both of the preceding assumptions should be irrelevant, given new (BECF-new) power plants should have the highest Capacity Factors, and only the maximum CFs are used in the Vensim model.</t>
  </si>
  <si>
    <t>Natural Gas Assumptions</t>
  </si>
  <si>
    <t>CER CEF</t>
  </si>
  <si>
    <t>lignite was assumed to have the same capacity factor as coal. Although lignite typically has higher CFs compared to coal, it was assumed that the capacity of lignite in Canada was insignificant compared to coal therefore it should not matter</t>
  </si>
  <si>
    <t>*temporarily use U.S.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</si>
</sst>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_(* \(#,##0\);_(* &quot;-&quot;??_);_(@_)"/>
    <numFmt numFmtId="165" formatCode="0.0000"/>
    <numFmt numFmtId="166" formatCode="0.000"/>
    <numFmt numFmtId="167" formatCode="0.0%"/>
    <numFmt numFmtId="168" formatCode="0.0"/>
    <numFmt numFmtId="169" formatCode="#,##0.0"/>
    <numFmt numFmtId="170" formatCode="#,##0.0%"/>
  </numFmts>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rgb="FF000000"/>
      <name val="Calibri"/>
      <family val="2"/>
    </font>
    <font>
      <b/>
      <sz val="16"/>
      <color rgb="FF000000"/>
      <name val="Calibri"/>
      <family val="2"/>
    </font>
    <font>
      <b/>
      <sz val="16"/>
      <color theme="1"/>
      <name val="Calibri"/>
      <family val="2"/>
      <scheme val="minor"/>
    </font>
    <font>
      <b/>
      <sz val="14"/>
      <color rgb="FF000000"/>
      <name val="Calibri"/>
      <family val="2"/>
    </font>
    <font>
      <u/>
      <sz val="11"/>
      <color theme="10"/>
      <name val="Calibri"/>
      <family val="2"/>
      <scheme val="minor"/>
    </font>
    <font>
      <sz val="16"/>
      <color theme="1"/>
      <name val="Calibri"/>
      <family val="2"/>
      <scheme val="minor"/>
    </font>
    <font>
      <sz val="16"/>
      <color rgb="FF000000"/>
      <name val="Calibri"/>
      <family val="2"/>
    </font>
    <font>
      <sz val="10"/>
      <color theme="1"/>
      <name val="Arial"/>
      <family val="2"/>
    </font>
    <font>
      <b/>
      <sz val="10"/>
      <color theme="1"/>
      <name val="Arial"/>
      <family val="2"/>
    </font>
    <font>
      <sz val="10"/>
      <name val="Arial"/>
      <family val="2"/>
    </font>
    <font>
      <b/>
      <sz val="12"/>
      <color indexed="30"/>
      <name val="Arial"/>
      <family val="2"/>
    </font>
    <font>
      <b/>
      <sz val="10"/>
      <color indexed="8"/>
      <name val="Arial"/>
      <family val="2"/>
    </font>
    <font>
      <sz val="10"/>
      <color indexed="8"/>
      <name val="Arial"/>
      <family val="2"/>
    </font>
    <font>
      <sz val="10"/>
      <name val="Tahoma"/>
      <family val="2"/>
    </font>
    <font>
      <b/>
      <sz val="11"/>
      <color theme="1"/>
      <name val="Calibri"/>
      <family val="2"/>
    </font>
    <font>
      <sz val="11"/>
      <color theme="1"/>
      <name val="Calibri"/>
      <family val="2"/>
    </font>
    <font>
      <u/>
      <sz val="11"/>
      <color theme="1"/>
      <name val="Calibri"/>
      <family val="2"/>
      <scheme val="minor"/>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D3DFEE"/>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BFBFBF"/>
        <bgColor rgb="FFBFBFBF"/>
      </patternFill>
    </fill>
  </fills>
  <borders count="22">
    <border>
      <left/>
      <right/>
      <top/>
      <bottom/>
      <diagonal/>
    </border>
    <border>
      <left/>
      <right/>
      <top style="thin">
        <color theme="0" tint="-0.14996795556505021"/>
      </top>
      <bottom/>
      <diagonal/>
    </border>
    <border>
      <left/>
      <right/>
      <top style="thin">
        <color theme="0" tint="-0.14996795556505021"/>
      </top>
      <bottom style="thin">
        <color theme="0"/>
      </bottom>
      <diagonal/>
    </border>
    <border>
      <left/>
      <right/>
      <top style="thin">
        <color theme="0"/>
      </top>
      <bottom style="thin">
        <color theme="0"/>
      </bottom>
      <diagonal/>
    </border>
    <border>
      <left/>
      <right/>
      <top/>
      <bottom style="thin">
        <color theme="0" tint="-0.14996795556505021"/>
      </bottom>
      <diagonal/>
    </border>
    <border>
      <left/>
      <right/>
      <top style="thin">
        <color theme="0"/>
      </top>
      <bottom style="thick">
        <color theme="0"/>
      </bottom>
      <diagonal/>
    </border>
    <border>
      <left/>
      <right/>
      <top style="thick">
        <color theme="0"/>
      </top>
      <bottom style="thin">
        <color theme="0"/>
      </bottom>
      <diagonal/>
    </border>
    <border>
      <left/>
      <right/>
      <top style="thin">
        <color theme="0"/>
      </top>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style="medium">
        <color rgb="FF4F81BD"/>
      </right>
      <top/>
      <bottom style="medium">
        <color rgb="FF4F81BD"/>
      </bottom>
      <diagonal/>
    </border>
    <border>
      <left style="medium">
        <color rgb="FF4F81BD"/>
      </left>
      <right/>
      <top style="medium">
        <color rgb="FF4F81BD"/>
      </top>
      <bottom/>
      <diagonal/>
    </border>
    <border>
      <left style="medium">
        <color rgb="FF4F81BD"/>
      </left>
      <right/>
      <top/>
      <bottom/>
      <diagonal/>
    </border>
    <border>
      <left style="medium">
        <color rgb="FF4F81BD"/>
      </left>
      <right style="medium">
        <color rgb="FF4F81BD"/>
      </right>
      <top/>
      <bottom/>
      <diagonal/>
    </border>
    <border>
      <left style="medium">
        <color rgb="FF4F81BD"/>
      </left>
      <right/>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style="medium">
        <color rgb="FF4F81BD"/>
      </top>
      <bottom style="medium">
        <color rgb="FF4F81B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0" borderId="0" applyBorder="0"/>
    <xf numFmtId="0" fontId="9" fillId="0" borderId="0" applyNumberFormat="0" applyFill="0" applyBorder="0" applyAlignment="0" applyProtection="0"/>
  </cellStyleXfs>
  <cellXfs count="101">
    <xf numFmtId="0" fontId="0" fillId="0" borderId="0" xfId="0"/>
    <xf numFmtId="0" fontId="6" fillId="0" borderId="0" xfId="5" applyFont="1"/>
    <xf numFmtId="0" fontId="5" fillId="0" borderId="0" xfId="5"/>
    <xf numFmtId="0" fontId="7" fillId="0" borderId="0" xfId="0" applyFont="1"/>
    <xf numFmtId="0" fontId="8" fillId="0" borderId="0" xfId="5" applyFont="1"/>
    <xf numFmtId="164" fontId="5" fillId="0" borderId="0" xfId="5" applyNumberFormat="1"/>
    <xf numFmtId="0" fontId="5" fillId="0" borderId="0" xfId="0" applyFont="1"/>
    <xf numFmtId="164" fontId="5" fillId="0" borderId="0" xfId="0" applyNumberFormat="1" applyFont="1"/>
    <xf numFmtId="0" fontId="9" fillId="0" borderId="0" xfId="6"/>
    <xf numFmtId="0" fontId="10" fillId="0" borderId="0" xfId="0" applyFont="1"/>
    <xf numFmtId="0" fontId="11" fillId="0" borderId="0" xfId="5" applyFont="1"/>
    <xf numFmtId="166" fontId="5" fillId="0" borderId="0" xfId="5" applyNumberFormat="1"/>
    <xf numFmtId="0" fontId="0" fillId="0" borderId="0" xfId="1" applyNumberFormat="1" applyFont="1"/>
    <xf numFmtId="0" fontId="0" fillId="0" borderId="0" xfId="1" applyNumberFormat="1" applyFont="1" applyAlignment="1">
      <alignment wrapText="1"/>
    </xf>
    <xf numFmtId="165" fontId="0" fillId="0" borderId="0" xfId="0" quotePrefix="1" applyNumberFormat="1"/>
    <xf numFmtId="0" fontId="4" fillId="5" borderId="0" xfId="0" applyFont="1" applyFill="1"/>
    <xf numFmtId="0" fontId="12" fillId="0" borderId="0" xfId="0" applyFont="1"/>
    <xf numFmtId="0" fontId="12" fillId="0" borderId="0" xfId="0" applyFont="1" applyAlignment="1">
      <alignment horizontal="center" vertical="top"/>
    </xf>
    <xf numFmtId="0" fontId="13" fillId="0" borderId="1" xfId="0" applyFont="1" applyBorder="1"/>
    <xf numFmtId="9" fontId="12" fillId="4" borderId="2" xfId="2" applyFont="1" applyFill="1" applyBorder="1"/>
    <xf numFmtId="0" fontId="13" fillId="0" borderId="0" xfId="0" applyFont="1"/>
    <xf numFmtId="9" fontId="12" fillId="4" borderId="3" xfId="2" applyFont="1" applyFill="1" applyBorder="1"/>
    <xf numFmtId="0" fontId="13" fillId="0" borderId="4" xfId="0" applyFont="1" applyBorder="1"/>
    <xf numFmtId="9" fontId="12" fillId="4" borderId="5" xfId="2" applyFont="1" applyFill="1" applyBorder="1"/>
    <xf numFmtId="167" fontId="0" fillId="0" borderId="0" xfId="0" applyNumberFormat="1"/>
    <xf numFmtId="0" fontId="12" fillId="0" borderId="1" xfId="0" applyFont="1" applyBorder="1"/>
    <xf numFmtId="0" fontId="12" fillId="0" borderId="4" xfId="0" applyFont="1" applyBorder="1"/>
    <xf numFmtId="9" fontId="0" fillId="0" borderId="0" xfId="0" applyNumberFormat="1"/>
    <xf numFmtId="0" fontId="13" fillId="5" borderId="0" xfId="0" applyFont="1" applyFill="1"/>
    <xf numFmtId="9" fontId="12" fillId="4" borderId="6" xfId="0" applyNumberFormat="1" applyFont="1" applyFill="1" applyBorder="1"/>
    <xf numFmtId="9" fontId="12" fillId="4" borderId="3" xfId="0" applyNumberFormat="1" applyFont="1" applyFill="1" applyBorder="1"/>
    <xf numFmtId="9" fontId="12" fillId="4" borderId="7" xfId="0" applyNumberFormat="1" applyFont="1" applyFill="1" applyBorder="1"/>
    <xf numFmtId="9" fontId="12" fillId="4" borderId="5" xfId="0" applyNumberFormat="1" applyFont="1" applyFill="1" applyBorder="1"/>
    <xf numFmtId="0" fontId="12" fillId="0" borderId="5" xfId="0" applyFont="1" applyBorder="1"/>
    <xf numFmtId="0" fontId="12" fillId="0" borderId="6" xfId="0" applyFont="1" applyBorder="1"/>
    <xf numFmtId="0" fontId="13" fillId="6" borderId="8" xfId="0" applyFont="1" applyFill="1" applyBorder="1"/>
    <xf numFmtId="0" fontId="13" fillId="6" borderId="0" xfId="0" applyFont="1" applyFill="1"/>
    <xf numFmtId="0" fontId="14" fillId="7" borderId="11" xfId="0" applyFont="1" applyFill="1" applyBorder="1" applyAlignment="1">
      <alignment horizontal="center" vertical="center" wrapText="1"/>
    </xf>
    <xf numFmtId="0" fontId="12" fillId="7" borderId="11" xfId="0" applyFont="1" applyFill="1" applyBorder="1" applyAlignment="1">
      <alignment horizontal="center" vertical="center" wrapText="1"/>
    </xf>
    <xf numFmtId="168" fontId="12" fillId="7" borderId="11" xfId="0" applyNumberFormat="1" applyFont="1" applyFill="1" applyBorder="1" applyAlignment="1">
      <alignment horizontal="center" vertical="center" wrapText="1"/>
    </xf>
    <xf numFmtId="1" fontId="12" fillId="7" borderId="9" xfId="0" applyNumberFormat="1" applyFont="1" applyFill="1" applyBorder="1" applyAlignment="1">
      <alignment horizontal="center" vertical="center" wrapText="1"/>
    </xf>
    <xf numFmtId="0" fontId="14" fillId="0" borderId="12" xfId="0" applyFont="1" applyBorder="1" applyAlignment="1">
      <alignment horizontal="center" vertical="center" wrapText="1"/>
    </xf>
    <xf numFmtId="0" fontId="12" fillId="0" borderId="12" xfId="0" applyFont="1" applyBorder="1" applyAlignment="1">
      <alignment horizontal="center" vertical="center" wrapText="1"/>
    </xf>
    <xf numFmtId="168" fontId="12" fillId="0" borderId="12" xfId="0" applyNumberFormat="1" applyFont="1" applyBorder="1" applyAlignment="1">
      <alignment horizontal="center" vertical="center" wrapText="1"/>
    </xf>
    <xf numFmtId="1" fontId="12" fillId="0" borderId="13" xfId="0" applyNumberFormat="1" applyFont="1" applyBorder="1" applyAlignment="1">
      <alignment horizontal="center" vertical="center" wrapText="1"/>
    </xf>
    <xf numFmtId="0" fontId="14" fillId="7" borderId="12" xfId="0" applyFont="1" applyFill="1" applyBorder="1" applyAlignment="1">
      <alignment horizontal="center" vertical="center" wrapText="1"/>
    </xf>
    <xf numFmtId="0" fontId="12" fillId="7" borderId="12" xfId="0" applyFont="1" applyFill="1" applyBorder="1" applyAlignment="1">
      <alignment horizontal="center" vertical="center" wrapText="1"/>
    </xf>
    <xf numFmtId="168" fontId="12" fillId="7" borderId="12" xfId="0" applyNumberFormat="1" applyFont="1" applyFill="1" applyBorder="1" applyAlignment="1">
      <alignment horizontal="center" vertical="center" wrapText="1"/>
    </xf>
    <xf numFmtId="1" fontId="12" fillId="7" borderId="13" xfId="0" applyNumberFormat="1" applyFont="1" applyFill="1" applyBorder="1" applyAlignment="1">
      <alignment horizontal="center" vertical="center" wrapText="1"/>
    </xf>
    <xf numFmtId="9" fontId="0" fillId="0" borderId="0" xfId="2" applyFont="1"/>
    <xf numFmtId="0" fontId="0" fillId="0" borderId="0" xfId="0" applyAlignment="1">
      <alignment wrapText="1"/>
    </xf>
    <xf numFmtId="0" fontId="14" fillId="0" borderId="14" xfId="0" applyFont="1" applyBorder="1" applyAlignment="1">
      <alignment horizontal="center" vertical="center" wrapText="1"/>
    </xf>
    <xf numFmtId="0" fontId="12" fillId="0" borderId="14" xfId="0" applyFont="1" applyBorder="1" applyAlignment="1">
      <alignment horizontal="center" vertical="center" wrapText="1"/>
    </xf>
    <xf numFmtId="168" fontId="12" fillId="0" borderId="14" xfId="0" applyNumberFormat="1" applyFont="1" applyBorder="1" applyAlignment="1">
      <alignment horizontal="center" vertical="center" wrapText="1"/>
    </xf>
    <xf numFmtId="1" fontId="12" fillId="0" borderId="10" xfId="0" applyNumberFormat="1" applyFont="1" applyBorder="1" applyAlignment="1">
      <alignment horizontal="center" vertical="center" wrapText="1"/>
    </xf>
    <xf numFmtId="0" fontId="12" fillId="7" borderId="15" xfId="0" applyFont="1" applyFill="1" applyBorder="1" applyAlignment="1">
      <alignment horizontal="center" vertical="center" wrapText="1"/>
    </xf>
    <xf numFmtId="0" fontId="12" fillId="7" borderId="16" xfId="0" applyFont="1" applyFill="1" applyBorder="1" applyAlignment="1">
      <alignment horizontal="center" vertical="center" wrapText="1"/>
    </xf>
    <xf numFmtId="3" fontId="12" fillId="7" borderId="17" xfId="0" applyNumberFormat="1" applyFont="1" applyFill="1" applyBorder="1" applyAlignment="1">
      <alignment horizontal="center" vertical="center" wrapText="1"/>
    </xf>
    <xf numFmtId="167" fontId="12" fillId="4" borderId="6" xfId="0" applyNumberFormat="1" applyFont="1" applyFill="1" applyBorder="1"/>
    <xf numFmtId="167" fontId="12" fillId="4" borderId="3" xfId="0" applyNumberFormat="1" applyFont="1" applyFill="1" applyBorder="1"/>
    <xf numFmtId="167" fontId="12" fillId="4" borderId="7" xfId="0" applyNumberFormat="1" applyFont="1" applyFill="1" applyBorder="1"/>
    <xf numFmtId="0" fontId="12" fillId="0" borderId="0" xfId="0" applyFont="1" applyAlignment="1">
      <alignment wrapText="1"/>
    </xf>
    <xf numFmtId="0" fontId="3" fillId="3" borderId="0" xfId="4"/>
    <xf numFmtId="165" fontId="3" fillId="3" borderId="0" xfId="4" quotePrefix="1" applyNumberFormat="1"/>
    <xf numFmtId="0" fontId="0" fillId="9" borderId="0" xfId="0" applyFill="1"/>
    <xf numFmtId="0" fontId="16" fillId="10" borderId="18" xfId="0" applyFont="1" applyFill="1" applyBorder="1" applyAlignment="1">
      <alignment horizontal="center" wrapText="1"/>
    </xf>
    <xf numFmtId="169" fontId="16" fillId="10" borderId="18" xfId="0" applyNumberFormat="1" applyFont="1" applyFill="1" applyBorder="1" applyAlignment="1">
      <alignment horizontal="right" wrapText="1"/>
    </xf>
    <xf numFmtId="170" fontId="16" fillId="10" borderId="18" xfId="0" applyNumberFormat="1" applyFont="1" applyFill="1" applyBorder="1" applyAlignment="1">
      <alignment horizontal="right" wrapText="1"/>
    </xf>
    <xf numFmtId="0" fontId="17" fillId="0" borderId="18" xfId="0" applyFont="1" applyBorder="1" applyAlignment="1">
      <alignment horizontal="right" wrapText="1"/>
    </xf>
    <xf numFmtId="169" fontId="17" fillId="0" borderId="18" xfId="0" applyNumberFormat="1" applyFont="1" applyBorder="1" applyAlignment="1">
      <alignment horizontal="right" wrapText="1"/>
    </xf>
    <xf numFmtId="170" fontId="17" fillId="0" borderId="18" xfId="0" applyNumberFormat="1" applyFont="1" applyBorder="1" applyAlignment="1">
      <alignment horizontal="right" wrapText="1"/>
    </xf>
    <xf numFmtId="0" fontId="0" fillId="12" borderId="0" xfId="0" applyFill="1"/>
    <xf numFmtId="165" fontId="0" fillId="12" borderId="0" xfId="0" quotePrefix="1" applyNumberFormat="1" applyFill="1"/>
    <xf numFmtId="0" fontId="0" fillId="13" borderId="0" xfId="0" applyFill="1"/>
    <xf numFmtId="165" fontId="0" fillId="0" borderId="0" xfId="0" applyNumberFormat="1"/>
    <xf numFmtId="0" fontId="0" fillId="0" borderId="0" xfId="0" applyAlignment="1">
      <alignment horizontal="center"/>
    </xf>
    <xf numFmtId="0" fontId="4" fillId="0" borderId="0" xfId="0" applyFont="1"/>
    <xf numFmtId="0" fontId="19" fillId="14" borderId="0" xfId="0" applyFont="1" applyFill="1"/>
    <xf numFmtId="1" fontId="19" fillId="14" borderId="0" xfId="0" applyNumberFormat="1" applyFont="1" applyFill="1" applyAlignment="1">
      <alignment horizontal="left"/>
    </xf>
    <xf numFmtId="0" fontId="0" fillId="5" borderId="0" xfId="0" applyFill="1"/>
    <xf numFmtId="0" fontId="0" fillId="0" borderId="0" xfId="0" applyAlignment="1">
      <alignment horizontal="left"/>
    </xf>
    <xf numFmtId="0" fontId="20" fillId="0" borderId="0" xfId="0" applyFont="1"/>
    <xf numFmtId="0" fontId="19" fillId="0" borderId="0" xfId="0" applyFont="1"/>
    <xf numFmtId="167" fontId="0" fillId="0" borderId="0" xfId="2" applyNumberFormat="1" applyFont="1" applyAlignment="1">
      <alignment horizontal="right"/>
    </xf>
    <xf numFmtId="167" fontId="0" fillId="0" borderId="0" xfId="0" applyNumberFormat="1" applyAlignment="1">
      <alignment horizontal="right"/>
    </xf>
    <xf numFmtId="9" fontId="0" fillId="0" borderId="0" xfId="2" applyFont="1" applyAlignment="1">
      <alignment horizontal="right"/>
    </xf>
    <xf numFmtId="165" fontId="0" fillId="0" borderId="0" xfId="0" applyNumberFormat="1" applyAlignment="1">
      <alignment horizontal="right"/>
    </xf>
    <xf numFmtId="0" fontId="2" fillId="2" borderId="0" xfId="3"/>
    <xf numFmtId="0" fontId="9" fillId="0" borderId="0" xfId="6" applyAlignment="1">
      <alignment horizontal="left"/>
    </xf>
    <xf numFmtId="0" fontId="0" fillId="0" borderId="0" xfId="0" applyAlignment="1">
      <alignment horizontal="right"/>
    </xf>
    <xf numFmtId="0" fontId="4" fillId="0" borderId="0" xfId="1" applyNumberFormat="1" applyFont="1" applyAlignment="1">
      <alignment wrapText="1"/>
    </xf>
    <xf numFmtId="0" fontId="0" fillId="0" borderId="0" xfId="0" applyAlignment="1">
      <alignment horizontal="center"/>
    </xf>
    <xf numFmtId="0" fontId="0" fillId="0" borderId="0" xfId="0" applyAlignment="1">
      <alignment horizontal="center" vertical="center" wrapText="1"/>
    </xf>
    <xf numFmtId="0" fontId="14" fillId="0" borderId="9" xfId="0" applyFont="1" applyBorder="1" applyAlignment="1">
      <alignment horizontal="center" vertical="center" wrapText="1"/>
    </xf>
    <xf numFmtId="0" fontId="0" fillId="0" borderId="10" xfId="0" applyBorder="1" applyAlignment="1">
      <alignment horizontal="center" vertical="center" wrapText="1"/>
    </xf>
    <xf numFmtId="0" fontId="18" fillId="8" borderId="0" xfId="0" applyFont="1" applyFill="1" applyAlignment="1">
      <alignment horizontal="left" wrapText="1"/>
    </xf>
    <xf numFmtId="0" fontId="15" fillId="8" borderId="0" xfId="0" applyFont="1" applyFill="1" applyAlignment="1">
      <alignment horizontal="left" wrapText="1"/>
    </xf>
    <xf numFmtId="0" fontId="16" fillId="10" borderId="19" xfId="0" applyFont="1" applyFill="1" applyBorder="1" applyAlignment="1">
      <alignment horizontal="center" wrapText="1"/>
    </xf>
    <xf numFmtId="0" fontId="16" fillId="10" borderId="20" xfId="0" applyFont="1" applyFill="1" applyBorder="1" applyAlignment="1">
      <alignment horizontal="center" wrapText="1"/>
    </xf>
    <xf numFmtId="0" fontId="16" fillId="10" borderId="21" xfId="0" applyFont="1" applyFill="1" applyBorder="1" applyAlignment="1">
      <alignment horizontal="center" wrapText="1"/>
    </xf>
    <xf numFmtId="0" fontId="17" fillId="11" borderId="0" xfId="0" applyFont="1" applyFill="1" applyAlignment="1">
      <alignment horizontal="left" wrapText="1"/>
    </xf>
  </cellXfs>
  <cellStyles count="7">
    <cellStyle name="Bad" xfId="4" builtinId="27"/>
    <cellStyle name="Comma" xfId="1" builtinId="3"/>
    <cellStyle name="Good" xfId="3" builtinId="26"/>
    <cellStyle name="Hyperlink" xfId="6" builtinId="8"/>
    <cellStyle name="Normal" xfId="0" builtinId="0"/>
    <cellStyle name="Normal 3" xfId="5" xr:uid="{D71B7E7A-AFC5-4F92-9678-FA947CAACE4A}"/>
    <cellStyle name="Percent" xfId="2" builtinId="5"/>
  </cellStyles>
  <dxfs count="745">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0" formatCode="General"/>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866894395553484E-2"/>
          <c:y val="3.2824074074074089E-2"/>
          <c:w val="0.92279035433070866"/>
          <c:h val="0.81713580838424005"/>
        </c:manualLayout>
      </c:layout>
      <c:lineChart>
        <c:grouping val="standard"/>
        <c:varyColors val="0"/>
        <c:ser>
          <c:idx val="0"/>
          <c:order val="0"/>
          <c:tx>
            <c:strRef>
              <c:f>'BECF-new'!$A$2</c:f>
              <c:strCache>
                <c:ptCount val="1"/>
                <c:pt idx="0">
                  <c:v>hard coal</c:v>
                </c:pt>
              </c:strCache>
            </c:strRef>
          </c:tx>
          <c:spPr>
            <a:ln w="28575" cap="rnd">
              <a:solidFill>
                <a:schemeClr val="accent1"/>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'BECF-new'!$B$2:$AH$2</c:f>
              <c:numCache>
                <c:formatCode>0.0000</c:formatCode>
                <c:ptCount val="33"/>
                <c:pt idx="0">
                  <c:v>0.59472875665869829</c:v>
                </c:pt>
                <c:pt idx="1">
                  <c:v>0.56299083955706397</c:v>
                </c:pt>
                <c:pt idx="2">
                  <c:v>0.59310376256607955</c:v>
                </c:pt>
                <c:pt idx="3">
                  <c:v>0.72564865613825835</c:v>
                </c:pt>
                <c:pt idx="4">
                  <c:v>0.60131790827232001</c:v>
                </c:pt>
                <c:pt idx="5">
                  <c:v>0.57957030422133593</c:v>
                </c:pt>
                <c:pt idx="6">
                  <c:v>0.5646301755197195</c:v>
                </c:pt>
                <c:pt idx="7">
                  <c:v>0.5214253832469542</c:v>
                </c:pt>
                <c:pt idx="8">
                  <c:v>0.52015088346237837</c:v>
                </c:pt>
                <c:pt idx="9">
                  <c:v>0.52258959376291125</c:v>
                </c:pt>
                <c:pt idx="10">
                  <c:v>0.42993764745534208</c:v>
                </c:pt>
                <c:pt idx="11">
                  <c:v>0.43359604046336181</c:v>
                </c:pt>
                <c:pt idx="12">
                  <c:v>0.42991513959490468</c:v>
                </c:pt>
                <c:pt idx="13">
                  <c:v>0.43917856697646718</c:v>
                </c:pt>
                <c:pt idx="14">
                  <c:v>0.37325362087990727</c:v>
                </c:pt>
                <c:pt idx="15">
                  <c:v>0.37990094232909033</c:v>
                </c:pt>
                <c:pt idx="16">
                  <c:v>0.37820996717315125</c:v>
                </c:pt>
                <c:pt idx="17">
                  <c:v>0.38920863219203145</c:v>
                </c:pt>
                <c:pt idx="18">
                  <c:v>0.36907482870446945</c:v>
                </c:pt>
                <c:pt idx="19">
                  <c:v>0.28442305079539482</c:v>
                </c:pt>
                <c:pt idx="20">
                  <c:v>0.28133657634667752</c:v>
                </c:pt>
                <c:pt idx="21">
                  <c:v>0.27566892843425939</c:v>
                </c:pt>
                <c:pt idx="22">
                  <c:v>0.27017864353032706</c:v>
                </c:pt>
                <c:pt idx="23">
                  <c:v>0.38082496194824961</c:v>
                </c:pt>
                <c:pt idx="24">
                  <c:v>0.3705799086757991</c:v>
                </c:pt>
                <c:pt idx="25">
                  <c:v>0.35578538812785387</c:v>
                </c:pt>
                <c:pt idx="26">
                  <c:v>0.33108371385083712</c:v>
                </c:pt>
                <c:pt idx="27">
                  <c:v>0.31240943683409439</c:v>
                </c:pt>
                <c:pt idx="28">
                  <c:v>0.29144444444444445</c:v>
                </c:pt>
                <c:pt idx="29">
                  <c:v>0.30611415525114155</c:v>
                </c:pt>
                <c:pt idx="30">
                  <c:v>0.2919391171993912</c:v>
                </c:pt>
                <c:pt idx="31">
                  <c:v>0.27119482496194824</c:v>
                </c:pt>
                <c:pt idx="32">
                  <c:v>0.26171537290715374</c:v>
                </c:pt>
              </c:numCache>
            </c:numRef>
          </c:val>
          <c:smooth val="0"/>
          <c:extLst>
            <c:ext xmlns:c16="http://schemas.microsoft.com/office/drawing/2014/chart" uri="{C3380CC4-5D6E-409C-BE32-E72D297353CC}">
              <c16:uniqueId val="{00000000-66A1-4277-AC5E-A671C94DD7E5}"/>
            </c:ext>
          </c:extLst>
        </c:ser>
        <c:ser>
          <c:idx val="2"/>
          <c:order val="2"/>
          <c:tx>
            <c:strRef>
              <c:f>'BECF-new'!$A$4</c:f>
              <c:strCache>
                <c:ptCount val="1"/>
                <c:pt idx="0">
                  <c:v>nuclear</c:v>
                </c:pt>
              </c:strCache>
            </c:strRef>
          </c:tx>
          <c:spPr>
            <a:ln w="28575" cap="rnd">
              <a:solidFill>
                <a:schemeClr val="accent3"/>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'BECF-new'!$B$4:$AH$4</c:f>
              <c:numCache>
                <c:formatCode>0.0000</c:formatCode>
                <c:ptCount val="33"/>
                <c:pt idx="0">
                  <c:v>0.81331987571473274</c:v>
                </c:pt>
                <c:pt idx="1">
                  <c:v>0.81709415403239005</c:v>
                </c:pt>
                <c:pt idx="2">
                  <c:v>0.77584271261997118</c:v>
                </c:pt>
                <c:pt idx="3">
                  <c:v>0.75219196692973556</c:v>
                </c:pt>
                <c:pt idx="4">
                  <c:v>0.82447323730804212</c:v>
                </c:pt>
                <c:pt idx="5">
                  <c:v>0.83561422919974593</c:v>
                </c:pt>
                <c:pt idx="6">
                  <c:v>0.83639633819769976</c:v>
                </c:pt>
                <c:pt idx="7">
                  <c:v>0.87417108847197134</c:v>
                </c:pt>
                <c:pt idx="8">
                  <c:v>0.87332616874391134</c:v>
                </c:pt>
                <c:pt idx="9">
                  <c:v>0.8739928586400777</c:v>
                </c:pt>
                <c:pt idx="10">
                  <c:v>0.87448613955041421</c:v>
                </c:pt>
                <c:pt idx="11">
                  <c:v>0.8740043725332296</c:v>
                </c:pt>
                <c:pt idx="12">
                  <c:v>0.87449584308671702</c:v>
                </c:pt>
                <c:pt idx="13">
                  <c:v>0.87401584244758546</c:v>
                </c:pt>
                <c:pt idx="14">
                  <c:v>0.87450551259210818</c:v>
                </c:pt>
                <c:pt idx="15">
                  <c:v>0.87450814314868419</c:v>
                </c:pt>
                <c:pt idx="16">
                  <c:v>0.87492345124923454</c:v>
                </c:pt>
                <c:pt idx="17">
                  <c:v>0.87492345124923454</c:v>
                </c:pt>
                <c:pt idx="18">
                  <c:v>0.87492345124923454</c:v>
                </c:pt>
                <c:pt idx="19">
                  <c:v>0.87492569381538376</c:v>
                </c:pt>
                <c:pt idx="20">
                  <c:v>0.87492569381538376</c:v>
                </c:pt>
                <c:pt idx="21">
                  <c:v>0.87493027551177471</c:v>
                </c:pt>
                <c:pt idx="22">
                  <c:v>0.87493931181130424</c:v>
                </c:pt>
                <c:pt idx="23">
                  <c:v>0.87999991269196853</c:v>
                </c:pt>
                <c:pt idx="24">
                  <c:v>0.87999995642929341</c:v>
                </c:pt>
                <c:pt idx="25">
                  <c:v>0.87999989128071321</c:v>
                </c:pt>
                <c:pt idx="26">
                  <c:v>0.88121180221023476</c:v>
                </c:pt>
                <c:pt idx="27">
                  <c:v>0.88120920594140006</c:v>
                </c:pt>
                <c:pt idx="28">
                  <c:v>0.88120374430033432</c:v>
                </c:pt>
                <c:pt idx="29">
                  <c:v>0.8811931656528228</c:v>
                </c:pt>
                <c:pt idx="30">
                  <c:v>0.88118277131836142</c:v>
                </c:pt>
                <c:pt idx="31">
                  <c:v>0.88117285228612185</c:v>
                </c:pt>
                <c:pt idx="32">
                  <c:v>0.88117285228612185</c:v>
                </c:pt>
              </c:numCache>
            </c:numRef>
          </c:val>
          <c:smooth val="0"/>
          <c:extLst>
            <c:ext xmlns:c16="http://schemas.microsoft.com/office/drawing/2014/chart" uri="{C3380CC4-5D6E-409C-BE32-E72D297353CC}">
              <c16:uniqueId val="{00000002-66A1-4277-AC5E-A671C94DD7E5}"/>
            </c:ext>
          </c:extLst>
        </c:ser>
        <c:ser>
          <c:idx val="3"/>
          <c:order val="3"/>
          <c:tx>
            <c:strRef>
              <c:f>'BECF-new'!$A$5</c:f>
              <c:strCache>
                <c:ptCount val="1"/>
                <c:pt idx="0">
                  <c:v>hydro</c:v>
                </c:pt>
              </c:strCache>
            </c:strRef>
          </c:tx>
          <c:spPr>
            <a:ln w="28575" cap="rnd">
              <a:solidFill>
                <a:schemeClr val="accent4"/>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'BECF-new'!$B$5:$AH$5</c:f>
              <c:numCache>
                <c:formatCode>0.0000</c:formatCode>
                <c:ptCount val="33"/>
                <c:pt idx="0">
                  <c:v>0.5360549337744609</c:v>
                </c:pt>
                <c:pt idx="1">
                  <c:v>0.52740654940409049</c:v>
                </c:pt>
                <c:pt idx="2">
                  <c:v>0.53185207369775445</c:v>
                </c:pt>
                <c:pt idx="3">
                  <c:v>0.52694850641725444</c:v>
                </c:pt>
                <c:pt idx="4">
                  <c:v>0.54417905207832085</c:v>
                </c:pt>
                <c:pt idx="5">
                  <c:v>0.54435101291802057</c:v>
                </c:pt>
                <c:pt idx="6">
                  <c:v>0.54408635083394175</c:v>
                </c:pt>
                <c:pt idx="7">
                  <c:v>0.5438799152846292</c:v>
                </c:pt>
                <c:pt idx="8">
                  <c:v>0.54386539129293521</c:v>
                </c:pt>
                <c:pt idx="9">
                  <c:v>0.54765888868223789</c:v>
                </c:pt>
                <c:pt idx="10">
                  <c:v>0.5480367751737667</c:v>
                </c:pt>
                <c:pt idx="11">
                  <c:v>0.54799150253783713</c:v>
                </c:pt>
                <c:pt idx="12">
                  <c:v>0.54843140446519234</c:v>
                </c:pt>
                <c:pt idx="13">
                  <c:v>0.54831898360809372</c:v>
                </c:pt>
                <c:pt idx="14">
                  <c:v>0.5485336824761321</c:v>
                </c:pt>
                <c:pt idx="15">
                  <c:v>0.54900114883484241</c:v>
                </c:pt>
                <c:pt idx="16">
                  <c:v>0.54943732467266526</c:v>
                </c:pt>
                <c:pt idx="17">
                  <c:v>0.54983296298985807</c:v>
                </c:pt>
                <c:pt idx="18">
                  <c:v>0.55010085722195545</c:v>
                </c:pt>
                <c:pt idx="19">
                  <c:v>0.55064238767046891</c:v>
                </c:pt>
                <c:pt idx="20">
                  <c:v>0.55107816937187359</c:v>
                </c:pt>
                <c:pt idx="21">
                  <c:v>0.55155067428845228</c:v>
                </c:pt>
                <c:pt idx="22">
                  <c:v>0.55201338014535706</c:v>
                </c:pt>
                <c:pt idx="23">
                  <c:v>0.55254996813380464</c:v>
                </c:pt>
                <c:pt idx="24">
                  <c:v>0.55298394438049492</c:v>
                </c:pt>
                <c:pt idx="25">
                  <c:v>0.55339300673390401</c:v>
                </c:pt>
                <c:pt idx="26">
                  <c:v>0.55379853261833056</c:v>
                </c:pt>
                <c:pt idx="27">
                  <c:v>0.55432190435552042</c:v>
                </c:pt>
                <c:pt idx="28">
                  <c:v>0.55482258015917574</c:v>
                </c:pt>
                <c:pt idx="29">
                  <c:v>0.55520161679216551</c:v>
                </c:pt>
                <c:pt idx="30">
                  <c:v>0.55556348553739909</c:v>
                </c:pt>
                <c:pt idx="31">
                  <c:v>0.55597354207877847</c:v>
                </c:pt>
                <c:pt idx="32">
                  <c:v>0.55644000872527766</c:v>
                </c:pt>
              </c:numCache>
            </c:numRef>
          </c:val>
          <c:smooth val="0"/>
          <c:extLst>
            <c:ext xmlns:c16="http://schemas.microsoft.com/office/drawing/2014/chart" uri="{C3380CC4-5D6E-409C-BE32-E72D297353CC}">
              <c16:uniqueId val="{00000003-66A1-4277-AC5E-A671C94DD7E5}"/>
            </c:ext>
          </c:extLst>
        </c:ser>
        <c:ser>
          <c:idx val="4"/>
          <c:order val="4"/>
          <c:tx>
            <c:strRef>
              <c:f>'BECF-new'!$A$6</c:f>
              <c:strCache>
                <c:ptCount val="1"/>
                <c:pt idx="0">
                  <c:v>onshore wind</c:v>
                </c:pt>
              </c:strCache>
            </c:strRef>
          </c:tx>
          <c:spPr>
            <a:ln w="28575" cap="rnd">
              <a:solidFill>
                <a:schemeClr val="accent5"/>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'BECF-new'!$B$6:$AH$6</c:f>
              <c:numCache>
                <c:formatCode>0.0000</c:formatCode>
                <c:ptCount val="33"/>
                <c:pt idx="0">
                  <c:v>0.29306791787534597</c:v>
                </c:pt>
                <c:pt idx="1">
                  <c:v>0.27949172804584393</c:v>
                </c:pt>
                <c:pt idx="2">
                  <c:v>0.29857662965171861</c:v>
                </c:pt>
                <c:pt idx="3">
                  <c:v>0.30947182815566032</c:v>
                </c:pt>
                <c:pt idx="4">
                  <c:v>0.37014571751034314</c:v>
                </c:pt>
                <c:pt idx="5">
                  <c:v>0.37060950454676461</c:v>
                </c:pt>
                <c:pt idx="6">
                  <c:v>0.37908179469186354</c:v>
                </c:pt>
                <c:pt idx="7">
                  <c:v>0.38111770737430856</c:v>
                </c:pt>
                <c:pt idx="8">
                  <c:v>0.38128941719600601</c:v>
                </c:pt>
                <c:pt idx="9">
                  <c:v>0.38778937011426656</c:v>
                </c:pt>
                <c:pt idx="10">
                  <c:v>0.3915847105028345</c:v>
                </c:pt>
                <c:pt idx="11">
                  <c:v>0.39514753006189779</c:v>
                </c:pt>
                <c:pt idx="12">
                  <c:v>0.41081953435747309</c:v>
                </c:pt>
                <c:pt idx="13">
                  <c:v>0.42021215890591473</c:v>
                </c:pt>
                <c:pt idx="14">
                  <c:v>0.42955847029148342</c:v>
                </c:pt>
                <c:pt idx="15">
                  <c:v>0.43269311338132099</c:v>
                </c:pt>
                <c:pt idx="16">
                  <c:v>0.4350481952727045</c:v>
                </c:pt>
                <c:pt idx="17">
                  <c:v>0.43536128437594745</c:v>
                </c:pt>
                <c:pt idx="18">
                  <c:v>0.43782259892322056</c:v>
                </c:pt>
                <c:pt idx="19">
                  <c:v>0.43898094823953665</c:v>
                </c:pt>
                <c:pt idx="20">
                  <c:v>0.44091883099451817</c:v>
                </c:pt>
                <c:pt idx="21">
                  <c:v>0.44210013323105796</c:v>
                </c:pt>
                <c:pt idx="22">
                  <c:v>0.44444025354874339</c:v>
                </c:pt>
                <c:pt idx="23">
                  <c:v>0.44576566754837127</c:v>
                </c:pt>
                <c:pt idx="24">
                  <c:v>0.44985783351355341</c:v>
                </c:pt>
                <c:pt idx="25">
                  <c:v>0.45125613286131444</c:v>
                </c:pt>
                <c:pt idx="26">
                  <c:v>0.45517115335978497</c:v>
                </c:pt>
                <c:pt idx="27">
                  <c:v>0.45641104924601444</c:v>
                </c:pt>
                <c:pt idx="28">
                  <c:v>0.46012884337739496</c:v>
                </c:pt>
                <c:pt idx="29">
                  <c:v>0.46156614771584836</c:v>
                </c:pt>
                <c:pt idx="30">
                  <c:v>0.46516335639216166</c:v>
                </c:pt>
                <c:pt idx="31">
                  <c:v>0.4667266299032638</c:v>
                </c:pt>
                <c:pt idx="32">
                  <c:v>0.46837902119617114</c:v>
                </c:pt>
              </c:numCache>
            </c:numRef>
          </c:val>
          <c:smooth val="0"/>
          <c:extLst>
            <c:ext xmlns:c16="http://schemas.microsoft.com/office/drawing/2014/chart" uri="{C3380CC4-5D6E-409C-BE32-E72D297353CC}">
              <c16:uniqueId val="{00000004-66A1-4277-AC5E-A671C94DD7E5}"/>
            </c:ext>
          </c:extLst>
        </c:ser>
        <c:ser>
          <c:idx val="5"/>
          <c:order val="5"/>
          <c:tx>
            <c:strRef>
              <c:f>'BECF-new'!$A$7</c:f>
              <c:strCache>
                <c:ptCount val="1"/>
                <c:pt idx="0">
                  <c:v>solar PV</c:v>
                </c:pt>
              </c:strCache>
            </c:strRef>
          </c:tx>
          <c:spPr>
            <a:ln w="28575" cap="rnd">
              <a:solidFill>
                <a:schemeClr val="accent6"/>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'BECF-new'!$B$7:$AH$7</c:f>
              <c:numCache>
                <c:formatCode>0.0000</c:formatCode>
                <c:ptCount val="33"/>
                <c:pt idx="0">
                  <c:v>9.1958466704588307E-2</c:v>
                </c:pt>
                <c:pt idx="1">
                  <c:v>9.1412196610252419E-2</c:v>
                </c:pt>
                <c:pt idx="2">
                  <c:v>9.166180324083012E-2</c:v>
                </c:pt>
                <c:pt idx="3">
                  <c:v>9.6246592075806811E-2</c:v>
                </c:pt>
                <c:pt idx="4">
                  <c:v>0.10539578807588613</c:v>
                </c:pt>
                <c:pt idx="5">
                  <c:v>0.10562896582195294</c:v>
                </c:pt>
                <c:pt idx="6">
                  <c:v>0.10605552424820447</c:v>
                </c:pt>
                <c:pt idx="7">
                  <c:v>0.10728695513805556</c:v>
                </c:pt>
                <c:pt idx="8">
                  <c:v>0.10955517520484352</c:v>
                </c:pt>
                <c:pt idx="9">
                  <c:v>0.11175716507791388</c:v>
                </c:pt>
                <c:pt idx="10">
                  <c:v>0.11214730302641135</c:v>
                </c:pt>
                <c:pt idx="11">
                  <c:v>0.11641705623323308</c:v>
                </c:pt>
                <c:pt idx="12">
                  <c:v>0.12034383474233723</c:v>
                </c:pt>
                <c:pt idx="13">
                  <c:v>0.12406125674639104</c:v>
                </c:pt>
                <c:pt idx="14">
                  <c:v>0.12681491525677505</c:v>
                </c:pt>
                <c:pt idx="15">
                  <c:v>0.12968270896420242</c:v>
                </c:pt>
                <c:pt idx="16">
                  <c:v>0.1326268114736921</c:v>
                </c:pt>
                <c:pt idx="17">
                  <c:v>0.13739268777149233</c:v>
                </c:pt>
                <c:pt idx="18">
                  <c:v>0.14084032001644486</c:v>
                </c:pt>
                <c:pt idx="19">
                  <c:v>0.14394165176518056</c:v>
                </c:pt>
                <c:pt idx="20">
                  <c:v>0.14640088449185357</c:v>
                </c:pt>
                <c:pt idx="21">
                  <c:v>0.14873001551308918</c:v>
                </c:pt>
                <c:pt idx="22">
                  <c:v>0.15101366399120261</c:v>
                </c:pt>
                <c:pt idx="23">
                  <c:v>0.15323271679327594</c:v>
                </c:pt>
                <c:pt idx="24">
                  <c:v>0.15497421115311255</c:v>
                </c:pt>
                <c:pt idx="25">
                  <c:v>0.15692482761997906</c:v>
                </c:pt>
                <c:pt idx="26">
                  <c:v>0.15847313805370258</c:v>
                </c:pt>
                <c:pt idx="27">
                  <c:v>0.16016385664928573</c:v>
                </c:pt>
                <c:pt idx="28">
                  <c:v>0.1614115335163781</c:v>
                </c:pt>
                <c:pt idx="29">
                  <c:v>0.16285833151156562</c:v>
                </c:pt>
                <c:pt idx="30">
                  <c:v>0.16399083649183827</c:v>
                </c:pt>
                <c:pt idx="31">
                  <c:v>0.16532653036422404</c:v>
                </c:pt>
                <c:pt idx="32">
                  <c:v>0.16669458222034181</c:v>
                </c:pt>
              </c:numCache>
            </c:numRef>
          </c:val>
          <c:smooth val="0"/>
          <c:extLst>
            <c:ext xmlns:c16="http://schemas.microsoft.com/office/drawing/2014/chart" uri="{C3380CC4-5D6E-409C-BE32-E72D297353CC}">
              <c16:uniqueId val="{00000005-66A1-4277-AC5E-A671C94DD7E5}"/>
            </c:ext>
          </c:extLst>
        </c:ser>
        <c:ser>
          <c:idx val="6"/>
          <c:order val="6"/>
          <c:tx>
            <c:strRef>
              <c:f>'BECF-new'!$A$8</c:f>
              <c:strCache>
                <c:ptCount val="1"/>
                <c:pt idx="0">
                  <c:v>solar thermal</c:v>
                </c:pt>
              </c:strCache>
            </c:strRef>
          </c:tx>
          <c:spPr>
            <a:ln w="28575" cap="rnd">
              <a:solidFill>
                <a:schemeClr val="accent1">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'BECF-new'!$B$8:$AH$8</c:f>
              <c:numCache>
                <c:formatCode>0.0000</c:formatCode>
                <c:ptCount val="33"/>
                <c:pt idx="0">
                  <c:v>0.58933333333333326</c:v>
                </c:pt>
                <c:pt idx="1">
                  <c:v>0.58933333333333326</c:v>
                </c:pt>
                <c:pt idx="2">
                  <c:v>0.57599999999999996</c:v>
                </c:pt>
                <c:pt idx="3">
                  <c:v>0.57599999999999996</c:v>
                </c:pt>
                <c:pt idx="4">
                  <c:v>0.57599999999999996</c:v>
                </c:pt>
                <c:pt idx="5">
                  <c:v>0.57599999999999996</c:v>
                </c:pt>
                <c:pt idx="6">
                  <c:v>0.57599999999999996</c:v>
                </c:pt>
                <c:pt idx="7">
                  <c:v>0.57599999999999996</c:v>
                </c:pt>
                <c:pt idx="8">
                  <c:v>0.57599999999999996</c:v>
                </c:pt>
                <c:pt idx="9">
                  <c:v>0.57599999999999996</c:v>
                </c:pt>
                <c:pt idx="10">
                  <c:v>0.57599999999999996</c:v>
                </c:pt>
                <c:pt idx="11">
                  <c:v>0.57599999999999996</c:v>
                </c:pt>
                <c:pt idx="12">
                  <c:v>0.57599999999999996</c:v>
                </c:pt>
                <c:pt idx="13">
                  <c:v>0.57599999999999996</c:v>
                </c:pt>
                <c:pt idx="14">
                  <c:v>0.57599999999999996</c:v>
                </c:pt>
                <c:pt idx="15">
                  <c:v>0.57599999999999996</c:v>
                </c:pt>
                <c:pt idx="16">
                  <c:v>0.57599999999999996</c:v>
                </c:pt>
                <c:pt idx="17">
                  <c:v>0.57599999999999996</c:v>
                </c:pt>
                <c:pt idx="18">
                  <c:v>0.57599999999999996</c:v>
                </c:pt>
                <c:pt idx="19">
                  <c:v>0.57599999999999996</c:v>
                </c:pt>
                <c:pt idx="20">
                  <c:v>0.57599999999999996</c:v>
                </c:pt>
                <c:pt idx="21">
                  <c:v>0.57599999999999996</c:v>
                </c:pt>
                <c:pt idx="22">
                  <c:v>0.57599999999999996</c:v>
                </c:pt>
                <c:pt idx="23">
                  <c:v>0.57599999999999996</c:v>
                </c:pt>
                <c:pt idx="24">
                  <c:v>0.57599999999999996</c:v>
                </c:pt>
                <c:pt idx="25">
                  <c:v>0.57599999999999996</c:v>
                </c:pt>
                <c:pt idx="26">
                  <c:v>0.57599999999999996</c:v>
                </c:pt>
                <c:pt idx="27">
                  <c:v>0.57599999999999996</c:v>
                </c:pt>
                <c:pt idx="28">
                  <c:v>0.57599999999999996</c:v>
                </c:pt>
                <c:pt idx="29">
                  <c:v>0.57599999999999996</c:v>
                </c:pt>
                <c:pt idx="30">
                  <c:v>0.57599999999999996</c:v>
                </c:pt>
                <c:pt idx="31">
                  <c:v>0.57599999999999996</c:v>
                </c:pt>
                <c:pt idx="32">
                  <c:v>0.57599999999999996</c:v>
                </c:pt>
              </c:numCache>
            </c:numRef>
          </c:val>
          <c:smooth val="0"/>
          <c:extLst>
            <c:ext xmlns:c16="http://schemas.microsoft.com/office/drawing/2014/chart" uri="{C3380CC4-5D6E-409C-BE32-E72D297353CC}">
              <c16:uniqueId val="{00000006-66A1-4277-AC5E-A671C94DD7E5}"/>
            </c:ext>
          </c:extLst>
        </c:ser>
        <c:ser>
          <c:idx val="7"/>
          <c:order val="7"/>
          <c:tx>
            <c:strRef>
              <c:f>'BECF-new'!$A$9</c:f>
              <c:strCache>
                <c:ptCount val="1"/>
                <c:pt idx="0">
                  <c:v>biomass</c:v>
                </c:pt>
              </c:strCache>
            </c:strRef>
          </c:tx>
          <c:spPr>
            <a:ln w="28575" cap="rnd">
              <a:solidFill>
                <a:schemeClr val="accent2">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'BECF-new'!$B$9:$AH$9</c:f>
              <c:numCache>
                <c:formatCode>0.0000</c:formatCode>
                <c:ptCount val="33"/>
                <c:pt idx="0">
                  <c:v>0.42980377938951236</c:v>
                </c:pt>
                <c:pt idx="1">
                  <c:v>0.44914197191908101</c:v>
                </c:pt>
                <c:pt idx="2">
                  <c:v>0.38226506938471466</c:v>
                </c:pt>
                <c:pt idx="3">
                  <c:v>0.38404809565091019</c:v>
                </c:pt>
                <c:pt idx="4">
                  <c:v>0.39053223670235476</c:v>
                </c:pt>
                <c:pt idx="5">
                  <c:v>0.38565357415106766</c:v>
                </c:pt>
                <c:pt idx="6">
                  <c:v>0.38628866729104988</c:v>
                </c:pt>
                <c:pt idx="7">
                  <c:v>0.38610180267734562</c:v>
                </c:pt>
                <c:pt idx="8">
                  <c:v>0.38990026785166559</c:v>
                </c:pt>
                <c:pt idx="9">
                  <c:v>0.39159240721968042</c:v>
                </c:pt>
                <c:pt idx="10">
                  <c:v>0.38409211727599635</c:v>
                </c:pt>
                <c:pt idx="11">
                  <c:v>0.38448766477158014</c:v>
                </c:pt>
                <c:pt idx="12">
                  <c:v>0.38347247375569898</c:v>
                </c:pt>
                <c:pt idx="13">
                  <c:v>0.38498798142639901</c:v>
                </c:pt>
                <c:pt idx="14">
                  <c:v>0.38291568753521432</c:v>
                </c:pt>
                <c:pt idx="15">
                  <c:v>0.37443827479384767</c:v>
                </c:pt>
                <c:pt idx="16">
                  <c:v>0.3746693035595397</c:v>
                </c:pt>
                <c:pt idx="17">
                  <c:v>0.37653145169486379</c:v>
                </c:pt>
                <c:pt idx="18">
                  <c:v>0.37775531349140856</c:v>
                </c:pt>
                <c:pt idx="19">
                  <c:v>0.3768692513220529</c:v>
                </c:pt>
                <c:pt idx="20">
                  <c:v>0.37857526057940727</c:v>
                </c:pt>
                <c:pt idx="21">
                  <c:v>0.37915539506848484</c:v>
                </c:pt>
                <c:pt idx="22">
                  <c:v>0.38067271965067323</c:v>
                </c:pt>
                <c:pt idx="23">
                  <c:v>0.38192446896863691</c:v>
                </c:pt>
                <c:pt idx="24">
                  <c:v>0.3820580581773817</c:v>
                </c:pt>
                <c:pt idx="25">
                  <c:v>0.38539249663141784</c:v>
                </c:pt>
                <c:pt idx="26">
                  <c:v>0.38683072733477442</c:v>
                </c:pt>
                <c:pt idx="27">
                  <c:v>0.3872914435125675</c:v>
                </c:pt>
                <c:pt idx="28">
                  <c:v>0.39583938311561401</c:v>
                </c:pt>
                <c:pt idx="29">
                  <c:v>0.39569488538868108</c:v>
                </c:pt>
                <c:pt idx="30">
                  <c:v>0.39153394221506593</c:v>
                </c:pt>
                <c:pt idx="31">
                  <c:v>0.38620513040661231</c:v>
                </c:pt>
                <c:pt idx="32">
                  <c:v>0.38700933100143287</c:v>
                </c:pt>
              </c:numCache>
            </c:numRef>
          </c:val>
          <c:smooth val="0"/>
          <c:extLst>
            <c:ext xmlns:c16="http://schemas.microsoft.com/office/drawing/2014/chart" uri="{C3380CC4-5D6E-409C-BE32-E72D297353CC}">
              <c16:uniqueId val="{00000007-66A1-4277-AC5E-A671C94DD7E5}"/>
            </c:ext>
          </c:extLst>
        </c:ser>
        <c:ser>
          <c:idx val="8"/>
          <c:order val="8"/>
          <c:tx>
            <c:strRef>
              <c:f>'BECF-new'!$A$10</c:f>
              <c:strCache>
                <c:ptCount val="1"/>
                <c:pt idx="0">
                  <c:v>geothermal</c:v>
                </c:pt>
              </c:strCache>
            </c:strRef>
          </c:tx>
          <c:spPr>
            <a:ln w="28575" cap="rnd">
              <a:solidFill>
                <a:schemeClr val="accent3">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'BECF-new'!$B$10:$AH$10</c:f>
              <c:numCache>
                <c:formatCode>0.0000</c:formatCode>
                <c:ptCount val="33"/>
                <c:pt idx="0">
                  <c:v>0.76</c:v>
                </c:pt>
                <c:pt idx="1">
                  <c:v>0.69599999999999995</c:v>
                </c:pt>
                <c:pt idx="2">
                  <c:v>0.69099999999999995</c:v>
                </c:pt>
                <c:pt idx="3">
                  <c:v>0.69099999999999995</c:v>
                </c:pt>
                <c:pt idx="4">
                  <c:v>0.69099999999999995</c:v>
                </c:pt>
                <c:pt idx="5">
                  <c:v>0.69099999999999995</c:v>
                </c:pt>
                <c:pt idx="6">
                  <c:v>0.69099999999999995</c:v>
                </c:pt>
                <c:pt idx="7">
                  <c:v>0.69099999999999995</c:v>
                </c:pt>
                <c:pt idx="8">
                  <c:v>0.69099999999999995</c:v>
                </c:pt>
                <c:pt idx="9">
                  <c:v>0.69099999999999995</c:v>
                </c:pt>
                <c:pt idx="10">
                  <c:v>0.69099999999999995</c:v>
                </c:pt>
                <c:pt idx="11">
                  <c:v>0.69099999999999995</c:v>
                </c:pt>
                <c:pt idx="12">
                  <c:v>0.69099999999999995</c:v>
                </c:pt>
                <c:pt idx="13">
                  <c:v>0.69099999999999995</c:v>
                </c:pt>
                <c:pt idx="14">
                  <c:v>0.69099999999999995</c:v>
                </c:pt>
                <c:pt idx="15">
                  <c:v>0.69099999999999995</c:v>
                </c:pt>
                <c:pt idx="16">
                  <c:v>0.69099999999999995</c:v>
                </c:pt>
                <c:pt idx="17">
                  <c:v>0.69099999999999995</c:v>
                </c:pt>
                <c:pt idx="18">
                  <c:v>0.69099999999999995</c:v>
                </c:pt>
                <c:pt idx="19">
                  <c:v>0.69099999999999995</c:v>
                </c:pt>
                <c:pt idx="20">
                  <c:v>0.69099999999999995</c:v>
                </c:pt>
                <c:pt idx="21">
                  <c:v>0.69099999999999995</c:v>
                </c:pt>
                <c:pt idx="22">
                  <c:v>0.69099999999999995</c:v>
                </c:pt>
                <c:pt idx="23">
                  <c:v>0.69099999999999995</c:v>
                </c:pt>
                <c:pt idx="24">
                  <c:v>0.69099999999999995</c:v>
                </c:pt>
                <c:pt idx="25">
                  <c:v>0.69099999999999995</c:v>
                </c:pt>
                <c:pt idx="26">
                  <c:v>0.69099999999999995</c:v>
                </c:pt>
                <c:pt idx="27">
                  <c:v>0.69099999999999995</c:v>
                </c:pt>
                <c:pt idx="28">
                  <c:v>0.69099999999999995</c:v>
                </c:pt>
                <c:pt idx="29">
                  <c:v>0.69099999999999995</c:v>
                </c:pt>
                <c:pt idx="30">
                  <c:v>0.69099999999999995</c:v>
                </c:pt>
                <c:pt idx="31">
                  <c:v>0.69099999999999995</c:v>
                </c:pt>
                <c:pt idx="32">
                  <c:v>0.69099999999999995</c:v>
                </c:pt>
              </c:numCache>
            </c:numRef>
          </c:val>
          <c:smooth val="0"/>
          <c:extLst>
            <c:ext xmlns:c16="http://schemas.microsoft.com/office/drawing/2014/chart" uri="{C3380CC4-5D6E-409C-BE32-E72D297353CC}">
              <c16:uniqueId val="{00000008-66A1-4277-AC5E-A671C94DD7E5}"/>
            </c:ext>
          </c:extLst>
        </c:ser>
        <c:ser>
          <c:idx val="9"/>
          <c:order val="9"/>
          <c:tx>
            <c:strRef>
              <c:f>'BECF-new'!$A$11</c:f>
              <c:strCache>
                <c:ptCount val="1"/>
                <c:pt idx="0">
                  <c:v>petroleum</c:v>
                </c:pt>
              </c:strCache>
            </c:strRef>
          </c:tx>
          <c:spPr>
            <a:ln w="28575" cap="rnd">
              <a:solidFill>
                <a:schemeClr val="accent4">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'BECF-new'!$B$11:$AH$11</c:f>
              <c:numCache>
                <c:formatCode>0.0000</c:formatCode>
                <c:ptCount val="33"/>
                <c:pt idx="0">
                  <c:v>0.13230750666194346</c:v>
                </c:pt>
                <c:pt idx="1">
                  <c:v>0.1171532780184619</c:v>
                </c:pt>
                <c:pt idx="2">
                  <c:v>0.12795108802455094</c:v>
                </c:pt>
                <c:pt idx="3">
                  <c:v>0.1458041349325884</c:v>
                </c:pt>
                <c:pt idx="4">
                  <c:v>0.1437628593230213</c:v>
                </c:pt>
                <c:pt idx="5">
                  <c:v>0.20273662024764164</c:v>
                </c:pt>
                <c:pt idx="6">
                  <c:v>0.16460786174698572</c:v>
                </c:pt>
                <c:pt idx="7">
                  <c:v>0.15687450070525463</c:v>
                </c:pt>
                <c:pt idx="8">
                  <c:v>0.18170877615234451</c:v>
                </c:pt>
                <c:pt idx="9">
                  <c:v>0.13314894485126985</c:v>
                </c:pt>
                <c:pt idx="10">
                  <c:v>0.14148458752959475</c:v>
                </c:pt>
                <c:pt idx="11">
                  <c:v>0.16499127693041396</c:v>
                </c:pt>
                <c:pt idx="12">
                  <c:v>0.1685068265927889</c:v>
                </c:pt>
                <c:pt idx="13">
                  <c:v>0.23436164630191439</c:v>
                </c:pt>
                <c:pt idx="14">
                  <c:v>0.19185525724235303</c:v>
                </c:pt>
                <c:pt idx="15">
                  <c:v>0.24322096992723666</c:v>
                </c:pt>
                <c:pt idx="16">
                  <c:v>0.23315377145974137</c:v>
                </c:pt>
                <c:pt idx="17">
                  <c:v>0.22848987474585353</c:v>
                </c:pt>
                <c:pt idx="18">
                  <c:v>0.12374248742313884</c:v>
                </c:pt>
                <c:pt idx="19">
                  <c:v>0.18441611965790455</c:v>
                </c:pt>
                <c:pt idx="20">
                  <c:v>0.18321738856924966</c:v>
                </c:pt>
                <c:pt idx="21">
                  <c:v>0.18778540492203166</c:v>
                </c:pt>
                <c:pt idx="22">
                  <c:v>0.18612240811909075</c:v>
                </c:pt>
                <c:pt idx="23">
                  <c:v>0.42522133488159725</c:v>
                </c:pt>
                <c:pt idx="24">
                  <c:v>0.29712734449900907</c:v>
                </c:pt>
                <c:pt idx="25">
                  <c:v>0.31999260510331068</c:v>
                </c:pt>
                <c:pt idx="26">
                  <c:v>0.21872136798951258</c:v>
                </c:pt>
                <c:pt idx="27">
                  <c:v>0.21393930297347724</c:v>
                </c:pt>
                <c:pt idx="28">
                  <c:v>0.20888275935937356</c:v>
                </c:pt>
                <c:pt idx="29">
                  <c:v>0.21273171079771075</c:v>
                </c:pt>
                <c:pt idx="30">
                  <c:v>0.20802409028756971</c:v>
                </c:pt>
                <c:pt idx="31">
                  <c:v>0.21228163409031919</c:v>
                </c:pt>
                <c:pt idx="32">
                  <c:v>0.21586122143862657</c:v>
                </c:pt>
              </c:numCache>
            </c:numRef>
          </c:val>
          <c:smooth val="0"/>
          <c:extLst>
            <c:ext xmlns:c16="http://schemas.microsoft.com/office/drawing/2014/chart" uri="{C3380CC4-5D6E-409C-BE32-E72D297353CC}">
              <c16:uniqueId val="{00000009-66A1-4277-AC5E-A671C94DD7E5}"/>
            </c:ext>
          </c:extLst>
        </c:ser>
        <c:ser>
          <c:idx val="12"/>
          <c:order val="12"/>
          <c:tx>
            <c:strRef>
              <c:f>'BECF-new'!$A$14</c:f>
              <c:strCache>
                <c:ptCount val="1"/>
                <c:pt idx="0">
                  <c:v>offshore wind</c:v>
                </c:pt>
              </c:strCache>
            </c:strRef>
          </c:tx>
          <c:spPr>
            <a:ln w="28575" cap="rnd">
              <a:solidFill>
                <a:schemeClr val="accent1">
                  <a:lumMod val="80000"/>
                  <a:lumOff val="2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'BECF-new'!$B$14:$AH$14</c:f>
              <c:numCache>
                <c:formatCode>0.0000</c:formatCode>
                <c:ptCount val="33"/>
                <c:pt idx="0">
                  <c:v>0.48769523684708904</c:v>
                </c:pt>
                <c:pt idx="1">
                  <c:v>0.48769523684708904</c:v>
                </c:pt>
                <c:pt idx="2">
                  <c:v>0.49179368897361969</c:v>
                </c:pt>
                <c:pt idx="3">
                  <c:v>0.49770158703445572</c:v>
                </c:pt>
                <c:pt idx="4">
                  <c:v>0.50295712800238879</c:v>
                </c:pt>
                <c:pt idx="5">
                  <c:v>0.50780003916098659</c:v>
                </c:pt>
                <c:pt idx="6">
                  <c:v>0.51235819834388641</c:v>
                </c:pt>
                <c:pt idx="7">
                  <c:v>0.51670793722182362</c:v>
                </c:pt>
                <c:pt idx="8">
                  <c:v>0.52089849128751742</c:v>
                </c:pt>
                <c:pt idx="9">
                  <c:v>0.52496347818975675</c:v>
                </c:pt>
                <c:pt idx="10">
                  <c:v>0.5289268760291459</c:v>
                </c:pt>
                <c:pt idx="11">
                  <c:v>0.53280638934835378</c:v>
                </c:pt>
                <c:pt idx="12">
                  <c:v>0.53661546317226139</c:v>
                </c:pt>
                <c:pt idx="13">
                  <c:v>0.53836454853125437</c:v>
                </c:pt>
                <c:pt idx="14">
                  <c:v>0.54006193031628746</c:v>
                </c:pt>
                <c:pt idx="15">
                  <c:v>0.54171428740919136</c:v>
                </c:pt>
                <c:pt idx="16">
                  <c:v>0.5433270827033736</c:v>
                </c:pt>
                <c:pt idx="17">
                  <c:v>0.54490484147488527</c:v>
                </c:pt>
                <c:pt idx="18">
                  <c:v>0.54645135438946035</c:v>
                </c:pt>
                <c:pt idx="19">
                  <c:v>0.54796982837712416</c:v>
                </c:pt>
                <c:pt idx="20">
                  <c:v>0.54946300065778508</c:v>
                </c:pt>
                <c:pt idx="21">
                  <c:v>0.55093322621651331</c:v>
                </c:pt>
                <c:pt idx="22">
                  <c:v>0.55238254581810975</c:v>
                </c:pt>
                <c:pt idx="23">
                  <c:v>0.55381273953572185</c:v>
                </c:pt>
                <c:pt idx="24">
                  <c:v>0.5552253693450574</c:v>
                </c:pt>
                <c:pt idx="25">
                  <c:v>0.5566218133596289</c:v>
                </c:pt>
                <c:pt idx="26">
                  <c:v>0.55800329360141576</c:v>
                </c:pt>
                <c:pt idx="27">
                  <c:v>0.55937089871862156</c:v>
                </c:pt>
                <c:pt idx="28">
                  <c:v>0.56072560271516125</c:v>
                </c:pt>
                <c:pt idx="29">
                  <c:v>0.56206828050365498</c:v>
                </c:pt>
                <c:pt idx="30">
                  <c:v>0.56339972090725576</c:v>
                </c:pt>
                <c:pt idx="31">
                  <c:v>0.56472063759655866</c:v>
                </c:pt>
                <c:pt idx="32">
                  <c:v>0.56603167834304391</c:v>
                </c:pt>
              </c:numCache>
            </c:numRef>
          </c:val>
          <c:smooth val="0"/>
          <c:extLst>
            <c:ext xmlns:c16="http://schemas.microsoft.com/office/drawing/2014/chart" uri="{C3380CC4-5D6E-409C-BE32-E72D297353CC}">
              <c16:uniqueId val="{0000000C-66A1-4277-AC5E-A671C94DD7E5}"/>
            </c:ext>
          </c:extLst>
        </c:ser>
        <c:ser>
          <c:idx val="15"/>
          <c:order val="15"/>
          <c:tx>
            <c:strRef>
              <c:f>'BECF-new'!$A$17</c:f>
              <c:strCache>
                <c:ptCount val="1"/>
                <c:pt idx="0">
                  <c:v>municipal solid waste</c:v>
                </c:pt>
              </c:strCache>
            </c:strRef>
          </c:tx>
          <c:spPr>
            <a:ln w="28575" cap="rnd">
              <a:solidFill>
                <a:schemeClr val="accent4">
                  <a:lumMod val="80000"/>
                  <a:lumOff val="2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'BECF-new'!$B$17:$AH$17</c:f>
              <c:numCache>
                <c:formatCode>0.0000</c:formatCode>
                <c:ptCount val="33"/>
                <c:pt idx="0">
                  <c:v>0.65400000000000003</c:v>
                </c:pt>
                <c:pt idx="1">
                  <c:v>0.67400000000000004</c:v>
                </c:pt>
                <c:pt idx="2">
                  <c:v>0.64600000000000002</c:v>
                </c:pt>
                <c:pt idx="3">
                  <c:v>0.64600000000000002</c:v>
                </c:pt>
                <c:pt idx="4">
                  <c:v>0.64600000000000002</c:v>
                </c:pt>
                <c:pt idx="5">
                  <c:v>0.64600000000000002</c:v>
                </c:pt>
                <c:pt idx="6">
                  <c:v>0.64600000000000002</c:v>
                </c:pt>
                <c:pt idx="7">
                  <c:v>0.64600000000000002</c:v>
                </c:pt>
                <c:pt idx="8">
                  <c:v>0.64600000000000002</c:v>
                </c:pt>
                <c:pt idx="9">
                  <c:v>0.64600000000000002</c:v>
                </c:pt>
                <c:pt idx="10">
                  <c:v>0.64600000000000002</c:v>
                </c:pt>
                <c:pt idx="11">
                  <c:v>0.64600000000000002</c:v>
                </c:pt>
                <c:pt idx="12">
                  <c:v>0.64600000000000002</c:v>
                </c:pt>
                <c:pt idx="13">
                  <c:v>0.64600000000000002</c:v>
                </c:pt>
                <c:pt idx="14">
                  <c:v>0.64600000000000002</c:v>
                </c:pt>
                <c:pt idx="15">
                  <c:v>0.64600000000000002</c:v>
                </c:pt>
                <c:pt idx="16">
                  <c:v>0.64600000000000002</c:v>
                </c:pt>
                <c:pt idx="17">
                  <c:v>0.64600000000000002</c:v>
                </c:pt>
                <c:pt idx="18">
                  <c:v>0.64600000000000002</c:v>
                </c:pt>
                <c:pt idx="19">
                  <c:v>0.64600000000000002</c:v>
                </c:pt>
                <c:pt idx="20">
                  <c:v>0.64600000000000002</c:v>
                </c:pt>
                <c:pt idx="21">
                  <c:v>0.64600000000000002</c:v>
                </c:pt>
                <c:pt idx="22">
                  <c:v>0.64600000000000002</c:v>
                </c:pt>
                <c:pt idx="23">
                  <c:v>0.64600000000000002</c:v>
                </c:pt>
                <c:pt idx="24">
                  <c:v>0.64600000000000002</c:v>
                </c:pt>
                <c:pt idx="25">
                  <c:v>0.64600000000000002</c:v>
                </c:pt>
                <c:pt idx="26">
                  <c:v>0.64600000000000002</c:v>
                </c:pt>
                <c:pt idx="27">
                  <c:v>0.64600000000000002</c:v>
                </c:pt>
                <c:pt idx="28">
                  <c:v>0.64600000000000002</c:v>
                </c:pt>
                <c:pt idx="29">
                  <c:v>0.64600000000000002</c:v>
                </c:pt>
                <c:pt idx="30">
                  <c:v>0.64600000000000002</c:v>
                </c:pt>
                <c:pt idx="31">
                  <c:v>0.64600000000000002</c:v>
                </c:pt>
                <c:pt idx="32">
                  <c:v>0.64600000000000002</c:v>
                </c:pt>
              </c:numCache>
            </c:numRef>
          </c:val>
          <c:smooth val="0"/>
          <c:extLst>
            <c:ext xmlns:c16="http://schemas.microsoft.com/office/drawing/2014/chart" uri="{C3380CC4-5D6E-409C-BE32-E72D297353CC}">
              <c16:uniqueId val="{0000000F-66A1-4277-AC5E-A671C94DD7E5}"/>
            </c:ext>
          </c:extLst>
        </c:ser>
        <c:dLbls>
          <c:showLegendKey val="0"/>
          <c:showVal val="0"/>
          <c:showCatName val="0"/>
          <c:showSerName val="0"/>
          <c:showPercent val="0"/>
          <c:showBubbleSize val="0"/>
        </c:dLbls>
        <c:smooth val="0"/>
        <c:axId val="638653615"/>
        <c:axId val="638656943"/>
        <c:extLst>
          <c:ext xmlns:c15="http://schemas.microsoft.com/office/drawing/2012/chart" uri="{02D57815-91ED-43cb-92C2-25804820EDAC}">
            <c15:filteredLineSeries>
              <c15:ser>
                <c:idx val="1"/>
                <c:order val="1"/>
                <c:tx>
                  <c:strRef>
                    <c:extLst>
                      <c:ext uri="{02D57815-91ED-43cb-92C2-25804820EDAC}">
                        <c15:formulaRef>
                          <c15:sqref>'BECF-new'!$A$3</c15:sqref>
                        </c15:formulaRef>
                      </c:ext>
                    </c:extLst>
                    <c:strCache>
                      <c:ptCount val="1"/>
                      <c:pt idx="0">
                        <c:v>natural gas nonpeaker</c:v>
                      </c:pt>
                    </c:strCache>
                  </c:strRef>
                </c:tx>
                <c:spPr>
                  <a:ln w="28575" cap="rnd">
                    <a:solidFill>
                      <a:schemeClr val="accent2"/>
                    </a:solidFill>
                    <a:round/>
                  </a:ln>
                  <a:effectLst/>
                </c:spPr>
                <c:marker>
                  <c:symbol val="none"/>
                </c:marker>
                <c:cat>
                  <c:numRef>
                    <c:extLst>
                      <c:ex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c:ext uri="{02D57815-91ED-43cb-92C2-25804820EDAC}">
                        <c15:formulaRef>
                          <c15:sqref>'BECF-new'!$B$3:$AH$3</c15:sqref>
                        </c15:formulaRef>
                      </c:ext>
                    </c:extLst>
                    <c:numCache>
                      <c:formatCode>0.0000</c:formatCode>
                      <c:ptCount val="33"/>
                      <c:pt idx="0">
                        <c:v>0.627</c:v>
                      </c:pt>
                      <c:pt idx="1">
                        <c:v>0.627</c:v>
                      </c:pt>
                      <c:pt idx="2">
                        <c:v>0.627</c:v>
                      </c:pt>
                      <c:pt idx="3">
                        <c:v>0.627</c:v>
                      </c:pt>
                      <c:pt idx="4">
                        <c:v>0.627</c:v>
                      </c:pt>
                      <c:pt idx="5">
                        <c:v>0.627</c:v>
                      </c:pt>
                      <c:pt idx="6">
                        <c:v>0.627</c:v>
                      </c:pt>
                      <c:pt idx="7">
                        <c:v>0.627</c:v>
                      </c:pt>
                      <c:pt idx="8">
                        <c:v>0.627</c:v>
                      </c:pt>
                      <c:pt idx="9">
                        <c:v>0.627</c:v>
                      </c:pt>
                      <c:pt idx="10">
                        <c:v>0.627</c:v>
                      </c:pt>
                      <c:pt idx="11">
                        <c:v>0.627</c:v>
                      </c:pt>
                      <c:pt idx="12">
                        <c:v>0.627</c:v>
                      </c:pt>
                      <c:pt idx="13">
                        <c:v>0.627</c:v>
                      </c:pt>
                      <c:pt idx="14">
                        <c:v>0.627</c:v>
                      </c:pt>
                      <c:pt idx="15">
                        <c:v>0.627</c:v>
                      </c:pt>
                      <c:pt idx="16">
                        <c:v>0.627</c:v>
                      </c:pt>
                      <c:pt idx="17">
                        <c:v>0.627</c:v>
                      </c:pt>
                      <c:pt idx="18">
                        <c:v>0.627</c:v>
                      </c:pt>
                      <c:pt idx="19">
                        <c:v>0.627</c:v>
                      </c:pt>
                      <c:pt idx="20">
                        <c:v>0.627</c:v>
                      </c:pt>
                      <c:pt idx="21">
                        <c:v>0.627</c:v>
                      </c:pt>
                      <c:pt idx="22">
                        <c:v>0.627</c:v>
                      </c:pt>
                      <c:pt idx="23">
                        <c:v>0.627</c:v>
                      </c:pt>
                      <c:pt idx="24">
                        <c:v>0.627</c:v>
                      </c:pt>
                      <c:pt idx="25">
                        <c:v>0.627</c:v>
                      </c:pt>
                      <c:pt idx="26">
                        <c:v>0.627</c:v>
                      </c:pt>
                      <c:pt idx="27">
                        <c:v>0.627</c:v>
                      </c:pt>
                      <c:pt idx="28">
                        <c:v>0.627</c:v>
                      </c:pt>
                      <c:pt idx="29">
                        <c:v>0.627</c:v>
                      </c:pt>
                      <c:pt idx="30">
                        <c:v>0.627</c:v>
                      </c:pt>
                      <c:pt idx="31">
                        <c:v>0.627</c:v>
                      </c:pt>
                      <c:pt idx="32">
                        <c:v>0.627</c:v>
                      </c:pt>
                    </c:numCache>
                  </c:numRef>
                </c:val>
                <c:smooth val="0"/>
                <c:extLst>
                  <c:ext xmlns:c16="http://schemas.microsoft.com/office/drawing/2014/chart" uri="{C3380CC4-5D6E-409C-BE32-E72D297353CC}">
                    <c16:uniqueId val="{00000001-66A1-4277-AC5E-A671C94DD7E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'BECF-new'!$A$12</c15:sqref>
                        </c15:formulaRef>
                      </c:ext>
                    </c:extLst>
                    <c:strCache>
                      <c:ptCount val="1"/>
                      <c:pt idx="0">
                        <c:v>natural gas peaker</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'BECF-new'!$B$12:$AH$12</c15:sqref>
                        </c15:formulaRef>
                      </c:ext>
                    </c:extLst>
                    <c:numCache>
                      <c:formatCode>0.0000</c:formatCode>
                      <c:ptCount val="33"/>
                      <c:pt idx="0">
                        <c:v>0.14630000000000001</c:v>
                      </c:pt>
                      <c:pt idx="1">
                        <c:v>0.14630000000000001</c:v>
                      </c:pt>
                      <c:pt idx="2">
                        <c:v>0.14630000000000001</c:v>
                      </c:pt>
                      <c:pt idx="3">
                        <c:v>0.14630000000000001</c:v>
                      </c:pt>
                      <c:pt idx="4">
                        <c:v>0.14630000000000001</c:v>
                      </c:pt>
                      <c:pt idx="5">
                        <c:v>0.14630000000000001</c:v>
                      </c:pt>
                      <c:pt idx="6">
                        <c:v>0.14630000000000001</c:v>
                      </c:pt>
                      <c:pt idx="7">
                        <c:v>0.14630000000000001</c:v>
                      </c:pt>
                      <c:pt idx="8">
                        <c:v>0.14630000000000001</c:v>
                      </c:pt>
                      <c:pt idx="9">
                        <c:v>0.14630000000000001</c:v>
                      </c:pt>
                      <c:pt idx="10">
                        <c:v>0.14630000000000001</c:v>
                      </c:pt>
                      <c:pt idx="11">
                        <c:v>0.14630000000000001</c:v>
                      </c:pt>
                      <c:pt idx="12">
                        <c:v>0.14630000000000001</c:v>
                      </c:pt>
                      <c:pt idx="13">
                        <c:v>0.14630000000000001</c:v>
                      </c:pt>
                      <c:pt idx="14">
                        <c:v>0.14630000000000001</c:v>
                      </c:pt>
                      <c:pt idx="15">
                        <c:v>0.14630000000000001</c:v>
                      </c:pt>
                      <c:pt idx="16">
                        <c:v>0.14630000000000001</c:v>
                      </c:pt>
                      <c:pt idx="17">
                        <c:v>0.14630000000000001</c:v>
                      </c:pt>
                      <c:pt idx="18">
                        <c:v>0.14630000000000001</c:v>
                      </c:pt>
                      <c:pt idx="19">
                        <c:v>0.14630000000000001</c:v>
                      </c:pt>
                      <c:pt idx="20">
                        <c:v>0.14630000000000001</c:v>
                      </c:pt>
                      <c:pt idx="21">
                        <c:v>0.14630000000000001</c:v>
                      </c:pt>
                      <c:pt idx="22">
                        <c:v>0.14630000000000001</c:v>
                      </c:pt>
                      <c:pt idx="23">
                        <c:v>0.14630000000000001</c:v>
                      </c:pt>
                      <c:pt idx="24">
                        <c:v>0.14630000000000001</c:v>
                      </c:pt>
                      <c:pt idx="25">
                        <c:v>0.14630000000000001</c:v>
                      </c:pt>
                      <c:pt idx="26">
                        <c:v>0.14630000000000001</c:v>
                      </c:pt>
                      <c:pt idx="27">
                        <c:v>0.14630000000000001</c:v>
                      </c:pt>
                      <c:pt idx="28">
                        <c:v>0.14630000000000001</c:v>
                      </c:pt>
                      <c:pt idx="29">
                        <c:v>0.14630000000000001</c:v>
                      </c:pt>
                      <c:pt idx="30">
                        <c:v>0.14630000000000001</c:v>
                      </c:pt>
                      <c:pt idx="31">
                        <c:v>0.14630000000000001</c:v>
                      </c:pt>
                      <c:pt idx="32">
                        <c:v>0.14630000000000001</c:v>
                      </c:pt>
                    </c:numCache>
                  </c:numRef>
                </c:val>
                <c:smooth val="0"/>
                <c:extLst xmlns:c15="http://schemas.microsoft.com/office/drawing/2012/chart">
                  <c:ext xmlns:c16="http://schemas.microsoft.com/office/drawing/2014/chart" uri="{C3380CC4-5D6E-409C-BE32-E72D297353CC}">
                    <c16:uniqueId val="{0000000A-66A1-4277-AC5E-A671C94DD7E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'BECF-new'!$A$13</c15:sqref>
                        </c15:formulaRef>
                      </c:ext>
                    </c:extLst>
                    <c:strCache>
                      <c:ptCount val="1"/>
                      <c:pt idx="0">
                        <c:v>lignite</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'BECF-new'!$B$13:$AH$13</c15:sqref>
                        </c15:formulaRef>
                      </c:ext>
                    </c:extLst>
                    <c:numCache>
                      <c:formatCode>0.0000</c:formatCode>
                      <c:ptCount val="33"/>
                      <c:pt idx="0">
                        <c:v>0.59472875665869829</c:v>
                      </c:pt>
                      <c:pt idx="1">
                        <c:v>0.56299083955706397</c:v>
                      </c:pt>
                      <c:pt idx="2">
                        <c:v>0.59310376256607955</c:v>
                      </c:pt>
                      <c:pt idx="3">
                        <c:v>0.72564865613825835</c:v>
                      </c:pt>
                      <c:pt idx="4">
                        <c:v>0.60131790827232001</c:v>
                      </c:pt>
                      <c:pt idx="5">
                        <c:v>0.57957030422133593</c:v>
                      </c:pt>
                      <c:pt idx="6">
                        <c:v>0.5646301755197195</c:v>
                      </c:pt>
                      <c:pt idx="7">
                        <c:v>0.5214253832469542</c:v>
                      </c:pt>
                      <c:pt idx="8">
                        <c:v>0.52015088346237837</c:v>
                      </c:pt>
                      <c:pt idx="9">
                        <c:v>0.52258959376291125</c:v>
                      </c:pt>
                      <c:pt idx="10">
                        <c:v>0.42993764745534208</c:v>
                      </c:pt>
                      <c:pt idx="11">
                        <c:v>0.43359604046336181</c:v>
                      </c:pt>
                      <c:pt idx="12">
                        <c:v>0.42991513959490468</c:v>
                      </c:pt>
                      <c:pt idx="13">
                        <c:v>0.43917856697646718</c:v>
                      </c:pt>
                      <c:pt idx="14">
                        <c:v>0.37325362087990727</c:v>
                      </c:pt>
                      <c:pt idx="15">
                        <c:v>0.37990094232909033</c:v>
                      </c:pt>
                      <c:pt idx="16">
                        <c:v>0.37820996717315125</c:v>
                      </c:pt>
                      <c:pt idx="17">
                        <c:v>0.38920863219203145</c:v>
                      </c:pt>
                      <c:pt idx="18">
                        <c:v>0.36907482870446945</c:v>
                      </c:pt>
                      <c:pt idx="19">
                        <c:v>0.28442305079539482</c:v>
                      </c:pt>
                      <c:pt idx="20">
                        <c:v>0.28133657634667752</c:v>
                      </c:pt>
                      <c:pt idx="21">
                        <c:v>0.27566892843425939</c:v>
                      </c:pt>
                      <c:pt idx="22">
                        <c:v>0.27017864353032706</c:v>
                      </c:pt>
                      <c:pt idx="23">
                        <c:v>0.38082496194824961</c:v>
                      </c:pt>
                      <c:pt idx="24">
                        <c:v>0.3705799086757991</c:v>
                      </c:pt>
                      <c:pt idx="25">
                        <c:v>0.35578538812785387</c:v>
                      </c:pt>
                      <c:pt idx="26">
                        <c:v>0.33108371385083712</c:v>
                      </c:pt>
                      <c:pt idx="27">
                        <c:v>0.31240943683409439</c:v>
                      </c:pt>
                      <c:pt idx="28">
                        <c:v>0.29144444444444445</c:v>
                      </c:pt>
                      <c:pt idx="29">
                        <c:v>0.30611415525114155</c:v>
                      </c:pt>
                      <c:pt idx="30">
                        <c:v>0.2919391171993912</c:v>
                      </c:pt>
                      <c:pt idx="31">
                        <c:v>0.27119482496194824</c:v>
                      </c:pt>
                      <c:pt idx="32">
                        <c:v>0.26171537290715374</c:v>
                      </c:pt>
                    </c:numCache>
                  </c:numRef>
                </c:val>
                <c:smooth val="0"/>
                <c:extLst xmlns:c15="http://schemas.microsoft.com/office/drawing/2012/chart">
                  <c:ext xmlns:c16="http://schemas.microsoft.com/office/drawing/2014/chart" uri="{C3380CC4-5D6E-409C-BE32-E72D297353CC}">
                    <c16:uniqueId val="{0000000B-66A1-4277-AC5E-A671C94DD7E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'BECF-new'!$A$15</c15:sqref>
                        </c15:formulaRef>
                      </c:ext>
                    </c:extLst>
                    <c:strCache>
                      <c:ptCount val="1"/>
                      <c:pt idx="0">
                        <c:v>crude oil</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'BECF-new'!$B$15:$AH$15</c15:sqref>
                        </c15:formulaRef>
                      </c:ext>
                    </c:extLst>
                    <c:numCache>
                      <c:formatCode>0.0000</c:formatCode>
                      <c:ptCount val="33"/>
                      <c:pt idx="0">
                        <c:v>0.13230750666194346</c:v>
                      </c:pt>
                      <c:pt idx="1">
                        <c:v>0.1171532780184619</c:v>
                      </c:pt>
                      <c:pt idx="2">
                        <c:v>0.12795108802455094</c:v>
                      </c:pt>
                      <c:pt idx="3">
                        <c:v>0.1458041349325884</c:v>
                      </c:pt>
                      <c:pt idx="4">
                        <c:v>0.1437628593230213</c:v>
                      </c:pt>
                      <c:pt idx="5">
                        <c:v>0.20273662024764164</c:v>
                      </c:pt>
                      <c:pt idx="6">
                        <c:v>0.16460786174698572</c:v>
                      </c:pt>
                      <c:pt idx="7">
                        <c:v>0.15687450070525463</c:v>
                      </c:pt>
                      <c:pt idx="8">
                        <c:v>0.18170877615234451</c:v>
                      </c:pt>
                      <c:pt idx="9">
                        <c:v>0.13314894485126985</c:v>
                      </c:pt>
                      <c:pt idx="10">
                        <c:v>0.14148458752959475</c:v>
                      </c:pt>
                      <c:pt idx="11">
                        <c:v>0.16499127693041396</c:v>
                      </c:pt>
                      <c:pt idx="12">
                        <c:v>0.1685068265927889</c:v>
                      </c:pt>
                      <c:pt idx="13">
                        <c:v>0.23436164630191439</c:v>
                      </c:pt>
                      <c:pt idx="14">
                        <c:v>0.19185525724235303</c:v>
                      </c:pt>
                      <c:pt idx="15">
                        <c:v>0.24322096992723666</c:v>
                      </c:pt>
                      <c:pt idx="16">
                        <c:v>0.23315377145974137</c:v>
                      </c:pt>
                      <c:pt idx="17">
                        <c:v>0.22848987474585353</c:v>
                      </c:pt>
                      <c:pt idx="18">
                        <c:v>0.12374248742313884</c:v>
                      </c:pt>
                      <c:pt idx="19">
                        <c:v>0.18441611965790455</c:v>
                      </c:pt>
                      <c:pt idx="20">
                        <c:v>0.18321738856924966</c:v>
                      </c:pt>
                      <c:pt idx="21">
                        <c:v>0.18778540492203166</c:v>
                      </c:pt>
                      <c:pt idx="22">
                        <c:v>0.18612240811909075</c:v>
                      </c:pt>
                      <c:pt idx="23">
                        <c:v>0.42522133488159725</c:v>
                      </c:pt>
                      <c:pt idx="24">
                        <c:v>0.29712734449900907</c:v>
                      </c:pt>
                      <c:pt idx="25">
                        <c:v>0.31999260510331068</c:v>
                      </c:pt>
                      <c:pt idx="26">
                        <c:v>0.21872136798951258</c:v>
                      </c:pt>
                      <c:pt idx="27">
                        <c:v>0.21393930297347724</c:v>
                      </c:pt>
                      <c:pt idx="28">
                        <c:v>0.20888275935937356</c:v>
                      </c:pt>
                      <c:pt idx="29">
                        <c:v>0.21273171079771075</c:v>
                      </c:pt>
                      <c:pt idx="30">
                        <c:v>0.20802409028756971</c:v>
                      </c:pt>
                      <c:pt idx="31">
                        <c:v>0.21228163409031919</c:v>
                      </c:pt>
                      <c:pt idx="32">
                        <c:v>0.21586122143862657</c:v>
                      </c:pt>
                    </c:numCache>
                  </c:numRef>
                </c:val>
                <c:smooth val="0"/>
                <c:extLst xmlns:c15="http://schemas.microsoft.com/office/drawing/2012/chart">
                  <c:ext xmlns:c16="http://schemas.microsoft.com/office/drawing/2014/chart" uri="{C3380CC4-5D6E-409C-BE32-E72D297353CC}">
                    <c16:uniqueId val="{0000000D-66A1-4277-AC5E-A671C94DD7E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'BECF-new'!$A$16</c15:sqref>
                        </c15:formulaRef>
                      </c:ext>
                    </c:extLst>
                    <c:strCache>
                      <c:ptCount val="1"/>
                      <c:pt idx="0">
                        <c:v>heavy or residual fuel oil</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'BECF-new'!$B$16:$AH$16</c15:sqref>
                        </c15:formulaRef>
                      </c:ext>
                    </c:extLst>
                    <c:numCache>
                      <c:formatCode>0.0000</c:formatCode>
                      <c:ptCount val="33"/>
                      <c:pt idx="0">
                        <c:v>0.13230750666194346</c:v>
                      </c:pt>
                      <c:pt idx="1">
                        <c:v>0.1171532780184619</c:v>
                      </c:pt>
                      <c:pt idx="2">
                        <c:v>0.12795108802455094</c:v>
                      </c:pt>
                      <c:pt idx="3">
                        <c:v>0.1458041349325884</c:v>
                      </c:pt>
                      <c:pt idx="4">
                        <c:v>0.1437628593230213</c:v>
                      </c:pt>
                      <c:pt idx="5">
                        <c:v>0.20273662024764164</c:v>
                      </c:pt>
                      <c:pt idx="6">
                        <c:v>0.16460786174698572</c:v>
                      </c:pt>
                      <c:pt idx="7">
                        <c:v>0.15687450070525463</c:v>
                      </c:pt>
                      <c:pt idx="8">
                        <c:v>0.18170877615234451</c:v>
                      </c:pt>
                      <c:pt idx="9">
                        <c:v>0.13314894485126985</c:v>
                      </c:pt>
                      <c:pt idx="10">
                        <c:v>0.14148458752959475</c:v>
                      </c:pt>
                      <c:pt idx="11">
                        <c:v>0.16499127693041396</c:v>
                      </c:pt>
                      <c:pt idx="12">
                        <c:v>0.1685068265927889</c:v>
                      </c:pt>
                      <c:pt idx="13">
                        <c:v>0.23436164630191439</c:v>
                      </c:pt>
                      <c:pt idx="14">
                        <c:v>0.19185525724235303</c:v>
                      </c:pt>
                      <c:pt idx="15">
                        <c:v>0.24322096992723666</c:v>
                      </c:pt>
                      <c:pt idx="16">
                        <c:v>0.23315377145974137</c:v>
                      </c:pt>
                      <c:pt idx="17">
                        <c:v>0.22848987474585353</c:v>
                      </c:pt>
                      <c:pt idx="18">
                        <c:v>0.12374248742313884</c:v>
                      </c:pt>
                      <c:pt idx="19">
                        <c:v>0.18441611965790455</c:v>
                      </c:pt>
                      <c:pt idx="20">
                        <c:v>0.18321738856924966</c:v>
                      </c:pt>
                      <c:pt idx="21">
                        <c:v>0.18778540492203166</c:v>
                      </c:pt>
                      <c:pt idx="22">
                        <c:v>0.18612240811909075</c:v>
                      </c:pt>
                      <c:pt idx="23">
                        <c:v>0.42522133488159725</c:v>
                      </c:pt>
                      <c:pt idx="24">
                        <c:v>0.29712734449900907</c:v>
                      </c:pt>
                      <c:pt idx="25">
                        <c:v>0.31999260510331068</c:v>
                      </c:pt>
                      <c:pt idx="26">
                        <c:v>0.21872136798951258</c:v>
                      </c:pt>
                      <c:pt idx="27">
                        <c:v>0.21393930297347724</c:v>
                      </c:pt>
                      <c:pt idx="28">
                        <c:v>0.20888275935937356</c:v>
                      </c:pt>
                      <c:pt idx="29">
                        <c:v>0.21273171079771075</c:v>
                      </c:pt>
                      <c:pt idx="30">
                        <c:v>0.20802409028756971</c:v>
                      </c:pt>
                      <c:pt idx="31">
                        <c:v>0.21228163409031919</c:v>
                      </c:pt>
                      <c:pt idx="32">
                        <c:v>0.21586122143862657</c:v>
                      </c:pt>
                    </c:numCache>
                  </c:numRef>
                </c:val>
                <c:smooth val="0"/>
                <c:extLst xmlns:c15="http://schemas.microsoft.com/office/drawing/2012/chart">
                  <c:ext xmlns:c16="http://schemas.microsoft.com/office/drawing/2014/chart" uri="{C3380CC4-5D6E-409C-BE32-E72D297353CC}">
                    <c16:uniqueId val="{0000000E-66A1-4277-AC5E-A671C94DD7E5}"/>
                  </c:ext>
                </c:extLst>
              </c15:ser>
            </c15:filteredLineSeries>
          </c:ext>
        </c:extLst>
      </c:lineChart>
      <c:catAx>
        <c:axId val="63865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6943"/>
        <c:crosses val="autoZero"/>
        <c:auto val="1"/>
        <c:lblAlgn val="ctr"/>
        <c:lblOffset val="100"/>
        <c:noMultiLvlLbl val="0"/>
      </c:catAx>
      <c:valAx>
        <c:axId val="63865694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3615"/>
        <c:crosses val="autoZero"/>
        <c:crossBetween val="between"/>
      </c:valAx>
      <c:spPr>
        <a:noFill/>
        <a:ln>
          <a:noFill/>
        </a:ln>
        <a:effectLst/>
      </c:spPr>
    </c:plotArea>
    <c:legend>
      <c:legendPos val="b"/>
      <c:layout>
        <c:manualLayout>
          <c:xMode val="edge"/>
          <c:yMode val="edge"/>
          <c:x val="2.8831802274715674E-2"/>
          <c:y val="0.88728977933002573"/>
          <c:w val="0.95344750656167976"/>
          <c:h val="0.10895183338271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361950</xdr:rowOff>
    </xdr:from>
    <xdr:to>
      <xdr:col>21</xdr:col>
      <xdr:colOff>7620</xdr:colOff>
      <xdr:row>26</xdr:row>
      <xdr:rowOff>7620</xdr:rowOff>
    </xdr:to>
    <xdr:graphicFrame macro="">
      <xdr:nvGraphicFramePr>
        <xdr:cNvPr id="2" name="Chart 1">
          <a:extLst>
            <a:ext uri="{FF2B5EF4-FFF2-40B4-BE49-F238E27FC236}">
              <a16:creationId xmlns:a16="http://schemas.microsoft.com/office/drawing/2014/main" id="{690C9B33-CC73-2716-099D-59D6BCEDB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dre Dixon" id="{7094EDA8-4D4E-4764-8465-026D9F2A73E0}" userId="Andre Dixon"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ABA5E94-7280-47A8-B791-665053099BBE}" name="CAN_gen" displayName="CAN_gen" ref="A8:AU17" totalsRowCount="1">
  <tableColumns count="47">
    <tableColumn id="1" xr3:uid="{F030B57D-73E5-4586-8BDD-0EEDA791F1CE}" name="_" totalsRowDxfId="739"/>
    <tableColumn id="2" xr3:uid="{2FCA3252-61F8-4E14-BEC1-D2C3085CC854}" name="2005" totalsRowDxfId="738"/>
    <tableColumn id="3" xr3:uid="{42F67A94-63CB-43F4-A294-438ECF6B9DF5}" name="2006" totalsRowDxfId="737"/>
    <tableColumn id="4" xr3:uid="{1A8F18D8-CFBC-4366-B626-B4D08CD3A76A}" name="2007" totalsRowDxfId="736"/>
    <tableColumn id="5" xr3:uid="{495E68DB-82BB-4314-B9F0-03424DEA015F}" name="2008" totalsRowDxfId="735"/>
    <tableColumn id="6" xr3:uid="{A4E4FB72-C8FF-430C-8224-858A75DEE7F1}" name="2009" totalsRowDxfId="734"/>
    <tableColumn id="7" xr3:uid="{0D90C45F-544F-4230-87FB-EC67AAA16870}" name="2010" totalsRowDxfId="733"/>
    <tableColumn id="8" xr3:uid="{AE580753-3B49-4B2E-95E8-3D580A9EBCE5}" name="2011" totalsRowDxfId="732"/>
    <tableColumn id="9" xr3:uid="{5A2DF288-F0B7-4FBA-A8FC-19C91CDB2E55}" name="2012" totalsRowDxfId="731"/>
    <tableColumn id="10" xr3:uid="{32687022-BED5-410C-9BD0-68BA36A3A263}" name="2013" totalsRowDxfId="730"/>
    <tableColumn id="11" xr3:uid="{8BA5CFED-8CBF-4651-A9FA-B36B6A5D516F}" name="2014" totalsRowDxfId="729" dataCellStyle="Normal 3"/>
    <tableColumn id="12" xr3:uid="{13A9C9D7-DF44-4054-8603-BB8ADC45D04F}" name="2015" totalsRowFunction="custom" totalsRowDxfId="728" dataCellStyle="Normal 3">
      <totalsRowFormula>SUBTOTAL(109,CAN_gen[2015])</totalsRowFormula>
    </tableColumn>
    <tableColumn id="13" xr3:uid="{E42ECB15-BA51-4697-A112-2EE03BBD4F47}" name="2016" totalsRowFunction="custom" totalsRowDxfId="727" dataCellStyle="Normal 3">
      <totalsRowFormula>SUBTOTAL(109,CAN_gen[2016])</totalsRowFormula>
    </tableColumn>
    <tableColumn id="14" xr3:uid="{26E7388E-E0AE-4C74-A906-8018AC018654}" name="2017" totalsRowFunction="custom" totalsRowDxfId="726" dataCellStyle="Normal 3">
      <totalsRowFormula>SUBTOTAL(109,CAN_gen[2017])</totalsRowFormula>
    </tableColumn>
    <tableColumn id="15" xr3:uid="{A4A9101F-1AEA-4C58-878A-A787B8DEC35E}" name="2018" totalsRowFunction="custom" totalsRowDxfId="725" dataCellStyle="Normal 3">
      <totalsRowFormula>SUBTOTAL(109,CAN_gen[2018])</totalsRowFormula>
    </tableColumn>
    <tableColumn id="16" xr3:uid="{BF90B8B0-C804-42F5-825A-D11DB30DD265}" name="2019" totalsRowFunction="sum" dataDxfId="724" totalsRowDxfId="723" dataCellStyle="Normal 3"/>
    <tableColumn id="17" xr3:uid="{66CE9AFB-AAA3-4E74-B6AE-DB1CA8FCC316}" name="2020" totalsRowFunction="sum" totalsRowDxfId="722"/>
    <tableColumn id="18" xr3:uid="{86579632-2A1C-400F-B68F-8F8D4F3E9A82}" name="2021" totalsRowDxfId="721"/>
    <tableColumn id="19" xr3:uid="{BE5301C6-D54C-461A-BC80-006306100EB0}" name="2022" totalsRowDxfId="720"/>
    <tableColumn id="20" xr3:uid="{CD26AE91-3DBD-436C-9385-35FCCC18B48C}" name="2023" totalsRowDxfId="719"/>
    <tableColumn id="21" xr3:uid="{A39871BC-8A42-49B5-8386-B3A682C12979}" name="2024" totalsRowDxfId="718"/>
    <tableColumn id="22" xr3:uid="{3AE906A5-3F8E-456B-A20C-1CA48E7D4C6D}" name="2025" totalsRowDxfId="717"/>
    <tableColumn id="23" xr3:uid="{2B07B8C5-2956-4CD5-9135-B644A6F68BDA}" name="2026" totalsRowDxfId="716"/>
    <tableColumn id="24" xr3:uid="{DB79B87D-7865-4E95-9E35-DB0D85D98C66}" name="2027" totalsRowDxfId="715"/>
    <tableColumn id="25" xr3:uid="{E16DA713-FF40-42C1-9C7E-46B05A49E482}" name="2028" totalsRowDxfId="714"/>
    <tableColumn id="26" xr3:uid="{4C47AF88-D839-4727-B19B-DD21C0C122C2}" name="2029" totalsRowDxfId="713"/>
    <tableColumn id="27" xr3:uid="{003F14A0-C0E3-42C4-8E47-F8AFB3DD4A7D}" name="2030" totalsRowDxfId="712"/>
    <tableColumn id="28" xr3:uid="{2066B678-1F6E-485A-9F40-126ACD61874E}" name="2031" totalsRowDxfId="711"/>
    <tableColumn id="29" xr3:uid="{B811D725-6AD7-4ED3-8218-A856CD03C173}" name="2032" totalsRowDxfId="710"/>
    <tableColumn id="30" xr3:uid="{8832B0B9-D9D2-4A97-AB13-1857E10D1A72}" name="2033" totalsRowDxfId="709"/>
    <tableColumn id="31" xr3:uid="{86BE2AA2-FD08-4195-BEAC-2A284029D9F5}" name="2034" totalsRowDxfId="708"/>
    <tableColumn id="32" xr3:uid="{CA2C4FA3-40CA-40D0-910E-1BDE58ABC8AF}" name="2035" totalsRowDxfId="707"/>
    <tableColumn id="33" xr3:uid="{8736767F-8408-4BCC-B396-9507AEB8764B}" name="2036" totalsRowDxfId="706"/>
    <tableColumn id="34" xr3:uid="{E768A76B-E699-4E61-8581-38135C17D59D}" name="2037" totalsRowDxfId="705"/>
    <tableColumn id="35" xr3:uid="{93482A38-DD20-4F1D-8973-1027EF859734}" name="2038" totalsRowDxfId="704"/>
    <tableColumn id="36" xr3:uid="{5FF1FD2C-B0C5-46D7-93F5-663A4CAF8FB0}" name="2039" totalsRowDxfId="703"/>
    <tableColumn id="37" xr3:uid="{96869132-ECFB-42B9-B5E9-8AA033C45B21}" name="2040" totalsRowDxfId="702"/>
    <tableColumn id="38" xr3:uid="{E7D67863-3BA9-4ECA-A2B1-4CAD10317CAB}" name="2041" totalsRowDxfId="701"/>
    <tableColumn id="39" xr3:uid="{EFF28ED1-704C-492B-8939-F09ECEFC856F}" name="2042" totalsRowDxfId="700"/>
    <tableColumn id="40" xr3:uid="{78AB9446-87AA-4476-9712-D85213171700}" name="2043" totalsRowDxfId="699"/>
    <tableColumn id="41" xr3:uid="{0337C8E1-022E-497D-8721-3F655B265B56}" name="2044" totalsRowDxfId="698"/>
    <tableColumn id="42" xr3:uid="{C43C1AC5-FDC2-44C1-8861-9829C789B1C3}" name="2045" totalsRowDxfId="697"/>
    <tableColumn id="43" xr3:uid="{8BF2254E-6CE9-40E8-817D-9FFDE84966DC}" name="2046" totalsRowDxfId="696"/>
    <tableColumn id="44" xr3:uid="{D31F415A-E199-4EA0-95C2-3A48F55E0178}" name="2047" totalsRowDxfId="695"/>
    <tableColumn id="45" xr3:uid="{602D973B-98E7-4C50-8592-28B5E2CF2A09}" name="2048" totalsRowDxfId="694"/>
    <tableColumn id="46" xr3:uid="{D7CBC20D-775F-48AD-BF27-EC071B719AEB}" name="2049" totalsRowDxfId="693"/>
    <tableColumn id="47" xr3:uid="{2B57DF7E-68F1-4D28-9F73-FA06EDCF9C8D}" name="2050" totalsRowFunction="sum" totalsRowDxfId="692" dataCellStyle="Normal 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8579F6F-D996-4138-8145-3ADF422687CF}" name="BC_gen" displayName="BC_gen" ref="A107:AU115" totalsRowShown="0">
  <tableColumns count="47">
    <tableColumn id="1" xr3:uid="{6FEAA989-FB8D-47B6-B0C2-CD5FED2804C3}" name="_"/>
    <tableColumn id="2" xr3:uid="{AF9F66CD-4FB7-4D9E-88E9-3E601F0C4708}" name="2005"/>
    <tableColumn id="3" xr3:uid="{5579D423-1191-4FF2-9686-60FE19626D8B}" name="2006"/>
    <tableColumn id="4" xr3:uid="{5FE8793E-D1B5-4646-A93B-85D140DDE351}" name="2007"/>
    <tableColumn id="5" xr3:uid="{BF951E32-0B2F-49A0-A2A9-8B8DBE13C45D}" name="2008"/>
    <tableColumn id="6" xr3:uid="{B628AE39-E873-4E00-9DBF-8FB9391CD342}" name="2009"/>
    <tableColumn id="7" xr3:uid="{0785AF8A-BCC2-4D1C-92AE-A7191D58941C}" name="2010"/>
    <tableColumn id="8" xr3:uid="{7FD0A407-76EF-4311-A29A-90F6C007DECD}" name="2011"/>
    <tableColumn id="9" xr3:uid="{7EC3B14E-13FD-46FA-A60A-32496DF1AABD}" name="2012"/>
    <tableColumn id="10" xr3:uid="{1930A76A-C9B0-440E-B8D6-01E747A88424}" name="2013"/>
    <tableColumn id="11" xr3:uid="{698E3285-0C6B-4752-9E2E-D97C8B08BA9B}" name="2014"/>
    <tableColumn id="12" xr3:uid="{612D597A-58D6-4BBE-86FA-E18C2D6AE87A}" name="2015"/>
    <tableColumn id="13" xr3:uid="{0916B3A7-7D48-47D7-8272-4FDDCA2C0D0D}" name="2016"/>
    <tableColumn id="14" xr3:uid="{E8B74926-39EB-4C55-A616-4C7E6E3B58AD}" name="2017"/>
    <tableColumn id="15" xr3:uid="{3F81BCB5-E735-4415-AF14-9E081EA6DAAA}" name="2018"/>
    <tableColumn id="16" xr3:uid="{B715BBF1-0A34-4AEC-8AAF-2E177F52B4D8}" name="2019"/>
    <tableColumn id="17" xr3:uid="{DBB60233-F7DE-4C12-8E34-4A66685CD92B}" name="2020"/>
    <tableColumn id="18" xr3:uid="{30C30D66-5303-4EB1-8275-D1A3D47C4983}" name="2021"/>
    <tableColumn id="19" xr3:uid="{938DFF00-22CA-417F-97E2-0E7A8CA44FD7}" name="2022"/>
    <tableColumn id="20" xr3:uid="{C9B68EA6-99B1-4B6C-ADF0-15B4AFDCF974}" name="2023"/>
    <tableColumn id="21" xr3:uid="{09FA334D-17B5-464F-8935-6029AEF11A3A}" name="2024"/>
    <tableColumn id="22" xr3:uid="{65149B9F-F48B-4B15-9ED2-DFD841E7F77A}" name="2025"/>
    <tableColumn id="23" xr3:uid="{479B126D-AF9B-4D37-A89C-7E37020717E6}" name="2026"/>
    <tableColumn id="24" xr3:uid="{11A5F770-F7EA-4393-A965-99D9BD754B34}" name="2027"/>
    <tableColumn id="25" xr3:uid="{10A6A81D-126A-4568-907A-E96784EE015B}" name="2028"/>
    <tableColumn id="26" xr3:uid="{40017147-F4B9-474B-9DA8-409D2E1FE327}" name="2029"/>
    <tableColumn id="27" xr3:uid="{DA16C635-9DF1-4842-902F-452C71A7E598}" name="2030"/>
    <tableColumn id="28" xr3:uid="{9AC17FFC-7BB0-423E-80FC-768A9F261077}" name="2031"/>
    <tableColumn id="29" xr3:uid="{D21E8DCE-9205-41DA-AEBE-A195105ABD63}" name="2032"/>
    <tableColumn id="30" xr3:uid="{7DBE99DA-C30F-4F03-992F-1085A2DF9287}" name="2033"/>
    <tableColumn id="31" xr3:uid="{4059FEAB-71F8-4DD2-96C5-F08C8A1AE062}" name="2034"/>
    <tableColumn id="32" xr3:uid="{FD1F6B74-668A-45C2-8805-0154798A1B8B}" name="2035"/>
    <tableColumn id="33" xr3:uid="{E1F3255E-3FDC-4D1C-8CCE-9A1BEE552433}" name="2036"/>
    <tableColumn id="34" xr3:uid="{C75C0F36-9221-47B7-BABA-7EF2F75BAA39}" name="2037"/>
    <tableColumn id="35" xr3:uid="{A729010F-C938-4F10-9460-41E18C4725B6}" name="2038"/>
    <tableColumn id="36" xr3:uid="{109CE6C6-7521-442B-9337-3BF1CE329ADB}" name="2039"/>
    <tableColumn id="37" xr3:uid="{C59A81C5-EED7-4962-B67B-C4095800CDD0}" name="2040"/>
    <tableColumn id="38" xr3:uid="{A7CD71F8-F631-410F-A62C-A88ACF19867B}" name="2041"/>
    <tableColumn id="39" xr3:uid="{11F07E45-2A24-4201-AA7B-50C6821150CB}" name="2042"/>
    <tableColumn id="40" xr3:uid="{00873198-866D-453E-BE84-6A4EA90D187F}" name="2043"/>
    <tableColumn id="41" xr3:uid="{E1447B7A-37BD-47D4-AABA-6AB3226D8E4A}" name="2044"/>
    <tableColumn id="42" xr3:uid="{C4901CBD-B6C6-407E-B0DA-DE0E3214482B}" name="2045"/>
    <tableColumn id="43" xr3:uid="{FB28BC55-5228-4897-92F0-8B2C1B44C881}" name="2046"/>
    <tableColumn id="44" xr3:uid="{81C62B9C-0F24-4652-BF8A-820BAB28BB61}" name="2047"/>
    <tableColumn id="45" xr3:uid="{B1049E5A-E596-496D-BEA5-5B74FB520084}" name="2048"/>
    <tableColumn id="46" xr3:uid="{E0885098-82C6-4049-9F86-32058E67BFBB}" name="2049"/>
    <tableColumn id="47" xr3:uid="{CAA0F070-4B5C-45DB-AF34-D4AB2B61601F}"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CD705B2-4C83-4C25-B4A1-C21DD3CFA0CB}" name="SK_gen" displayName="SK_gen" ref="A118:AU126" totalsRowShown="0">
  <tableColumns count="47">
    <tableColumn id="1" xr3:uid="{B6620EB7-05EE-4CB4-A3DF-3EA3D9B91227}" name="_"/>
    <tableColumn id="2" xr3:uid="{3A9E6514-87AD-41A7-A304-70688407D25E}" name="2005"/>
    <tableColumn id="3" xr3:uid="{F9FE80B0-AE7F-47AF-9C76-192BBE10218B}" name="2006"/>
    <tableColumn id="4" xr3:uid="{ECD3E910-6260-4375-ACD0-56152DF662ED}" name="2007"/>
    <tableColumn id="5" xr3:uid="{7AC4E841-2F42-47B8-86A9-920207648E36}" name="2008"/>
    <tableColumn id="6" xr3:uid="{BBC5D18F-A43F-4514-96DD-FD722097C65C}" name="2009"/>
    <tableColumn id="7" xr3:uid="{F21D55AC-7A5A-4B4F-A73C-C57E4BE1D82B}" name="2010"/>
    <tableColumn id="8" xr3:uid="{A8D35A25-9F7F-4736-B89A-D62C24F0344B}" name="2011"/>
    <tableColumn id="9" xr3:uid="{4AB1EDFA-085B-426A-B951-EBF258AC0F75}" name="2012"/>
    <tableColumn id="10" xr3:uid="{7C290719-80E8-42CD-83CD-41E9FBBE2CD5}" name="2013"/>
    <tableColumn id="11" xr3:uid="{9A25ED42-B7F8-476B-A9EF-B90FBBB5B288}" name="2014"/>
    <tableColumn id="12" xr3:uid="{8FAF4716-4DEC-4D20-AB12-91BC57C7FFBF}" name="2015"/>
    <tableColumn id="13" xr3:uid="{66394043-12B1-488C-9077-672FB7E80E04}" name="2016"/>
    <tableColumn id="14" xr3:uid="{66306C61-CEBF-4791-A06C-81F5D96A70FA}" name="2017"/>
    <tableColumn id="15" xr3:uid="{39BAE3F6-0295-44B7-8AD7-7AB6E7E5F9CF}" name="2018"/>
    <tableColumn id="16" xr3:uid="{8A041CC8-FDCE-4991-9C7D-589129DCCA27}" name="2019"/>
    <tableColumn id="17" xr3:uid="{7A96FC90-0B71-4180-A265-B00C060BDD25}" name="2020"/>
    <tableColumn id="18" xr3:uid="{25422EC2-5E90-4EBC-9798-A560893261EF}" name="2021"/>
    <tableColumn id="19" xr3:uid="{D373BF45-A476-4DEB-B3DC-E95995F6B51E}" name="2022"/>
    <tableColumn id="20" xr3:uid="{15166AF9-B281-485E-AD98-60E9B2238A22}" name="2023"/>
    <tableColumn id="21" xr3:uid="{1DFB0B58-A3D7-4C13-BAD2-4FC476539E5C}" name="2024"/>
    <tableColumn id="22" xr3:uid="{8FEC1E40-A27D-431B-A7DD-2BDDAD1FAE37}" name="2025"/>
    <tableColumn id="23" xr3:uid="{6B6A5431-03F3-4396-B0E4-F5CD3DDC2848}" name="2026"/>
    <tableColumn id="24" xr3:uid="{375E47B0-9B80-4EE3-85AC-0AEF893180B4}" name="2027"/>
    <tableColumn id="25" xr3:uid="{4A5B5C58-431D-4280-BD4E-1E8F0839CDEF}" name="2028"/>
    <tableColumn id="26" xr3:uid="{7A533822-F340-4D9F-A79E-1DEBFC910069}" name="2029"/>
    <tableColumn id="27" xr3:uid="{44756521-C15F-412E-83BC-270866A6E221}" name="2030"/>
    <tableColumn id="28" xr3:uid="{939184B9-E920-424F-90EA-5DE28B80A360}" name="2031"/>
    <tableColumn id="29" xr3:uid="{D07AE9C3-C156-4F18-8A4A-6C3B358B95FB}" name="2032"/>
    <tableColumn id="30" xr3:uid="{51A0D33F-733E-4867-BED1-63C9E70C9E41}" name="2033"/>
    <tableColumn id="31" xr3:uid="{CA1F97C0-ECF1-4986-8B3F-8B402B17E02A}" name="2034"/>
    <tableColumn id="32" xr3:uid="{B77CC656-F0D7-46F4-AE6E-AAEBAB764EB2}" name="2035"/>
    <tableColumn id="33" xr3:uid="{68743D1B-7262-42A9-A42D-28269F532295}" name="2036"/>
    <tableColumn id="34" xr3:uid="{E01FBE14-30B7-4DE1-9882-F4DD95563B48}" name="2037"/>
    <tableColumn id="35" xr3:uid="{2103BB96-5CA4-4FD0-9AED-79CC40A8E081}" name="2038"/>
    <tableColumn id="36" xr3:uid="{2A847DA1-A0C3-4AB3-B7CD-6EB73514276E}" name="2039"/>
    <tableColumn id="37" xr3:uid="{E3D7D6F4-3724-4BA9-9AB5-8945B39AB8CB}" name="2040"/>
    <tableColumn id="38" xr3:uid="{F6D85368-015F-42F7-8A34-3E9BC91E45D1}" name="2041"/>
    <tableColumn id="39" xr3:uid="{19F74802-5089-4705-8448-5F6C355BBC14}" name="2042"/>
    <tableColumn id="40" xr3:uid="{2E8C387B-7571-44DF-8A38-F37203EE1075}" name="2043"/>
    <tableColumn id="41" xr3:uid="{F64B136A-FC52-4209-9231-488A3C83A621}" name="2044"/>
    <tableColumn id="42" xr3:uid="{72146F97-358F-4481-B1BA-9821170B9044}" name="2045"/>
    <tableColumn id="43" xr3:uid="{77F80E8A-62AF-4834-B105-BBF9D8609E22}" name="2046"/>
    <tableColumn id="44" xr3:uid="{7F73D651-A69D-4CF4-8CB7-0CB53E0FA46B}" name="2047"/>
    <tableColumn id="45" xr3:uid="{4E7E40B3-A8E8-445B-88F6-73EE6B5FC2E2}" name="2048"/>
    <tableColumn id="46" xr3:uid="{B5D6F378-5FDC-4A8F-8D83-79CD72CC405D}" name="2049"/>
    <tableColumn id="47" xr3:uid="{69366900-BD4E-43B1-9D6F-6E2307E78798}"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E8B64EC-ECB0-4DC5-9AFC-4DAF86CA8D28}" name="YT_gen" displayName="YT_gen" ref="A129:AU137" totalsRowShown="0">
  <tableColumns count="47">
    <tableColumn id="1" xr3:uid="{06DCDB5C-9C7B-4BBB-840C-7711ED8312DA}" name="_"/>
    <tableColumn id="2" xr3:uid="{8271FDDB-D8A2-4678-8026-FCF72E68082A}" name="2005"/>
    <tableColumn id="3" xr3:uid="{F58A6F08-9AEB-4DEC-88E2-804B3A59BD4E}" name="2006"/>
    <tableColumn id="4" xr3:uid="{73C4D759-1F39-412A-8ACD-885EB856F619}" name="2007"/>
    <tableColumn id="5" xr3:uid="{892632A1-F393-4174-A5E2-E322A9939E83}" name="2008"/>
    <tableColumn id="6" xr3:uid="{2A4ED79C-4B76-4109-B7D0-FFA945A66CCD}" name="2009"/>
    <tableColumn id="7" xr3:uid="{4CF7DE05-C6C0-4981-A161-D0824D0DA6F4}" name="2010"/>
    <tableColumn id="8" xr3:uid="{ED16B41A-A4BC-4395-BAA6-05AAD479EA46}" name="2011"/>
    <tableColumn id="9" xr3:uid="{CBE91CC9-CC62-4166-BDE1-5CE57BE59A95}" name="2012"/>
    <tableColumn id="10" xr3:uid="{59275304-4565-43F9-8D3B-7C20B432EB90}" name="2013"/>
    <tableColumn id="11" xr3:uid="{475E49E9-0DC8-4903-831A-5A38FBC75FE4}" name="2014"/>
    <tableColumn id="12" xr3:uid="{33715C93-4153-4BA9-93AE-65A599C8E85C}" name="2015"/>
    <tableColumn id="13" xr3:uid="{0A0C2DA2-5DAD-4D1B-BD74-D63D87255A90}" name="2016"/>
    <tableColumn id="14" xr3:uid="{175ECA59-D45E-4418-B8D4-65C059713A34}" name="2017"/>
    <tableColumn id="15" xr3:uid="{6F2538EE-FB2E-415F-9B14-97961394C655}" name="2018"/>
    <tableColumn id="16" xr3:uid="{14380651-BF63-4029-AA8C-CC65709CEE89}" name="2019"/>
    <tableColumn id="17" xr3:uid="{EDAE2215-3B0F-416D-934C-4095BBE6FB1F}" name="2020"/>
    <tableColumn id="18" xr3:uid="{BD1ACE66-4975-4CFB-9B35-CC5078007937}" name="2021"/>
    <tableColumn id="19" xr3:uid="{FB230EB1-ED9C-4911-A2EC-E0BF312A9925}" name="2022"/>
    <tableColumn id="20" xr3:uid="{FC5E18EF-7832-4B6F-8A8D-D2673F2E61AD}" name="2023"/>
    <tableColumn id="21" xr3:uid="{068A9852-9D93-4BD8-9633-526106AEDB86}" name="2024"/>
    <tableColumn id="22" xr3:uid="{6722CFDD-D467-418F-AAD5-A918BEF147FE}" name="2025"/>
    <tableColumn id="23" xr3:uid="{6C450502-2428-4AC3-BCE3-F56948414D44}" name="2026"/>
    <tableColumn id="24" xr3:uid="{8AAAC956-86AC-43D4-A91A-4C13469BA3AB}" name="2027"/>
    <tableColumn id="25" xr3:uid="{23693ACE-6573-4322-A2BD-A4F022F8F951}" name="2028"/>
    <tableColumn id="26" xr3:uid="{CE9BDA1A-94D2-4B50-A317-CFB1934151C6}" name="2029"/>
    <tableColumn id="27" xr3:uid="{A32ACFC2-F706-4747-BBCE-F49CED197296}" name="2030"/>
    <tableColumn id="28" xr3:uid="{F8FB357A-9424-4CB8-B1FB-BAE64E6BB151}" name="2031"/>
    <tableColumn id="29" xr3:uid="{CF63E00D-E4CA-4640-B23D-62B259ACE809}" name="2032"/>
    <tableColumn id="30" xr3:uid="{B6180C3E-8034-4703-ACE5-8CA60C6DB0CB}" name="2033"/>
    <tableColumn id="31" xr3:uid="{5821B0B0-B92E-4389-A8C4-1C5C72132D03}" name="2034"/>
    <tableColumn id="32" xr3:uid="{13FBB8BD-E360-43CA-9F58-C5A000969C62}" name="2035"/>
    <tableColumn id="33" xr3:uid="{B1A991CC-EF2E-4A47-B66A-315361FFAA2C}" name="2036"/>
    <tableColumn id="34" xr3:uid="{2121E7C5-FBDC-46DD-A997-AD7C582A540B}" name="2037"/>
    <tableColumn id="35" xr3:uid="{26932B92-A5B9-414D-A433-14F42DCE60E7}" name="2038"/>
    <tableColumn id="36" xr3:uid="{B9B2F644-FC47-4195-B85C-84D12DF7897F}" name="2039"/>
    <tableColumn id="37" xr3:uid="{84909FFC-8C40-42C1-9F7E-4A016F7EE56A}" name="2040"/>
    <tableColumn id="38" xr3:uid="{1C4A5E06-24F9-434F-9B6D-807C4099216C}" name="2041"/>
    <tableColumn id="39" xr3:uid="{9FA3D113-8D4C-42D2-9C2F-A70D36B9DF33}" name="2042"/>
    <tableColumn id="40" xr3:uid="{D9DAA9BB-A5E3-431E-8E25-DCE40B184A95}" name="2043"/>
    <tableColumn id="41" xr3:uid="{099FAC0D-0537-4C54-9425-46591F3B1182}" name="2044"/>
    <tableColumn id="42" xr3:uid="{7634A8E9-29F1-4E1F-B281-D88590DA1839}" name="2045"/>
    <tableColumn id="43" xr3:uid="{F3F39EEB-BF10-41EE-9D21-AB56BAA600EB}" name="2046"/>
    <tableColumn id="44" xr3:uid="{B7E8B4E7-2255-4957-BC6F-80199463359F}" name="2047"/>
    <tableColumn id="45" xr3:uid="{CCA62398-DBA3-4E5B-A813-0323A075FDF1}" name="2048"/>
    <tableColumn id="46" xr3:uid="{E0D87AD1-074A-47C6-BDA4-4F2D0CB79956}" name="2049"/>
    <tableColumn id="47" xr3:uid="{E704A3DC-D346-436E-ABF0-7CFB98BA754D}"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626C2DA-1A09-47F6-AA0A-C84E52F9EE28}" name="NT_gen" displayName="NT_gen" ref="A140:AU148" totalsRowShown="0">
  <tableColumns count="47">
    <tableColumn id="1" xr3:uid="{91941521-C2B7-4F9E-B602-18257BE412C8}" name="_"/>
    <tableColumn id="2" xr3:uid="{9545A60E-BAC6-41A2-8540-FF846A7900BE}" name="2005"/>
    <tableColumn id="3" xr3:uid="{64966DE6-4DF9-450A-842B-C62B4DDA72F3}" name="2006"/>
    <tableColumn id="4" xr3:uid="{8D7236CE-DE72-42D5-BECF-31417A370E4F}" name="2007"/>
    <tableColumn id="5" xr3:uid="{6FB53460-76D5-4F0C-B54D-05D258D72164}" name="2008"/>
    <tableColumn id="6" xr3:uid="{C09CD461-293B-4EA1-968A-8E05B015C08C}" name="2009"/>
    <tableColumn id="7" xr3:uid="{006EBD6A-8E5C-47B1-ABB7-69AE2E00E120}" name="2010"/>
    <tableColumn id="8" xr3:uid="{E3CAA8CB-774F-4140-AA86-D2448D0EF0F3}" name="2011"/>
    <tableColumn id="9" xr3:uid="{9919D543-CA28-47EA-BF18-9004CCC2BFD6}" name="2012"/>
    <tableColumn id="10" xr3:uid="{6281A877-F52E-4CD6-B242-52A1A888C605}" name="2013"/>
    <tableColumn id="11" xr3:uid="{59229640-EF80-41C0-9107-B601EBE8250D}" name="2014"/>
    <tableColumn id="12" xr3:uid="{9BC7435C-3D6B-4ADF-9B48-4B2B36D8BC17}" name="2015"/>
    <tableColumn id="13" xr3:uid="{6355A5BE-5095-4C18-BC0B-251039B3CA89}" name="2016"/>
    <tableColumn id="14" xr3:uid="{3BDCB91D-3F7F-4CD4-B376-AB3AE5A5C598}" name="2017"/>
    <tableColumn id="15" xr3:uid="{E59DF0AC-B24C-453E-B19A-389D079C43BB}" name="2018"/>
    <tableColumn id="16" xr3:uid="{244B47E3-81EA-4012-80AC-243374A30E9B}" name="2019"/>
    <tableColumn id="17" xr3:uid="{63F61496-A6B5-47FB-9CAA-B302044A8911}" name="2020"/>
    <tableColumn id="18" xr3:uid="{E9562243-11DD-4CA6-9077-BCEC46BEC808}" name="2021"/>
    <tableColumn id="19" xr3:uid="{46A5AA7A-DAE2-40C5-81CE-5EDF4BFD645A}" name="2022"/>
    <tableColumn id="20" xr3:uid="{3086ADEA-8A9F-4EA9-A1A1-0AD62FA13A46}" name="2023"/>
    <tableColumn id="21" xr3:uid="{74337840-C326-4D2D-99E9-78A537FEFF87}" name="2024"/>
    <tableColumn id="22" xr3:uid="{8E3559CD-C04F-475A-A03A-2A67D2D951A0}" name="2025"/>
    <tableColumn id="23" xr3:uid="{9F553490-7C1B-4684-918F-F4814B751DE7}" name="2026"/>
    <tableColumn id="24" xr3:uid="{C30D4E85-A9FF-41A0-92B6-9D0B4CFB313E}" name="2027"/>
    <tableColumn id="25" xr3:uid="{77591816-F831-41B8-90C6-C74179DD7F64}" name="2028"/>
    <tableColumn id="26" xr3:uid="{F2D1BC09-439D-4FA2-9DC7-3122F390F13B}" name="2029"/>
    <tableColumn id="27" xr3:uid="{31306FF1-2F96-4EA9-8FE7-C0C56C361363}" name="2030"/>
    <tableColumn id="28" xr3:uid="{7130E787-ECF5-4A82-B530-74E6B0230A62}" name="2031"/>
    <tableColumn id="29" xr3:uid="{F4EB206D-2118-4D32-BEBD-942308C004B3}" name="2032"/>
    <tableColumn id="30" xr3:uid="{8034530A-B658-45EF-A1F6-683B9EE023B9}" name="2033"/>
    <tableColumn id="31" xr3:uid="{B970DBB8-32A9-4376-AA88-95FE38F25CA0}" name="2034"/>
    <tableColumn id="32" xr3:uid="{A3DB18E8-E300-4B72-ABEE-4CA3D001BEA5}" name="2035"/>
    <tableColumn id="33" xr3:uid="{138C39E5-C9B5-4114-9AE5-854C2D044235}" name="2036"/>
    <tableColumn id="34" xr3:uid="{461492FE-19C9-45E4-96E2-B284D6C9AB7E}" name="2037"/>
    <tableColumn id="35" xr3:uid="{D6CE0BBC-475A-4672-80D0-396FFCDB0F46}" name="2038"/>
    <tableColumn id="36" xr3:uid="{2DC42949-FF33-48F7-B3F4-F2FFC6C515F8}" name="2039"/>
    <tableColumn id="37" xr3:uid="{DDE29589-7BA3-43B1-BB86-D4DEF52AB622}" name="2040"/>
    <tableColumn id="38" xr3:uid="{DBE56EB9-B495-4C16-9F31-739A7F859184}" name="2041"/>
    <tableColumn id="39" xr3:uid="{055BF5FC-F868-43EB-BD97-99DFD1DCBBCD}" name="2042"/>
    <tableColumn id="40" xr3:uid="{1606A5EF-3FDF-412E-909C-77A90692CDA1}" name="2043"/>
    <tableColumn id="41" xr3:uid="{02B8224C-01BE-411E-A416-074B406D3843}" name="2044"/>
    <tableColumn id="42" xr3:uid="{044E7720-D707-4A43-91D3-A6B828AC50B5}" name="2045"/>
    <tableColumn id="43" xr3:uid="{37AA166D-0B64-4C73-A6C8-903A0D4E90BE}" name="2046"/>
    <tableColumn id="44" xr3:uid="{B09805B7-BA58-41FF-83EB-9BC69F281501}" name="2047"/>
    <tableColumn id="45" xr3:uid="{0FCBC872-4573-47E3-AC38-39F3903CC291}" name="2048"/>
    <tableColumn id="46" xr3:uid="{9A1E0F2C-2BA4-437C-94AE-C71487AC4B42}" name="2049"/>
    <tableColumn id="47" xr3:uid="{610C736E-B84D-40C0-A317-CE2D43690321}"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D35BF74-6E97-4C69-A5DF-562DF92DBCA7}" name="NU_gen" displayName="NU_gen" ref="A151:AU159" totalsRowShown="0">
  <tableColumns count="47">
    <tableColumn id="1" xr3:uid="{AB35B232-2118-42AB-90A2-2FD7BB8BFC88}" name="_"/>
    <tableColumn id="2" xr3:uid="{E1F01898-3205-4480-9692-73864E24F932}" name="2005"/>
    <tableColumn id="3" xr3:uid="{407C4314-15AB-467E-9B7B-B581573CA3AD}" name="2006"/>
    <tableColumn id="4" xr3:uid="{35EDE1B4-B5E4-42E0-B48F-04748A59384B}" name="2007"/>
    <tableColumn id="5" xr3:uid="{77473CCB-A17F-491A-80C0-13F4540F3737}" name="2008"/>
    <tableColumn id="6" xr3:uid="{705090D6-4C1C-4390-B7AB-51F83D95C38C}" name="2009"/>
    <tableColumn id="7" xr3:uid="{4B1B9751-AD9B-44EC-A941-D0A8FC037DBD}" name="2010"/>
    <tableColumn id="8" xr3:uid="{3BEB728F-B679-42E0-828A-7A28DD39C694}" name="2011"/>
    <tableColumn id="9" xr3:uid="{C5DA40B2-3079-4F2E-8626-F85744A79313}" name="2012"/>
    <tableColumn id="10" xr3:uid="{9E03886A-CB0F-4227-895B-51F6167D737F}" name="2013"/>
    <tableColumn id="11" xr3:uid="{67EB680F-679A-4628-B24A-4DCE5214F7F6}" name="2014"/>
    <tableColumn id="12" xr3:uid="{77D22BAA-B3D2-4CDE-9C61-221F175437C8}" name="2015"/>
    <tableColumn id="13" xr3:uid="{3F6493C5-4A26-4D56-8E44-9AC0AD07B3D0}" name="2016"/>
    <tableColumn id="14" xr3:uid="{73CB4303-14A5-49ED-B602-FC3B1B866885}" name="2017"/>
    <tableColumn id="15" xr3:uid="{78C0A9A2-B737-4592-B7E7-0224B782FD89}" name="2018"/>
    <tableColumn id="16" xr3:uid="{2ECD4CF2-1148-4F87-84FC-73EAD6A0372E}" name="2019"/>
    <tableColumn id="17" xr3:uid="{D93A8C5F-CD24-4BE7-A45E-0A0D649ADCA8}" name="2020"/>
    <tableColumn id="18" xr3:uid="{3379FB10-817C-49C4-B024-AC1F8757ADBC}" name="2021"/>
    <tableColumn id="19" xr3:uid="{B44DDE06-8461-481E-9954-BD542186F3DA}" name="2022"/>
    <tableColumn id="20" xr3:uid="{F3586AAD-03F0-490A-B118-620C62ED958F}" name="2023"/>
    <tableColumn id="21" xr3:uid="{9FBBF30C-03B0-454B-B316-972A2D61C1DB}" name="2024"/>
    <tableColumn id="22" xr3:uid="{1F3CC0AA-E071-4355-BD6E-92B34754AADC}" name="2025"/>
    <tableColumn id="23" xr3:uid="{C04116A3-0981-426A-84A7-07396302FA37}" name="2026"/>
    <tableColumn id="24" xr3:uid="{3DC25BED-E88F-4359-A3F0-A86BDB621DDA}" name="2027"/>
    <tableColumn id="25" xr3:uid="{58334554-39C6-4905-9E4C-E42D5BF6E36F}" name="2028"/>
    <tableColumn id="26" xr3:uid="{112C7EF2-7C08-4C2B-94A4-45FFCE0E0137}" name="2029"/>
    <tableColumn id="27" xr3:uid="{45952983-EE94-4110-828C-EE4C1ACAA19E}" name="2030"/>
    <tableColumn id="28" xr3:uid="{9DBA031F-C657-40DF-9EBF-66475E78BD9E}" name="2031"/>
    <tableColumn id="29" xr3:uid="{242DF0CE-0A51-43E0-9D8E-8FEDADD05942}" name="2032"/>
    <tableColumn id="30" xr3:uid="{060036C8-AFB6-4AB3-8639-FAAE7314F928}" name="2033"/>
    <tableColumn id="31" xr3:uid="{F21051C3-599B-451C-8283-1F429A8CB031}" name="2034"/>
    <tableColumn id="32" xr3:uid="{4DCC3690-4F9C-4F9A-97C3-2E1B3FA19069}" name="2035"/>
    <tableColumn id="33" xr3:uid="{C02D460A-D970-4BEA-B004-D2004B322937}" name="2036"/>
    <tableColumn id="34" xr3:uid="{4605D246-A068-4576-B3F6-B66786FE55E2}" name="2037"/>
    <tableColumn id="35" xr3:uid="{EEE88402-CCDC-41E0-BC83-DEAEF8BC5330}" name="2038"/>
    <tableColumn id="36" xr3:uid="{7938F921-EC5D-4855-A153-19E9B7D695B4}" name="2039"/>
    <tableColumn id="37" xr3:uid="{44562A7E-33B4-4928-A18E-E72C0D6927DE}" name="2040"/>
    <tableColumn id="38" xr3:uid="{DF7785D8-7281-4B63-B09F-11255CB67E2C}" name="2041"/>
    <tableColumn id="39" xr3:uid="{D17CDB4C-5784-4011-9126-BC90A7CC8246}" name="2042"/>
    <tableColumn id="40" xr3:uid="{0BF7EB89-A7A4-4C3F-BA76-BE766990C821}" name="2043"/>
    <tableColumn id="41" xr3:uid="{ACCC14D9-52C7-4251-BFA0-9DB1084A363A}" name="2044"/>
    <tableColumn id="42" xr3:uid="{8263B7CE-231E-4A29-8AFD-E4BBA5EFB252}" name="2045"/>
    <tableColumn id="43" xr3:uid="{D2CAF1C8-22C1-4687-BCF5-061D31CC40A3}" name="2046"/>
    <tableColumn id="44" xr3:uid="{9E5F02AF-E590-4E2E-96A0-4386A51784D4}" name="2047"/>
    <tableColumn id="45" xr3:uid="{4AF5A3D1-8346-4134-93F6-B757C33EA469}" name="2048"/>
    <tableColumn id="46" xr3:uid="{7DD6348D-9714-4FC3-B9B8-FFC27459DC80}" name="2049"/>
    <tableColumn id="47" xr3:uid="{1A7ABF40-D153-437C-A2E6-CDD8AA3BF683}"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F7D1D8-FE91-452D-9C86-1353620C3670}" name="CAN_cap" displayName="CAN_cap" ref="A8:AU16" totalsRowShown="0">
  <tableColumns count="47">
    <tableColumn id="1" xr3:uid="{26A6707E-B9FF-466A-9CCE-706ED54CD8AF}" name="_"/>
    <tableColumn id="2" xr3:uid="{C84E5CD1-511A-482D-9C95-D36649A2EBC5}" name="2005"/>
    <tableColumn id="3" xr3:uid="{0CEFA598-AB90-44A0-92F3-3AB2D390E5F4}" name="2006"/>
    <tableColumn id="4" xr3:uid="{E2A0AF07-312A-4532-8EC4-4FA8F9EBBF17}" name="2007"/>
    <tableColumn id="5" xr3:uid="{89416101-BA94-4C24-AFB1-C79B57777237}" name="2008"/>
    <tableColumn id="6" xr3:uid="{2A8DB846-25D5-45B8-9A77-4AA973B61D8B}" name="2009"/>
    <tableColumn id="7" xr3:uid="{80EF42AC-1999-4E9C-898B-737BAA83F03E}" name="2010"/>
    <tableColumn id="8" xr3:uid="{6B36CAE2-1732-442E-AFE3-04D78CA733DF}" name="2011"/>
    <tableColumn id="9" xr3:uid="{FB5F58FB-A009-4E0A-9EED-B58242D1A5B6}" name="2012"/>
    <tableColumn id="10" xr3:uid="{06750FC4-F0D1-46AA-9415-B3272A79AA99}" name="2013"/>
    <tableColumn id="11" xr3:uid="{1FB63479-1896-4B4E-B795-12F1F6AE9841}" name="2014"/>
    <tableColumn id="12" xr3:uid="{FB5B0B8E-2EC8-4E4D-95DB-2A96EB121F9E}" name="2015"/>
    <tableColumn id="13" xr3:uid="{24610278-4907-402A-B7FA-28872F8B78B7}" name="2016"/>
    <tableColumn id="14" xr3:uid="{9CD168AD-515D-40D8-85CE-71A98AB717F8}" name="2017"/>
    <tableColumn id="15" xr3:uid="{D24BCE99-BC4D-4D7D-8E5D-54C80BEECF67}" name="2018"/>
    <tableColumn id="16" xr3:uid="{1AF91FE5-1BAD-4FDE-BC0C-4A02DF14D1D9}" name="2019"/>
    <tableColumn id="17" xr3:uid="{C96E3B3B-DB6C-48E3-A066-148C881F380A}" name="2020"/>
    <tableColumn id="18" xr3:uid="{6128C16F-3C8F-481A-AE98-783F0D6FF8E3}" name="2021"/>
    <tableColumn id="19" xr3:uid="{56982491-C8CA-45AC-88BA-D61E2BC2E330}" name="2022"/>
    <tableColumn id="20" xr3:uid="{140AA58D-A2AA-4294-BC50-56B247826450}" name="2023"/>
    <tableColumn id="21" xr3:uid="{8FA28EE1-DA87-4BC8-9F75-E68DB3883D67}" name="2024"/>
    <tableColumn id="22" xr3:uid="{D9C64978-806A-4BEB-9CE8-D8E2DBB260A2}" name="2025"/>
    <tableColumn id="23" xr3:uid="{39E1A11A-CA57-42AC-8E6D-269692219188}" name="2026"/>
    <tableColumn id="24" xr3:uid="{54CD058F-F798-4A14-8EE5-272662F55853}" name="2027"/>
    <tableColumn id="25" xr3:uid="{87A47D0F-1C72-4594-BA2F-5F9A1EA702D2}" name="2028"/>
    <tableColumn id="26" xr3:uid="{AF381A44-16EF-46C6-986A-244DDC458CE1}" name="2029"/>
    <tableColumn id="27" xr3:uid="{B09CB35A-D88B-4059-869F-410FF606DF09}" name="2030"/>
    <tableColumn id="28" xr3:uid="{35879B6E-BC87-480F-9A11-1D467C5E676F}" name="2031"/>
    <tableColumn id="29" xr3:uid="{1D3514FF-8209-414A-816A-BFDBBE1A16F3}" name="2032"/>
    <tableColumn id="30" xr3:uid="{852A0E21-4BA6-42E9-A182-B7179F71D626}" name="2033"/>
    <tableColumn id="31" xr3:uid="{F49AC938-FA2C-48BC-AB2D-87ED0A456CD5}" name="2034"/>
    <tableColumn id="32" xr3:uid="{BA9D80DD-0A0D-4D12-BE69-7773FA478616}" name="2035"/>
    <tableColumn id="33" xr3:uid="{3D283850-68AF-4C5D-9A9A-3E25D18C2763}" name="2036"/>
    <tableColumn id="34" xr3:uid="{B182B316-D63C-4FBF-99C6-9E355B352C25}" name="2037"/>
    <tableColumn id="35" xr3:uid="{F0404538-DD06-416A-9301-F78117829DD3}" name="2038"/>
    <tableColumn id="36" xr3:uid="{3A556404-5714-488B-A5C3-98F828F0CCBE}" name="2039"/>
    <tableColumn id="37" xr3:uid="{0A4220D7-C5CD-4F25-8FE8-6573973CAA47}" name="2040"/>
    <tableColumn id="38" xr3:uid="{8FAD0EC1-7D78-4A5C-A931-DB79E585BC17}" name="2041"/>
    <tableColumn id="39" xr3:uid="{02F01624-10CC-4A9F-B35C-117F12529FCE}" name="2042"/>
    <tableColumn id="40" xr3:uid="{5C933D6C-9FAE-4EB9-B3FF-C785AFA969DC}" name="2043"/>
    <tableColumn id="41" xr3:uid="{ACDB9544-5F1B-4A01-ABDE-B1183A27BF6A}" name="2044"/>
    <tableColumn id="42" xr3:uid="{969107A6-78CE-454E-8309-5A7D21EFE7AA}" name="2045"/>
    <tableColumn id="43" xr3:uid="{3EBF1E71-1318-4F50-BD79-E94566473665}" name="2046"/>
    <tableColumn id="44" xr3:uid="{609BD2AA-1EB0-4A3E-8863-0CD552028730}" name="2047"/>
    <tableColumn id="45" xr3:uid="{1520F6A4-25FD-44A0-87BF-145772E759B3}" name="2048"/>
    <tableColumn id="46" xr3:uid="{1CF6A696-9C94-4C35-907F-B32EE674BAF9}" name="2049"/>
    <tableColumn id="47" xr3:uid="{56139D0A-CA13-4D1D-80B0-5D37E42271AF}"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4D87E5-CC21-4FD8-8D1C-E6A932586344}" name="NL_cap" displayName="NL_cap" ref="A19:AU27" totalsRowShown="0">
  <tableColumns count="47">
    <tableColumn id="1" xr3:uid="{09EB8878-9363-4B35-A2BF-F4569BCFE1CA}" name="_"/>
    <tableColumn id="2" xr3:uid="{FD164957-1151-4652-A4F5-7D0C83D00611}" name="2005"/>
    <tableColumn id="3" xr3:uid="{258338F1-4A23-4C5B-B371-8B7CDAAC1847}" name="2006"/>
    <tableColumn id="4" xr3:uid="{E53831FD-FBAC-4C4B-A5A7-AC5F145D60D1}" name="2007"/>
    <tableColumn id="5" xr3:uid="{C6BD4735-1C64-4A58-9809-EC5F77F99AC5}" name="2008"/>
    <tableColumn id="6" xr3:uid="{66090D08-418A-4B39-BE49-67E2C274178C}" name="2009"/>
    <tableColumn id="7" xr3:uid="{201CEBE0-B48B-405C-81B5-925F0609359A}" name="2010"/>
    <tableColumn id="8" xr3:uid="{7CA242C5-4F54-457C-9617-603868D02E6E}" name="2011"/>
    <tableColumn id="9" xr3:uid="{53B5CA6B-056C-40D0-8980-5183ECBD671D}" name="2012"/>
    <tableColumn id="10" xr3:uid="{936DF44E-15FD-4289-B49F-B25CA910E721}" name="2013"/>
    <tableColumn id="11" xr3:uid="{F9F4F12B-2EF9-45E2-9248-3D0DE5B80A8B}" name="2014"/>
    <tableColumn id="12" xr3:uid="{7B470AA5-FC16-441B-9B17-A5ACBC5812CB}" name="2015"/>
    <tableColumn id="13" xr3:uid="{905958DB-73BF-44CE-9A81-F32FEE4F84E5}" name="2016"/>
    <tableColumn id="14" xr3:uid="{0441768E-46BF-4559-8069-B4A842D36D9D}" name="2017"/>
    <tableColumn id="15" xr3:uid="{08938C49-0968-45E7-A1B4-DF59AD43C06C}" name="2018"/>
    <tableColumn id="16" xr3:uid="{451D5321-4D1D-4AAD-B6B6-62B5927922DD}" name="2019"/>
    <tableColumn id="17" xr3:uid="{E3C02DAA-D522-4584-9746-CDD9240352EA}" name="2020"/>
    <tableColumn id="18" xr3:uid="{D7D84285-A0D5-4D0D-9754-6A54C983D99D}" name="2021"/>
    <tableColumn id="19" xr3:uid="{826DA5FB-E446-474B-A811-46DD770777AA}" name="2022"/>
    <tableColumn id="20" xr3:uid="{C5A2D21F-865A-499D-B9BA-2EC23CD67007}" name="2023"/>
    <tableColumn id="21" xr3:uid="{9186649C-38C7-47B0-B4C2-B5E65A9B86FB}" name="2024"/>
    <tableColumn id="22" xr3:uid="{01D60C1D-3E37-4C9F-98CC-5F104E0E83E2}" name="2025"/>
    <tableColumn id="23" xr3:uid="{3EFABB92-E411-4C3F-889D-64C1EF286F44}" name="2026"/>
    <tableColumn id="24" xr3:uid="{0606AB48-85FD-4E65-9A46-7048DA601AF9}" name="2027"/>
    <tableColumn id="25" xr3:uid="{549A4A5F-A723-4104-BD44-9D8C2EB636B9}" name="2028"/>
    <tableColumn id="26" xr3:uid="{13292127-A0BA-4079-9AFA-9A050907F8AC}" name="2029"/>
    <tableColumn id="27" xr3:uid="{E2DE9DD3-C2E7-4D40-A1CD-A0A7C023C7BF}" name="2030"/>
    <tableColumn id="28" xr3:uid="{EDA447B5-4F6E-4548-AF77-ED72F508A6B7}" name="2031"/>
    <tableColumn id="29" xr3:uid="{FD6668A1-F199-475F-87A7-4169726F9D4A}" name="2032"/>
    <tableColumn id="30" xr3:uid="{8EF40187-4DCB-403E-BC8B-1F05BAD7543E}" name="2033"/>
    <tableColumn id="31" xr3:uid="{A7979528-79DB-4714-8E7D-077E228C2BEB}" name="2034"/>
    <tableColumn id="32" xr3:uid="{5035368A-C0B4-48C9-9212-794832E8F077}" name="2035"/>
    <tableColumn id="33" xr3:uid="{B5BEA0CA-2E98-40E5-AB5A-2FBF2A0E5835}" name="2036"/>
    <tableColumn id="34" xr3:uid="{240AA5E3-6C22-4AE1-9046-FD42EBCEE1D7}" name="2037"/>
    <tableColumn id="35" xr3:uid="{2C8C42E7-60B9-49C8-BC25-95119DE5DAF0}" name="2038"/>
    <tableColumn id="36" xr3:uid="{7A0CE451-48C0-4C6F-8B65-3582F4113F73}" name="2039"/>
    <tableColumn id="37" xr3:uid="{917B3954-782C-4198-8F8A-84A77DF3949E}" name="2040"/>
    <tableColumn id="38" xr3:uid="{31BA773E-8980-4499-B3F9-4274DAC1BC40}" name="2041"/>
    <tableColumn id="39" xr3:uid="{E8417B46-CB8E-4764-B1D3-0C5DEEE75975}" name="2042"/>
    <tableColumn id="40" xr3:uid="{90EBD788-5F3D-435B-A048-1D7F91251B78}" name="2043"/>
    <tableColumn id="41" xr3:uid="{29F31C89-9F09-44FB-97CD-C694E57003CF}" name="2044"/>
    <tableColumn id="42" xr3:uid="{8EEB5A34-08B9-4B69-B29E-786929FDB09A}" name="2045"/>
    <tableColumn id="43" xr3:uid="{CCD38063-D325-4DED-ADB3-00F071812FE7}" name="2046"/>
    <tableColumn id="44" xr3:uid="{4458927E-C7BE-49D7-A8E8-1766EFB54602}" name="2047"/>
    <tableColumn id="45" xr3:uid="{699D6608-E4BD-4010-ACEB-A5DA285724E5}" name="2048"/>
    <tableColumn id="46" xr3:uid="{2DA95A92-97A4-4220-96A3-26E67AF2E966}" name="2049"/>
    <tableColumn id="47" xr3:uid="{5FA0DFB3-1953-4C82-9830-2AB44CCB43A8}"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548D9B-B9AF-4167-ADFE-53864E81CF1D}" name="PE_cap" displayName="PE_cap" ref="A30:AU38" totalsRowShown="0">
  <tableColumns count="47">
    <tableColumn id="1" xr3:uid="{90B930DA-A881-481F-BFF5-933C76FB9699}" name="_"/>
    <tableColumn id="2" xr3:uid="{AD7DC2FA-46E9-4CEA-8246-2AF2D6D76654}" name="2005"/>
    <tableColumn id="3" xr3:uid="{E4AADCE0-3B35-49FE-B35D-6DEE47DDC979}" name="2006"/>
    <tableColumn id="4" xr3:uid="{C8EC01F2-A4FC-43BB-AE92-E21D0DAACADA}" name="2007"/>
    <tableColumn id="5" xr3:uid="{51DCB188-FCD6-45C7-981C-626FF45C7F2F}" name="2008"/>
    <tableColumn id="6" xr3:uid="{72C8A9B1-443B-45B3-9685-550BCF381BA9}" name="2009"/>
    <tableColumn id="7" xr3:uid="{9499DB5B-6C83-4DE3-8FDB-5BD24D3EC63E}" name="2010"/>
    <tableColumn id="8" xr3:uid="{C4333F9D-6180-4F08-95D9-02EBFED835C2}" name="2011"/>
    <tableColumn id="9" xr3:uid="{C8E4BC25-8FBE-468D-9E99-1870D9990DB8}" name="2012"/>
    <tableColumn id="10" xr3:uid="{3A284D46-1CD5-41C3-A6AC-99CE0A5971CE}" name="2013"/>
    <tableColumn id="11" xr3:uid="{08B28C7F-E890-4313-9688-1B6307AF8271}" name="2014"/>
    <tableColumn id="12" xr3:uid="{7FED618E-1C32-49EB-99E0-E3B0875D1C68}" name="2015"/>
    <tableColumn id="13" xr3:uid="{DA7EA127-C512-427D-81E9-DAD7AC754AC0}" name="2016"/>
    <tableColumn id="14" xr3:uid="{FB70B4C0-8AA9-4F2C-B2A9-3FF094F759A9}" name="2017"/>
    <tableColumn id="15" xr3:uid="{283196D3-E96F-4E87-917F-83CD53949D70}" name="2018"/>
    <tableColumn id="16" xr3:uid="{9481C26F-7C1D-4292-A5D7-1C5D5AA7162C}" name="2019"/>
    <tableColumn id="17" xr3:uid="{220D1D82-9F59-4A03-BCD3-6E587C5DC811}" name="2020"/>
    <tableColumn id="18" xr3:uid="{DC9DF51B-B444-4C8F-903E-EFD87F9A32C3}" name="2021"/>
    <tableColumn id="19" xr3:uid="{0E57E1E5-B83E-40AE-B2EA-28F1B0EF1D02}" name="2022"/>
    <tableColumn id="20" xr3:uid="{F2CD5EDF-F9BC-4CE1-B231-9565006161C3}" name="2023"/>
    <tableColumn id="21" xr3:uid="{3CD9E627-E5EF-491A-B0F7-97477CB9D475}" name="2024"/>
    <tableColumn id="22" xr3:uid="{48CA84E8-4CA3-4FCA-A9D0-54E600818C2C}" name="2025"/>
    <tableColumn id="23" xr3:uid="{D212D156-A4C7-42D0-8A81-82F4901BDB13}" name="2026"/>
    <tableColumn id="24" xr3:uid="{B2427824-687D-4245-928D-0C3B9C141393}" name="2027"/>
    <tableColumn id="25" xr3:uid="{961D71B0-4FF3-4F49-A8F3-FBEB65076ED4}" name="2028"/>
    <tableColumn id="26" xr3:uid="{70C72AB8-B911-4A2E-9AF1-6E222CAA1068}" name="2029"/>
    <tableColumn id="27" xr3:uid="{62F2C499-8420-42C3-A42E-B9F7C122777B}" name="2030"/>
    <tableColumn id="28" xr3:uid="{49BA3A2E-E5A4-4FCE-BFE8-D2E317A40F27}" name="2031"/>
    <tableColumn id="29" xr3:uid="{19973FF4-19F3-466B-8AF2-333DC16ED4C8}" name="2032"/>
    <tableColumn id="30" xr3:uid="{8C6DBF0C-A4CC-45EA-BDB0-34ECE2A14463}" name="2033"/>
    <tableColumn id="31" xr3:uid="{58369A3B-4530-449C-B588-EDACBEB292BF}" name="2034"/>
    <tableColumn id="32" xr3:uid="{24EC3255-A0E5-4265-98EA-EB02313C8F79}" name="2035"/>
    <tableColumn id="33" xr3:uid="{2814C517-B9EE-431E-BC20-9DE44FB04F8C}" name="2036"/>
    <tableColumn id="34" xr3:uid="{01F718BD-CDAD-4E3B-8ABA-AA0037FD9804}" name="2037"/>
    <tableColumn id="35" xr3:uid="{E2D8DBEA-1A0F-4E98-B737-B084B451B2E7}" name="2038"/>
    <tableColumn id="36" xr3:uid="{74E44508-449A-4170-ABC1-FD479346BB0A}" name="2039"/>
    <tableColumn id="37" xr3:uid="{CEBA55C6-270B-42AF-9F27-AB9EA0099AC9}" name="2040"/>
    <tableColumn id="38" xr3:uid="{B8F7A3A9-66ED-4598-BB92-232B2E7F2A89}" name="2041"/>
    <tableColumn id="39" xr3:uid="{996F870E-EDDA-4DF5-A486-61BD3098A0FA}" name="2042"/>
    <tableColumn id="40" xr3:uid="{A082102E-2FA1-4146-866E-A1A9F0DF3C2F}" name="2043"/>
    <tableColumn id="41" xr3:uid="{934859B5-4AE8-4D2D-A620-39ADD83F199D}" name="2044"/>
    <tableColumn id="42" xr3:uid="{511B9204-5079-4463-AFEF-EB3CEF84F9E4}" name="2045"/>
    <tableColumn id="43" xr3:uid="{88D9CDF8-87DD-48DE-BEDF-9D1F5482C66F}" name="2046"/>
    <tableColumn id="44" xr3:uid="{13E2B330-F36B-4914-AAE0-2106DA815369}" name="2047"/>
    <tableColumn id="45" xr3:uid="{67DD11CD-D815-48B6-BE57-A6801E338E9F}" name="2048"/>
    <tableColumn id="46" xr3:uid="{DEAADECE-737D-47ED-9E81-AEE3EDB7C34A}" name="2049"/>
    <tableColumn id="47" xr3:uid="{F82A1F6B-9C70-4E9C-822D-DB7CA636CC78}"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1D55D8-3492-47B2-A100-A787EDB24060}" name="NS_cap" displayName="NS_cap" ref="A41:AU49" totalsRowShown="0">
  <tableColumns count="47">
    <tableColumn id="1" xr3:uid="{8800D2CD-E36B-466C-BCE7-826F05012DCC}" name="_"/>
    <tableColumn id="2" xr3:uid="{048A8D7C-6927-43BF-9F76-45E4B4EF7168}" name="2005"/>
    <tableColumn id="3" xr3:uid="{D2952514-1FF2-46E2-A5F5-BB9EFF5B6FA4}" name="2006"/>
    <tableColumn id="4" xr3:uid="{F02D90BC-1B61-45B1-A1EA-026D66A6678E}" name="2007"/>
    <tableColumn id="5" xr3:uid="{03E6C8EE-D466-431A-86FD-5B0A6C799DBD}" name="2008"/>
    <tableColumn id="6" xr3:uid="{68BA0A1C-AB42-4F55-9700-8E70DDA6E501}" name="2009"/>
    <tableColumn id="7" xr3:uid="{28F39260-7B7A-4DED-A69A-3F207874FBE0}" name="2010"/>
    <tableColumn id="8" xr3:uid="{DB133E3A-1C2F-4EA2-B4ED-8521D320925D}" name="2011"/>
    <tableColumn id="9" xr3:uid="{A6A5B4E0-D391-4D8E-86B7-980499372445}" name="2012"/>
    <tableColumn id="10" xr3:uid="{9DEEB5A2-11A6-46B0-8E91-FCBD5743D673}" name="2013"/>
    <tableColumn id="11" xr3:uid="{FD68643C-C7C9-437C-937D-0798B6CD8498}" name="2014"/>
    <tableColumn id="12" xr3:uid="{B9FDA4D6-9BAD-454B-BD4E-ED5598968621}" name="2015"/>
    <tableColumn id="13" xr3:uid="{C3F14B6A-58B0-49B1-9131-BFD8037C39BB}" name="2016"/>
    <tableColumn id="14" xr3:uid="{7D77888D-70B0-4671-8DB1-C22972124B3B}" name="2017"/>
    <tableColumn id="15" xr3:uid="{CE30D3E2-89A4-463A-987B-050D67E349FC}" name="2018"/>
    <tableColumn id="16" xr3:uid="{1FD15512-E47F-4F28-9093-E1469AFF3197}" name="2019"/>
    <tableColumn id="17" xr3:uid="{688B3967-49D2-4A06-80BE-04D08E409EDF}" name="2020"/>
    <tableColumn id="18" xr3:uid="{7E04F891-5C38-4F0B-8ECF-5DB49CF2AC17}" name="2021"/>
    <tableColumn id="19" xr3:uid="{359FFC80-5344-463A-8B14-A9E6CFB0453F}" name="2022"/>
    <tableColumn id="20" xr3:uid="{7CEF6B96-8BF2-4CB2-BB27-5FFF3B8F5E9F}" name="2023"/>
    <tableColumn id="21" xr3:uid="{04FD3492-AFFA-4CD3-9A61-6CB919731E74}" name="2024"/>
    <tableColumn id="22" xr3:uid="{C4DDA8FF-F4A1-45A9-922E-311ED160E3D4}" name="2025"/>
    <tableColumn id="23" xr3:uid="{27E2F190-0228-4446-B3FE-2700F5982404}" name="2026"/>
    <tableColumn id="24" xr3:uid="{FF299A3E-4420-4753-9634-2F9406B7A270}" name="2027"/>
    <tableColumn id="25" xr3:uid="{7AFF57B4-9B5C-4F8E-AE88-385B68BEE71F}" name="2028"/>
    <tableColumn id="26" xr3:uid="{8E90B0E7-7C25-4BF5-AF4C-F2FC8D0B32B3}" name="2029"/>
    <tableColumn id="27" xr3:uid="{AE65B0E7-95AC-4032-83C9-A9383CED5641}" name="2030"/>
    <tableColumn id="28" xr3:uid="{05B6D777-D983-4EA0-8C1F-F85CBD139CAD}" name="2031"/>
    <tableColumn id="29" xr3:uid="{1AAE281C-6D6A-4704-BB4E-34270D2128EE}" name="2032"/>
    <tableColumn id="30" xr3:uid="{C6E4D2E1-5A85-423D-A761-791602464007}" name="2033"/>
    <tableColumn id="31" xr3:uid="{05E779BC-53DE-43B5-8CC8-256C21D78845}" name="2034"/>
    <tableColumn id="32" xr3:uid="{68D3DBB4-E538-446C-B6B9-4BFDF27CCF2F}" name="2035"/>
    <tableColumn id="33" xr3:uid="{33D46515-BE61-465B-B5B9-6811B45E1E86}" name="2036"/>
    <tableColumn id="34" xr3:uid="{6E9534B0-C29F-44C6-BA12-25F196AB1B48}" name="2037"/>
    <tableColumn id="35" xr3:uid="{BB03A56C-9758-463E-BA0C-86A8C20D0AE1}" name="2038"/>
    <tableColumn id="36" xr3:uid="{3E94A3D2-5E99-48D6-B242-6240F5637F90}" name="2039"/>
    <tableColumn id="37" xr3:uid="{EFF5AE0D-B4A0-42C9-AD7D-7F629DF52A6A}" name="2040"/>
    <tableColumn id="38" xr3:uid="{821863D6-850D-4005-90F5-8F90C559EF40}" name="2041"/>
    <tableColumn id="39" xr3:uid="{33E925EB-4249-43EC-B5E2-AD6CC656556E}" name="2042"/>
    <tableColumn id="40" xr3:uid="{07699E69-EC60-4527-915B-6C56CBC23B67}" name="2043"/>
    <tableColumn id="41" xr3:uid="{CE745BBD-5F7F-46EE-913A-93E0CE466858}" name="2044"/>
    <tableColumn id="42" xr3:uid="{BEE5EF90-6D84-4E4E-B4E1-67FD76BDB417}" name="2045"/>
    <tableColumn id="43" xr3:uid="{D64B44FD-E178-43EE-AF63-250CDEB5DDDC}" name="2046"/>
    <tableColumn id="44" xr3:uid="{05334172-0F8D-4D3E-ADAF-B08408F031A6}" name="2047"/>
    <tableColumn id="45" xr3:uid="{D43ED06B-8D00-41E5-91C7-84C27C4EB469}" name="2048"/>
    <tableColumn id="46" xr3:uid="{011B5150-3B06-4BF2-A7C7-25168EA8493A}" name="2049"/>
    <tableColumn id="47" xr3:uid="{B35A7E79-44B5-46B8-89C7-4D01F2BFF43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EB325B-E337-47D6-80AD-987C15E89F31}" name="NB_cap" displayName="NB_cap" ref="A52:AU60" totalsRowShown="0">
  <tableColumns count="47">
    <tableColumn id="1" xr3:uid="{46852059-BCBC-49BA-B355-505CB00494FB}" name="_"/>
    <tableColumn id="2" xr3:uid="{1684946B-F1D7-4BFB-B824-A60BDE77D602}" name="2005"/>
    <tableColumn id="3" xr3:uid="{2BF784E1-1A5E-4F28-9EAE-C0DD63A03102}" name="2006"/>
    <tableColumn id="4" xr3:uid="{6DA947CD-F11B-40CE-9D6A-81665BDC9F8F}" name="2007"/>
    <tableColumn id="5" xr3:uid="{F7C86EEF-7544-4663-9EBB-10E8B8EAC90E}" name="2008"/>
    <tableColumn id="6" xr3:uid="{43B97C17-5516-471C-B2A9-B7370A215E23}" name="2009"/>
    <tableColumn id="7" xr3:uid="{B98888EE-4054-4B83-AD05-C93ADFBC8ABC}" name="2010"/>
    <tableColumn id="8" xr3:uid="{55444AC9-23A0-4EDA-B202-5F87793EE9FA}" name="2011"/>
    <tableColumn id="9" xr3:uid="{7FF81E9D-857A-4A29-91C9-150E5C4004D4}" name="2012"/>
    <tableColumn id="10" xr3:uid="{07D3709F-8B5B-4B80-8780-F70BCC9A9359}" name="2013"/>
    <tableColumn id="11" xr3:uid="{E321BD72-2486-43B2-98FF-FBE35960F843}" name="2014"/>
    <tableColumn id="12" xr3:uid="{9D8CCC4D-25A9-476C-A19B-0992942460EE}" name="2015"/>
    <tableColumn id="13" xr3:uid="{8E9D151A-7CE5-453A-A409-181AC258B769}" name="2016"/>
    <tableColumn id="14" xr3:uid="{D88F86E3-3A70-4EB8-9AC7-6C072E107FB0}" name="2017"/>
    <tableColumn id="15" xr3:uid="{F57D606D-AFD5-4AEB-8DBF-6247E1C62E07}" name="2018"/>
    <tableColumn id="16" xr3:uid="{B330F255-B208-430C-9F86-96F3EDA9B6D1}" name="2019"/>
    <tableColumn id="17" xr3:uid="{9CA73B9F-6111-4394-9899-EC5450BFC669}" name="2020"/>
    <tableColumn id="18" xr3:uid="{6C5EAD66-01CE-47F3-8AD7-53E071CC2AC9}" name="2021"/>
    <tableColumn id="19" xr3:uid="{471FABB2-C272-4022-A966-AC848E85F0D4}" name="2022"/>
    <tableColumn id="20" xr3:uid="{8316926B-9C0E-4426-B2A8-4C857959DB0C}" name="2023"/>
    <tableColumn id="21" xr3:uid="{C75E91F1-117F-43DB-B6D1-A30B61969F5D}" name="2024"/>
    <tableColumn id="22" xr3:uid="{69C50054-57F2-4572-A5F6-EB1F80161066}" name="2025"/>
    <tableColumn id="23" xr3:uid="{2E79A31B-636A-4736-A5C0-A3C4A85FCAFB}" name="2026"/>
    <tableColumn id="24" xr3:uid="{A5576F31-9C8E-4EB8-9E38-4E420BD65551}" name="2027"/>
    <tableColumn id="25" xr3:uid="{DCF85A0B-E0C7-4FBD-B9EA-57E1DD4B2028}" name="2028"/>
    <tableColumn id="26" xr3:uid="{C9BB45AF-A3C1-4EBF-AB70-CAAB5E920360}" name="2029"/>
    <tableColumn id="27" xr3:uid="{D4618CB3-9ACB-42F3-9154-1B7FC84F6AF7}" name="2030"/>
    <tableColumn id="28" xr3:uid="{FFCC0F3A-6A49-409A-9123-06FB16C5341A}" name="2031"/>
    <tableColumn id="29" xr3:uid="{87885259-954A-4854-A68B-6278695FCA52}" name="2032"/>
    <tableColumn id="30" xr3:uid="{15E0029F-F9BC-47BD-92BB-7C08EBD32599}" name="2033"/>
    <tableColumn id="31" xr3:uid="{6C39C52A-A2A8-42D7-8751-EC38A5E5E4FB}" name="2034"/>
    <tableColumn id="32" xr3:uid="{33BBC21E-F775-43FE-A1EC-BAC714F00447}" name="2035"/>
    <tableColumn id="33" xr3:uid="{EC17DDF4-34B0-4CE3-BA84-467FFB57C0E2}" name="2036"/>
    <tableColumn id="34" xr3:uid="{90287191-645E-4E9A-9B45-9C4094A2B637}" name="2037"/>
    <tableColumn id="35" xr3:uid="{01311153-D2F8-4698-A2B8-9F162D6F7D98}" name="2038"/>
    <tableColumn id="36" xr3:uid="{AD6E65AE-55DD-4245-B76F-BAD29A0357F6}" name="2039"/>
    <tableColumn id="37" xr3:uid="{2DEB5521-2EDD-4C77-A07A-41D98422C1D6}" name="2040"/>
    <tableColumn id="38" xr3:uid="{0DA29C8D-132B-4D3A-AB64-7A2007C578BD}" name="2041"/>
    <tableColumn id="39" xr3:uid="{9BDC9214-E07A-423F-89ED-41370E19E1E5}" name="2042"/>
    <tableColumn id="40" xr3:uid="{8A852CAD-8255-4A77-94FC-64F4E1A69BF8}" name="2043"/>
    <tableColumn id="41" xr3:uid="{FEFF571F-0A6F-450A-AB90-A2CEDD61D134}" name="2044"/>
    <tableColumn id="42" xr3:uid="{A479230C-2B89-44DA-BD8E-278A68412173}" name="2045"/>
    <tableColumn id="43" xr3:uid="{AE144944-9B5E-4843-B02F-622723467659}" name="2046"/>
    <tableColumn id="44" xr3:uid="{A0AEC834-1905-43AA-8765-C2457618CF85}" name="2047"/>
    <tableColumn id="45" xr3:uid="{C227AB28-27ED-4D5F-8888-8C5472D12F64}" name="2048"/>
    <tableColumn id="46" xr3:uid="{693C3581-5F74-4F62-A66E-62819FFC3A52}" name="2049"/>
    <tableColumn id="47" xr3:uid="{8AC8A63B-2522-4843-8EE7-763D1B4EDD2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B7AF62B-1A0A-4652-B131-41B1BB8D5DA7}" name="NL_gen" displayName="NL_gen" ref="A19:AU27" totalsRowShown="0">
  <tableColumns count="47">
    <tableColumn id="1" xr3:uid="{85C0BF50-8371-4DFA-A320-B12F85DAF6B2}" name="_"/>
    <tableColumn id="2" xr3:uid="{8BCB96FA-843E-482D-8BE4-171455EC0D53}" name="2005"/>
    <tableColumn id="3" xr3:uid="{22B920A8-0078-48E3-8BC4-9CDFBEB019B5}" name="2006"/>
    <tableColumn id="4" xr3:uid="{C00D3C48-5B36-41D6-A136-03AB3CF50B9C}" name="2007"/>
    <tableColumn id="5" xr3:uid="{3212396F-B211-4BAA-87AF-99E03517771A}" name="2008"/>
    <tableColumn id="6" xr3:uid="{D11B7CEB-4628-489D-B9A4-73213F5FE431}" name="2009"/>
    <tableColumn id="7" xr3:uid="{FF6C9F4D-A842-40B1-B4F3-9A1669BF7D37}" name="2010"/>
    <tableColumn id="8" xr3:uid="{F52ECC23-9AAB-40D5-8A3D-0E99E211CBC1}" name="2011"/>
    <tableColumn id="9" xr3:uid="{ADDB73C4-39F3-4903-9A4B-BE0C220E5199}" name="2012"/>
    <tableColumn id="10" xr3:uid="{C5E728B8-48FD-428E-B2B9-F9CAA3EDC1C2}" name="2013"/>
    <tableColumn id="11" xr3:uid="{0290CF16-CDE0-409A-8236-635312FB2742}" name="2014"/>
    <tableColumn id="12" xr3:uid="{006A745E-B608-4BC5-B7CC-1C7431FD5B22}" name="2015"/>
    <tableColumn id="13" xr3:uid="{B9F3A1C3-F5FA-4DA4-AAEE-80E2E2831194}" name="2016"/>
    <tableColumn id="14" xr3:uid="{2C6E9364-D612-4034-9676-865EC4C0EAC9}" name="2017"/>
    <tableColumn id="15" xr3:uid="{BF3D9D1F-F033-413C-A47D-F2326AD7E56C}" name="2018"/>
    <tableColumn id="16" xr3:uid="{BC2F6D21-6027-41EF-998E-C85FE00DAAE9}" name="2019"/>
    <tableColumn id="17" xr3:uid="{24C0B53F-6DCE-48F0-BEB9-49C0B8CD459E}" name="2020"/>
    <tableColumn id="18" xr3:uid="{5F8AFC59-D25A-4540-8D61-DE2339698B41}" name="2021"/>
    <tableColumn id="19" xr3:uid="{6EDB9B95-773B-4555-BFEF-22EC226BAF4C}" name="2022"/>
    <tableColumn id="20" xr3:uid="{7414FC55-7B88-4E46-B430-A9FB916738E3}" name="2023"/>
    <tableColumn id="21" xr3:uid="{353F3698-EFB1-442E-9428-191B93044FEA}" name="2024"/>
    <tableColumn id="22" xr3:uid="{4C22E6A7-B417-4ED2-B332-8EAD9C7447DB}" name="2025"/>
    <tableColumn id="23" xr3:uid="{0CBD7F20-F1AB-4EAA-8AAE-B17C0320C6CB}" name="2026"/>
    <tableColumn id="24" xr3:uid="{A4A26B5D-27F5-4BFC-804C-3C8C2B69F30D}" name="2027"/>
    <tableColumn id="25" xr3:uid="{BB40D057-7C0A-4842-9EB4-363EB8443300}" name="2028"/>
    <tableColumn id="26" xr3:uid="{61494DC5-F0EB-4802-8364-C4FC76D0BF35}" name="2029"/>
    <tableColumn id="27" xr3:uid="{0A01F1EC-2E6B-4F7F-9157-A56E44D98DF4}" name="2030"/>
    <tableColumn id="28" xr3:uid="{E35A1970-3AF9-4FCF-AE7B-F34C286C4365}" name="2031"/>
    <tableColumn id="29" xr3:uid="{BE9D827A-9D9D-466D-AABC-BF1F4E4A1F5F}" name="2032"/>
    <tableColumn id="30" xr3:uid="{854B5512-2F10-4BCC-A5E4-A43581C1242E}" name="2033"/>
    <tableColumn id="31" xr3:uid="{928C41B6-325D-4D78-A581-88E4CD3A4B6F}" name="2034"/>
    <tableColumn id="32" xr3:uid="{C35EA5E4-77EF-4CB0-96AD-40A31C9BA7D3}" name="2035"/>
    <tableColumn id="33" xr3:uid="{53887EB8-6E9F-4D04-87B3-2BF51D4C4F32}" name="2036"/>
    <tableColumn id="34" xr3:uid="{D590ADF8-28D6-4A9E-A434-E45BDB7A4D24}" name="2037"/>
    <tableColumn id="35" xr3:uid="{49317A46-9124-4B25-8884-C50E73A0C20D}" name="2038"/>
    <tableColumn id="36" xr3:uid="{9563EE03-5A60-41FD-B99C-5875755C18E5}" name="2039"/>
    <tableColumn id="37" xr3:uid="{D2883A21-9618-4DED-BBD1-F5D6898925EA}" name="2040"/>
    <tableColumn id="38" xr3:uid="{E45638C7-9325-4DD0-B527-3F2E9037C06A}" name="2041"/>
    <tableColumn id="39" xr3:uid="{916CDEA3-D8D0-4273-A8A8-48CFD640E7F8}" name="2042"/>
    <tableColumn id="40" xr3:uid="{BA81BE25-C7A0-44ED-B56C-8072B198EC38}" name="2043"/>
    <tableColumn id="41" xr3:uid="{65A5752D-9E72-4850-B25F-FC6349C60BF4}" name="2044"/>
    <tableColumn id="42" xr3:uid="{7E20C413-0391-483F-94BB-DE6F7D3E0DE2}" name="2045"/>
    <tableColumn id="43" xr3:uid="{49813422-4FDD-4568-8F68-9EF1B83A0A17}" name="2046"/>
    <tableColumn id="44" xr3:uid="{962DC8E9-B323-4509-8575-826FD174248E}" name="2047"/>
    <tableColumn id="45" xr3:uid="{70877BBB-F0D0-4BC8-8D6A-D4DCFF4F2274}" name="2048"/>
    <tableColumn id="46" xr3:uid="{FE6DF090-FAE7-489F-9D6D-830CD0643B9A}" name="2049"/>
    <tableColumn id="47" xr3:uid="{FCBFCF3F-824E-43F2-A8E6-76910F30C848}"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C6BE53-C970-48D3-95D2-6C774FFF0D58}" name="QC_cap" displayName="QC_cap" ref="A63:AU71" totalsRowShown="0">
  <tableColumns count="47">
    <tableColumn id="1" xr3:uid="{4C730E26-E0F9-4E88-965C-CCA3ED07F9E5}" name="_"/>
    <tableColumn id="2" xr3:uid="{AB7E19EA-5FED-4A65-990E-8B41475E2AD4}" name="2005"/>
    <tableColumn id="3" xr3:uid="{3540D00B-931F-4378-A9EB-AB2A401B770C}" name="2006"/>
    <tableColumn id="4" xr3:uid="{88701954-C2AD-4CC6-8DB7-42699C0C503B}" name="2007"/>
    <tableColumn id="5" xr3:uid="{FB9CECA3-831C-4DC9-9EFA-B493C0AB53AB}" name="2008"/>
    <tableColumn id="6" xr3:uid="{2F1BB865-D8E7-4E49-A920-E48B293ED98D}" name="2009"/>
    <tableColumn id="7" xr3:uid="{04B504A5-A48D-4957-9D60-33275290E305}" name="2010"/>
    <tableColumn id="8" xr3:uid="{505F489F-0042-481F-8038-176DF385558B}" name="2011"/>
    <tableColumn id="9" xr3:uid="{8891D9BB-D2B6-4BD0-BED4-74D5C8534FEA}" name="2012"/>
    <tableColumn id="10" xr3:uid="{58094F2E-FC11-47C2-9181-E01845986D9C}" name="2013"/>
    <tableColumn id="11" xr3:uid="{501C68CD-30DF-4CA2-85CE-7691CFB865DB}" name="2014"/>
    <tableColumn id="12" xr3:uid="{34C7D55D-C914-4B1D-AD92-670723876F1E}" name="2015"/>
    <tableColumn id="13" xr3:uid="{008D04EB-19C6-4F1C-88CA-908EEDBF9156}" name="2016"/>
    <tableColumn id="14" xr3:uid="{B6C8EEA3-AA9A-4CE0-96F8-E1D7A368A31D}" name="2017"/>
    <tableColumn id="15" xr3:uid="{5C4FD20A-ABE4-450F-8D6F-7F1F42DA381F}" name="2018"/>
    <tableColumn id="16" xr3:uid="{053BD1F7-6AA3-4C78-82AD-8872F8A2BDC7}" name="2019"/>
    <tableColumn id="17" xr3:uid="{F2695ABB-D7F1-4085-9042-B8A722DCE37F}" name="2020"/>
    <tableColumn id="18" xr3:uid="{81A10429-CE0D-4A3D-9B04-1CB217A5AB9B}" name="2021"/>
    <tableColumn id="19" xr3:uid="{DD56EF18-4550-4630-ABF1-B438DE8AEDE8}" name="2022"/>
    <tableColumn id="20" xr3:uid="{7F5BF0F2-3D16-4C3E-960C-1293FFF228E3}" name="2023"/>
    <tableColumn id="21" xr3:uid="{4E0041F7-5852-47E7-B6E8-94AA991A43AE}" name="2024"/>
    <tableColumn id="22" xr3:uid="{C4FEC550-7EBD-4E53-A4C3-7CB9C5FE84B0}" name="2025"/>
    <tableColumn id="23" xr3:uid="{56DD0641-9EE4-494B-B4EB-7DA822736C81}" name="2026"/>
    <tableColumn id="24" xr3:uid="{66C751E3-BD36-4558-9455-C356531277C0}" name="2027"/>
    <tableColumn id="25" xr3:uid="{8B6F4935-8FDF-4F15-9521-A293E83D369D}" name="2028"/>
    <tableColumn id="26" xr3:uid="{10002130-4FEC-441F-8C6A-F79825B5501B}" name="2029"/>
    <tableColumn id="27" xr3:uid="{69786670-F231-42F4-9358-05D0064F69F3}" name="2030"/>
    <tableColumn id="28" xr3:uid="{2778D8BB-57CA-4A1E-B2A8-9AC1FD5613D2}" name="2031"/>
    <tableColumn id="29" xr3:uid="{EF7D0CBE-EBEB-4FB5-88C1-92B938BDE643}" name="2032"/>
    <tableColumn id="30" xr3:uid="{7F80E871-0D5F-4312-A3AE-A4C797F5B446}" name="2033"/>
    <tableColumn id="31" xr3:uid="{D774B05B-FF44-4494-A4E6-19D3B599E368}" name="2034"/>
    <tableColumn id="32" xr3:uid="{69278424-0B83-486E-9F9B-5D2A048C2C9A}" name="2035"/>
    <tableColumn id="33" xr3:uid="{F267C5CF-176B-4BDD-B205-665333B8FA5A}" name="2036"/>
    <tableColumn id="34" xr3:uid="{34E10532-41E6-4B8D-8641-8020A6640A3E}" name="2037"/>
    <tableColumn id="35" xr3:uid="{1C28AE5E-C910-409C-BC16-ADBD1D565082}" name="2038"/>
    <tableColumn id="36" xr3:uid="{B9B92B70-F432-4038-AFA9-E4167E77C34D}" name="2039"/>
    <tableColumn id="37" xr3:uid="{50D084BD-489C-46F2-838B-588B4E994903}" name="2040"/>
    <tableColumn id="38" xr3:uid="{D794CADD-6B3E-4109-AF6D-684F6EFED998}" name="2041"/>
    <tableColumn id="39" xr3:uid="{EAA7AF16-C76C-4304-8328-3A238C0EB2D2}" name="2042"/>
    <tableColumn id="40" xr3:uid="{E0D5EE14-5079-4C60-8683-6589B70F0A32}" name="2043"/>
    <tableColumn id="41" xr3:uid="{F5196160-E0DB-4932-A5A3-512C2B75757E}" name="2044"/>
    <tableColumn id="42" xr3:uid="{F4960907-93DB-4F6C-909A-857A425DF44A}" name="2045"/>
    <tableColumn id="43" xr3:uid="{0B117916-69DC-4C63-B675-0C6A267CED73}" name="2046"/>
    <tableColumn id="44" xr3:uid="{10F6714E-4B50-4305-AB68-B921807CCF60}" name="2047"/>
    <tableColumn id="45" xr3:uid="{0332C3CE-D23B-4BBE-83C8-E26B57FD2DBC}" name="2048"/>
    <tableColumn id="46" xr3:uid="{3565DFEF-BC13-4579-8E3D-971AD7DC7CE5}" name="2049"/>
    <tableColumn id="47" xr3:uid="{6F93BA37-D03E-481D-B1CC-431D82F33DF9}" name="20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ABE2F8-4E84-4666-BE62-8606A4BEFD45}" name="ON_cap" displayName="ON_cap" ref="A74:AU82" totalsRowShown="0">
  <tableColumns count="47">
    <tableColumn id="1" xr3:uid="{0B4485D8-A2B9-4169-813C-22B9062A2237}" name="_"/>
    <tableColumn id="2" xr3:uid="{A41F459D-8EC6-4A3D-B252-043F97A0383C}" name="2005"/>
    <tableColumn id="3" xr3:uid="{993EC1C4-3670-443C-B8DC-DD6123D76D65}" name="2006"/>
    <tableColumn id="4" xr3:uid="{A08D8FD2-3997-400B-ACCB-DA118BF768EC}" name="2007"/>
    <tableColumn id="5" xr3:uid="{4D726F95-3730-40DA-A713-1453D579D949}" name="2008"/>
    <tableColumn id="6" xr3:uid="{0D622CC7-7FC0-4EF2-A22F-773BED8EF53D}" name="2009"/>
    <tableColumn id="7" xr3:uid="{B34E4BFC-66EF-47CA-BCFA-BA356ADA125A}" name="2010"/>
    <tableColumn id="8" xr3:uid="{720018A5-275A-4949-ACB4-BF7E41507D35}" name="2011"/>
    <tableColumn id="9" xr3:uid="{AEBD3997-736E-40F8-8AC9-78CE5AB8C2CF}" name="2012"/>
    <tableColumn id="10" xr3:uid="{92191CAF-9E18-44A2-871B-9D0EEB9CBCF7}" name="2013"/>
    <tableColumn id="11" xr3:uid="{53C558D3-34EC-40E3-9E2B-DD3EDD9378CD}" name="2014"/>
    <tableColumn id="12" xr3:uid="{0E41AFE1-86AF-419B-BE8A-9200B9B972BE}" name="2015"/>
    <tableColumn id="13" xr3:uid="{3355C99E-0E74-490C-ABFA-68E0D1637BB8}" name="2016"/>
    <tableColumn id="14" xr3:uid="{287F0DD9-3869-41FE-9562-5B8E9FC31440}" name="2017"/>
    <tableColumn id="15" xr3:uid="{0067DAD6-52C8-48F5-BBB6-C99E89EC45EB}" name="2018"/>
    <tableColumn id="16" xr3:uid="{C6C0B59E-2097-4780-AFF9-A7F72D31DE44}" name="2019"/>
    <tableColumn id="17" xr3:uid="{E6D84EF5-3B45-4D1E-A8E7-E264DAA49854}" name="2020"/>
    <tableColumn id="18" xr3:uid="{4701670F-2D3B-4CFB-8678-8C1AA50AF1D0}" name="2021"/>
    <tableColumn id="19" xr3:uid="{72E6D521-A239-4025-9FE7-5ED9C29F889F}" name="2022"/>
    <tableColumn id="20" xr3:uid="{124FA17A-A638-4978-AC76-7CB19F80CA7F}" name="2023"/>
    <tableColumn id="21" xr3:uid="{18485CC5-9259-4B4C-A12F-691778053D7A}" name="2024"/>
    <tableColumn id="22" xr3:uid="{81B40CD2-7285-4BF7-BE34-EF4C407A9B5F}" name="2025"/>
    <tableColumn id="23" xr3:uid="{E1320830-5F39-4398-BFB3-11AA62341197}" name="2026"/>
    <tableColumn id="24" xr3:uid="{04474403-922F-485E-8631-473433DCCB96}" name="2027"/>
    <tableColumn id="25" xr3:uid="{4EE31C73-902A-4C99-886A-60F1D12425D4}" name="2028"/>
    <tableColumn id="26" xr3:uid="{E5927269-2A1E-43E5-A7D2-82082BD4C9ED}" name="2029"/>
    <tableColumn id="27" xr3:uid="{475D7844-0130-4504-A63F-DB12E371DB58}" name="2030"/>
    <tableColumn id="28" xr3:uid="{EB48F692-5BEA-41F6-BCC9-3E672D27F867}" name="2031"/>
    <tableColumn id="29" xr3:uid="{DC4E1A7B-5866-4450-9D7D-91730871E842}" name="2032"/>
    <tableColumn id="30" xr3:uid="{CB1E5DD2-DFB8-4C83-A57E-E53C1A0580CE}" name="2033"/>
    <tableColumn id="31" xr3:uid="{9A0F3518-1AC3-48B6-BB5B-C01057F5AF20}" name="2034"/>
    <tableColumn id="32" xr3:uid="{C6FA4D29-5FE2-4FC5-B1EF-7FAAA8B15D01}" name="2035"/>
    <tableColumn id="33" xr3:uid="{2C41D2DF-41DF-4B10-BCB5-51ABFB380ED0}" name="2036"/>
    <tableColumn id="34" xr3:uid="{5EFB91C1-A7AC-4023-A243-D56AB4C0A739}" name="2037"/>
    <tableColumn id="35" xr3:uid="{877EC978-4A8A-432C-9FF8-D7A299050359}" name="2038"/>
    <tableColumn id="36" xr3:uid="{7AC2E902-382C-4DC3-8C73-7C207B8CC297}" name="2039"/>
    <tableColumn id="37" xr3:uid="{5EA80E9E-17E4-4F99-BF6C-1FB822AE89EA}" name="2040"/>
    <tableColumn id="38" xr3:uid="{B852C11B-DC9D-44A6-A89D-B4635A018150}" name="2041"/>
    <tableColumn id="39" xr3:uid="{C26C17EC-E1BD-47F2-B195-9535B39ED1DD}" name="2042"/>
    <tableColumn id="40" xr3:uid="{67A17D52-CC24-4CB7-B2E3-1E951B1A26D9}" name="2043"/>
    <tableColumn id="41" xr3:uid="{B3DF905A-6702-44B9-83A1-FE63BF09959B}" name="2044"/>
    <tableColumn id="42" xr3:uid="{7F7DEE86-D40F-4518-8C38-D6EFDE16922F}" name="2045"/>
    <tableColumn id="43" xr3:uid="{A745853A-5525-469F-A84C-027ADB175CAB}" name="2046"/>
    <tableColumn id="44" xr3:uid="{FD18CC3E-4405-4DF2-9889-9B88AC0E9A78}" name="2047"/>
    <tableColumn id="45" xr3:uid="{13011445-3E42-4F92-B1AF-E238347D137F}" name="2048"/>
    <tableColumn id="46" xr3:uid="{7B53E03B-7D39-4E22-B82A-5206F7C55FF7}" name="2049"/>
    <tableColumn id="47" xr3:uid="{F2F74F9C-A4FD-40A5-B537-C53F39B3A877}" name="20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5913B6-5D2E-4E38-B168-3D477D97D066}" name="MB_cap" displayName="MB_cap" ref="A85:AU93" totalsRowShown="0">
  <tableColumns count="47">
    <tableColumn id="1" xr3:uid="{B01205FF-AD11-4387-8D94-6F0257F5167B}" name="_"/>
    <tableColumn id="2" xr3:uid="{6ECA5953-BE12-4A45-9883-9F3B5C2D5BF6}" name="2005"/>
    <tableColumn id="3" xr3:uid="{F29AC89C-CA27-4EC9-97A7-269C58B382A6}" name="2006"/>
    <tableColumn id="4" xr3:uid="{39EC40E7-E1A2-446D-B973-EDBE05FCBB51}" name="2007"/>
    <tableColumn id="5" xr3:uid="{8E6B32BA-A7D8-4312-BBD4-395FADCB0D42}" name="2008"/>
    <tableColumn id="6" xr3:uid="{F7E3BD72-5303-461F-8B2A-3355F54D36A2}" name="2009"/>
    <tableColumn id="7" xr3:uid="{C0E5D037-BFAE-4524-BE28-675F81514A89}" name="2010"/>
    <tableColumn id="8" xr3:uid="{2CA77313-EF7E-4F93-9DEE-AFA3F04095F8}" name="2011"/>
    <tableColumn id="9" xr3:uid="{F7E58713-3CCB-4C74-A8D5-9DD102875D20}" name="2012"/>
    <tableColumn id="10" xr3:uid="{6ECBAE77-6F2B-439C-B94F-373A86E59AAC}" name="2013"/>
    <tableColumn id="11" xr3:uid="{6A548592-6D54-47AA-8902-E2A8D5040C46}" name="2014"/>
    <tableColumn id="12" xr3:uid="{81B03BBB-67FE-4E04-A23A-BAB66FF4B668}" name="2015"/>
    <tableColumn id="13" xr3:uid="{E882FA8E-0519-4022-9DCE-0B5C30F601C0}" name="2016"/>
    <tableColumn id="14" xr3:uid="{0ED00CC5-ECBE-40C4-8175-AE1506AA0F17}" name="2017"/>
    <tableColumn id="15" xr3:uid="{C248A002-61BE-4DAB-8CAD-01931AACA925}" name="2018"/>
    <tableColumn id="16" xr3:uid="{ABC29D59-F659-48BF-AA0E-3B61B2577C1B}" name="2019"/>
    <tableColumn id="17" xr3:uid="{B745D4D9-B2FA-41CE-8945-78FCDCF38322}" name="2020"/>
    <tableColumn id="18" xr3:uid="{123DA0C8-1EA8-48A2-BF65-850D216500F8}" name="2021"/>
    <tableColumn id="19" xr3:uid="{B3818AFC-C86C-4D93-B21C-CEA5921689C4}" name="2022"/>
    <tableColumn id="20" xr3:uid="{077F95D0-7DDF-4BFF-B5DB-5BC1C710DB2F}" name="2023"/>
    <tableColumn id="21" xr3:uid="{086F8500-09FD-43A2-9FC9-3F480B45D7E6}" name="2024"/>
    <tableColumn id="22" xr3:uid="{162110D3-9C0B-4D4C-94CC-A3D7F17BCE6C}" name="2025"/>
    <tableColumn id="23" xr3:uid="{B2BCC525-4280-4A9A-98CB-4D57BC99B328}" name="2026"/>
    <tableColumn id="24" xr3:uid="{CB67365C-9F55-4432-938F-11D97FBC6489}" name="2027"/>
    <tableColumn id="25" xr3:uid="{1A81BD74-6CA2-469B-84BE-497EF1C0ADAF}" name="2028"/>
    <tableColumn id="26" xr3:uid="{F27D29FD-89CE-46F5-AFCA-8CD42A1623A7}" name="2029"/>
    <tableColumn id="27" xr3:uid="{D7A51D55-FA25-40D6-A692-931967D40ECD}" name="2030"/>
    <tableColumn id="28" xr3:uid="{DF4E6778-C34A-482F-8B4D-EFDD800C611B}" name="2031"/>
    <tableColumn id="29" xr3:uid="{9B858319-C101-461C-8230-54C88E0303D9}" name="2032"/>
    <tableColumn id="30" xr3:uid="{467C9627-4E7A-486C-89C8-BAE8F02FEBEA}" name="2033"/>
    <tableColumn id="31" xr3:uid="{A3C8A57E-C95E-4B7C-9170-C11E68236DE2}" name="2034"/>
    <tableColumn id="32" xr3:uid="{236E0159-72B8-4596-8DBD-DAFD76438D33}" name="2035"/>
    <tableColumn id="33" xr3:uid="{11B600C2-92A3-4E8C-A5FF-D4FC422376C1}" name="2036"/>
    <tableColumn id="34" xr3:uid="{D4AAABAF-49BF-4BE6-AAE1-ABA27727F980}" name="2037"/>
    <tableColumn id="35" xr3:uid="{829A1214-77FB-4482-9F1A-FE01A75FD45A}" name="2038"/>
    <tableColumn id="36" xr3:uid="{DD1D86BF-5A22-4E1B-A318-0A13B23B7172}" name="2039"/>
    <tableColumn id="37" xr3:uid="{FA605C5A-105E-4092-9700-A9E260238398}" name="2040"/>
    <tableColumn id="38" xr3:uid="{7429FE50-20D0-4A56-8309-0597F6E792B6}" name="2041"/>
    <tableColumn id="39" xr3:uid="{D64EF6C1-57BC-4355-B154-CF62B08C8ADC}" name="2042"/>
    <tableColumn id="40" xr3:uid="{71BA096A-27A4-480F-AA89-8FB087098CE8}" name="2043"/>
    <tableColumn id="41" xr3:uid="{938857A9-1555-4BC2-81C6-F753DF1AC907}" name="2044"/>
    <tableColumn id="42" xr3:uid="{777563E3-BDC5-4E24-B2DD-C7550AFA5D68}" name="2045"/>
    <tableColumn id="43" xr3:uid="{77C6107B-9A9E-4DCB-B47C-7F83CF8FB0F5}" name="2046"/>
    <tableColumn id="44" xr3:uid="{C3FFDD7E-6D00-4AD8-BDB0-4876E3F01DB1}" name="2047"/>
    <tableColumn id="45" xr3:uid="{E46FA918-BAA2-493F-BB94-18CCDE58B2E8}" name="2048"/>
    <tableColumn id="46" xr3:uid="{98557A7A-D11B-4214-9490-6102FC50E7F6}" name="2049"/>
    <tableColumn id="47" xr3:uid="{75484C6E-562C-42BF-BF22-88BBDC1D2951}" name="2050"/>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C23CA9-2F20-4905-AA49-24B166A25D34}" name="AB_cap" displayName="AB_cap" ref="A96:AU104" totalsRowShown="0">
  <tableColumns count="47">
    <tableColumn id="1" xr3:uid="{2179B854-21CF-49AA-B373-7D913C0F5F25}" name="_"/>
    <tableColumn id="2" xr3:uid="{7F830C41-B3A8-463D-9384-165196F13BDF}" name="2005"/>
    <tableColumn id="3" xr3:uid="{8FD0F103-F1A2-4C17-8A67-E5376B96079F}" name="2006"/>
    <tableColumn id="4" xr3:uid="{661E9BC0-B57A-4402-92B4-C8CE596E3EA8}" name="2007"/>
    <tableColumn id="5" xr3:uid="{E7791F39-3149-4784-B062-D86E484DA833}" name="2008"/>
    <tableColumn id="6" xr3:uid="{0F4ECEC1-7431-4901-B6B2-354024682161}" name="2009"/>
    <tableColumn id="7" xr3:uid="{07D99EA5-9221-45B4-9FDA-15A6C8C06AA1}" name="2010"/>
    <tableColumn id="8" xr3:uid="{F2703016-9D77-4271-A3A8-09822652DE8D}" name="2011"/>
    <tableColumn id="9" xr3:uid="{04E70AFA-FC09-4177-BBF1-5602139647EF}" name="2012"/>
    <tableColumn id="10" xr3:uid="{716912CE-22DD-44F0-94E6-321F081808CC}" name="2013"/>
    <tableColumn id="11" xr3:uid="{DED7C6D4-06DC-48CB-90FB-8AD910A17D62}" name="2014"/>
    <tableColumn id="12" xr3:uid="{FEBDA5AF-B6B8-47F3-9487-991AC3A827E5}" name="2015"/>
    <tableColumn id="13" xr3:uid="{70A0B487-3059-474E-B380-D4686D9841BD}" name="2016"/>
    <tableColumn id="14" xr3:uid="{BF5EEAFD-5526-4C08-9B62-31B958339226}" name="2017"/>
    <tableColumn id="15" xr3:uid="{BEC705A0-C495-41F8-B39C-9398C290EBF9}" name="2018"/>
    <tableColumn id="16" xr3:uid="{6F2B9831-DCE7-480B-895C-90EC5F800A17}" name="2019"/>
    <tableColumn id="17" xr3:uid="{145CAB02-8702-49DC-A394-BEA029BBE669}" name="2020"/>
    <tableColumn id="18" xr3:uid="{AFE61C24-E032-4EE4-904B-849720948391}" name="2021"/>
    <tableColumn id="19" xr3:uid="{A3789C1F-B52D-4D87-9A69-1A6D0D689BC6}" name="2022"/>
    <tableColumn id="20" xr3:uid="{A25DA7CD-6F30-494E-BA3E-5E72DA18B4CE}" name="2023"/>
    <tableColumn id="21" xr3:uid="{892CC54B-56C1-4883-BE00-808E3DD75198}" name="2024"/>
    <tableColumn id="22" xr3:uid="{FF85AFBA-5C0D-43AA-80E7-BFCF8CBDD583}" name="2025"/>
    <tableColumn id="23" xr3:uid="{335A5AAD-10EA-4D71-B8E4-0D9134540877}" name="2026"/>
    <tableColumn id="24" xr3:uid="{62ADDC2F-10ED-4D40-9DBB-225DD2A3173B}" name="2027"/>
    <tableColumn id="25" xr3:uid="{2DA5F787-743D-4BAC-BE81-E382D56174A4}" name="2028"/>
    <tableColumn id="26" xr3:uid="{75782ED4-4CCF-41FE-8162-E0DD89C535FB}" name="2029"/>
    <tableColumn id="27" xr3:uid="{032282BE-01C5-4AA9-8F62-228E9F659003}" name="2030"/>
    <tableColumn id="28" xr3:uid="{449D7FBC-A3F5-423F-8249-C9B4FEF3ED98}" name="2031"/>
    <tableColumn id="29" xr3:uid="{A2FDA495-DEB3-4343-B8A7-E3FE54BEB6EC}" name="2032"/>
    <tableColumn id="30" xr3:uid="{2673DF67-786B-45F2-B55D-B926DDE630B1}" name="2033"/>
    <tableColumn id="31" xr3:uid="{E8964C77-67BE-4CF9-9AA3-A7E031238F3D}" name="2034"/>
    <tableColumn id="32" xr3:uid="{2C8244B8-2877-4CB2-B26C-49316412750D}" name="2035"/>
    <tableColumn id="33" xr3:uid="{C640A438-E1E4-4B56-B0C6-9A0DFBA7AB52}" name="2036"/>
    <tableColumn id="34" xr3:uid="{9D8FDFCE-03C5-4C96-93ED-EABCF5689DE2}" name="2037"/>
    <tableColumn id="35" xr3:uid="{89FADA1D-4310-4361-9D0D-75974392D1B7}" name="2038"/>
    <tableColumn id="36" xr3:uid="{6D7945A6-2C4B-40EB-9F61-EA837FBF4211}" name="2039"/>
    <tableColumn id="37" xr3:uid="{8221B879-0FB5-4C59-8BAC-85109E956CC0}" name="2040"/>
    <tableColumn id="38" xr3:uid="{F0B10205-19C9-4370-8089-F0CDD415DE61}" name="2041"/>
    <tableColumn id="39" xr3:uid="{D2963C5D-1E08-48BB-82C5-32DF40C5D2CD}" name="2042"/>
    <tableColumn id="40" xr3:uid="{243BD7E1-9D27-4CCE-953F-0615FEA2BB03}" name="2043"/>
    <tableColumn id="41" xr3:uid="{AFD702A3-FB8F-4C83-BBF4-FBE3D46BF076}" name="2044"/>
    <tableColumn id="42" xr3:uid="{51A93F77-9371-478C-B9C7-FDE108C435AE}" name="2045"/>
    <tableColumn id="43" xr3:uid="{3CA928F9-ACD4-44F4-BA78-E03071E746C7}" name="2046"/>
    <tableColumn id="44" xr3:uid="{E59E270E-1F42-45A0-A23D-2824A5ACB360}" name="2047"/>
    <tableColumn id="45" xr3:uid="{2EB96C34-1009-40C5-BFF5-08DB8F75519B}" name="2048"/>
    <tableColumn id="46" xr3:uid="{DE7A14B7-6CD7-4EBD-B142-5186BE0D7B37}" name="2049"/>
    <tableColumn id="47" xr3:uid="{45F3DE27-604E-4794-87C5-C3809228DBD2}" name="2050"/>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8A8C931-0155-48D5-974A-069742439E7F}" name="BC_cap" displayName="BC_cap" ref="A107:AU115" totalsRowShown="0">
  <tableColumns count="47">
    <tableColumn id="1" xr3:uid="{BB7126FE-C4DF-4989-BBAF-8A3D1598DD21}" name="_"/>
    <tableColumn id="2" xr3:uid="{CDDCA857-2533-473D-8DCA-DDCE7C9C04C9}" name="2005"/>
    <tableColumn id="3" xr3:uid="{B039A522-93B2-4D17-A027-69B96D40A14D}" name="2006"/>
    <tableColumn id="4" xr3:uid="{E77D17EB-33BB-43A5-8A4B-D311F7B62C2E}" name="2007"/>
    <tableColumn id="5" xr3:uid="{BA0CEE33-1F19-4E66-9657-864165A73F2E}" name="2008"/>
    <tableColumn id="6" xr3:uid="{DB6E6CA2-25C0-4019-BE39-FB1E83AC5520}" name="2009"/>
    <tableColumn id="7" xr3:uid="{75A2B78D-1465-478B-AA8A-075667CDFB69}" name="2010"/>
    <tableColumn id="8" xr3:uid="{3A7A2D6E-B1E5-49EE-901C-E9F1D6283DF6}" name="2011"/>
    <tableColumn id="9" xr3:uid="{3E893352-950B-4B28-AD2B-5627046A6AC2}" name="2012"/>
    <tableColumn id="10" xr3:uid="{A3AF8300-AFAB-4F8B-AB35-33712AC66E40}" name="2013"/>
    <tableColumn id="11" xr3:uid="{1163821C-4927-4CE2-A482-B29003FD108E}" name="2014"/>
    <tableColumn id="12" xr3:uid="{612FB5F5-D833-4E02-944E-0EA3ED442800}" name="2015"/>
    <tableColumn id="13" xr3:uid="{BA6C0E42-7722-46F0-9EE8-31ECEB1A9CDD}" name="2016"/>
    <tableColumn id="14" xr3:uid="{8C2D3B87-3B0A-4232-958D-C88540DB5441}" name="2017"/>
    <tableColumn id="15" xr3:uid="{1C5E22A5-3AE5-4D52-82BD-67C5828B8C6B}" name="2018"/>
    <tableColumn id="16" xr3:uid="{6A0ADDDB-DFCF-46DF-9CC5-A7519245E98D}" name="2019"/>
    <tableColumn id="17" xr3:uid="{634E5539-B5DF-4AFC-84D7-B74C5F1F20A9}" name="2020"/>
    <tableColumn id="18" xr3:uid="{B79457A4-41BC-407E-964D-D84FF75B4E7B}" name="2021"/>
    <tableColumn id="19" xr3:uid="{A4676274-1D5D-4B24-A6E4-4395C1496745}" name="2022"/>
    <tableColumn id="20" xr3:uid="{6E5DDAEC-7902-407B-9CEF-79F21353FA20}" name="2023"/>
    <tableColumn id="21" xr3:uid="{8A88CD67-1255-42AD-9805-E6E709B8C087}" name="2024"/>
    <tableColumn id="22" xr3:uid="{A2F71094-2C0B-41AD-9B17-42DB81EAB5F5}" name="2025"/>
    <tableColumn id="23" xr3:uid="{25C7A23B-1674-414C-9AF2-9E6982F2AE56}" name="2026"/>
    <tableColumn id="24" xr3:uid="{A3D709E8-E696-4A1F-B9E3-374901562DFC}" name="2027"/>
    <tableColumn id="25" xr3:uid="{03D089A8-E159-4636-90DD-413BE41BDF89}" name="2028"/>
    <tableColumn id="26" xr3:uid="{F78FD6D5-37BB-48E9-960A-2D4024AE9B06}" name="2029"/>
    <tableColumn id="27" xr3:uid="{DB5E6557-EE8E-4101-976D-8FB74FBD7B94}" name="2030"/>
    <tableColumn id="28" xr3:uid="{10A3EB47-FC1C-4BEC-BD83-BACAFB375F9D}" name="2031"/>
    <tableColumn id="29" xr3:uid="{01E456D2-C9E5-46F1-89E7-EE21E69B8812}" name="2032"/>
    <tableColumn id="30" xr3:uid="{E4188CDA-CCAD-4536-9F58-C0FA6E9C1153}" name="2033"/>
    <tableColumn id="31" xr3:uid="{84C3427F-E75C-489B-B11C-43C34A4E6A17}" name="2034"/>
    <tableColumn id="32" xr3:uid="{9CA5DB7B-ABED-4965-AA6B-431A67457C91}" name="2035"/>
    <tableColumn id="33" xr3:uid="{0454D3D5-5FFE-4237-A031-B78B7E970ADB}" name="2036"/>
    <tableColumn id="34" xr3:uid="{2CA1C380-7342-480B-9DA4-3BC787470F93}" name="2037"/>
    <tableColumn id="35" xr3:uid="{9C5D2B3F-9C95-436C-908F-D50BF2BF9FAD}" name="2038"/>
    <tableColumn id="36" xr3:uid="{0B642BED-1F68-4F8A-84DE-0FC3DFEEEA13}" name="2039"/>
    <tableColumn id="37" xr3:uid="{717D9895-FE1E-430E-A19D-40848A21BC1D}" name="2040"/>
    <tableColumn id="38" xr3:uid="{BB269892-D87C-4A2D-B120-3AB25AA4C514}" name="2041"/>
    <tableColumn id="39" xr3:uid="{D3576D9D-422C-48A9-8BEB-E2F9CC63CB7F}" name="2042"/>
    <tableColumn id="40" xr3:uid="{96C49732-F762-4DB0-B3D4-A5BA6D3CA775}" name="2043"/>
    <tableColumn id="41" xr3:uid="{E0AB3B9B-071C-48AB-8D56-7ED29ED9915D}" name="2044"/>
    <tableColumn id="42" xr3:uid="{B5140BE2-FA5F-4A69-B0ED-0A7BBC4D47F2}" name="2045"/>
    <tableColumn id="43" xr3:uid="{923849F9-280E-4958-AC5B-F3CE51CDA36E}" name="2046"/>
    <tableColumn id="44" xr3:uid="{7B000993-96C2-4CD9-9ACB-C12B3BCF2915}" name="2047"/>
    <tableColumn id="45" xr3:uid="{5DD0DAA9-7150-404E-B6AC-253E3C433728}" name="2048"/>
    <tableColumn id="46" xr3:uid="{BDFCAA1F-0042-4770-A3ED-E66342CE0E6B}" name="2049"/>
    <tableColumn id="47" xr3:uid="{5029BCB4-703F-4217-B863-E4761325306A}" name="2050"/>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50BAD6B-522E-4803-9701-ADB1460B3DC1}" name="SK_cap" displayName="SK_cap" ref="A118:AU126" totalsRowShown="0">
  <tableColumns count="47">
    <tableColumn id="1" xr3:uid="{89DBFF59-D384-46D2-A5CF-1A3EF4175182}" name="_"/>
    <tableColumn id="2" xr3:uid="{3B1565DA-4AD5-4168-9F5F-8CA5B77D3915}" name="2005"/>
    <tableColumn id="3" xr3:uid="{2BCE514B-8C7D-49C4-8A21-AE1B7AFD165F}" name="2006"/>
    <tableColumn id="4" xr3:uid="{2182D82E-B45C-480E-AB66-143425DF1BE5}" name="2007"/>
    <tableColumn id="5" xr3:uid="{744A5992-F6B2-496E-826A-F033931A7273}" name="2008"/>
    <tableColumn id="6" xr3:uid="{F211304C-8D2D-4468-B4F1-25C19BB6855A}" name="2009"/>
    <tableColumn id="7" xr3:uid="{EE9C6829-1A52-477A-A4DC-08B3494A524A}" name="2010"/>
    <tableColumn id="8" xr3:uid="{E820201B-6E1F-4CBA-8DC8-01C99B9942A0}" name="2011"/>
    <tableColumn id="9" xr3:uid="{37D19004-9B06-4651-B49C-29F4CEB25B77}" name="2012"/>
    <tableColumn id="10" xr3:uid="{405609C7-2778-40B5-BF0F-6BE7F3A20616}" name="2013"/>
    <tableColumn id="11" xr3:uid="{2780ECD7-25BE-4536-8308-A6D6980B20EE}" name="2014"/>
    <tableColumn id="12" xr3:uid="{9173262B-57E3-44B0-B159-65F4552F0AB8}" name="2015"/>
    <tableColumn id="13" xr3:uid="{BA4C1D9E-AED7-49FB-A01D-C81259275178}" name="2016"/>
    <tableColumn id="14" xr3:uid="{89C240DE-EB1D-48DE-B933-C691DD8C6D0A}" name="2017"/>
    <tableColumn id="15" xr3:uid="{AFA0D508-1D21-417A-B24B-3C87AB0C2DAF}" name="2018"/>
    <tableColumn id="16" xr3:uid="{3688739F-94FA-4A0C-8E4F-B7A9FC8729D4}" name="2019"/>
    <tableColumn id="17" xr3:uid="{982A53D5-E26B-4EF4-AE57-CAC294FB8AF1}" name="2020"/>
    <tableColumn id="18" xr3:uid="{0DBD057B-1C51-4F60-88AC-7ADD5A72DF8D}" name="2021"/>
    <tableColumn id="19" xr3:uid="{00EAF485-B042-46C0-8EDC-B97A1D5A16CF}" name="2022"/>
    <tableColumn id="20" xr3:uid="{9965E8F0-23D7-4ADB-A66E-CAFB99893B3D}" name="2023"/>
    <tableColumn id="21" xr3:uid="{E9A89A69-7708-4263-9CAD-9749553C987F}" name="2024"/>
    <tableColumn id="22" xr3:uid="{42C1099A-F50E-45F1-A7BC-1B8EDD07DFED}" name="2025"/>
    <tableColumn id="23" xr3:uid="{CA765736-58EA-4F5E-B383-11F372DA5B27}" name="2026"/>
    <tableColumn id="24" xr3:uid="{D585D9BC-C359-4BDB-A449-F2DA85213CF5}" name="2027"/>
    <tableColumn id="25" xr3:uid="{D38FF5EF-248D-4554-8408-CF3F1A929705}" name="2028"/>
    <tableColumn id="26" xr3:uid="{345D590B-5449-4C40-8818-025B83DFE6BC}" name="2029"/>
    <tableColumn id="27" xr3:uid="{42EA46A3-9578-4C2A-A2A3-C797E360F349}" name="2030"/>
    <tableColumn id="28" xr3:uid="{B9F4A2DB-2690-4B03-B10A-1E84CA2AF0B4}" name="2031"/>
    <tableColumn id="29" xr3:uid="{E97B6DF6-0DAE-4D77-83F0-AE4A3F204885}" name="2032"/>
    <tableColumn id="30" xr3:uid="{653E9B89-40C9-4E8D-85A3-19B7268E0054}" name="2033"/>
    <tableColumn id="31" xr3:uid="{E3AC3572-165F-4ABC-B5E2-80F0FC37DD70}" name="2034"/>
    <tableColumn id="32" xr3:uid="{CF50392B-9CB1-42C1-AFD2-5A6BFC135806}" name="2035"/>
    <tableColumn id="33" xr3:uid="{8D039001-D5FD-4ACD-B588-4FABA832A4E1}" name="2036"/>
    <tableColumn id="34" xr3:uid="{12A4CE3D-1BFA-441A-BAC0-DCD1730367C3}" name="2037"/>
    <tableColumn id="35" xr3:uid="{10909523-AFEE-4EB8-84CF-59EF46F1153A}" name="2038"/>
    <tableColumn id="36" xr3:uid="{82A6B618-FA47-4131-813D-1398EAA7011C}" name="2039"/>
    <tableColumn id="37" xr3:uid="{D7F29C61-21F3-4406-8D82-C6A9B4D75BE3}" name="2040"/>
    <tableColumn id="38" xr3:uid="{8E171054-35F7-474C-A68D-D5743767D9AC}" name="2041"/>
    <tableColumn id="39" xr3:uid="{8C4CDFBA-665A-4E99-A057-EEE365945A46}" name="2042"/>
    <tableColumn id="40" xr3:uid="{740D63F9-7DB9-4C90-BDDE-54B246C6F0AB}" name="2043"/>
    <tableColumn id="41" xr3:uid="{2B54F748-7351-46E3-9ED4-9A530D344844}" name="2044"/>
    <tableColumn id="42" xr3:uid="{5A37706E-980A-4904-AE96-6F916E80911E}" name="2045"/>
    <tableColumn id="43" xr3:uid="{4ACD479A-225B-4B11-9EC5-8863B88B4369}" name="2046"/>
    <tableColumn id="44" xr3:uid="{DAF990A1-B5E8-416E-9EA5-BCB036B5A434}" name="2047"/>
    <tableColumn id="45" xr3:uid="{E19651A4-74EC-4410-9252-F341973C94B8}" name="2048"/>
    <tableColumn id="46" xr3:uid="{45DE2C61-8EB0-493D-A7CA-4F6AC17F7235}" name="2049"/>
    <tableColumn id="47" xr3:uid="{3A2C4C5E-1155-4B19-86F1-F0F77BF86453}" name="205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B297014-2C6D-4E87-8A44-B7A1FB1A3FBD}" name="YT_cap" displayName="YT_cap" ref="A129:AU137" totalsRowShown="0">
  <tableColumns count="47">
    <tableColumn id="1" xr3:uid="{7FCD5805-646D-4EBE-BDAC-F1C2F8E065D2}" name="_"/>
    <tableColumn id="2" xr3:uid="{A399D18D-B060-4134-9A49-D57794F83FED}" name="2005"/>
    <tableColumn id="3" xr3:uid="{088A67C2-6016-4C9F-8D6F-2E7B15B8DF2A}" name="2006"/>
    <tableColumn id="4" xr3:uid="{3E854B52-9865-4B24-A859-93A7C0FC73F0}" name="2007"/>
    <tableColumn id="5" xr3:uid="{F2966F49-A85E-4E55-92DC-72D44B63BCAB}" name="2008"/>
    <tableColumn id="6" xr3:uid="{895970C3-145B-49F6-8F80-F8B9D3062ADA}" name="2009"/>
    <tableColumn id="7" xr3:uid="{B31B9F0F-8682-4783-940F-5ACF7DF67370}" name="2010"/>
    <tableColumn id="8" xr3:uid="{B96DFFA9-9E60-4279-AA70-2C992BCD0127}" name="2011"/>
    <tableColumn id="9" xr3:uid="{444BFD5D-8565-45A8-B163-593521204239}" name="2012"/>
    <tableColumn id="10" xr3:uid="{1F2AFF63-8F33-4CCD-B6BC-9BE6960ADCE1}" name="2013"/>
    <tableColumn id="11" xr3:uid="{0FA2F45A-2D50-434E-B7B1-B86432382B9F}" name="2014"/>
    <tableColumn id="12" xr3:uid="{134CD28F-FCCC-4EE7-B127-B7A6EBBF602D}" name="2015"/>
    <tableColumn id="13" xr3:uid="{2281EEAE-027B-49D6-B973-C0F2C621E99C}" name="2016"/>
    <tableColumn id="14" xr3:uid="{3AAA7825-258D-4EF3-87F8-F4F236F16D8E}" name="2017"/>
    <tableColumn id="15" xr3:uid="{361941E9-23A3-4820-B9A0-287572964880}" name="2018"/>
    <tableColumn id="16" xr3:uid="{08CB0BB6-492C-4616-B635-32DEAF72FDD4}" name="2019"/>
    <tableColumn id="17" xr3:uid="{00FDD2FB-B124-4D60-88E7-BB2E9D2C3C2C}" name="2020"/>
    <tableColumn id="18" xr3:uid="{F3F7C053-0458-4F17-84C3-42B884FC274B}" name="2021"/>
    <tableColumn id="19" xr3:uid="{F972F24C-7650-410F-8304-D0A99F85B9D3}" name="2022"/>
    <tableColumn id="20" xr3:uid="{C0C28466-7465-45F3-B3B8-1520BA840981}" name="2023"/>
    <tableColumn id="21" xr3:uid="{74901F16-7177-43FB-840C-FBBC574F6C11}" name="2024"/>
    <tableColumn id="22" xr3:uid="{58C4DBD2-6D26-4FA8-8872-7B8F7D84E4C2}" name="2025"/>
    <tableColumn id="23" xr3:uid="{D32B5FB5-E9B6-4067-95EE-3868AF349D42}" name="2026"/>
    <tableColumn id="24" xr3:uid="{BB8BA15F-1B3E-4B14-B347-6E597CF0A2E2}" name="2027"/>
    <tableColumn id="25" xr3:uid="{3A72F7CA-04A9-44A7-A41F-8EC075518DAA}" name="2028"/>
    <tableColumn id="26" xr3:uid="{284DE5BD-B395-462B-949B-3877772341CC}" name="2029"/>
    <tableColumn id="27" xr3:uid="{95452193-C68E-414A-A9C3-E74D6FC72965}" name="2030"/>
    <tableColumn id="28" xr3:uid="{1E4D48C0-4038-4627-AA32-15CA27DA716B}" name="2031"/>
    <tableColumn id="29" xr3:uid="{E204A5C1-2BEF-461E-9295-E96CDBB7F9A1}" name="2032"/>
    <tableColumn id="30" xr3:uid="{124AB027-6624-42DC-BBE2-947253F0AB7F}" name="2033"/>
    <tableColumn id="31" xr3:uid="{0293247F-3C83-4FDC-A13B-12842748455B}" name="2034"/>
    <tableColumn id="32" xr3:uid="{491451D2-6DA0-495D-B220-C02AF3B1499D}" name="2035"/>
    <tableColumn id="33" xr3:uid="{40DD2766-895E-4841-979A-5D6DBAD037AA}" name="2036"/>
    <tableColumn id="34" xr3:uid="{B68C124E-8C54-4E8C-BEAA-F59B3E9ACE45}" name="2037"/>
    <tableColumn id="35" xr3:uid="{9EB4A3A4-0CD0-4D59-A628-88A644523F2F}" name="2038"/>
    <tableColumn id="36" xr3:uid="{4E8E8550-88FB-4EC8-B5F7-FD5296762973}" name="2039"/>
    <tableColumn id="37" xr3:uid="{FB8228C4-042B-4672-B076-A5DDBAF53344}" name="2040"/>
    <tableColumn id="38" xr3:uid="{03A92B8E-30D9-4F5E-83B4-E03BFE87E37D}" name="2041"/>
    <tableColumn id="39" xr3:uid="{229541A1-F71B-44A3-BA0B-772A8D5FFA11}" name="2042"/>
    <tableColumn id="40" xr3:uid="{9813A778-8ADE-46DA-93F1-8943A5D81618}" name="2043"/>
    <tableColumn id="41" xr3:uid="{763B0CD3-BFBC-46E2-A324-30DE16881A88}" name="2044"/>
    <tableColumn id="42" xr3:uid="{EF79F0A4-3F11-4F4E-B0EA-ED88BD62DD3C}" name="2045"/>
    <tableColumn id="43" xr3:uid="{D30499AB-9736-4963-B926-A5E7D92E1D4A}" name="2046"/>
    <tableColumn id="44" xr3:uid="{F1EB11C0-B5D8-4617-AA8D-F6AF10AB6BC2}" name="2047"/>
    <tableColumn id="45" xr3:uid="{35E0F97B-4482-4EEC-A28C-6602AA68E735}" name="2048"/>
    <tableColumn id="46" xr3:uid="{0842B366-D2C5-4A30-BD63-0938C2B0C175}" name="2049"/>
    <tableColumn id="47" xr3:uid="{645DFDE3-205B-45BC-AC4A-49E3997523F1}" name="2050"/>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C025578-3518-4C7E-8CEB-94369790D60E}" name="NT_cap" displayName="NT_cap" ref="A140:AU148" totalsRowShown="0">
  <tableColumns count="47">
    <tableColumn id="1" xr3:uid="{CAE83567-A043-422A-9F96-01FF4608DBE7}" name="_"/>
    <tableColumn id="2" xr3:uid="{3865DFD2-B34D-4FDF-BB3D-7DDFF30CAE52}" name="2005"/>
    <tableColumn id="3" xr3:uid="{C7F1F7FF-3FD1-45DD-8B95-AB0D92A95F76}" name="2006"/>
    <tableColumn id="4" xr3:uid="{6A3CDF02-DF91-4C37-BBAA-D04E6090E480}" name="2007"/>
    <tableColumn id="5" xr3:uid="{F5B576A5-F80A-41D5-B4A0-49832F00C61E}" name="2008"/>
    <tableColumn id="6" xr3:uid="{25390D3C-B3A7-415F-9F17-F991ACA2E72D}" name="2009"/>
    <tableColumn id="7" xr3:uid="{98BB01B3-07BB-4DC2-B705-F6036716B718}" name="2010"/>
    <tableColumn id="8" xr3:uid="{2C45739B-89A2-4DD6-945E-340DEF899663}" name="2011"/>
    <tableColumn id="9" xr3:uid="{7C74C5E0-4A65-4B82-B29C-2B280D44604B}" name="2012"/>
    <tableColumn id="10" xr3:uid="{1897E3FC-F036-489F-B319-5351CC71B56E}" name="2013"/>
    <tableColumn id="11" xr3:uid="{5F25D6CA-63D7-4C29-9535-221BCF13733B}" name="2014"/>
    <tableColumn id="12" xr3:uid="{CC1DF4EB-2AF3-456F-81D2-9897E5D4439F}" name="2015"/>
    <tableColumn id="13" xr3:uid="{4CD9616F-31E6-4CCE-8C4E-67F87989F09E}" name="2016"/>
    <tableColumn id="14" xr3:uid="{DB6B7188-E7A4-4013-9A92-644AC0A25A7A}" name="2017"/>
    <tableColumn id="15" xr3:uid="{5C2337D0-DCB6-4233-8885-2037D0D35084}" name="2018"/>
    <tableColumn id="16" xr3:uid="{69514DF8-AEEF-4FB9-8B01-21C78A8189F2}" name="2019"/>
    <tableColumn id="17" xr3:uid="{84826E37-D522-4389-8B35-16B8BD9A7F9F}" name="2020"/>
    <tableColumn id="18" xr3:uid="{412128F5-C46B-4598-ADA0-E12D310892F7}" name="2021"/>
    <tableColumn id="19" xr3:uid="{89F118C1-A008-4379-9EDA-6E71A1E01C45}" name="2022"/>
    <tableColumn id="20" xr3:uid="{9E0E4904-C121-44A2-9988-7B7CDE563CEC}" name="2023"/>
    <tableColumn id="21" xr3:uid="{C6A8504A-2F52-4244-9E34-AF8784D8F3D2}" name="2024"/>
    <tableColumn id="22" xr3:uid="{DFBCC5F2-1A8A-44F9-A29D-DEC1F85AE92B}" name="2025"/>
    <tableColumn id="23" xr3:uid="{005AFDA8-5147-4553-9C52-4A66E291FB86}" name="2026"/>
    <tableColumn id="24" xr3:uid="{6CAA94FE-5843-408A-BF37-B9774A02C97B}" name="2027"/>
    <tableColumn id="25" xr3:uid="{26CAB4E3-D08D-4B72-B381-7EFE094307B0}" name="2028"/>
    <tableColumn id="26" xr3:uid="{ECD6FA46-20C7-4C46-A5F4-20FBC7C4E9B6}" name="2029"/>
    <tableColumn id="27" xr3:uid="{1F92B9C5-0631-4968-A0D9-C981A8454019}" name="2030"/>
    <tableColumn id="28" xr3:uid="{45063517-9979-446F-A7EC-9BC2DD4134CB}" name="2031"/>
    <tableColumn id="29" xr3:uid="{55D697C8-E0B4-4200-B4EB-7F49660F8DFF}" name="2032"/>
    <tableColumn id="30" xr3:uid="{6DDC18F0-5D95-4329-A202-290E0D8072EC}" name="2033"/>
    <tableColumn id="31" xr3:uid="{9CBE3A78-DD42-4723-A275-1C2C076F1110}" name="2034"/>
    <tableColumn id="32" xr3:uid="{96E80202-994F-4438-973F-60E2AE211028}" name="2035"/>
    <tableColumn id="33" xr3:uid="{4FB358A8-1244-45CB-A219-7275F80DAA6B}" name="2036"/>
    <tableColumn id="34" xr3:uid="{BF732CED-EB49-425D-8283-91B4E4E52DC6}" name="2037"/>
    <tableColumn id="35" xr3:uid="{078A2DF7-416D-4E4B-8A14-F9CEAC2D695A}" name="2038"/>
    <tableColumn id="36" xr3:uid="{9571620B-AACF-4084-B1EB-3DA3148E7750}" name="2039"/>
    <tableColumn id="37" xr3:uid="{070F5BF6-55EF-4E8F-9E9F-DFFCEA54AA8D}" name="2040"/>
    <tableColumn id="38" xr3:uid="{A3AFBF00-6E22-408F-AEA1-9E4B7BDABEF2}" name="2041"/>
    <tableColumn id="39" xr3:uid="{CB8D4665-7E17-4C95-9C60-C608FE3F321C}" name="2042"/>
    <tableColumn id="40" xr3:uid="{714D1E11-D6E8-4757-B783-1300ACE0CAA0}" name="2043"/>
    <tableColumn id="41" xr3:uid="{0F509B6E-7019-4CE7-A6DA-D5BB5DF9A543}" name="2044"/>
    <tableColumn id="42" xr3:uid="{48235724-19EF-49A0-9E22-F92F18A0E1AA}" name="2045"/>
    <tableColumn id="43" xr3:uid="{91E5EF9D-B8EF-463C-8FBA-1579EA9D3A62}" name="2046"/>
    <tableColumn id="44" xr3:uid="{7C083552-6A85-4C41-A7E5-CCA9785624F9}" name="2047"/>
    <tableColumn id="45" xr3:uid="{CC4BB7BE-54B2-4034-B95A-DE8604AC1860}" name="2048"/>
    <tableColumn id="46" xr3:uid="{08510CD1-B323-4E7B-AE1A-954CDF4D5CF6}" name="2049"/>
    <tableColumn id="47" xr3:uid="{039C5851-BFDD-421E-9771-292634FF19B7}" name="2050"/>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5E5F3AD-0FF4-4EB2-AB82-DE9F3A85D934}" name="NU_cap" displayName="NU_cap" ref="A151:AU159" totalsRowShown="0">
  <tableColumns count="47">
    <tableColumn id="1" xr3:uid="{D81F5961-7A16-4667-86BA-7C308D798D69}" name="_"/>
    <tableColumn id="2" xr3:uid="{1378D366-0F30-4C51-954E-6B37BFE903E2}" name="2005"/>
    <tableColumn id="3" xr3:uid="{779CD637-CC06-409D-909B-2BE27199B6D6}" name="2006"/>
    <tableColumn id="4" xr3:uid="{91102C6D-6AFA-4C81-865B-0369835FFF77}" name="2007"/>
    <tableColumn id="5" xr3:uid="{129429CB-646F-4659-BC11-6AE10EEAD4DA}" name="2008"/>
    <tableColumn id="6" xr3:uid="{97D131B2-7B7A-49C0-9128-527D028CBBB4}" name="2009"/>
    <tableColumn id="7" xr3:uid="{EDCDB826-2F71-4E06-B05E-01FE20981C9A}" name="2010"/>
    <tableColumn id="8" xr3:uid="{2CA0D2E4-F3AB-4EA2-B3AE-CAEF54D2A29E}" name="2011"/>
    <tableColumn id="9" xr3:uid="{F492E42D-66A5-4404-A1C8-74D885C43C96}" name="2012"/>
    <tableColumn id="10" xr3:uid="{6DD54620-3981-48DA-9CC9-8C63CEFE02DE}" name="2013"/>
    <tableColumn id="11" xr3:uid="{65C5D1D7-E44D-472C-BACC-422F5BC2A0E5}" name="2014"/>
    <tableColumn id="12" xr3:uid="{9A7250FB-14FE-42F0-87E9-87E22D1C255D}" name="2015"/>
    <tableColumn id="13" xr3:uid="{62938A69-BDE5-4204-B30A-E7D66346682F}" name="2016"/>
    <tableColumn id="14" xr3:uid="{057D4F55-A38E-4471-AA86-606C90322B0B}" name="2017"/>
    <tableColumn id="15" xr3:uid="{220AB2E3-A760-4913-9122-0C284BFD7729}" name="2018"/>
    <tableColumn id="16" xr3:uid="{9EF84857-1990-4255-B8B2-1003286E1EBB}" name="2019"/>
    <tableColumn id="17" xr3:uid="{413258B1-86D5-4733-906B-819017AD965E}" name="2020"/>
    <tableColumn id="18" xr3:uid="{A54C3AAA-CFE7-4B79-8068-FDB84612419B}" name="2021"/>
    <tableColumn id="19" xr3:uid="{80E2A462-CD59-4F47-824F-239F8F938F16}" name="2022"/>
    <tableColumn id="20" xr3:uid="{BC2F0589-0B2D-4767-A940-308A8B0DF720}" name="2023"/>
    <tableColumn id="21" xr3:uid="{1EA09394-F188-4520-8CE3-9C1A07905B27}" name="2024"/>
    <tableColumn id="22" xr3:uid="{445E48EA-9883-4553-84DF-BC94DEEA1354}" name="2025"/>
    <tableColumn id="23" xr3:uid="{F81E41E5-2067-4C89-AD41-F916F4BFD015}" name="2026"/>
    <tableColumn id="24" xr3:uid="{897E721D-4A9F-4C60-AF42-BEFB5FC1B853}" name="2027"/>
    <tableColumn id="25" xr3:uid="{930055A4-37BB-4987-A601-B93F002F37E4}" name="2028"/>
    <tableColumn id="26" xr3:uid="{AC70681F-EA12-4923-9F6D-39C28F5DEA8B}" name="2029"/>
    <tableColumn id="27" xr3:uid="{A07F042C-5307-4568-B2AE-985577135259}" name="2030"/>
    <tableColumn id="28" xr3:uid="{D5D2BDAD-9697-43E7-884F-DB61855A46B7}" name="2031"/>
    <tableColumn id="29" xr3:uid="{F4D77CDF-7766-4A96-A9DA-0CA980D559C7}" name="2032"/>
    <tableColumn id="30" xr3:uid="{899D42BF-7C5C-4817-A83B-9737B582E668}" name="2033"/>
    <tableColumn id="31" xr3:uid="{8328445B-A798-4713-9AC3-868715238E2E}" name="2034"/>
    <tableColumn id="32" xr3:uid="{227CBDD7-C7B8-42A2-9E4A-59E8EBBEEAE0}" name="2035"/>
    <tableColumn id="33" xr3:uid="{F13E5B4D-AEA0-4D08-8D8C-950834D24013}" name="2036"/>
    <tableColumn id="34" xr3:uid="{42E66A4D-C7CE-4A76-8F18-FACE325E7322}" name="2037"/>
    <tableColumn id="35" xr3:uid="{ABD53446-270F-43AB-AD49-FF88325A569A}" name="2038"/>
    <tableColumn id="36" xr3:uid="{1554E276-45B4-465C-9E00-26FD93B98FF1}" name="2039"/>
    <tableColumn id="37" xr3:uid="{102C01A3-4D50-4712-B0A4-43E5F7809CF3}" name="2040"/>
    <tableColumn id="38" xr3:uid="{27331DD6-DB93-440A-912F-C2F3B5A6FD14}" name="2041"/>
    <tableColumn id="39" xr3:uid="{FC671D0F-4E0D-47A6-93DB-F299E36392CF}" name="2042"/>
    <tableColumn id="40" xr3:uid="{59C88245-877D-4C28-882B-E0DEC9DD6F18}" name="2043"/>
    <tableColumn id="41" xr3:uid="{7B7238FD-5FAE-49C4-BC69-99B8F5658605}" name="2044"/>
    <tableColumn id="42" xr3:uid="{C0207EED-B8BD-43F3-AFC3-C442E7BF84E8}" name="2045"/>
    <tableColumn id="43" xr3:uid="{622D6780-9961-403D-B8FC-B9414964B9A4}" name="2046"/>
    <tableColumn id="44" xr3:uid="{9BE3FD98-B95A-4ECD-8A29-95CA3EAE1AF5}" name="2047"/>
    <tableColumn id="45" xr3:uid="{4BA7D584-BFCE-4465-BE45-66FE37597DF2}" name="2048"/>
    <tableColumn id="46" xr3:uid="{EED6B7DB-CF15-4BDD-8EF8-A141562E33D1}" name="2049"/>
    <tableColumn id="47" xr3:uid="{B08CAED6-B144-49B7-BD04-ECA388749078}" name="2050"/>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ABD722C-1A91-4A04-8541-D077E36A3E1D}" name="CAN_cf" displayName="CAN_cf" ref="A8:AU17" totalsRowCount="1" headerRowDxfId="691">
  <tableColumns count="47">
    <tableColumn id="1" xr3:uid="{3827C807-90A7-4DE0-A68F-54AB41E7A6B7}" name="_" totalsRowDxfId="690"/>
    <tableColumn id="2" xr3:uid="{22BF9FA7-30FF-4ADA-87D8-C6A7A55F1B3C}" name="2005" dataDxfId="689" totalsRowDxfId="688">
      <calculatedColumnFormula>IFERROR((CAN_gen[[#This Row],[2005]]*1000)/(CAN_cap[[#This Row],[2005]]*8760), 0)</calculatedColumnFormula>
    </tableColumn>
    <tableColumn id="3" xr3:uid="{0ED8C1B6-6655-4255-AB66-D9D682BD8828}" name="2006" dataDxfId="687" totalsRowDxfId="686">
      <calculatedColumnFormula>IFERROR((CAN_gen[[#This Row],[2006]]*1000)/(CAN_cap[[#This Row],[2006]]*8760), 0)</calculatedColumnFormula>
    </tableColumn>
    <tableColumn id="4" xr3:uid="{B991713F-B18C-4AE0-A505-FD0359D58015}" name="2007" dataDxfId="685" totalsRowDxfId="684">
      <calculatedColumnFormula>IFERROR((CAN_gen[[#This Row],[2007]]*1000)/(CAN_cap[[#This Row],[2007]]*8760), 0)</calculatedColumnFormula>
    </tableColumn>
    <tableColumn id="5" xr3:uid="{76A71810-88E2-4270-A2B4-6537D86ED063}" name="2008" dataDxfId="683" totalsRowDxfId="682">
      <calculatedColumnFormula>IFERROR((CAN_gen[[#This Row],[2008]]*1000)/(CAN_cap[[#This Row],[2008]]*8760), 0)</calculatedColumnFormula>
    </tableColumn>
    <tableColumn id="6" xr3:uid="{5D5FCEB8-74DC-40A7-846B-81ACCF25307C}" name="2009" dataDxfId="681" totalsRowDxfId="680">
      <calculatedColumnFormula>IFERROR((CAN_gen[[#This Row],[2009]]*1000)/(CAN_cap[[#This Row],[2009]]*8760), 0)</calculatedColumnFormula>
    </tableColumn>
    <tableColumn id="7" xr3:uid="{AC5CD0EB-633F-4EA4-A38D-318B5E7F6412}" name="2010" dataDxfId="679" totalsRowDxfId="678">
      <calculatedColumnFormula>IFERROR((CAN_gen[[#This Row],[2010]]*1000)/(CAN_cap[[#This Row],[2010]]*8760), 0)</calculatedColumnFormula>
    </tableColumn>
    <tableColumn id="8" xr3:uid="{E894D62D-DD9C-42A9-BEA2-C3A7A1A8C390}" name="2011" dataDxfId="677" totalsRowDxfId="676">
      <calculatedColumnFormula>IFERROR((CAN_gen[[#This Row],[2011]]*1000)/(CAN_cap[[#This Row],[2011]]*8760), 0)</calculatedColumnFormula>
    </tableColumn>
    <tableColumn id="9" xr3:uid="{4214D7C0-C3CB-4D55-A5FB-342993BDB487}" name="2012" dataDxfId="675" totalsRowDxfId="674">
      <calculatedColumnFormula>IFERROR((CAN_gen[[#This Row],[2012]]*1000)/(CAN_cap[[#This Row],[2012]]*8760), 0)</calculatedColumnFormula>
    </tableColumn>
    <tableColumn id="10" xr3:uid="{2187AAB5-0B09-4831-920A-C7F6E6D5624A}" name="2013" dataDxfId="673" totalsRowDxfId="672">
      <calculatedColumnFormula>IFERROR((CAN_gen[[#This Row],[2013]]*1000)/(CAN_cap[[#This Row],[2013]]*8760), 0)</calculatedColumnFormula>
    </tableColumn>
    <tableColumn id="11" xr3:uid="{F4F29743-13FD-43F1-AE3F-6E7DD37DCCFA}" name="2014" dataDxfId="671" totalsRowDxfId="670" dataCellStyle="Normal 3">
      <calculatedColumnFormula>IFERROR((CAN_gen[[#This Row],[2014]]*1000)/(CAN_cap[[#This Row],[2014]]*8760), 0)</calculatedColumnFormula>
    </tableColumn>
    <tableColumn id="12" xr3:uid="{28E92A31-24F7-4CC4-8A80-21266EA88A34}" name="2015" totalsRowFunction="custom" dataDxfId="669" totalsRowDxfId="668" dataCellStyle="Normal 3">
      <calculatedColumnFormula>IFERROR((CAN_gen[[#This Row],[2015]]*1000)/(CAN_cap[[#This Row],[2015]]*8760), 0)</calculatedColumnFormula>
      <totalsRowFormula>SUBTOTAL(109,CAN_cf[2015])</totalsRowFormula>
    </tableColumn>
    <tableColumn id="13" xr3:uid="{B1DCEB82-5D5C-4E19-BB92-0957DDBF9ED2}" name="2016" totalsRowFunction="custom" dataDxfId="667" totalsRowDxfId="666" dataCellStyle="Normal 3">
      <calculatedColumnFormula>IFERROR((CAN_gen[[#This Row],[2016]]*1000)/(CAN_cap[[#This Row],[2016]]*8760), 0)</calculatedColumnFormula>
      <totalsRowFormula>SUBTOTAL(109,CAN_cf[2016])</totalsRowFormula>
    </tableColumn>
    <tableColumn id="14" xr3:uid="{77D23859-3D58-4B9E-856E-3622EF87AF1D}" name="2017" totalsRowFunction="custom" dataDxfId="665" totalsRowDxfId="664" dataCellStyle="Normal 3">
      <calculatedColumnFormula>IFERROR((CAN_gen[[#This Row],[2017]]*1000)/(CAN_cap[[#This Row],[2017]]*8760), 0)</calculatedColumnFormula>
      <totalsRowFormula>SUBTOTAL(109,CAN_cf[2017])</totalsRowFormula>
    </tableColumn>
    <tableColumn id="15" xr3:uid="{74305682-FB53-479E-AE2B-88B1E69C7FB9}" name="2018" totalsRowFunction="custom" dataDxfId="663" totalsRowDxfId="662" dataCellStyle="Normal 3">
      <calculatedColumnFormula>IFERROR((CAN_gen[[#This Row],[2018]]*1000)/(CAN_cap[[#This Row],[2018]]*8760), 0)</calculatedColumnFormula>
      <totalsRowFormula>SUBTOTAL(109,CAN_cf[2018])</totalsRowFormula>
    </tableColumn>
    <tableColumn id="16" xr3:uid="{243FA9D9-6638-4347-8211-0940F6297287}" name="2019" totalsRowFunction="sum" dataDxfId="661" totalsRowDxfId="660" dataCellStyle="Normal 3">
      <calculatedColumnFormula>IFERROR((CAN_gen[[#This Row],[2019]]*1000)/(CAN_cap[[#This Row],[2019]]*8760), 0)</calculatedColumnFormula>
    </tableColumn>
    <tableColumn id="17" xr3:uid="{7D4954C1-2FA2-41E4-A61C-F071C7D4BE61}" name="2020" dataDxfId="659" totalsRowDxfId="658">
      <calculatedColumnFormula>IFERROR((CAN_gen[[#This Row],[2020]]*1000)/(CAN_cap[[#This Row],[2020]]*8760), 0)</calculatedColumnFormula>
    </tableColumn>
    <tableColumn id="18" xr3:uid="{2AD35C70-4081-4A21-9760-E1B5DBEAB18E}" name="2021" dataDxfId="657" totalsRowDxfId="656">
      <calculatedColumnFormula>IFERROR((CAN_gen[[#This Row],[2021]]*1000)/(CAN_cap[[#This Row],[2021]]*8760), 0)</calculatedColumnFormula>
    </tableColumn>
    <tableColumn id="19" xr3:uid="{B5B65424-2EFC-4DC2-94A4-6FC9B503CC42}" name="2022" dataDxfId="655" totalsRowDxfId="654">
      <calculatedColumnFormula>IFERROR((CAN_gen[[#This Row],[2022]]*1000)/(CAN_cap[[#This Row],[2022]]*8760), 0)</calculatedColumnFormula>
    </tableColumn>
    <tableColumn id="20" xr3:uid="{8E069505-A275-4989-B7F8-DFE1A8C31DAD}" name="2023" dataDxfId="653" totalsRowDxfId="652">
      <calculatedColumnFormula>IFERROR((CAN_gen[[#This Row],[2023]]*1000)/(CAN_cap[[#This Row],[2023]]*8760), 0)</calculatedColumnFormula>
    </tableColumn>
    <tableColumn id="21" xr3:uid="{877452DC-45BE-4BBE-9BFE-02DE4E987011}" name="2024" dataDxfId="651" totalsRowDxfId="650">
      <calculatedColumnFormula>IFERROR((CAN_gen[[#This Row],[2024]]*1000)/(CAN_cap[[#This Row],[2024]]*8760), 0)</calculatedColumnFormula>
    </tableColumn>
    <tableColumn id="22" xr3:uid="{EB53CF12-EE5F-48BA-9E69-35822AA7F529}" name="2025" dataDxfId="649" totalsRowDxfId="648">
      <calculatedColumnFormula>IFERROR((CAN_gen[[#This Row],[2025]]*1000)/(CAN_cap[[#This Row],[2025]]*8760), 0)</calculatedColumnFormula>
    </tableColumn>
    <tableColumn id="23" xr3:uid="{F2DDAEED-DD90-4C18-924B-771FACC1BB8E}" name="2026" dataDxfId="647" totalsRowDxfId="646">
      <calculatedColumnFormula>IFERROR((CAN_gen[[#This Row],[2026]]*1000)/(CAN_cap[[#This Row],[2026]]*8760), 0)</calculatedColumnFormula>
    </tableColumn>
    <tableColumn id="24" xr3:uid="{D8F0A5FA-E0AC-4249-B412-872B92FD5661}" name="2027" dataDxfId="645" totalsRowDxfId="644">
      <calculatedColumnFormula>IFERROR((CAN_gen[[#This Row],[2027]]*1000)/(CAN_cap[[#This Row],[2027]]*8760), 0)</calculatedColumnFormula>
    </tableColumn>
    <tableColumn id="25" xr3:uid="{85794171-9EF6-4505-9AB9-C71499B032AC}" name="2028" dataDxfId="643" totalsRowDxfId="642">
      <calculatedColumnFormula>IFERROR((CAN_gen[[#This Row],[2028]]*1000)/(CAN_cap[[#This Row],[2028]]*8760), 0)</calculatedColumnFormula>
    </tableColumn>
    <tableColumn id="26" xr3:uid="{9FC9F560-75E9-44DA-96DC-A6FAE51CDEA6}" name="2029" dataDxfId="641" totalsRowDxfId="640">
      <calculatedColumnFormula>IFERROR((CAN_gen[[#This Row],[2029]]*1000)/(CAN_cap[[#This Row],[2029]]*8760), 0)</calculatedColumnFormula>
    </tableColumn>
    <tableColumn id="27" xr3:uid="{817C624E-76A7-46F7-A266-76F874CD12E4}" name="2030" dataDxfId="639" totalsRowDxfId="638">
      <calculatedColumnFormula>IFERROR((CAN_gen[[#This Row],[2030]]*1000)/(CAN_cap[[#This Row],[2030]]*8760), 0)</calculatedColumnFormula>
    </tableColumn>
    <tableColumn id="28" xr3:uid="{237D8A3E-77B1-403B-8E7B-3B37FB3C1033}" name="2031" dataDxfId="637" totalsRowDxfId="636">
      <calculatedColumnFormula>IFERROR((CAN_gen[[#This Row],[2031]]*1000)/(CAN_cap[[#This Row],[2031]]*8760), 0)</calculatedColumnFormula>
    </tableColumn>
    <tableColumn id="29" xr3:uid="{94BB754E-5C03-4025-ADE2-320CBA189EB9}" name="2032" dataDxfId="635" totalsRowDxfId="634">
      <calculatedColumnFormula>IFERROR((CAN_gen[[#This Row],[2032]]*1000)/(CAN_cap[[#This Row],[2032]]*8760), 0)</calculatedColumnFormula>
    </tableColumn>
    <tableColumn id="30" xr3:uid="{C426EC01-0CBA-4429-A9DD-D9AAE2261A43}" name="2033" dataDxfId="633" totalsRowDxfId="632">
      <calculatedColumnFormula>IFERROR((CAN_gen[[#This Row],[2033]]*1000)/(CAN_cap[[#This Row],[2033]]*8760), 0)</calculatedColumnFormula>
    </tableColumn>
    <tableColumn id="31" xr3:uid="{2B85C3DE-9974-4D3A-8673-DEE1C5D1D08C}" name="2034" dataDxfId="631" totalsRowDxfId="630">
      <calculatedColumnFormula>IFERROR((CAN_gen[[#This Row],[2034]]*1000)/(CAN_cap[[#This Row],[2034]]*8760), 0)</calculatedColumnFormula>
    </tableColumn>
    <tableColumn id="32" xr3:uid="{10BD17E2-C986-4161-A968-90AC4BDEF107}" name="2035" dataDxfId="629" totalsRowDxfId="628">
      <calculatedColumnFormula>IFERROR((CAN_gen[[#This Row],[2035]]*1000)/(CAN_cap[[#This Row],[2035]]*8760), 0)</calculatedColumnFormula>
    </tableColumn>
    <tableColumn id="33" xr3:uid="{6ADD85C0-55A3-4E93-A75C-9078931315EB}" name="2036" dataDxfId="627" totalsRowDxfId="626">
      <calculatedColumnFormula>IFERROR((CAN_gen[[#This Row],[2036]]*1000)/(CAN_cap[[#This Row],[2036]]*8760), 0)</calculatedColumnFormula>
    </tableColumn>
    <tableColumn id="34" xr3:uid="{3CC01700-B864-4D05-988B-7F564BA850E1}" name="2037" dataDxfId="625" totalsRowDxfId="624">
      <calculatedColumnFormula>IFERROR((CAN_gen[[#This Row],[2037]]*1000)/(CAN_cap[[#This Row],[2037]]*8760), 0)</calculatedColumnFormula>
    </tableColumn>
    <tableColumn id="35" xr3:uid="{7C92AFFB-695F-4920-895D-BEC0E07411D9}" name="2038" dataDxfId="623" totalsRowDxfId="622">
      <calculatedColumnFormula>IFERROR((CAN_gen[[#This Row],[2038]]*1000)/(CAN_cap[[#This Row],[2038]]*8760), 0)</calculatedColumnFormula>
    </tableColumn>
    <tableColumn id="36" xr3:uid="{AE2876F9-256B-4660-AEC0-D683E7F329DE}" name="2039" dataDxfId="621" totalsRowDxfId="620">
      <calculatedColumnFormula>IFERROR((CAN_gen[[#This Row],[2039]]*1000)/(CAN_cap[[#This Row],[2039]]*8760), 0)</calculatedColumnFormula>
    </tableColumn>
    <tableColumn id="37" xr3:uid="{3CF55AB6-EA1B-4B18-82CE-0084658C5858}" name="2040" dataDxfId="619" totalsRowDxfId="618">
      <calculatedColumnFormula>IFERROR((CAN_gen[[#This Row],[2040]]*1000)/(CAN_cap[[#This Row],[2040]]*8760), 0)</calculatedColumnFormula>
    </tableColumn>
    <tableColumn id="38" xr3:uid="{C3E3FD37-8F39-4F0B-81A9-E33FEF7311E5}" name="2041" dataDxfId="617" totalsRowDxfId="616">
      <calculatedColumnFormula>IFERROR((CAN_gen[[#This Row],[2041]]*1000)/(CAN_cap[[#This Row],[2041]]*8760), 0)</calculatedColumnFormula>
    </tableColumn>
    <tableColumn id="39" xr3:uid="{15B3342B-57CC-47B4-A2CA-E35BE235D0D9}" name="2042" dataDxfId="615" totalsRowDxfId="614">
      <calculatedColumnFormula>IFERROR((CAN_gen[[#This Row],[2042]]*1000)/(CAN_cap[[#This Row],[2042]]*8760), 0)</calculatedColumnFormula>
    </tableColumn>
    <tableColumn id="40" xr3:uid="{5585B067-3F93-4D43-8D2B-50154649C20F}" name="2043" dataDxfId="613" totalsRowDxfId="612">
      <calculatedColumnFormula>IFERROR((CAN_gen[[#This Row],[2043]]*1000)/(CAN_cap[[#This Row],[2043]]*8760), 0)</calculatedColumnFormula>
    </tableColumn>
    <tableColumn id="41" xr3:uid="{529A0AE0-9F6E-4B08-83D5-8338282E3A1F}" name="2044" dataDxfId="611" totalsRowDxfId="610">
      <calculatedColumnFormula>IFERROR((CAN_gen[[#This Row],[2044]]*1000)/(CAN_cap[[#This Row],[2044]]*8760), 0)</calculatedColumnFormula>
    </tableColumn>
    <tableColumn id="42" xr3:uid="{10ACD63C-12B8-434E-8C76-74F6C3866630}" name="2045" dataDxfId="609" totalsRowDxfId="608">
      <calculatedColumnFormula>IFERROR((CAN_gen[[#This Row],[2045]]*1000)/(CAN_cap[[#This Row],[2045]]*8760), 0)</calculatedColumnFormula>
    </tableColumn>
    <tableColumn id="43" xr3:uid="{6E384F5C-9E09-4A50-B0C9-0B344260CE09}" name="2046" dataDxfId="607" totalsRowDxfId="606">
      <calculatedColumnFormula>IFERROR((CAN_gen[[#This Row],[2046]]*1000)/(CAN_cap[[#This Row],[2046]]*8760), 0)</calculatedColumnFormula>
    </tableColumn>
    <tableColumn id="44" xr3:uid="{8E9CBD0A-A93A-41E1-96A0-E7CD026E417A}" name="2047" dataDxfId="605" totalsRowDxfId="604">
      <calculatedColumnFormula>IFERROR((CAN_gen[[#This Row],[2047]]*1000)/(CAN_cap[[#This Row],[2047]]*8760), 0)</calculatedColumnFormula>
    </tableColumn>
    <tableColumn id="45" xr3:uid="{905596B4-735C-488A-AECF-69E745AE987F}" name="2048" dataDxfId="603" totalsRowDxfId="602">
      <calculatedColumnFormula>IFERROR((CAN_gen[[#This Row],[2048]]*1000)/(CAN_cap[[#This Row],[2048]]*8760), 0)</calculatedColumnFormula>
    </tableColumn>
    <tableColumn id="46" xr3:uid="{AC75A7B9-00D5-4A78-8ECE-6839F31CCBF6}" name="2049" dataDxfId="601" totalsRowDxfId="600">
      <calculatedColumnFormula>IFERROR((CAN_gen[[#This Row],[2049]]*1000)/(CAN_cap[[#This Row],[2049]]*8760), 0)</calculatedColumnFormula>
    </tableColumn>
    <tableColumn id="47" xr3:uid="{515AC266-2261-4D78-A050-45A849EBC6B0}" name="2050" dataDxfId="599" totalsRowDxfId="598">
      <calculatedColumnFormula>IFERROR((CAN_gen[[#This Row],[2050]]*1000)/(CAN_cap[[#This Row],[2050]]*8760), 0)</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AE64B7B-CA9E-427B-A14F-2F516C8F745F}" name="PE_gen" displayName="PE_gen" ref="A30:AU38" totalsRowShown="0">
  <tableColumns count="47">
    <tableColumn id="1" xr3:uid="{3F789919-097E-44C6-9E04-B177C3057F2F}" name="_"/>
    <tableColumn id="2" xr3:uid="{ACED0B41-2CEF-4E16-A041-797A05F2172E}" name="2005"/>
    <tableColumn id="3" xr3:uid="{BB379ECE-8937-4D43-B036-77C78726F613}" name="2006"/>
    <tableColumn id="4" xr3:uid="{B1E3658D-CF29-4072-8AFF-91EC9773F09C}" name="2007"/>
    <tableColumn id="5" xr3:uid="{A747C05C-A7E8-4ADB-AB34-04A8C3F8D343}" name="2008"/>
    <tableColumn id="6" xr3:uid="{49056249-1375-466E-8F9B-EC972374896B}" name="2009"/>
    <tableColumn id="7" xr3:uid="{B9F70874-963C-428A-B93E-90C08E1E57F3}" name="2010"/>
    <tableColumn id="8" xr3:uid="{2A1144B4-44D0-42DB-BF72-F3D072D43279}" name="2011"/>
    <tableColumn id="9" xr3:uid="{CF7C916B-3C80-440C-B785-8B22237DE2FF}" name="2012"/>
    <tableColumn id="10" xr3:uid="{85437F87-41DE-403E-9003-7C8D6C524852}" name="2013"/>
    <tableColumn id="11" xr3:uid="{52AE73D1-0135-4F68-AB28-33539F4A7AC4}" name="2014"/>
    <tableColumn id="12" xr3:uid="{B981FC9F-DC53-4437-85B0-F4FE55285ABC}" name="2015"/>
    <tableColumn id="13" xr3:uid="{01C1C260-9EFD-42A0-88F5-BF8942DB231C}" name="2016"/>
    <tableColumn id="14" xr3:uid="{5A973D30-9DCE-4780-80E2-19E5C94194C6}" name="2017"/>
    <tableColumn id="15" xr3:uid="{95FF63A0-222B-4FDC-BBD5-B665F519BC32}" name="2018"/>
    <tableColumn id="16" xr3:uid="{854163EA-5E50-40BC-96D8-A025D235C891}" name="2019"/>
    <tableColumn id="17" xr3:uid="{8184A110-B3C8-487F-92B1-1D585C0C3AD3}" name="2020"/>
    <tableColumn id="18" xr3:uid="{612C990E-2823-4241-A613-FFB7724149FD}" name="2021"/>
    <tableColumn id="19" xr3:uid="{211FED56-2574-4E75-8F1A-234AEF4DEE43}" name="2022"/>
    <tableColumn id="20" xr3:uid="{83609309-EF0B-42D3-9AA7-6542C1533BB4}" name="2023"/>
    <tableColumn id="21" xr3:uid="{A6BD40F7-0A6A-432C-B5D3-5C48ED6FAC5C}" name="2024"/>
    <tableColumn id="22" xr3:uid="{B7185408-C21C-4F8B-84A6-27B6C954E400}" name="2025"/>
    <tableColumn id="23" xr3:uid="{4C36AC4C-FB3B-4B36-A833-D21F575F6D3F}" name="2026"/>
    <tableColumn id="24" xr3:uid="{760D84EC-7B76-4147-8545-9CDC7B034146}" name="2027"/>
    <tableColumn id="25" xr3:uid="{51C256EA-0EA6-4422-B11A-2425531B9F56}" name="2028"/>
    <tableColumn id="26" xr3:uid="{D06A22C5-7483-48E8-88A7-28A7A4DD61A6}" name="2029"/>
    <tableColumn id="27" xr3:uid="{4EDECCDA-4498-40CA-BD85-DD7872505A66}" name="2030"/>
    <tableColumn id="28" xr3:uid="{E5AFA959-432F-4E49-B6EA-B945B8CF0AD4}" name="2031"/>
    <tableColumn id="29" xr3:uid="{F2CC0BAE-0B38-4E3F-AA85-7AE0D7575296}" name="2032"/>
    <tableColumn id="30" xr3:uid="{9BE0D2B7-F84E-45E3-89D4-E52BC1FB3C15}" name="2033"/>
    <tableColumn id="31" xr3:uid="{3201E5DF-432C-45E5-9630-ECF86EA21129}" name="2034"/>
    <tableColumn id="32" xr3:uid="{15D2F5BB-77DF-4DE6-A5A7-B9B29B5D828F}" name="2035"/>
    <tableColumn id="33" xr3:uid="{58F18C1D-7178-49B3-92DC-6271744EE5DB}" name="2036"/>
    <tableColumn id="34" xr3:uid="{2F04D725-33FB-4615-AEEA-8C78CFF209CE}" name="2037"/>
    <tableColumn id="35" xr3:uid="{839EB44E-35D8-4C98-8A9E-0DEB98D7E379}" name="2038"/>
    <tableColumn id="36" xr3:uid="{09EEDD45-C5EB-4E79-8D1B-6A11CEC14F4F}" name="2039"/>
    <tableColumn id="37" xr3:uid="{B1B7DDD8-511A-41D2-88B0-D1289439F87E}" name="2040"/>
    <tableColumn id="38" xr3:uid="{5AEE09F6-248C-4450-B667-AF36B8EC96A5}" name="2041"/>
    <tableColumn id="39" xr3:uid="{9AB2F2AF-131B-4DC2-A4EC-507870329E42}" name="2042"/>
    <tableColumn id="40" xr3:uid="{D70ABF14-89FC-451C-8117-700FC2DAAC97}" name="2043"/>
    <tableColumn id="41" xr3:uid="{586B6485-AC6B-4225-B7B9-60719B79528C}" name="2044"/>
    <tableColumn id="42" xr3:uid="{84E5EFE5-078F-44DD-990C-D6037954BBA2}" name="2045"/>
    <tableColumn id="43" xr3:uid="{EF72FD1C-E7CB-4C95-9CCF-71F982DB6E56}" name="2046"/>
    <tableColumn id="44" xr3:uid="{F401AE4D-C7A5-4A9E-9E37-1BC4A2D20059}" name="2047"/>
    <tableColumn id="45" xr3:uid="{1DFF59CA-4634-42C7-A314-3DAE54343D67}" name="2048"/>
    <tableColumn id="46" xr3:uid="{760C08FB-A8B0-4E79-867B-BFA440E2ABDD}" name="2049"/>
    <tableColumn id="47" xr3:uid="{664BFE25-EB09-4A43-A0F0-3EA8D8B5CF35}" name="205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883F25C-D993-49C4-A8BA-45187BAD4415}" name="NL_cf" displayName="NL_cf" ref="A19:AU27" totalsRowShown="0">
  <tableColumns count="47">
    <tableColumn id="1" xr3:uid="{5E60D631-BBF0-4812-A7CF-CC8185434513}" name="_"/>
    <tableColumn id="2" xr3:uid="{A20147B8-F229-4E7A-8442-3D5CD588360F}" name="2005" dataDxfId="597" dataCellStyle="Normal 3">
      <calculatedColumnFormula>IFERROR((CAN_gen[[#This Row],[2005]]*1000)/(CAN_cap[[#This Row],[2005]]*8760), 0)</calculatedColumnFormula>
    </tableColumn>
    <tableColumn id="3" xr3:uid="{4DE43B12-5C6C-420E-8781-C3EE0B7F8213}" name="2006" dataDxfId="596" dataCellStyle="Normal 3">
      <calculatedColumnFormula>IFERROR((CAN_gen[[#This Row],[2006]]*1000)/(CAN_cap[[#This Row],[2006]]*8760), 0)</calculatedColumnFormula>
    </tableColumn>
    <tableColumn id="4" xr3:uid="{A4939DEA-3601-4B52-8C9C-85C83BE25D21}" name="2007" dataDxfId="595" dataCellStyle="Normal 3">
      <calculatedColumnFormula>IFERROR((CAN_gen[[#This Row],[2007]]*1000)/(CAN_cap[[#This Row],[2007]]*8760), 0)</calculatedColumnFormula>
    </tableColumn>
    <tableColumn id="5" xr3:uid="{52D33A23-78E2-4119-855A-49E36D2C7904}" name="2008" dataDxfId="594" dataCellStyle="Normal 3">
      <calculatedColumnFormula>IFERROR((CAN_gen[[#This Row],[2008]]*1000)/(CAN_cap[[#This Row],[2008]]*8760), 0)</calculatedColumnFormula>
    </tableColumn>
    <tableColumn id="6" xr3:uid="{8D1BDFC9-0D23-4777-ABE4-129D920C63CC}" name="2009" dataDxfId="593" dataCellStyle="Normal 3">
      <calculatedColumnFormula>IFERROR((CAN_gen[[#This Row],[2009]]*1000)/(CAN_cap[[#This Row],[2009]]*8760), 0)</calculatedColumnFormula>
    </tableColumn>
    <tableColumn id="7" xr3:uid="{E037ADEE-30C9-4EC7-8792-657CDA4A94A1}" name="2010" dataDxfId="592" dataCellStyle="Normal 3">
      <calculatedColumnFormula>IFERROR((CAN_gen[[#This Row],[2010]]*1000)/(CAN_cap[[#This Row],[2010]]*8760), 0)</calculatedColumnFormula>
    </tableColumn>
    <tableColumn id="8" xr3:uid="{203BFC92-2C58-4663-8FD6-E254ED8B9858}" name="2011" dataDxfId="591" dataCellStyle="Normal 3">
      <calculatedColumnFormula>IFERROR((CAN_gen[[#This Row],[2011]]*1000)/(CAN_cap[[#This Row],[2011]]*8760), 0)</calculatedColumnFormula>
    </tableColumn>
    <tableColumn id="9" xr3:uid="{4762344B-3970-44D3-8D25-85177786DA6F}" name="2012" dataDxfId="590" dataCellStyle="Normal 3">
      <calculatedColumnFormula>IFERROR((CAN_gen[[#This Row],[2012]]*1000)/(CAN_cap[[#This Row],[2012]]*8760), 0)</calculatedColumnFormula>
    </tableColumn>
    <tableColumn id="10" xr3:uid="{CAD163C9-5151-4B6E-9A4E-217ADEC3D0F5}" name="2013" dataDxfId="589" dataCellStyle="Normal 3">
      <calculatedColumnFormula>IFERROR((CAN_gen[[#This Row],[2013]]*1000)/(CAN_cap[[#This Row],[2013]]*8760), 0)</calculatedColumnFormula>
    </tableColumn>
    <tableColumn id="11" xr3:uid="{FBF2DBFA-42B2-4AC5-9D91-EA397DB5DDAF}" name="2014" dataDxfId="588" dataCellStyle="Normal 3">
      <calculatedColumnFormula>IFERROR((CAN_gen[[#This Row],[2014]]*1000)/(CAN_cap[[#This Row],[2014]]*8760), 0)</calculatedColumnFormula>
    </tableColumn>
    <tableColumn id="12" xr3:uid="{D7AC2C18-E341-42A7-A8D9-71DA2743C602}" name="2015" dataDxfId="587" dataCellStyle="Normal 3">
      <calculatedColumnFormula>IFERROR((CAN_gen[[#This Row],[2015]]*1000)/(CAN_cap[[#This Row],[2015]]*8760), 0)</calculatedColumnFormula>
    </tableColumn>
    <tableColumn id="13" xr3:uid="{304A092B-A209-414A-8406-F1E8AF8DE4B7}" name="2016" dataDxfId="586" dataCellStyle="Normal 3">
      <calculatedColumnFormula>IFERROR((CAN_gen[[#This Row],[2016]]*1000)/(CAN_cap[[#This Row],[2016]]*8760), 0)</calculatedColumnFormula>
    </tableColumn>
    <tableColumn id="14" xr3:uid="{6F0A051D-1D48-4920-A3F0-EE6B0681D900}" name="2017" dataDxfId="585" dataCellStyle="Normal 3">
      <calculatedColumnFormula>IFERROR((CAN_gen[[#This Row],[2017]]*1000)/(CAN_cap[[#This Row],[2017]]*8760), 0)</calculatedColumnFormula>
    </tableColumn>
    <tableColumn id="15" xr3:uid="{E928E5B6-770A-47AF-B8C9-A95480CC682D}" name="2018" dataDxfId="584" dataCellStyle="Normal 3">
      <calculatedColumnFormula>IFERROR((CAN_gen[[#This Row],[2018]]*1000)/(CAN_cap[[#This Row],[2018]]*8760), 0)</calculatedColumnFormula>
    </tableColumn>
    <tableColumn id="16" xr3:uid="{94701E89-8779-4CD5-B3FA-C453B9913DF4}" name="2019" dataDxfId="583" dataCellStyle="Normal 3">
      <calculatedColumnFormula>IFERROR((CAN_gen[[#This Row],[2019]]*1000)/(CAN_cap[[#This Row],[2019]]*8760), 0)</calculatedColumnFormula>
    </tableColumn>
    <tableColumn id="17" xr3:uid="{01CF8408-299B-4710-8A2A-83C929CF0AD0}" name="2020" dataDxfId="582" dataCellStyle="Normal 3">
      <calculatedColumnFormula>IFERROR((CAN_gen[[#This Row],[2020]]*1000)/(CAN_cap[[#This Row],[2020]]*8760), 0)</calculatedColumnFormula>
    </tableColumn>
    <tableColumn id="18" xr3:uid="{C7CDCD8D-6718-4A37-AAB1-5E21EF518CCF}" name="2021" dataDxfId="581" dataCellStyle="Normal 3">
      <calculatedColumnFormula>IFERROR((CAN_gen[[#This Row],[2021]]*1000)/(CAN_cap[[#This Row],[2021]]*8760), 0)</calculatedColumnFormula>
    </tableColumn>
    <tableColumn id="19" xr3:uid="{0B444F10-7763-40F3-B4FE-C0687FBE5FCF}" name="2022" dataDxfId="580" dataCellStyle="Normal 3">
      <calculatedColumnFormula>IFERROR((CAN_gen[[#This Row],[2022]]*1000)/(CAN_cap[[#This Row],[2022]]*8760), 0)</calculatedColumnFormula>
    </tableColumn>
    <tableColumn id="20" xr3:uid="{7A56A76F-0F8F-46D8-AE05-7ECB7BE9A657}" name="2023" dataDxfId="579" dataCellStyle="Normal 3">
      <calculatedColumnFormula>IFERROR((CAN_gen[[#This Row],[2023]]*1000)/(CAN_cap[[#This Row],[2023]]*8760), 0)</calculatedColumnFormula>
    </tableColumn>
    <tableColumn id="21" xr3:uid="{7D4A86A2-1B80-4422-A35B-6CCD9811C55E}" name="2024" dataDxfId="578" dataCellStyle="Normal 3">
      <calculatedColumnFormula>IFERROR((CAN_gen[[#This Row],[2024]]*1000)/(CAN_cap[[#This Row],[2024]]*8760), 0)</calculatedColumnFormula>
    </tableColumn>
    <tableColumn id="22" xr3:uid="{3B974D3B-5903-4761-B53C-E5345705E7D9}" name="2025" dataDxfId="577" dataCellStyle="Normal 3">
      <calculatedColumnFormula>IFERROR((CAN_gen[[#This Row],[2025]]*1000)/(CAN_cap[[#This Row],[2025]]*8760), 0)</calculatedColumnFormula>
    </tableColumn>
    <tableColumn id="23" xr3:uid="{6237FE61-828B-490B-957D-594DC58D8C50}" name="2026" dataDxfId="576" dataCellStyle="Normal 3">
      <calculatedColumnFormula>IFERROR((CAN_gen[[#This Row],[2026]]*1000)/(CAN_cap[[#This Row],[2026]]*8760), 0)</calculatedColumnFormula>
    </tableColumn>
    <tableColumn id="24" xr3:uid="{1CE4DA11-EAB5-4B98-ABCC-BFD96E190AE4}" name="2027" dataDxfId="575" dataCellStyle="Normal 3">
      <calculatedColumnFormula>IFERROR((CAN_gen[[#This Row],[2027]]*1000)/(CAN_cap[[#This Row],[2027]]*8760), 0)</calculatedColumnFormula>
    </tableColumn>
    <tableColumn id="25" xr3:uid="{34B696D0-D454-45A3-AB0F-BD5E7D04F0BD}" name="2028" dataDxfId="574" dataCellStyle="Normal 3">
      <calculatedColumnFormula>IFERROR((CAN_gen[[#This Row],[2028]]*1000)/(CAN_cap[[#This Row],[2028]]*8760), 0)</calculatedColumnFormula>
    </tableColumn>
    <tableColumn id="26" xr3:uid="{A12DFFFB-28EA-4EA1-B34C-D4C4200D12A2}" name="2029" dataDxfId="573" dataCellStyle="Normal 3">
      <calculatedColumnFormula>IFERROR((CAN_gen[[#This Row],[2029]]*1000)/(CAN_cap[[#This Row],[2029]]*8760), 0)</calculatedColumnFormula>
    </tableColumn>
    <tableColumn id="27" xr3:uid="{10C2A0CD-B342-49F0-8EE9-8C4EAA68150C}" name="2030" dataDxfId="572" dataCellStyle="Normal 3">
      <calculatedColumnFormula>IFERROR((CAN_gen[[#This Row],[2030]]*1000)/(CAN_cap[[#This Row],[2030]]*8760), 0)</calculatedColumnFormula>
    </tableColumn>
    <tableColumn id="28" xr3:uid="{FF20DF40-C078-4B99-964E-0A89A8B282C9}" name="2031" dataDxfId="571" dataCellStyle="Normal 3">
      <calculatedColumnFormula>IFERROR((CAN_gen[[#This Row],[2031]]*1000)/(CAN_cap[[#This Row],[2031]]*8760), 0)</calculatedColumnFormula>
    </tableColumn>
    <tableColumn id="29" xr3:uid="{A10D8A50-C300-4731-A6E5-2737AF2B06A8}" name="2032" dataDxfId="570" dataCellStyle="Normal 3">
      <calculatedColumnFormula>IFERROR((CAN_gen[[#This Row],[2032]]*1000)/(CAN_cap[[#This Row],[2032]]*8760), 0)</calculatedColumnFormula>
    </tableColumn>
    <tableColumn id="30" xr3:uid="{5323E0F1-5247-45BF-818D-789CD921F3FD}" name="2033" dataDxfId="569" dataCellStyle="Normal 3">
      <calculatedColumnFormula>IFERROR((CAN_gen[[#This Row],[2033]]*1000)/(CAN_cap[[#This Row],[2033]]*8760), 0)</calculatedColumnFormula>
    </tableColumn>
    <tableColumn id="31" xr3:uid="{48F70E2D-4022-4ACA-BBB4-BE6C79698C38}" name="2034" dataDxfId="568" dataCellStyle="Normal 3">
      <calculatedColumnFormula>IFERROR((CAN_gen[[#This Row],[2034]]*1000)/(CAN_cap[[#This Row],[2034]]*8760), 0)</calculatedColumnFormula>
    </tableColumn>
    <tableColumn id="32" xr3:uid="{D735DB4B-F178-42BC-BEB1-745ABD491EC7}" name="2035" dataDxfId="567" dataCellStyle="Normal 3">
      <calculatedColumnFormula>IFERROR((CAN_gen[[#This Row],[2035]]*1000)/(CAN_cap[[#This Row],[2035]]*8760), 0)</calculatedColumnFormula>
    </tableColumn>
    <tableColumn id="33" xr3:uid="{1BBE8F68-4975-40AF-BC16-1907E88CD718}" name="2036" dataDxfId="566" dataCellStyle="Normal 3">
      <calculatedColumnFormula>IFERROR((CAN_gen[[#This Row],[2036]]*1000)/(CAN_cap[[#This Row],[2036]]*8760), 0)</calculatedColumnFormula>
    </tableColumn>
    <tableColumn id="34" xr3:uid="{4465BDFA-0A24-4D57-88D3-F86790FFFF56}" name="2037" dataDxfId="565" dataCellStyle="Normal 3">
      <calculatedColumnFormula>IFERROR((CAN_gen[[#This Row],[2037]]*1000)/(CAN_cap[[#This Row],[2037]]*8760), 0)</calculatedColumnFormula>
    </tableColumn>
    <tableColumn id="35" xr3:uid="{CA15D544-0271-45B9-A558-84950448811B}" name="2038" dataDxfId="564" dataCellStyle="Normal 3">
      <calculatedColumnFormula>IFERROR((CAN_gen[[#This Row],[2038]]*1000)/(CAN_cap[[#This Row],[2038]]*8760), 0)</calculatedColumnFormula>
    </tableColumn>
    <tableColumn id="36" xr3:uid="{67D41877-84F3-46A6-85D4-0206FA14E342}" name="2039" dataDxfId="563" dataCellStyle="Normal 3">
      <calculatedColumnFormula>IFERROR((CAN_gen[[#This Row],[2039]]*1000)/(CAN_cap[[#This Row],[2039]]*8760), 0)</calculatedColumnFormula>
    </tableColumn>
    <tableColumn id="37" xr3:uid="{DCD196C8-3B66-4715-B87C-D42415433F6C}" name="2040" dataDxfId="562" dataCellStyle="Normal 3">
      <calculatedColumnFormula>IFERROR((CAN_gen[[#This Row],[2040]]*1000)/(CAN_cap[[#This Row],[2040]]*8760), 0)</calculatedColumnFormula>
    </tableColumn>
    <tableColumn id="38" xr3:uid="{5E9522FD-80C0-474D-84C0-AE02799161E0}" name="2041" dataDxfId="561" dataCellStyle="Normal 3">
      <calculatedColumnFormula>IFERROR((CAN_gen[[#This Row],[2041]]*1000)/(CAN_cap[[#This Row],[2041]]*8760), 0)</calculatedColumnFormula>
    </tableColumn>
    <tableColumn id="39" xr3:uid="{F4151649-8E1F-457C-BCD7-9093D7EC3E4C}" name="2042" dataDxfId="560" dataCellStyle="Normal 3">
      <calculatedColumnFormula>IFERROR((CAN_gen[[#This Row],[2042]]*1000)/(CAN_cap[[#This Row],[2042]]*8760), 0)</calculatedColumnFormula>
    </tableColumn>
    <tableColumn id="40" xr3:uid="{ADB7E8A4-C9CB-4CE3-8C85-07199672FD00}" name="2043" dataDxfId="559" dataCellStyle="Normal 3">
      <calculatedColumnFormula>IFERROR((CAN_gen[[#This Row],[2043]]*1000)/(CAN_cap[[#This Row],[2043]]*8760), 0)</calculatedColumnFormula>
    </tableColumn>
    <tableColumn id="41" xr3:uid="{081D7C46-BA0D-4840-AFE8-A7DD37D4C0D6}" name="2044" dataDxfId="558" dataCellStyle="Normal 3">
      <calculatedColumnFormula>IFERROR((CAN_gen[[#This Row],[2044]]*1000)/(CAN_cap[[#This Row],[2044]]*8760), 0)</calculatedColumnFormula>
    </tableColumn>
    <tableColumn id="42" xr3:uid="{40546865-5B66-4B4C-B79B-8A3CB5591B8B}" name="2045" dataDxfId="557" dataCellStyle="Normal 3">
      <calculatedColumnFormula>IFERROR((CAN_gen[[#This Row],[2045]]*1000)/(CAN_cap[[#This Row],[2045]]*8760), 0)</calculatedColumnFormula>
    </tableColumn>
    <tableColumn id="43" xr3:uid="{770AA22C-BE9C-44F1-93C3-F7480A30775E}" name="2046" dataDxfId="556" dataCellStyle="Normal 3">
      <calculatedColumnFormula>IFERROR((CAN_gen[[#This Row],[2046]]*1000)/(CAN_cap[[#This Row],[2046]]*8760), 0)</calculatedColumnFormula>
    </tableColumn>
    <tableColumn id="44" xr3:uid="{AE0A7553-252F-4782-8E5F-D0BEA91253E5}" name="2047" dataDxfId="555" dataCellStyle="Normal 3">
      <calculatedColumnFormula>IFERROR((CAN_gen[[#This Row],[2047]]*1000)/(CAN_cap[[#This Row],[2047]]*8760), 0)</calculatedColumnFormula>
    </tableColumn>
    <tableColumn id="45" xr3:uid="{0A59FDD8-A5F2-4CA1-8ACF-7718B392CD6B}" name="2048" dataDxfId="554" dataCellStyle="Normal 3">
      <calculatedColumnFormula>IFERROR((CAN_gen[[#This Row],[2048]]*1000)/(CAN_cap[[#This Row],[2048]]*8760), 0)</calculatedColumnFormula>
    </tableColumn>
    <tableColumn id="46" xr3:uid="{E2D88CE7-EF59-41EB-BA7C-00EFA8239B3F}" name="2049" dataDxfId="553" dataCellStyle="Normal 3">
      <calculatedColumnFormula>IFERROR((CAN_gen[[#This Row],[2049]]*1000)/(CAN_cap[[#This Row],[2049]]*8760), 0)</calculatedColumnFormula>
    </tableColumn>
    <tableColumn id="47" xr3:uid="{63BBC8DA-3FB2-4A83-ABB8-F06DFEAF0867}" name="2050" dataDxfId="552"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91290FB-03E1-42CF-88AE-70868914A6BE}" name="PE_cf" displayName="PE_cf" ref="A30:AU38" totalsRowShown="0">
  <tableColumns count="47">
    <tableColumn id="1" xr3:uid="{47E20336-4B16-46F7-B0E7-9BCDE8B9D176}" name="_"/>
    <tableColumn id="2" xr3:uid="{BAC23563-07DF-49C5-90E7-1D258EA50976}" name="2005" dataDxfId="551" dataCellStyle="Normal 3">
      <calculatedColumnFormula>IFERROR((CAN_gen[[#This Row],[2005]]*1000)/(CAN_cap[[#This Row],[2005]]*8760), 0)</calculatedColumnFormula>
    </tableColumn>
    <tableColumn id="3" xr3:uid="{3389F48F-BE43-47D4-A3B9-ADD366ADC4D8}" name="2006" dataDxfId="550" dataCellStyle="Normal 3">
      <calculatedColumnFormula>IFERROR((CAN_gen[[#This Row],[2006]]*1000)/(CAN_cap[[#This Row],[2006]]*8760), 0)</calculatedColumnFormula>
    </tableColumn>
    <tableColumn id="4" xr3:uid="{35161CCB-AE39-45C2-B1BA-7CB984873072}" name="2007" dataDxfId="549" dataCellStyle="Normal 3">
      <calculatedColumnFormula>IFERROR((CAN_gen[[#This Row],[2007]]*1000)/(CAN_cap[[#This Row],[2007]]*8760), 0)</calculatedColumnFormula>
    </tableColumn>
    <tableColumn id="5" xr3:uid="{E81FFDC2-B019-4B01-A1DC-D5EF00E47F30}" name="2008" dataDxfId="548" dataCellStyle="Normal 3">
      <calculatedColumnFormula>IFERROR((CAN_gen[[#This Row],[2008]]*1000)/(CAN_cap[[#This Row],[2008]]*8760), 0)</calculatedColumnFormula>
    </tableColumn>
    <tableColumn id="6" xr3:uid="{53771D94-FF1C-4910-A5AB-DAFD3C400D8D}" name="2009" dataDxfId="547" dataCellStyle="Normal 3">
      <calculatedColumnFormula>IFERROR((CAN_gen[[#This Row],[2009]]*1000)/(CAN_cap[[#This Row],[2009]]*8760), 0)</calculatedColumnFormula>
    </tableColumn>
    <tableColumn id="7" xr3:uid="{F359DA23-6130-464B-9BD1-85FBF280FB36}" name="2010" dataDxfId="546" dataCellStyle="Normal 3">
      <calculatedColumnFormula>IFERROR((CAN_gen[[#This Row],[2010]]*1000)/(CAN_cap[[#This Row],[2010]]*8760), 0)</calculatedColumnFormula>
    </tableColumn>
    <tableColumn id="8" xr3:uid="{AC4A829B-C2C5-4F6A-A3BB-A09FF7AAA86C}" name="2011" dataDxfId="545" dataCellStyle="Normal 3">
      <calculatedColumnFormula>IFERROR((CAN_gen[[#This Row],[2011]]*1000)/(CAN_cap[[#This Row],[2011]]*8760), 0)</calculatedColumnFormula>
    </tableColumn>
    <tableColumn id="9" xr3:uid="{20CC0BFF-F6E0-486D-8F1D-4C66B954422D}" name="2012" dataDxfId="544" dataCellStyle="Normal 3">
      <calculatedColumnFormula>IFERROR((CAN_gen[[#This Row],[2012]]*1000)/(CAN_cap[[#This Row],[2012]]*8760), 0)</calculatedColumnFormula>
    </tableColumn>
    <tableColumn id="10" xr3:uid="{36FDDFEF-BFB8-49E8-AFF9-AB12EA9E42D1}" name="2013" dataDxfId="543" dataCellStyle="Normal 3">
      <calculatedColumnFormula>IFERROR((CAN_gen[[#This Row],[2013]]*1000)/(CAN_cap[[#This Row],[2013]]*8760), 0)</calculatedColumnFormula>
    </tableColumn>
    <tableColumn id="11" xr3:uid="{165C24CC-3A07-4FDE-8098-00A2561E1585}" name="2014" dataDxfId="542" dataCellStyle="Normal 3">
      <calculatedColumnFormula>IFERROR((CAN_gen[[#This Row],[2014]]*1000)/(CAN_cap[[#This Row],[2014]]*8760), 0)</calculatedColumnFormula>
    </tableColumn>
    <tableColumn id="12" xr3:uid="{08897162-9ECC-40A1-B04E-3A03730BE304}" name="2015" dataDxfId="541" dataCellStyle="Normal 3">
      <calculatedColumnFormula>IFERROR((CAN_gen[[#This Row],[2015]]*1000)/(CAN_cap[[#This Row],[2015]]*8760), 0)</calculatedColumnFormula>
    </tableColumn>
    <tableColumn id="13" xr3:uid="{27CC4745-108C-4C57-9F69-7EA76C4583B8}" name="2016" dataDxfId="540" dataCellStyle="Normal 3">
      <calculatedColumnFormula>IFERROR((CAN_gen[[#This Row],[2016]]*1000)/(CAN_cap[[#This Row],[2016]]*8760), 0)</calculatedColumnFormula>
    </tableColumn>
    <tableColumn id="14" xr3:uid="{4EA116D6-3AB1-4AC3-8467-63A97724011D}" name="2017" dataDxfId="539" dataCellStyle="Normal 3">
      <calculatedColumnFormula>IFERROR((CAN_gen[[#This Row],[2017]]*1000)/(CAN_cap[[#This Row],[2017]]*8760), 0)</calculatedColumnFormula>
    </tableColumn>
    <tableColumn id="15" xr3:uid="{C17E6283-7B5C-440E-8C70-79BBF16167A1}" name="2018" dataDxfId="538" dataCellStyle="Normal 3">
      <calculatedColumnFormula>IFERROR((CAN_gen[[#This Row],[2018]]*1000)/(CAN_cap[[#This Row],[2018]]*8760), 0)</calculatedColumnFormula>
    </tableColumn>
    <tableColumn id="16" xr3:uid="{B8CE61D8-5ABE-4401-88EA-C67022A8EF26}" name="2019" dataDxfId="537" dataCellStyle="Normal 3">
      <calculatedColumnFormula>IFERROR((CAN_gen[[#This Row],[2019]]*1000)/(CAN_cap[[#This Row],[2019]]*8760), 0)</calculatedColumnFormula>
    </tableColumn>
    <tableColumn id="17" xr3:uid="{CE231B42-3354-4DCF-978C-7FCDFF2CC292}" name="2020" dataDxfId="536" dataCellStyle="Normal 3">
      <calculatedColumnFormula>IFERROR((CAN_gen[[#This Row],[2020]]*1000)/(CAN_cap[[#This Row],[2020]]*8760), 0)</calculatedColumnFormula>
    </tableColumn>
    <tableColumn id="18" xr3:uid="{87DB2CF6-23A1-4754-B5D0-2AFCC9B44DB7}" name="2021" dataDxfId="535" dataCellStyle="Normal 3">
      <calculatedColumnFormula>IFERROR((CAN_gen[[#This Row],[2021]]*1000)/(CAN_cap[[#This Row],[2021]]*8760), 0)</calculatedColumnFormula>
    </tableColumn>
    <tableColumn id="19" xr3:uid="{58D8C12D-6242-4EC6-B80D-D3B64E91F9DD}" name="2022" dataDxfId="534" dataCellStyle="Normal 3">
      <calculatedColumnFormula>IFERROR((CAN_gen[[#This Row],[2022]]*1000)/(CAN_cap[[#This Row],[2022]]*8760), 0)</calculatedColumnFormula>
    </tableColumn>
    <tableColumn id="20" xr3:uid="{145B7255-B24C-47D5-A72D-46628C1743F9}" name="2023" dataDxfId="533" dataCellStyle="Normal 3">
      <calculatedColumnFormula>IFERROR((CAN_gen[[#This Row],[2023]]*1000)/(CAN_cap[[#This Row],[2023]]*8760), 0)</calculatedColumnFormula>
    </tableColumn>
    <tableColumn id="21" xr3:uid="{AD62CA2F-289A-40A7-8D4A-76A990136AAA}" name="2024" dataDxfId="532" dataCellStyle="Normal 3">
      <calculatedColumnFormula>IFERROR((CAN_gen[[#This Row],[2024]]*1000)/(CAN_cap[[#This Row],[2024]]*8760), 0)</calculatedColumnFormula>
    </tableColumn>
    <tableColumn id="22" xr3:uid="{CFA7E9BC-D0CC-40AD-AA97-3D4BF9BB941E}" name="2025" dataDxfId="531" dataCellStyle="Normal 3">
      <calculatedColumnFormula>IFERROR((CAN_gen[[#This Row],[2025]]*1000)/(CAN_cap[[#This Row],[2025]]*8760), 0)</calculatedColumnFormula>
    </tableColumn>
    <tableColumn id="23" xr3:uid="{975989CC-6B5A-462D-A96A-87D050C1F1F1}" name="2026" dataDxfId="530" dataCellStyle="Normal 3">
      <calculatedColumnFormula>IFERROR((CAN_gen[[#This Row],[2026]]*1000)/(CAN_cap[[#This Row],[2026]]*8760), 0)</calculatedColumnFormula>
    </tableColumn>
    <tableColumn id="24" xr3:uid="{800E57A6-7948-43B2-ACD3-FF1A0FA89C84}" name="2027" dataDxfId="529" dataCellStyle="Normal 3">
      <calculatedColumnFormula>IFERROR((CAN_gen[[#This Row],[2027]]*1000)/(CAN_cap[[#This Row],[2027]]*8760), 0)</calculatedColumnFormula>
    </tableColumn>
    <tableColumn id="25" xr3:uid="{4385925D-0712-472E-A528-1FE664E889ED}" name="2028" dataDxfId="528" dataCellStyle="Normal 3">
      <calculatedColumnFormula>IFERROR((CAN_gen[[#This Row],[2028]]*1000)/(CAN_cap[[#This Row],[2028]]*8760), 0)</calculatedColumnFormula>
    </tableColumn>
    <tableColumn id="26" xr3:uid="{CDFB2FD4-4D7C-4D9A-82C2-E5ABBB62308C}" name="2029" dataDxfId="527" dataCellStyle="Normal 3">
      <calculatedColumnFormula>IFERROR((CAN_gen[[#This Row],[2029]]*1000)/(CAN_cap[[#This Row],[2029]]*8760), 0)</calculatedColumnFormula>
    </tableColumn>
    <tableColumn id="27" xr3:uid="{29F35A84-9648-4545-A6F3-AA4E6A089A96}" name="2030" dataDxfId="526" dataCellStyle="Normal 3">
      <calculatedColumnFormula>IFERROR((CAN_gen[[#This Row],[2030]]*1000)/(CAN_cap[[#This Row],[2030]]*8760), 0)</calculatedColumnFormula>
    </tableColumn>
    <tableColumn id="28" xr3:uid="{33907228-8F7C-4253-A359-F645B6341D2C}" name="2031" dataDxfId="525" dataCellStyle="Normal 3">
      <calculatedColumnFormula>IFERROR((CAN_gen[[#This Row],[2031]]*1000)/(CAN_cap[[#This Row],[2031]]*8760), 0)</calculatedColumnFormula>
    </tableColumn>
    <tableColumn id="29" xr3:uid="{46AA9193-E6DA-4A3C-B94B-F0D2D3D99992}" name="2032" dataDxfId="524" dataCellStyle="Normal 3">
      <calculatedColumnFormula>IFERROR((CAN_gen[[#This Row],[2032]]*1000)/(CAN_cap[[#This Row],[2032]]*8760), 0)</calculatedColumnFormula>
    </tableColumn>
    <tableColumn id="30" xr3:uid="{D673F453-AF28-4B6C-B555-BD533BC4F4E0}" name="2033" dataDxfId="523" dataCellStyle="Normal 3">
      <calculatedColumnFormula>IFERROR((CAN_gen[[#This Row],[2033]]*1000)/(CAN_cap[[#This Row],[2033]]*8760), 0)</calculatedColumnFormula>
    </tableColumn>
    <tableColumn id="31" xr3:uid="{6C315CD0-9B2D-4EEE-B7A1-C90C633491D6}" name="2034" dataDxfId="522" dataCellStyle="Normal 3">
      <calculatedColumnFormula>IFERROR((CAN_gen[[#This Row],[2034]]*1000)/(CAN_cap[[#This Row],[2034]]*8760), 0)</calculatedColumnFormula>
    </tableColumn>
    <tableColumn id="32" xr3:uid="{EE3DF20D-B02E-4912-A0C3-3D74D38B7244}" name="2035" dataDxfId="521" dataCellStyle="Normal 3">
      <calculatedColumnFormula>IFERROR((CAN_gen[[#This Row],[2035]]*1000)/(CAN_cap[[#This Row],[2035]]*8760), 0)</calculatedColumnFormula>
    </tableColumn>
    <tableColumn id="33" xr3:uid="{D32625DC-0A59-4141-89C6-92FA25CEA084}" name="2036" dataDxfId="520" dataCellStyle="Normal 3">
      <calculatedColumnFormula>IFERROR((CAN_gen[[#This Row],[2036]]*1000)/(CAN_cap[[#This Row],[2036]]*8760), 0)</calculatedColumnFormula>
    </tableColumn>
    <tableColumn id="34" xr3:uid="{51047095-22F0-40EA-83A7-72DC5DCAAB57}" name="2037" dataDxfId="519" dataCellStyle="Normal 3">
      <calculatedColumnFormula>IFERROR((CAN_gen[[#This Row],[2037]]*1000)/(CAN_cap[[#This Row],[2037]]*8760), 0)</calculatedColumnFormula>
    </tableColumn>
    <tableColumn id="35" xr3:uid="{F98A941C-EE74-4AAD-9E2E-E64F86D26451}" name="2038" dataDxfId="518" dataCellStyle="Normal 3">
      <calculatedColumnFormula>IFERROR((CAN_gen[[#This Row],[2038]]*1000)/(CAN_cap[[#This Row],[2038]]*8760), 0)</calculatedColumnFormula>
    </tableColumn>
    <tableColumn id="36" xr3:uid="{8CE3D135-BE10-458F-9EC1-6B6CD44E4E40}" name="2039" dataDxfId="517" dataCellStyle="Normal 3">
      <calculatedColumnFormula>IFERROR((CAN_gen[[#This Row],[2039]]*1000)/(CAN_cap[[#This Row],[2039]]*8760), 0)</calculatedColumnFormula>
    </tableColumn>
    <tableColumn id="37" xr3:uid="{54F82A72-9D33-4CFE-A939-838B52AF34DF}" name="2040" dataDxfId="516" dataCellStyle="Normal 3">
      <calculatedColumnFormula>IFERROR((CAN_gen[[#This Row],[2040]]*1000)/(CAN_cap[[#This Row],[2040]]*8760), 0)</calculatedColumnFormula>
    </tableColumn>
    <tableColumn id="38" xr3:uid="{0E3C896E-DC0B-49EC-95FB-A109445BC60C}" name="2041" dataDxfId="515" dataCellStyle="Normal 3">
      <calculatedColumnFormula>IFERROR((CAN_gen[[#This Row],[2041]]*1000)/(CAN_cap[[#This Row],[2041]]*8760), 0)</calculatedColumnFormula>
    </tableColumn>
    <tableColumn id="39" xr3:uid="{6A81E4D1-BEDF-4C7A-97E4-BC0ADC72EE55}" name="2042" dataDxfId="514" dataCellStyle="Normal 3">
      <calculatedColumnFormula>IFERROR((CAN_gen[[#This Row],[2042]]*1000)/(CAN_cap[[#This Row],[2042]]*8760), 0)</calculatedColumnFormula>
    </tableColumn>
    <tableColumn id="40" xr3:uid="{D8B93F30-7DDA-4131-9656-FA03933E52B6}" name="2043" dataDxfId="513" dataCellStyle="Normal 3">
      <calculatedColumnFormula>IFERROR((CAN_gen[[#This Row],[2043]]*1000)/(CAN_cap[[#This Row],[2043]]*8760), 0)</calculatedColumnFormula>
    </tableColumn>
    <tableColumn id="41" xr3:uid="{3654A951-11C7-41F7-8D1C-9679A7A71537}" name="2044" dataDxfId="512" dataCellStyle="Normal 3">
      <calculatedColumnFormula>IFERROR((CAN_gen[[#This Row],[2044]]*1000)/(CAN_cap[[#This Row],[2044]]*8760), 0)</calculatedColumnFormula>
    </tableColumn>
    <tableColumn id="42" xr3:uid="{9F4AE5EC-B960-4806-B0FA-B9DA94D562AA}" name="2045" dataDxfId="511" dataCellStyle="Normal 3">
      <calculatedColumnFormula>IFERROR((CAN_gen[[#This Row],[2045]]*1000)/(CAN_cap[[#This Row],[2045]]*8760), 0)</calculatedColumnFormula>
    </tableColumn>
    <tableColumn id="43" xr3:uid="{AE913395-5388-4D48-909B-1715A0696080}" name="2046" dataDxfId="510" dataCellStyle="Normal 3">
      <calculatedColumnFormula>IFERROR((CAN_gen[[#This Row],[2046]]*1000)/(CAN_cap[[#This Row],[2046]]*8760), 0)</calculatedColumnFormula>
    </tableColumn>
    <tableColumn id="44" xr3:uid="{F40D1E50-5E0B-4A27-911D-DBB85659AFED}" name="2047" dataDxfId="509" dataCellStyle="Normal 3">
      <calculatedColumnFormula>IFERROR((CAN_gen[[#This Row],[2047]]*1000)/(CAN_cap[[#This Row],[2047]]*8760), 0)</calculatedColumnFormula>
    </tableColumn>
    <tableColumn id="45" xr3:uid="{457D8C62-C6B8-4067-BDD0-DC9FE7AD116E}" name="2048" dataDxfId="508" dataCellStyle="Normal 3">
      <calculatedColumnFormula>IFERROR((CAN_gen[[#This Row],[2048]]*1000)/(CAN_cap[[#This Row],[2048]]*8760), 0)</calculatedColumnFormula>
    </tableColumn>
    <tableColumn id="46" xr3:uid="{7A0077E9-23C6-45D5-A93B-E69D66F498D7}" name="2049" dataDxfId="507" dataCellStyle="Normal 3">
      <calculatedColumnFormula>IFERROR((CAN_gen[[#This Row],[2049]]*1000)/(CAN_cap[[#This Row],[2049]]*8760), 0)</calculatedColumnFormula>
    </tableColumn>
    <tableColumn id="47" xr3:uid="{E25B19D7-8AE7-46B6-B51F-DE77F625127B}" name="2050" dataDxfId="506"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358ECFC-0E52-4078-87BF-0BC7BC41040A}" name="NS_cf" displayName="NS_cf" ref="A41:AU49" totalsRowShown="0">
  <tableColumns count="47">
    <tableColumn id="1" xr3:uid="{3631E29A-17F1-48BC-A78E-F519E94C1260}" name="_"/>
    <tableColumn id="2" xr3:uid="{A9D1CA93-38A1-4683-9429-63975586BEF3}" name="2005" dataDxfId="505" dataCellStyle="Normal 3">
      <calculatedColumnFormula>IFERROR((CAN_gen[[#This Row],[2005]]*1000)/(CAN_cap[[#This Row],[2005]]*8760), 0)</calculatedColumnFormula>
    </tableColumn>
    <tableColumn id="3" xr3:uid="{52B5E62A-79ED-423F-B8D0-71A258B33397}" name="2006" dataDxfId="504" dataCellStyle="Normal 3">
      <calculatedColumnFormula>IFERROR((CAN_gen[[#This Row],[2006]]*1000)/(CAN_cap[[#This Row],[2006]]*8760), 0)</calculatedColumnFormula>
    </tableColumn>
    <tableColumn id="4" xr3:uid="{F3013B0B-403C-4E99-A91E-D95C1DF7854A}" name="2007" dataDxfId="503" dataCellStyle="Normal 3">
      <calculatedColumnFormula>IFERROR((CAN_gen[[#This Row],[2007]]*1000)/(CAN_cap[[#This Row],[2007]]*8760), 0)</calculatedColumnFormula>
    </tableColumn>
    <tableColumn id="5" xr3:uid="{34AD9922-6C08-4438-B533-9616842116DA}" name="2008" dataDxfId="502" dataCellStyle="Normal 3">
      <calculatedColumnFormula>IFERROR((CAN_gen[[#This Row],[2008]]*1000)/(CAN_cap[[#This Row],[2008]]*8760), 0)</calculatedColumnFormula>
    </tableColumn>
    <tableColumn id="6" xr3:uid="{61C58BD7-121B-41FA-9FFD-65A22C4C7CDA}" name="2009" dataDxfId="501" dataCellStyle="Normal 3">
      <calculatedColumnFormula>IFERROR((CAN_gen[[#This Row],[2009]]*1000)/(CAN_cap[[#This Row],[2009]]*8760), 0)</calculatedColumnFormula>
    </tableColumn>
    <tableColumn id="7" xr3:uid="{699C670A-33F5-4AE9-8BD9-77AE0BB51880}" name="2010" dataDxfId="500" dataCellStyle="Normal 3">
      <calculatedColumnFormula>IFERROR((CAN_gen[[#This Row],[2010]]*1000)/(CAN_cap[[#This Row],[2010]]*8760), 0)</calculatedColumnFormula>
    </tableColumn>
    <tableColumn id="8" xr3:uid="{87B27C56-99D4-497E-81DA-1BFEDA893603}" name="2011" dataDxfId="499" dataCellStyle="Normal 3">
      <calculatedColumnFormula>IFERROR((CAN_gen[[#This Row],[2011]]*1000)/(CAN_cap[[#This Row],[2011]]*8760), 0)</calculatedColumnFormula>
    </tableColumn>
    <tableColumn id="9" xr3:uid="{A767FF24-0DBC-4CCC-BED8-A05F05462074}" name="2012" dataDxfId="498" dataCellStyle="Normal 3">
      <calculatedColumnFormula>IFERROR((CAN_gen[[#This Row],[2012]]*1000)/(CAN_cap[[#This Row],[2012]]*8760), 0)</calculatedColumnFormula>
    </tableColumn>
    <tableColumn id="10" xr3:uid="{E49F3664-D638-4D08-B34C-3501E95E22F6}" name="2013" dataDxfId="497" dataCellStyle="Normal 3">
      <calculatedColumnFormula>IFERROR((CAN_gen[[#This Row],[2013]]*1000)/(CAN_cap[[#This Row],[2013]]*8760), 0)</calculatedColumnFormula>
    </tableColumn>
    <tableColumn id="11" xr3:uid="{EDE2BD1E-B5E5-4BD4-8466-32D49CFAF911}" name="2014" dataDxfId="496" dataCellStyle="Normal 3">
      <calculatedColumnFormula>IFERROR((CAN_gen[[#This Row],[2014]]*1000)/(CAN_cap[[#This Row],[2014]]*8760), 0)</calculatedColumnFormula>
    </tableColumn>
    <tableColumn id="12" xr3:uid="{B266946B-FC66-4490-A0AB-C366E96DEFBB}" name="2015" dataDxfId="495" dataCellStyle="Normal 3">
      <calculatedColumnFormula>IFERROR((CAN_gen[[#This Row],[2015]]*1000)/(CAN_cap[[#This Row],[2015]]*8760), 0)</calculatedColumnFormula>
    </tableColumn>
    <tableColumn id="13" xr3:uid="{1E29289C-581E-46BF-BF7D-802729242736}" name="2016" dataDxfId="494" dataCellStyle="Normal 3">
      <calculatedColumnFormula>IFERROR((CAN_gen[[#This Row],[2016]]*1000)/(CAN_cap[[#This Row],[2016]]*8760), 0)</calculatedColumnFormula>
    </tableColumn>
    <tableColumn id="14" xr3:uid="{D86D7875-9680-4B5A-A2C2-3D7B8EADBB04}" name="2017" dataDxfId="493" dataCellStyle="Normal 3">
      <calculatedColumnFormula>IFERROR((CAN_gen[[#This Row],[2017]]*1000)/(CAN_cap[[#This Row],[2017]]*8760), 0)</calculatedColumnFormula>
    </tableColumn>
    <tableColumn id="15" xr3:uid="{CE381F0C-575D-4379-89FA-C3C75F6B83F9}" name="2018" dataDxfId="492" dataCellStyle="Normal 3">
      <calculatedColumnFormula>IFERROR((CAN_gen[[#This Row],[2018]]*1000)/(CAN_cap[[#This Row],[2018]]*8760), 0)</calculatedColumnFormula>
    </tableColumn>
    <tableColumn id="16" xr3:uid="{9598DEBF-2898-49BE-AA49-6F8AF3C36100}" name="2019" dataDxfId="491" dataCellStyle="Normal 3">
      <calculatedColumnFormula>IFERROR((CAN_gen[[#This Row],[2019]]*1000)/(CAN_cap[[#This Row],[2019]]*8760), 0)</calculatedColumnFormula>
    </tableColumn>
    <tableColumn id="17" xr3:uid="{CE9B412E-6CE5-402B-A61D-03AFACAFAF53}" name="2020" dataDxfId="490" dataCellStyle="Normal 3">
      <calculatedColumnFormula>IFERROR((CAN_gen[[#This Row],[2020]]*1000)/(CAN_cap[[#This Row],[2020]]*8760), 0)</calculatedColumnFormula>
    </tableColumn>
    <tableColumn id="18" xr3:uid="{3F5662FB-5378-4832-A794-5F152194125A}" name="2021" dataDxfId="489" dataCellStyle="Normal 3">
      <calculatedColumnFormula>IFERROR((CAN_gen[[#This Row],[2021]]*1000)/(CAN_cap[[#This Row],[2021]]*8760), 0)</calculatedColumnFormula>
    </tableColumn>
    <tableColumn id="19" xr3:uid="{57962F3B-2312-4A7A-B5B1-C5E167C9FE54}" name="2022" dataDxfId="488" dataCellStyle="Normal 3">
      <calculatedColumnFormula>IFERROR((CAN_gen[[#This Row],[2022]]*1000)/(CAN_cap[[#This Row],[2022]]*8760), 0)</calculatedColumnFormula>
    </tableColumn>
    <tableColumn id="20" xr3:uid="{444BD9EC-7D1C-4167-998C-C11FF47CB81C}" name="2023" dataDxfId="487" dataCellStyle="Normal 3">
      <calculatedColumnFormula>IFERROR((CAN_gen[[#This Row],[2023]]*1000)/(CAN_cap[[#This Row],[2023]]*8760), 0)</calculatedColumnFormula>
    </tableColumn>
    <tableColumn id="21" xr3:uid="{DAA88C73-E5B7-4299-915F-976E8A9C84F9}" name="2024" dataDxfId="486" dataCellStyle="Normal 3">
      <calculatedColumnFormula>IFERROR((CAN_gen[[#This Row],[2024]]*1000)/(CAN_cap[[#This Row],[2024]]*8760), 0)</calculatedColumnFormula>
    </tableColumn>
    <tableColumn id="22" xr3:uid="{95C98DA5-6D55-482D-9278-6CE688F74D42}" name="2025" dataDxfId="485" dataCellStyle="Normal 3">
      <calculatedColumnFormula>IFERROR((CAN_gen[[#This Row],[2025]]*1000)/(CAN_cap[[#This Row],[2025]]*8760), 0)</calculatedColumnFormula>
    </tableColumn>
    <tableColumn id="23" xr3:uid="{7B7E44E4-CAE4-45AA-8EA5-11E94451145F}" name="2026" dataDxfId="484" dataCellStyle="Normal 3">
      <calculatedColumnFormula>IFERROR((CAN_gen[[#This Row],[2026]]*1000)/(CAN_cap[[#This Row],[2026]]*8760), 0)</calculatedColumnFormula>
    </tableColumn>
    <tableColumn id="24" xr3:uid="{D3DBAA78-BB69-4DD0-9BE2-D1BD214C1EC5}" name="2027" dataDxfId="483" dataCellStyle="Normal 3">
      <calculatedColumnFormula>IFERROR((CAN_gen[[#This Row],[2027]]*1000)/(CAN_cap[[#This Row],[2027]]*8760), 0)</calculatedColumnFormula>
    </tableColumn>
    <tableColumn id="25" xr3:uid="{39B62A42-3653-4530-8735-F5EBB8659534}" name="2028" dataDxfId="482" dataCellStyle="Normal 3">
      <calculatedColumnFormula>IFERROR((CAN_gen[[#This Row],[2028]]*1000)/(CAN_cap[[#This Row],[2028]]*8760), 0)</calculatedColumnFormula>
    </tableColumn>
    <tableColumn id="26" xr3:uid="{5B5744C0-09EF-4DD2-9AA1-D2BE0BDF8D6C}" name="2029" dataDxfId="481" dataCellStyle="Normal 3">
      <calculatedColumnFormula>IFERROR((CAN_gen[[#This Row],[2029]]*1000)/(CAN_cap[[#This Row],[2029]]*8760), 0)</calculatedColumnFormula>
    </tableColumn>
    <tableColumn id="27" xr3:uid="{E19BEB84-1ABB-4FA7-A55A-478C31E75D1F}" name="2030" dataDxfId="480" dataCellStyle="Normal 3">
      <calculatedColumnFormula>IFERROR((CAN_gen[[#This Row],[2030]]*1000)/(CAN_cap[[#This Row],[2030]]*8760), 0)</calculatedColumnFormula>
    </tableColumn>
    <tableColumn id="28" xr3:uid="{42E3303D-2631-4949-A2B0-038E9A9A4723}" name="2031" dataDxfId="479" dataCellStyle="Normal 3">
      <calculatedColumnFormula>IFERROR((CAN_gen[[#This Row],[2031]]*1000)/(CAN_cap[[#This Row],[2031]]*8760), 0)</calculatedColumnFormula>
    </tableColumn>
    <tableColumn id="29" xr3:uid="{7AA1039D-9E8D-4B50-B033-16652F1C5E64}" name="2032" dataDxfId="478" dataCellStyle="Normal 3">
      <calculatedColumnFormula>IFERROR((CAN_gen[[#This Row],[2032]]*1000)/(CAN_cap[[#This Row],[2032]]*8760), 0)</calculatedColumnFormula>
    </tableColumn>
    <tableColumn id="30" xr3:uid="{96628337-57A5-4083-B0CA-3C575FC86F86}" name="2033" dataDxfId="477" dataCellStyle="Normal 3">
      <calculatedColumnFormula>IFERROR((CAN_gen[[#This Row],[2033]]*1000)/(CAN_cap[[#This Row],[2033]]*8760), 0)</calculatedColumnFormula>
    </tableColumn>
    <tableColumn id="31" xr3:uid="{2846C157-9F87-4468-8D43-9DCC722A805E}" name="2034" dataDxfId="476" dataCellStyle="Normal 3">
      <calculatedColumnFormula>IFERROR((CAN_gen[[#This Row],[2034]]*1000)/(CAN_cap[[#This Row],[2034]]*8760), 0)</calculatedColumnFormula>
    </tableColumn>
    <tableColumn id="32" xr3:uid="{0315A41D-6AEA-4A13-91C0-F40F8D97ED97}" name="2035" dataDxfId="475" dataCellStyle="Normal 3">
      <calculatedColumnFormula>IFERROR((CAN_gen[[#This Row],[2035]]*1000)/(CAN_cap[[#This Row],[2035]]*8760), 0)</calculatedColumnFormula>
    </tableColumn>
    <tableColumn id="33" xr3:uid="{94EA83DB-4595-4CDA-ABB1-83544B7726E1}" name="2036" dataDxfId="474" dataCellStyle="Normal 3">
      <calculatedColumnFormula>IFERROR((CAN_gen[[#This Row],[2036]]*1000)/(CAN_cap[[#This Row],[2036]]*8760), 0)</calculatedColumnFormula>
    </tableColumn>
    <tableColumn id="34" xr3:uid="{794D85CC-C034-4537-B149-325A655611AD}" name="2037" dataDxfId="473" dataCellStyle="Normal 3">
      <calculatedColumnFormula>IFERROR((CAN_gen[[#This Row],[2037]]*1000)/(CAN_cap[[#This Row],[2037]]*8760), 0)</calculatedColumnFormula>
    </tableColumn>
    <tableColumn id="35" xr3:uid="{04100412-2604-465B-ADCB-2EA879D72A1B}" name="2038" dataDxfId="472" dataCellStyle="Normal 3">
      <calculatedColumnFormula>IFERROR((CAN_gen[[#This Row],[2038]]*1000)/(CAN_cap[[#This Row],[2038]]*8760), 0)</calculatedColumnFormula>
    </tableColumn>
    <tableColumn id="36" xr3:uid="{8D3B5229-8EC8-477F-8239-20741DC8A038}" name="2039" dataDxfId="471" dataCellStyle="Normal 3">
      <calculatedColumnFormula>IFERROR((CAN_gen[[#This Row],[2039]]*1000)/(CAN_cap[[#This Row],[2039]]*8760), 0)</calculatedColumnFormula>
    </tableColumn>
    <tableColumn id="37" xr3:uid="{19D423E5-9C45-4F6E-B772-A2F8F0E5F00E}" name="2040" dataDxfId="470" dataCellStyle="Normal 3">
      <calculatedColumnFormula>IFERROR((CAN_gen[[#This Row],[2040]]*1000)/(CAN_cap[[#This Row],[2040]]*8760), 0)</calculatedColumnFormula>
    </tableColumn>
    <tableColumn id="38" xr3:uid="{7A2DE6A9-F19B-4FD6-B31A-251462F40D63}" name="2041" dataDxfId="469" dataCellStyle="Normal 3">
      <calculatedColumnFormula>IFERROR((CAN_gen[[#This Row],[2041]]*1000)/(CAN_cap[[#This Row],[2041]]*8760), 0)</calculatedColumnFormula>
    </tableColumn>
    <tableColumn id="39" xr3:uid="{B437FC5F-39A8-4B86-8CF6-620E547B3D7C}" name="2042" dataDxfId="468" dataCellStyle="Normal 3">
      <calculatedColumnFormula>IFERROR((CAN_gen[[#This Row],[2042]]*1000)/(CAN_cap[[#This Row],[2042]]*8760), 0)</calculatedColumnFormula>
    </tableColumn>
    <tableColumn id="40" xr3:uid="{A39858F2-6B7E-417B-9283-67F6618120F6}" name="2043" dataDxfId="467" dataCellStyle="Normal 3">
      <calculatedColumnFormula>IFERROR((CAN_gen[[#This Row],[2043]]*1000)/(CAN_cap[[#This Row],[2043]]*8760), 0)</calculatedColumnFormula>
    </tableColumn>
    <tableColumn id="41" xr3:uid="{88200A17-45C7-46EE-B643-03D732C7252B}" name="2044" dataDxfId="466" dataCellStyle="Normal 3">
      <calculatedColumnFormula>IFERROR((CAN_gen[[#This Row],[2044]]*1000)/(CAN_cap[[#This Row],[2044]]*8760), 0)</calculatedColumnFormula>
    </tableColumn>
    <tableColumn id="42" xr3:uid="{0BE1C995-AA2F-47C0-81FD-14E85FF43E43}" name="2045" dataDxfId="465" dataCellStyle="Normal 3">
      <calculatedColumnFormula>IFERROR((CAN_gen[[#This Row],[2045]]*1000)/(CAN_cap[[#This Row],[2045]]*8760), 0)</calculatedColumnFormula>
    </tableColumn>
    <tableColumn id="43" xr3:uid="{1F9DE2B3-E7E2-4890-A375-DA3515C3EB16}" name="2046" dataDxfId="464" dataCellStyle="Normal 3">
      <calculatedColumnFormula>IFERROR((CAN_gen[[#This Row],[2046]]*1000)/(CAN_cap[[#This Row],[2046]]*8760), 0)</calculatedColumnFormula>
    </tableColumn>
    <tableColumn id="44" xr3:uid="{74AFE84E-C9DF-4E4A-9D08-460D4CFABE07}" name="2047" dataDxfId="463" dataCellStyle="Normal 3">
      <calculatedColumnFormula>IFERROR((CAN_gen[[#This Row],[2047]]*1000)/(CAN_cap[[#This Row],[2047]]*8760), 0)</calculatedColumnFormula>
    </tableColumn>
    <tableColumn id="45" xr3:uid="{29A5AA5A-470C-47B6-9ED0-1E35D5245135}" name="2048" dataDxfId="462" dataCellStyle="Normal 3">
      <calculatedColumnFormula>IFERROR((CAN_gen[[#This Row],[2048]]*1000)/(CAN_cap[[#This Row],[2048]]*8760), 0)</calculatedColumnFormula>
    </tableColumn>
    <tableColumn id="46" xr3:uid="{21D7435A-F66E-4F54-A1EE-B01236546D0E}" name="2049" dataDxfId="461" dataCellStyle="Normal 3">
      <calculatedColumnFormula>IFERROR((CAN_gen[[#This Row],[2049]]*1000)/(CAN_cap[[#This Row],[2049]]*8760), 0)</calculatedColumnFormula>
    </tableColumn>
    <tableColumn id="47" xr3:uid="{45F681A0-3CFB-4543-A93B-34813FDCCF34}" name="2050" dataDxfId="460"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C8E1122-4E8B-48B6-BDE5-FD51F3077C0C}" name="NB_cf" displayName="NB_cf" ref="A52:AU60" totalsRowShown="0">
  <tableColumns count="47">
    <tableColumn id="1" xr3:uid="{A8B6CECB-E6FC-4070-A57B-DD0364949792}" name="_"/>
    <tableColumn id="2" xr3:uid="{4F9B2B9D-C854-47EB-B81B-E1344CA8A549}" name="2005" dataDxfId="459" dataCellStyle="Normal 3">
      <calculatedColumnFormula>IFERROR((CAN_gen[[#This Row],[2005]]*1000)/(CAN_cap[[#This Row],[2005]]*8760), 0)</calculatedColumnFormula>
    </tableColumn>
    <tableColumn id="3" xr3:uid="{06977C9D-0E68-4A95-9567-E127A5FC8474}" name="2006" dataDxfId="458" dataCellStyle="Normal 3">
      <calculatedColumnFormula>IFERROR((CAN_gen[[#This Row],[2006]]*1000)/(CAN_cap[[#This Row],[2006]]*8760), 0)</calculatedColumnFormula>
    </tableColumn>
    <tableColumn id="4" xr3:uid="{CCAF4C96-8D3B-4DD6-856D-62A8C3B99C1A}" name="2007" dataDxfId="457" dataCellStyle="Normal 3">
      <calculatedColumnFormula>IFERROR((CAN_gen[[#This Row],[2007]]*1000)/(CAN_cap[[#This Row],[2007]]*8760), 0)</calculatedColumnFormula>
    </tableColumn>
    <tableColumn id="5" xr3:uid="{6C5265E9-9CF1-45EC-96AC-4533F34D9A51}" name="2008" dataDxfId="456" dataCellStyle="Normal 3">
      <calculatedColumnFormula>IFERROR((CAN_gen[[#This Row],[2008]]*1000)/(CAN_cap[[#This Row],[2008]]*8760), 0)</calculatedColumnFormula>
    </tableColumn>
    <tableColumn id="6" xr3:uid="{C8F7D6C1-E873-45C1-AF3E-E9AF1A929088}" name="2009" dataDxfId="455" dataCellStyle="Normal 3">
      <calculatedColumnFormula>IFERROR((CAN_gen[[#This Row],[2009]]*1000)/(CAN_cap[[#This Row],[2009]]*8760), 0)</calculatedColumnFormula>
    </tableColumn>
    <tableColumn id="7" xr3:uid="{B8272445-5929-4539-89EF-2064D521E5C5}" name="2010" dataDxfId="454" dataCellStyle="Normal 3">
      <calculatedColumnFormula>IFERROR((CAN_gen[[#This Row],[2010]]*1000)/(CAN_cap[[#This Row],[2010]]*8760), 0)</calculatedColumnFormula>
    </tableColumn>
    <tableColumn id="8" xr3:uid="{E02DAF78-C8FB-4601-8843-96AF3869FA39}" name="2011" dataDxfId="453" dataCellStyle="Normal 3">
      <calculatedColumnFormula>IFERROR((CAN_gen[[#This Row],[2011]]*1000)/(CAN_cap[[#This Row],[2011]]*8760), 0)</calculatedColumnFormula>
    </tableColumn>
    <tableColumn id="9" xr3:uid="{8B7201FB-C976-4118-8E20-CCD259A72284}" name="2012" dataDxfId="452" dataCellStyle="Normal 3">
      <calculatedColumnFormula>IFERROR((CAN_gen[[#This Row],[2012]]*1000)/(CAN_cap[[#This Row],[2012]]*8760), 0)</calculatedColumnFormula>
    </tableColumn>
    <tableColumn id="10" xr3:uid="{A05406F8-E338-4C0A-89DD-73E2ED5487DF}" name="2013" dataDxfId="451" dataCellStyle="Normal 3">
      <calculatedColumnFormula>IFERROR((CAN_gen[[#This Row],[2013]]*1000)/(CAN_cap[[#This Row],[2013]]*8760), 0)</calculatedColumnFormula>
    </tableColumn>
    <tableColumn id="11" xr3:uid="{DDB54FFF-C165-46B0-94CF-1870985B4B54}" name="2014" dataDxfId="450" dataCellStyle="Normal 3">
      <calculatedColumnFormula>IFERROR((CAN_gen[[#This Row],[2014]]*1000)/(CAN_cap[[#This Row],[2014]]*8760), 0)</calculatedColumnFormula>
    </tableColumn>
    <tableColumn id="12" xr3:uid="{1958E425-3F95-4BE2-A3F1-7C6EDDAC55FA}" name="2015" dataDxfId="449" dataCellStyle="Normal 3">
      <calculatedColumnFormula>IFERROR((CAN_gen[[#This Row],[2015]]*1000)/(CAN_cap[[#This Row],[2015]]*8760), 0)</calculatedColumnFormula>
    </tableColumn>
    <tableColumn id="13" xr3:uid="{CDF703D9-7E1A-46B7-82A0-14AEF69C09BF}" name="2016" dataDxfId="448" dataCellStyle="Normal 3">
      <calculatedColumnFormula>IFERROR((CAN_gen[[#This Row],[2016]]*1000)/(CAN_cap[[#This Row],[2016]]*8760), 0)</calculatedColumnFormula>
    </tableColumn>
    <tableColumn id="14" xr3:uid="{342826FE-26E9-4F03-B2DE-A832C6259701}" name="2017" dataDxfId="447" dataCellStyle="Normal 3">
      <calculatedColumnFormula>IFERROR((CAN_gen[[#This Row],[2017]]*1000)/(CAN_cap[[#This Row],[2017]]*8760), 0)</calculatedColumnFormula>
    </tableColumn>
    <tableColumn id="15" xr3:uid="{B4F700E3-2150-411E-888F-47DE46F53A64}" name="2018" dataDxfId="446" dataCellStyle="Normal 3">
      <calculatedColumnFormula>IFERROR((CAN_gen[[#This Row],[2018]]*1000)/(CAN_cap[[#This Row],[2018]]*8760), 0)</calculatedColumnFormula>
    </tableColumn>
    <tableColumn id="16" xr3:uid="{E2818F2E-7FF5-464D-BFF5-B8EB5B8D6054}" name="2019" dataDxfId="445" dataCellStyle="Normal 3">
      <calculatedColumnFormula>IFERROR((CAN_gen[[#This Row],[2019]]*1000)/(CAN_cap[[#This Row],[2019]]*8760), 0)</calculatedColumnFormula>
    </tableColumn>
    <tableColumn id="17" xr3:uid="{A46B3843-2A4A-4329-98CE-9ADFE2A837B5}" name="2020" dataDxfId="444" dataCellStyle="Normal 3">
      <calculatedColumnFormula>IFERROR((CAN_gen[[#This Row],[2020]]*1000)/(CAN_cap[[#This Row],[2020]]*8760), 0)</calculatedColumnFormula>
    </tableColumn>
    <tableColumn id="18" xr3:uid="{96AE3EE9-42AB-489E-95CC-5B8F65AF832F}" name="2021" dataDxfId="443" dataCellStyle="Normal 3">
      <calculatedColumnFormula>IFERROR((CAN_gen[[#This Row],[2021]]*1000)/(CAN_cap[[#This Row],[2021]]*8760), 0)</calculatedColumnFormula>
    </tableColumn>
    <tableColumn id="19" xr3:uid="{F1CBAFD6-16F2-49BF-BE52-9BF4C8BD09C2}" name="2022" dataDxfId="442" dataCellStyle="Normal 3">
      <calculatedColumnFormula>IFERROR((CAN_gen[[#This Row],[2022]]*1000)/(CAN_cap[[#This Row],[2022]]*8760), 0)</calculatedColumnFormula>
    </tableColumn>
    <tableColumn id="20" xr3:uid="{180DB127-84AE-4453-9440-00A177BD78D9}" name="2023" dataDxfId="441" dataCellStyle="Normal 3">
      <calculatedColumnFormula>IFERROR((CAN_gen[[#This Row],[2023]]*1000)/(CAN_cap[[#This Row],[2023]]*8760), 0)</calculatedColumnFormula>
    </tableColumn>
    <tableColumn id="21" xr3:uid="{D8122EBF-8A85-4E08-9CE1-1D9C93BACF6C}" name="2024" dataDxfId="440" dataCellStyle="Normal 3">
      <calculatedColumnFormula>IFERROR((CAN_gen[[#This Row],[2024]]*1000)/(CAN_cap[[#This Row],[2024]]*8760), 0)</calculatedColumnFormula>
    </tableColumn>
    <tableColumn id="22" xr3:uid="{CEEF8835-4C3A-4DAB-B434-68B039525385}" name="2025" dataDxfId="439" dataCellStyle="Normal 3">
      <calculatedColumnFormula>IFERROR((CAN_gen[[#This Row],[2025]]*1000)/(CAN_cap[[#This Row],[2025]]*8760), 0)</calculatedColumnFormula>
    </tableColumn>
    <tableColumn id="23" xr3:uid="{E907BA9E-66BF-4DCF-96F1-309BF332F61F}" name="2026" dataDxfId="438" dataCellStyle="Normal 3">
      <calculatedColumnFormula>IFERROR((CAN_gen[[#This Row],[2026]]*1000)/(CAN_cap[[#This Row],[2026]]*8760), 0)</calculatedColumnFormula>
    </tableColumn>
    <tableColumn id="24" xr3:uid="{C38F1263-FFBD-458E-9860-AFF81F33FA97}" name="2027" dataDxfId="437" dataCellStyle="Normal 3">
      <calculatedColumnFormula>IFERROR((CAN_gen[[#This Row],[2027]]*1000)/(CAN_cap[[#This Row],[2027]]*8760), 0)</calculatedColumnFormula>
    </tableColumn>
    <tableColumn id="25" xr3:uid="{7D18D056-FCA6-436C-BE7D-94660D4F9E72}" name="2028" dataDxfId="436" dataCellStyle="Normal 3">
      <calculatedColumnFormula>IFERROR((CAN_gen[[#This Row],[2028]]*1000)/(CAN_cap[[#This Row],[2028]]*8760), 0)</calculatedColumnFormula>
    </tableColumn>
    <tableColumn id="26" xr3:uid="{BF040272-68F3-4ED3-A3A3-AECD36AAB375}" name="2029" dataDxfId="435" dataCellStyle="Normal 3">
      <calculatedColumnFormula>IFERROR((CAN_gen[[#This Row],[2029]]*1000)/(CAN_cap[[#This Row],[2029]]*8760), 0)</calculatedColumnFormula>
    </tableColumn>
    <tableColumn id="27" xr3:uid="{6295E42A-BCEA-4974-89A9-788728200CD7}" name="2030" dataDxfId="434" dataCellStyle="Normal 3">
      <calculatedColumnFormula>IFERROR((CAN_gen[[#This Row],[2030]]*1000)/(CAN_cap[[#This Row],[2030]]*8760), 0)</calculatedColumnFormula>
    </tableColumn>
    <tableColumn id="28" xr3:uid="{BDFD3115-8AEA-47C0-BF0F-D82C3F9AAB9F}" name="2031" dataDxfId="433" dataCellStyle="Normal 3">
      <calculatedColumnFormula>IFERROR((CAN_gen[[#This Row],[2031]]*1000)/(CAN_cap[[#This Row],[2031]]*8760), 0)</calculatedColumnFormula>
    </tableColumn>
    <tableColumn id="29" xr3:uid="{4247CB4B-8B07-42A9-9259-4E3E39A133F3}" name="2032" dataDxfId="432" dataCellStyle="Normal 3">
      <calculatedColumnFormula>IFERROR((CAN_gen[[#This Row],[2032]]*1000)/(CAN_cap[[#This Row],[2032]]*8760), 0)</calculatedColumnFormula>
    </tableColumn>
    <tableColumn id="30" xr3:uid="{F693731E-EB51-4A96-8650-4E8F31F2893F}" name="2033" dataDxfId="431" dataCellStyle="Normal 3">
      <calculatedColumnFormula>IFERROR((CAN_gen[[#This Row],[2033]]*1000)/(CAN_cap[[#This Row],[2033]]*8760), 0)</calculatedColumnFormula>
    </tableColumn>
    <tableColumn id="31" xr3:uid="{74EA05E5-437F-4E2A-A9AD-6D592595575F}" name="2034" dataDxfId="430" dataCellStyle="Normal 3">
      <calculatedColumnFormula>IFERROR((CAN_gen[[#This Row],[2034]]*1000)/(CAN_cap[[#This Row],[2034]]*8760), 0)</calculatedColumnFormula>
    </tableColumn>
    <tableColumn id="32" xr3:uid="{E0028F67-5972-4A96-A025-789678EC76B4}" name="2035" dataDxfId="429" dataCellStyle="Normal 3">
      <calculatedColumnFormula>IFERROR((CAN_gen[[#This Row],[2035]]*1000)/(CAN_cap[[#This Row],[2035]]*8760), 0)</calculatedColumnFormula>
    </tableColumn>
    <tableColumn id="33" xr3:uid="{591A8F5D-0B19-4D56-AF60-275508870279}" name="2036" dataDxfId="428" dataCellStyle="Normal 3">
      <calculatedColumnFormula>IFERROR((CAN_gen[[#This Row],[2036]]*1000)/(CAN_cap[[#This Row],[2036]]*8760), 0)</calculatedColumnFormula>
    </tableColumn>
    <tableColumn id="34" xr3:uid="{D0471258-4186-4142-96B1-8D6ACAE88157}" name="2037" dataDxfId="427" dataCellStyle="Normal 3">
      <calculatedColumnFormula>IFERROR((CAN_gen[[#This Row],[2037]]*1000)/(CAN_cap[[#This Row],[2037]]*8760), 0)</calculatedColumnFormula>
    </tableColumn>
    <tableColumn id="35" xr3:uid="{DAC25E50-D2AB-49F5-938B-13BE76CB991D}" name="2038" dataDxfId="426" dataCellStyle="Normal 3">
      <calculatedColumnFormula>IFERROR((CAN_gen[[#This Row],[2038]]*1000)/(CAN_cap[[#This Row],[2038]]*8760), 0)</calculatedColumnFormula>
    </tableColumn>
    <tableColumn id="36" xr3:uid="{15704F46-280B-415C-A34F-5F8FED0C5AB9}" name="2039" dataDxfId="425" dataCellStyle="Normal 3">
      <calculatedColumnFormula>IFERROR((CAN_gen[[#This Row],[2039]]*1000)/(CAN_cap[[#This Row],[2039]]*8760), 0)</calculatedColumnFormula>
    </tableColumn>
    <tableColumn id="37" xr3:uid="{DF0D9969-4398-474D-BE84-CBC7F85C3B75}" name="2040" dataDxfId="424" dataCellStyle="Normal 3">
      <calculatedColumnFormula>IFERROR((CAN_gen[[#This Row],[2040]]*1000)/(CAN_cap[[#This Row],[2040]]*8760), 0)</calculatedColumnFormula>
    </tableColumn>
    <tableColumn id="38" xr3:uid="{72619025-2FF9-4C8D-8FFA-4B13D8BDFEEF}" name="2041" dataDxfId="423" dataCellStyle="Normal 3">
      <calculatedColumnFormula>IFERROR((CAN_gen[[#This Row],[2041]]*1000)/(CAN_cap[[#This Row],[2041]]*8760), 0)</calculatedColumnFormula>
    </tableColumn>
    <tableColumn id="39" xr3:uid="{8330E976-C4B0-4EB6-BEF7-B14C595C2213}" name="2042" dataDxfId="422" dataCellStyle="Normal 3">
      <calculatedColumnFormula>IFERROR((CAN_gen[[#This Row],[2042]]*1000)/(CAN_cap[[#This Row],[2042]]*8760), 0)</calculatedColumnFormula>
    </tableColumn>
    <tableColumn id="40" xr3:uid="{05E952F1-98F1-4BCD-89D3-423C1C3C817D}" name="2043" dataDxfId="421" dataCellStyle="Normal 3">
      <calculatedColumnFormula>IFERROR((CAN_gen[[#This Row],[2043]]*1000)/(CAN_cap[[#This Row],[2043]]*8760), 0)</calculatedColumnFormula>
    </tableColumn>
    <tableColumn id="41" xr3:uid="{A323F0F6-4E3E-4DF2-9C8D-97523ADA4FE9}" name="2044" dataDxfId="420" dataCellStyle="Normal 3">
      <calculatedColumnFormula>IFERROR((CAN_gen[[#This Row],[2044]]*1000)/(CAN_cap[[#This Row],[2044]]*8760), 0)</calculatedColumnFormula>
    </tableColumn>
    <tableColumn id="42" xr3:uid="{64C532D5-5BEF-43FB-8F5A-0368B61F3847}" name="2045" dataDxfId="419" dataCellStyle="Normal 3">
      <calculatedColumnFormula>IFERROR((CAN_gen[[#This Row],[2045]]*1000)/(CAN_cap[[#This Row],[2045]]*8760), 0)</calculatedColumnFormula>
    </tableColumn>
    <tableColumn id="43" xr3:uid="{F5D2D339-01ED-4F39-85F4-51ED788B6EFF}" name="2046" dataDxfId="418" dataCellStyle="Normal 3">
      <calculatedColumnFormula>IFERROR((CAN_gen[[#This Row],[2046]]*1000)/(CAN_cap[[#This Row],[2046]]*8760), 0)</calculatedColumnFormula>
    </tableColumn>
    <tableColumn id="44" xr3:uid="{5C03E8C2-9606-407F-992D-3BCF47C24E57}" name="2047" dataDxfId="417" dataCellStyle="Normal 3">
      <calculatedColumnFormula>IFERROR((CAN_gen[[#This Row],[2047]]*1000)/(CAN_cap[[#This Row],[2047]]*8760), 0)</calculatedColumnFormula>
    </tableColumn>
    <tableColumn id="45" xr3:uid="{FAF65951-7541-4FDA-8687-9356414D4452}" name="2048" dataDxfId="416" dataCellStyle="Normal 3">
      <calculatedColumnFormula>IFERROR((CAN_gen[[#This Row],[2048]]*1000)/(CAN_cap[[#This Row],[2048]]*8760), 0)</calculatedColumnFormula>
    </tableColumn>
    <tableColumn id="46" xr3:uid="{AAF6B1E8-6827-4116-B959-68595C2B1D4C}" name="2049" dataDxfId="415" dataCellStyle="Normal 3">
      <calculatedColumnFormula>IFERROR((CAN_gen[[#This Row],[2049]]*1000)/(CAN_cap[[#This Row],[2049]]*8760), 0)</calculatedColumnFormula>
    </tableColumn>
    <tableColumn id="47" xr3:uid="{2AD2FE66-5A1C-4927-BB9A-3DA0FDF273A0}" name="2050" dataDxfId="414"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24E2516-6FE3-461D-95F2-987F75DA0095}" name="QC_cf" displayName="QC_cf" ref="A63:AU71" totalsRowShown="0">
  <tableColumns count="47">
    <tableColumn id="1" xr3:uid="{816B3D1F-F626-4D51-B0C4-76FF1DD8C7B0}" name="_"/>
    <tableColumn id="2" xr3:uid="{B39E4572-E4AF-4186-BE83-0C6646EA593F}" name="2005" dataDxfId="413" dataCellStyle="Normal 3">
      <calculatedColumnFormula>IFERROR((CAN_gen[[#This Row],[2005]]*1000)/(CAN_cap[[#This Row],[2005]]*8760), 0)</calculatedColumnFormula>
    </tableColumn>
    <tableColumn id="3" xr3:uid="{8281C2A3-65F0-444A-B011-E31007DDF8A8}" name="2006" dataDxfId="412" dataCellStyle="Normal 3">
      <calculatedColumnFormula>IFERROR((CAN_gen[[#This Row],[2006]]*1000)/(CAN_cap[[#This Row],[2006]]*8760), 0)</calculatedColumnFormula>
    </tableColumn>
    <tableColumn id="4" xr3:uid="{C0304C4D-D27F-47AD-9A25-52A75915CC0D}" name="2007" dataDxfId="411" dataCellStyle="Normal 3">
      <calculatedColumnFormula>IFERROR((CAN_gen[[#This Row],[2007]]*1000)/(CAN_cap[[#This Row],[2007]]*8760), 0)</calculatedColumnFormula>
    </tableColumn>
    <tableColumn id="5" xr3:uid="{4A792EE6-72EB-49E9-A517-6F895CF9D145}" name="2008" dataDxfId="410" dataCellStyle="Normal 3">
      <calculatedColumnFormula>IFERROR((CAN_gen[[#This Row],[2008]]*1000)/(CAN_cap[[#This Row],[2008]]*8760), 0)</calculatedColumnFormula>
    </tableColumn>
    <tableColumn id="6" xr3:uid="{D8E71E9D-9900-4A72-901F-3914E2B759F8}" name="2009" dataDxfId="409" dataCellStyle="Normal 3">
      <calculatedColumnFormula>IFERROR((CAN_gen[[#This Row],[2009]]*1000)/(CAN_cap[[#This Row],[2009]]*8760), 0)</calculatedColumnFormula>
    </tableColumn>
    <tableColumn id="7" xr3:uid="{3575BF6B-977E-4E45-886A-3B464430CFDB}" name="2010" dataDxfId="408" dataCellStyle="Normal 3">
      <calculatedColumnFormula>IFERROR((CAN_gen[[#This Row],[2010]]*1000)/(CAN_cap[[#This Row],[2010]]*8760), 0)</calculatedColumnFormula>
    </tableColumn>
    <tableColumn id="8" xr3:uid="{D03E6589-B6F5-438A-A31D-26514F402B0B}" name="2011" dataDxfId="407" dataCellStyle="Normal 3">
      <calculatedColumnFormula>IFERROR((CAN_gen[[#This Row],[2011]]*1000)/(CAN_cap[[#This Row],[2011]]*8760), 0)</calculatedColumnFormula>
    </tableColumn>
    <tableColumn id="9" xr3:uid="{8FC17535-C5E4-423D-8BB3-BF1E75BDEBC8}" name="2012" dataDxfId="406" dataCellStyle="Normal 3">
      <calculatedColumnFormula>IFERROR((CAN_gen[[#This Row],[2012]]*1000)/(CAN_cap[[#This Row],[2012]]*8760), 0)</calculatedColumnFormula>
    </tableColumn>
    <tableColumn id="10" xr3:uid="{CF90A7CC-343A-4A63-9834-A094CEE05A30}" name="2013" dataDxfId="405" dataCellStyle="Normal 3">
      <calculatedColumnFormula>IFERROR((CAN_gen[[#This Row],[2013]]*1000)/(CAN_cap[[#This Row],[2013]]*8760), 0)</calculatedColumnFormula>
    </tableColumn>
    <tableColumn id="11" xr3:uid="{A19C4F1C-DA7E-4FD2-9411-A479695E2FCC}" name="2014" dataDxfId="404" dataCellStyle="Normal 3">
      <calculatedColumnFormula>IFERROR((CAN_gen[[#This Row],[2014]]*1000)/(CAN_cap[[#This Row],[2014]]*8760), 0)</calculatedColumnFormula>
    </tableColumn>
    <tableColumn id="12" xr3:uid="{ABD7A862-205B-42F9-8020-81F81F4F5B03}" name="2015" dataDxfId="403" dataCellStyle="Normal 3">
      <calculatedColumnFormula>IFERROR((CAN_gen[[#This Row],[2015]]*1000)/(CAN_cap[[#This Row],[2015]]*8760), 0)</calculatedColumnFormula>
    </tableColumn>
    <tableColumn id="13" xr3:uid="{448959ED-B3BD-4814-92CB-D5A8E86E49CE}" name="2016" dataDxfId="402" dataCellStyle="Normal 3">
      <calculatedColumnFormula>IFERROR((CAN_gen[[#This Row],[2016]]*1000)/(CAN_cap[[#This Row],[2016]]*8760), 0)</calculatedColumnFormula>
    </tableColumn>
    <tableColumn id="14" xr3:uid="{5CFFA9CB-0C6C-426D-8F72-A39BC7AB3D92}" name="2017" dataDxfId="401" dataCellStyle="Normal 3">
      <calculatedColumnFormula>IFERROR((CAN_gen[[#This Row],[2017]]*1000)/(CAN_cap[[#This Row],[2017]]*8760), 0)</calculatedColumnFormula>
    </tableColumn>
    <tableColumn id="15" xr3:uid="{E8701394-3011-4008-9DF6-BAF6E9316654}" name="2018" dataDxfId="400" dataCellStyle="Normal 3">
      <calculatedColumnFormula>IFERROR((CAN_gen[[#This Row],[2018]]*1000)/(CAN_cap[[#This Row],[2018]]*8760), 0)</calculatedColumnFormula>
    </tableColumn>
    <tableColumn id="16" xr3:uid="{F6304AE8-5DB4-4921-BFA9-7F49D7EE64C7}" name="2019" dataDxfId="399" dataCellStyle="Normal 3">
      <calculatedColumnFormula>IFERROR((CAN_gen[[#This Row],[2019]]*1000)/(CAN_cap[[#This Row],[2019]]*8760), 0)</calculatedColumnFormula>
    </tableColumn>
    <tableColumn id="17" xr3:uid="{85A1CAD0-0C5B-4A39-86C5-989131F06E89}" name="2020" dataDxfId="398" dataCellStyle="Normal 3">
      <calculatedColumnFormula>IFERROR((CAN_gen[[#This Row],[2020]]*1000)/(CAN_cap[[#This Row],[2020]]*8760), 0)</calculatedColumnFormula>
    </tableColumn>
    <tableColumn id="18" xr3:uid="{919DFE95-7482-44CD-BF0A-0111E0829F52}" name="2021" dataDxfId="397" dataCellStyle="Normal 3">
      <calculatedColumnFormula>IFERROR((CAN_gen[[#This Row],[2021]]*1000)/(CAN_cap[[#This Row],[2021]]*8760), 0)</calculatedColumnFormula>
    </tableColumn>
    <tableColumn id="19" xr3:uid="{A49B3E2D-88BF-43AD-929E-0CF7B7F4EE8C}" name="2022" dataDxfId="396" dataCellStyle="Normal 3">
      <calculatedColumnFormula>IFERROR((CAN_gen[[#This Row],[2022]]*1000)/(CAN_cap[[#This Row],[2022]]*8760), 0)</calculatedColumnFormula>
    </tableColumn>
    <tableColumn id="20" xr3:uid="{9419FB73-D9DE-4473-A878-C73C08FCF72B}" name="2023" dataDxfId="395" dataCellStyle="Normal 3">
      <calculatedColumnFormula>IFERROR((CAN_gen[[#This Row],[2023]]*1000)/(CAN_cap[[#This Row],[2023]]*8760), 0)</calculatedColumnFormula>
    </tableColumn>
    <tableColumn id="21" xr3:uid="{DAB1CA79-068B-4407-BA1B-B652982F485C}" name="2024" dataDxfId="394" dataCellStyle="Normal 3">
      <calculatedColumnFormula>IFERROR((CAN_gen[[#This Row],[2024]]*1000)/(CAN_cap[[#This Row],[2024]]*8760), 0)</calculatedColumnFormula>
    </tableColumn>
    <tableColumn id="22" xr3:uid="{B2758567-BAA5-43FF-8DCF-C32BD01C5850}" name="2025" dataDxfId="393" dataCellStyle="Normal 3">
      <calculatedColumnFormula>IFERROR((CAN_gen[[#This Row],[2025]]*1000)/(CAN_cap[[#This Row],[2025]]*8760), 0)</calculatedColumnFormula>
    </tableColumn>
    <tableColumn id="23" xr3:uid="{7282E13F-94AA-43B4-B322-A7FDEF5DD3A3}" name="2026" dataDxfId="392" dataCellStyle="Normal 3">
      <calculatedColumnFormula>IFERROR((CAN_gen[[#This Row],[2026]]*1000)/(CAN_cap[[#This Row],[2026]]*8760), 0)</calculatedColumnFormula>
    </tableColumn>
    <tableColumn id="24" xr3:uid="{17CA4910-0310-4123-A044-CBF85903D7FA}" name="2027" dataDxfId="391" dataCellStyle="Normal 3">
      <calculatedColumnFormula>IFERROR((CAN_gen[[#This Row],[2027]]*1000)/(CAN_cap[[#This Row],[2027]]*8760), 0)</calculatedColumnFormula>
    </tableColumn>
    <tableColumn id="25" xr3:uid="{C6730F6C-F050-497B-BB35-225186F7D9FF}" name="2028" dataDxfId="390" dataCellStyle="Normal 3">
      <calculatedColumnFormula>IFERROR((CAN_gen[[#This Row],[2028]]*1000)/(CAN_cap[[#This Row],[2028]]*8760), 0)</calculatedColumnFormula>
    </tableColumn>
    <tableColumn id="26" xr3:uid="{BAA98BBC-8EEA-47B5-96EF-D49C21AA8728}" name="2029" dataDxfId="389" dataCellStyle="Normal 3">
      <calculatedColumnFormula>IFERROR((CAN_gen[[#This Row],[2029]]*1000)/(CAN_cap[[#This Row],[2029]]*8760), 0)</calculatedColumnFormula>
    </tableColumn>
    <tableColumn id="27" xr3:uid="{5F48330C-7327-4D12-8530-656FEE991FFD}" name="2030" dataDxfId="388" dataCellStyle="Normal 3">
      <calculatedColumnFormula>IFERROR((CAN_gen[[#This Row],[2030]]*1000)/(CAN_cap[[#This Row],[2030]]*8760), 0)</calculatedColumnFormula>
    </tableColumn>
    <tableColumn id="28" xr3:uid="{5B852239-BF24-4CA3-B4C2-82F398579E98}" name="2031" dataDxfId="387" dataCellStyle="Normal 3">
      <calculatedColumnFormula>IFERROR((CAN_gen[[#This Row],[2031]]*1000)/(CAN_cap[[#This Row],[2031]]*8760), 0)</calculatedColumnFormula>
    </tableColumn>
    <tableColumn id="29" xr3:uid="{F901BD8F-0517-4FA6-92CB-D55D2D7B46F1}" name="2032" dataDxfId="386" dataCellStyle="Normal 3">
      <calculatedColumnFormula>IFERROR((CAN_gen[[#This Row],[2032]]*1000)/(CAN_cap[[#This Row],[2032]]*8760), 0)</calculatedColumnFormula>
    </tableColumn>
    <tableColumn id="30" xr3:uid="{9620D081-37AC-458E-B9DD-AEDC3DB1C3D1}" name="2033" dataDxfId="385" dataCellStyle="Normal 3">
      <calculatedColumnFormula>IFERROR((CAN_gen[[#This Row],[2033]]*1000)/(CAN_cap[[#This Row],[2033]]*8760), 0)</calculatedColumnFormula>
    </tableColumn>
    <tableColumn id="31" xr3:uid="{CE2BBF69-34CA-4ABA-9419-1AC2BEC2CC65}" name="2034" dataDxfId="384" dataCellStyle="Normal 3">
      <calculatedColumnFormula>IFERROR((CAN_gen[[#This Row],[2034]]*1000)/(CAN_cap[[#This Row],[2034]]*8760), 0)</calculatedColumnFormula>
    </tableColumn>
    <tableColumn id="32" xr3:uid="{E1A50573-6DEB-4D9C-93A3-85CC11062A69}" name="2035" dataDxfId="383" dataCellStyle="Normal 3">
      <calculatedColumnFormula>IFERROR((CAN_gen[[#This Row],[2035]]*1000)/(CAN_cap[[#This Row],[2035]]*8760), 0)</calculatedColumnFormula>
    </tableColumn>
    <tableColumn id="33" xr3:uid="{0DD5218A-3C2F-4709-8420-5759B7DAF5A8}" name="2036" dataDxfId="382" dataCellStyle="Normal 3">
      <calculatedColumnFormula>IFERROR((CAN_gen[[#This Row],[2036]]*1000)/(CAN_cap[[#This Row],[2036]]*8760), 0)</calculatedColumnFormula>
    </tableColumn>
    <tableColumn id="34" xr3:uid="{849660B7-E7C9-4B32-9C9D-2284A73007EE}" name="2037" dataDxfId="381" dataCellStyle="Normal 3">
      <calculatedColumnFormula>IFERROR((CAN_gen[[#This Row],[2037]]*1000)/(CAN_cap[[#This Row],[2037]]*8760), 0)</calculatedColumnFormula>
    </tableColumn>
    <tableColumn id="35" xr3:uid="{CF9EB98E-D424-4068-821F-D2120D42C888}" name="2038" dataDxfId="380" dataCellStyle="Normal 3">
      <calculatedColumnFormula>IFERROR((CAN_gen[[#This Row],[2038]]*1000)/(CAN_cap[[#This Row],[2038]]*8760), 0)</calculatedColumnFormula>
    </tableColumn>
    <tableColumn id="36" xr3:uid="{F858C314-3724-4382-89FC-97C4AC525D23}" name="2039" dataDxfId="379" dataCellStyle="Normal 3">
      <calculatedColumnFormula>IFERROR((CAN_gen[[#This Row],[2039]]*1000)/(CAN_cap[[#This Row],[2039]]*8760), 0)</calculatedColumnFormula>
    </tableColumn>
    <tableColumn id="37" xr3:uid="{E0A23910-4304-4553-917D-379A83CE9745}" name="2040" dataDxfId="378" dataCellStyle="Normal 3">
      <calculatedColumnFormula>IFERROR((CAN_gen[[#This Row],[2040]]*1000)/(CAN_cap[[#This Row],[2040]]*8760), 0)</calculatedColumnFormula>
    </tableColumn>
    <tableColumn id="38" xr3:uid="{27DF29C4-CA8B-4D81-AF20-04DA8E593B37}" name="2041" dataDxfId="377" dataCellStyle="Normal 3">
      <calculatedColumnFormula>IFERROR((CAN_gen[[#This Row],[2041]]*1000)/(CAN_cap[[#This Row],[2041]]*8760), 0)</calculatedColumnFormula>
    </tableColumn>
    <tableColumn id="39" xr3:uid="{E6D6452A-43E9-4093-B4BA-EA6BAD54D643}" name="2042" dataDxfId="376" dataCellStyle="Normal 3">
      <calculatedColumnFormula>IFERROR((CAN_gen[[#This Row],[2042]]*1000)/(CAN_cap[[#This Row],[2042]]*8760), 0)</calculatedColumnFormula>
    </tableColumn>
    <tableColumn id="40" xr3:uid="{B9F4A6CB-FDF8-48EB-854F-53464921EB97}" name="2043" dataDxfId="375" dataCellStyle="Normal 3">
      <calculatedColumnFormula>IFERROR((CAN_gen[[#This Row],[2043]]*1000)/(CAN_cap[[#This Row],[2043]]*8760), 0)</calculatedColumnFormula>
    </tableColumn>
    <tableColumn id="41" xr3:uid="{61F66614-4F62-4A86-9C83-EC790A765E82}" name="2044" dataDxfId="374" dataCellStyle="Normal 3">
      <calculatedColumnFormula>IFERROR((CAN_gen[[#This Row],[2044]]*1000)/(CAN_cap[[#This Row],[2044]]*8760), 0)</calculatedColumnFormula>
    </tableColumn>
    <tableColumn id="42" xr3:uid="{0F22AB45-3A26-4D8A-A0BE-34C51B540F92}" name="2045" dataDxfId="373" dataCellStyle="Normal 3">
      <calculatedColumnFormula>IFERROR((CAN_gen[[#This Row],[2045]]*1000)/(CAN_cap[[#This Row],[2045]]*8760), 0)</calculatedColumnFormula>
    </tableColumn>
    <tableColumn id="43" xr3:uid="{497ABA6D-ABC9-4E3E-BA06-8331B7B3E2C8}" name="2046" dataDxfId="372" dataCellStyle="Normal 3">
      <calculatedColumnFormula>IFERROR((CAN_gen[[#This Row],[2046]]*1000)/(CAN_cap[[#This Row],[2046]]*8760), 0)</calculatedColumnFormula>
    </tableColumn>
    <tableColumn id="44" xr3:uid="{E897BA9E-1EE1-4FEF-9B4A-45E07B978AC7}" name="2047" dataDxfId="371" dataCellStyle="Normal 3">
      <calculatedColumnFormula>IFERROR((CAN_gen[[#This Row],[2047]]*1000)/(CAN_cap[[#This Row],[2047]]*8760), 0)</calculatedColumnFormula>
    </tableColumn>
    <tableColumn id="45" xr3:uid="{88E79083-3BF4-40EB-812C-267C7590351B}" name="2048" dataDxfId="370" dataCellStyle="Normal 3">
      <calculatedColumnFormula>IFERROR((CAN_gen[[#This Row],[2048]]*1000)/(CAN_cap[[#This Row],[2048]]*8760), 0)</calculatedColumnFormula>
    </tableColumn>
    <tableColumn id="46" xr3:uid="{86C20A5B-DEBA-42E2-9E23-1B9CE833B772}" name="2049" dataDxfId="369" dataCellStyle="Normal 3">
      <calculatedColumnFormula>IFERROR((CAN_gen[[#This Row],[2049]]*1000)/(CAN_cap[[#This Row],[2049]]*8760), 0)</calculatedColumnFormula>
    </tableColumn>
    <tableColumn id="47" xr3:uid="{236FC0D8-FF9D-4CBF-9812-BA1BA109A03D}" name="2050" dataDxfId="368"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DD81428C-71B9-44CA-9AA8-EF6689062AC0}" name="ON_cf" displayName="ON_cf" ref="A74:AU82" totalsRowShown="0">
  <tableColumns count="47">
    <tableColumn id="1" xr3:uid="{C6136AA8-868B-444C-A4E2-6FBD9618D455}" name="_"/>
    <tableColumn id="2" xr3:uid="{8DC22B06-C1B3-453B-AD7B-1EE0C939A6D4}" name="2005" dataDxfId="367" dataCellStyle="Normal 3">
      <calculatedColumnFormula>IFERROR((CAN_gen[[#This Row],[2005]]*1000)/(CAN_cap[[#This Row],[2005]]*8760), 0)</calculatedColumnFormula>
    </tableColumn>
    <tableColumn id="3" xr3:uid="{FAA0BDA7-5E26-412D-B09F-4CD0114C7AB8}" name="2006" dataDxfId="366" dataCellStyle="Normal 3">
      <calculatedColumnFormula>IFERROR((CAN_gen[[#This Row],[2006]]*1000)/(CAN_cap[[#This Row],[2006]]*8760), 0)</calculatedColumnFormula>
    </tableColumn>
    <tableColumn id="4" xr3:uid="{F36713DA-D6CE-4913-95BE-7F8186AFF4E5}" name="2007" dataDxfId="365" dataCellStyle="Normal 3">
      <calculatedColumnFormula>IFERROR((CAN_gen[[#This Row],[2007]]*1000)/(CAN_cap[[#This Row],[2007]]*8760), 0)</calculatedColumnFormula>
    </tableColumn>
    <tableColumn id="5" xr3:uid="{CEF3BF66-7D26-4859-990D-22C287A95299}" name="2008" dataDxfId="364" dataCellStyle="Normal 3">
      <calculatedColumnFormula>IFERROR((CAN_gen[[#This Row],[2008]]*1000)/(CAN_cap[[#This Row],[2008]]*8760), 0)</calculatedColumnFormula>
    </tableColumn>
    <tableColumn id="6" xr3:uid="{BE587858-EC2D-41A6-B7EE-E8059837D389}" name="2009" dataDxfId="363" dataCellStyle="Normal 3">
      <calculatedColumnFormula>IFERROR((CAN_gen[[#This Row],[2009]]*1000)/(CAN_cap[[#This Row],[2009]]*8760), 0)</calculatedColumnFormula>
    </tableColumn>
    <tableColumn id="7" xr3:uid="{24C73DF8-C79F-4065-B968-8501D1D8FA03}" name="2010" dataDxfId="362" dataCellStyle="Normal 3">
      <calculatedColumnFormula>IFERROR((CAN_gen[[#This Row],[2010]]*1000)/(CAN_cap[[#This Row],[2010]]*8760), 0)</calculatedColumnFormula>
    </tableColumn>
    <tableColumn id="8" xr3:uid="{979A3000-0591-4F6D-836C-7A5DA65AB915}" name="2011" dataDxfId="361" dataCellStyle="Normal 3">
      <calculatedColumnFormula>IFERROR((CAN_gen[[#This Row],[2011]]*1000)/(CAN_cap[[#This Row],[2011]]*8760), 0)</calculatedColumnFormula>
    </tableColumn>
    <tableColumn id="9" xr3:uid="{3BED5AF5-EABB-45E9-80E4-D1B4895B6D82}" name="2012" dataDxfId="360" dataCellStyle="Normal 3">
      <calculatedColumnFormula>IFERROR((CAN_gen[[#This Row],[2012]]*1000)/(CAN_cap[[#This Row],[2012]]*8760), 0)</calculatedColumnFormula>
    </tableColumn>
    <tableColumn id="10" xr3:uid="{45F8CA3B-4428-4352-B7E0-04751AE33C17}" name="2013" dataDxfId="359" dataCellStyle="Normal 3">
      <calculatedColumnFormula>IFERROR((CAN_gen[[#This Row],[2013]]*1000)/(CAN_cap[[#This Row],[2013]]*8760), 0)</calculatedColumnFormula>
    </tableColumn>
    <tableColumn id="11" xr3:uid="{9D8F0B66-F68F-41A3-92C1-BF8AFAE0A112}" name="2014" dataDxfId="358" dataCellStyle="Normal 3">
      <calculatedColumnFormula>IFERROR((CAN_gen[[#This Row],[2014]]*1000)/(CAN_cap[[#This Row],[2014]]*8760), 0)</calculatedColumnFormula>
    </tableColumn>
    <tableColumn id="12" xr3:uid="{9F57B6BD-AED3-4D75-ADB8-0A7DB444BA86}" name="2015" dataDxfId="357" dataCellStyle="Normal 3">
      <calculatedColumnFormula>IFERROR((CAN_gen[[#This Row],[2015]]*1000)/(CAN_cap[[#This Row],[2015]]*8760), 0)</calculatedColumnFormula>
    </tableColumn>
    <tableColumn id="13" xr3:uid="{1AB1CE77-9E07-4E94-9F06-FC4D1EED492C}" name="2016" dataDxfId="356" dataCellStyle="Normal 3">
      <calculatedColumnFormula>IFERROR((CAN_gen[[#This Row],[2016]]*1000)/(CAN_cap[[#This Row],[2016]]*8760), 0)</calculatedColumnFormula>
    </tableColumn>
    <tableColumn id="14" xr3:uid="{0FBD9624-013B-4413-9C99-52A21EF2E277}" name="2017" dataDxfId="355" dataCellStyle="Normal 3">
      <calculatedColumnFormula>IFERROR((CAN_gen[[#This Row],[2017]]*1000)/(CAN_cap[[#This Row],[2017]]*8760), 0)</calculatedColumnFormula>
    </tableColumn>
    <tableColumn id="15" xr3:uid="{8D767BE6-0A10-486F-9C14-1540C45A0EF5}" name="2018" dataDxfId="354" dataCellStyle="Normal 3">
      <calculatedColumnFormula>IFERROR((CAN_gen[[#This Row],[2018]]*1000)/(CAN_cap[[#This Row],[2018]]*8760), 0)</calculatedColumnFormula>
    </tableColumn>
    <tableColumn id="16" xr3:uid="{2E3526C3-9F51-4A3A-94CF-2FC1FFA9D65B}" name="2019" dataDxfId="353" dataCellStyle="Normal 3">
      <calculatedColumnFormula>IFERROR((CAN_gen[[#This Row],[2019]]*1000)/(CAN_cap[[#This Row],[2019]]*8760), 0)</calculatedColumnFormula>
    </tableColumn>
    <tableColumn id="17" xr3:uid="{6F03233D-98BA-43BA-82E6-2BB155A82FB6}" name="2020" dataDxfId="352" dataCellStyle="Normal 3">
      <calculatedColumnFormula>IFERROR((CAN_gen[[#This Row],[2020]]*1000)/(CAN_cap[[#This Row],[2020]]*8760), 0)</calculatedColumnFormula>
    </tableColumn>
    <tableColumn id="18" xr3:uid="{57783CA4-A136-4387-8D2B-2F4B230EAE19}" name="2021" dataDxfId="351" dataCellStyle="Normal 3">
      <calculatedColumnFormula>IFERROR((CAN_gen[[#This Row],[2021]]*1000)/(CAN_cap[[#This Row],[2021]]*8760), 0)</calculatedColumnFormula>
    </tableColumn>
    <tableColumn id="19" xr3:uid="{486AEEF5-0707-43B4-B51F-05B3B6F9D1B3}" name="2022" dataDxfId="350" dataCellStyle="Normal 3">
      <calculatedColumnFormula>IFERROR((CAN_gen[[#This Row],[2022]]*1000)/(CAN_cap[[#This Row],[2022]]*8760), 0)</calculatedColumnFormula>
    </tableColumn>
    <tableColumn id="20" xr3:uid="{B57782CC-A6B1-4D69-8BAB-E8E434D80F94}" name="2023" dataDxfId="349" dataCellStyle="Normal 3">
      <calculatedColumnFormula>IFERROR((CAN_gen[[#This Row],[2023]]*1000)/(CAN_cap[[#This Row],[2023]]*8760), 0)</calculatedColumnFormula>
    </tableColumn>
    <tableColumn id="21" xr3:uid="{27473088-EB07-495F-9355-9AD29C76A004}" name="2024" dataDxfId="348" dataCellStyle="Normal 3">
      <calculatedColumnFormula>IFERROR((CAN_gen[[#This Row],[2024]]*1000)/(CAN_cap[[#This Row],[2024]]*8760), 0)</calculatedColumnFormula>
    </tableColumn>
    <tableColumn id="22" xr3:uid="{35B7A883-DEAC-427E-A525-3FA90B0D56BD}" name="2025" dataDxfId="347" dataCellStyle="Normal 3">
      <calculatedColumnFormula>IFERROR((CAN_gen[[#This Row],[2025]]*1000)/(CAN_cap[[#This Row],[2025]]*8760), 0)</calculatedColumnFormula>
    </tableColumn>
    <tableColumn id="23" xr3:uid="{D5C1A420-BB5B-45FC-8523-114D1324F555}" name="2026" dataDxfId="346" dataCellStyle="Normal 3">
      <calculatedColumnFormula>IFERROR((CAN_gen[[#This Row],[2026]]*1000)/(CAN_cap[[#This Row],[2026]]*8760), 0)</calculatedColumnFormula>
    </tableColumn>
    <tableColumn id="24" xr3:uid="{5CAE47A3-D87D-4DF2-8EAC-49778C834C1B}" name="2027" dataDxfId="345" dataCellStyle="Normal 3">
      <calculatedColumnFormula>IFERROR((CAN_gen[[#This Row],[2027]]*1000)/(CAN_cap[[#This Row],[2027]]*8760), 0)</calculatedColumnFormula>
    </tableColumn>
    <tableColumn id="25" xr3:uid="{1D73DEF2-006C-4D2C-8566-BA98F735F489}" name="2028" dataDxfId="344" dataCellStyle="Normal 3">
      <calculatedColumnFormula>IFERROR((CAN_gen[[#This Row],[2028]]*1000)/(CAN_cap[[#This Row],[2028]]*8760), 0)</calculatedColumnFormula>
    </tableColumn>
    <tableColumn id="26" xr3:uid="{FD18C01D-7FCB-4440-A314-8F4D14C0E745}" name="2029" dataDxfId="343" dataCellStyle="Normal 3">
      <calculatedColumnFormula>IFERROR((CAN_gen[[#This Row],[2029]]*1000)/(CAN_cap[[#This Row],[2029]]*8760), 0)</calculatedColumnFormula>
    </tableColumn>
    <tableColumn id="27" xr3:uid="{9DD16387-AD85-4745-9A66-987A5D42A6B7}" name="2030" dataDxfId="342" dataCellStyle="Normal 3">
      <calculatedColumnFormula>IFERROR((CAN_gen[[#This Row],[2030]]*1000)/(CAN_cap[[#This Row],[2030]]*8760), 0)</calculatedColumnFormula>
    </tableColumn>
    <tableColumn id="28" xr3:uid="{68FDB494-F044-41C3-89A9-757D6A72758A}" name="2031" dataDxfId="341" dataCellStyle="Normal 3">
      <calculatedColumnFormula>IFERROR((CAN_gen[[#This Row],[2031]]*1000)/(CAN_cap[[#This Row],[2031]]*8760), 0)</calculatedColumnFormula>
    </tableColumn>
    <tableColumn id="29" xr3:uid="{25DEA771-2C1B-459C-BBE9-63CB88DD72CE}" name="2032" dataDxfId="340" dataCellStyle="Normal 3">
      <calculatedColumnFormula>IFERROR((CAN_gen[[#This Row],[2032]]*1000)/(CAN_cap[[#This Row],[2032]]*8760), 0)</calculatedColumnFormula>
    </tableColumn>
    <tableColumn id="30" xr3:uid="{B91DA5C5-14BA-4954-9C18-5BBA428C929E}" name="2033" dataDxfId="339" dataCellStyle="Normal 3">
      <calculatedColumnFormula>IFERROR((CAN_gen[[#This Row],[2033]]*1000)/(CAN_cap[[#This Row],[2033]]*8760), 0)</calculatedColumnFormula>
    </tableColumn>
    <tableColumn id="31" xr3:uid="{F8A0CE1D-34EA-4387-80F4-8328E48375D9}" name="2034" dataDxfId="338" dataCellStyle="Normal 3">
      <calculatedColumnFormula>IFERROR((CAN_gen[[#This Row],[2034]]*1000)/(CAN_cap[[#This Row],[2034]]*8760), 0)</calculatedColumnFormula>
    </tableColumn>
    <tableColumn id="32" xr3:uid="{F5B59064-EB74-4DC1-8805-CF81737BE901}" name="2035" dataDxfId="337" dataCellStyle="Normal 3">
      <calculatedColumnFormula>IFERROR((CAN_gen[[#This Row],[2035]]*1000)/(CAN_cap[[#This Row],[2035]]*8760), 0)</calculatedColumnFormula>
    </tableColumn>
    <tableColumn id="33" xr3:uid="{DA6C04C4-3593-4D4B-ABBE-CE9D097AA7CA}" name="2036" dataDxfId="336" dataCellStyle="Normal 3">
      <calculatedColumnFormula>IFERROR((CAN_gen[[#This Row],[2036]]*1000)/(CAN_cap[[#This Row],[2036]]*8760), 0)</calculatedColumnFormula>
    </tableColumn>
    <tableColumn id="34" xr3:uid="{B73538BD-0582-4222-A7F9-84F572C4E408}" name="2037" dataDxfId="335" dataCellStyle="Normal 3">
      <calculatedColumnFormula>IFERROR((CAN_gen[[#This Row],[2037]]*1000)/(CAN_cap[[#This Row],[2037]]*8760), 0)</calculatedColumnFormula>
    </tableColumn>
    <tableColumn id="35" xr3:uid="{4E04334E-7394-4EBF-A52A-6DE2CAC92877}" name="2038" dataDxfId="334" dataCellStyle="Normal 3">
      <calculatedColumnFormula>IFERROR((CAN_gen[[#This Row],[2038]]*1000)/(CAN_cap[[#This Row],[2038]]*8760), 0)</calculatedColumnFormula>
    </tableColumn>
    <tableColumn id="36" xr3:uid="{3873E34A-4E34-49CB-8FA0-B7126C341143}" name="2039" dataDxfId="333" dataCellStyle="Normal 3">
      <calculatedColumnFormula>IFERROR((CAN_gen[[#This Row],[2039]]*1000)/(CAN_cap[[#This Row],[2039]]*8760), 0)</calculatedColumnFormula>
    </tableColumn>
    <tableColumn id="37" xr3:uid="{C0C9F85C-D498-4649-9719-5F379E4CF3ED}" name="2040" dataDxfId="332" dataCellStyle="Normal 3">
      <calculatedColumnFormula>IFERROR((CAN_gen[[#This Row],[2040]]*1000)/(CAN_cap[[#This Row],[2040]]*8760), 0)</calculatedColumnFormula>
    </tableColumn>
    <tableColumn id="38" xr3:uid="{16EAABE0-C7EC-442B-BDDC-0A4F5AD80BAE}" name="2041" dataDxfId="331" dataCellStyle="Normal 3">
      <calculatedColumnFormula>IFERROR((CAN_gen[[#This Row],[2041]]*1000)/(CAN_cap[[#This Row],[2041]]*8760), 0)</calculatedColumnFormula>
    </tableColumn>
    <tableColumn id="39" xr3:uid="{91A9B5B4-8FC2-4344-B714-F133A491CA38}" name="2042" dataDxfId="330" dataCellStyle="Normal 3">
      <calculatedColumnFormula>IFERROR((CAN_gen[[#This Row],[2042]]*1000)/(CAN_cap[[#This Row],[2042]]*8760), 0)</calculatedColumnFormula>
    </tableColumn>
    <tableColumn id="40" xr3:uid="{74C2B051-A4A4-4EAD-9688-776B33A472ED}" name="2043" dataDxfId="329" dataCellStyle="Normal 3">
      <calculatedColumnFormula>IFERROR((CAN_gen[[#This Row],[2043]]*1000)/(CAN_cap[[#This Row],[2043]]*8760), 0)</calculatedColumnFormula>
    </tableColumn>
    <tableColumn id="41" xr3:uid="{102B97A3-40F9-4469-B0E9-5A1D14574E50}" name="2044" dataDxfId="328" dataCellStyle="Normal 3">
      <calculatedColumnFormula>IFERROR((CAN_gen[[#This Row],[2044]]*1000)/(CAN_cap[[#This Row],[2044]]*8760), 0)</calculatedColumnFormula>
    </tableColumn>
    <tableColumn id="42" xr3:uid="{D62666BA-26D2-43D9-9A14-D620A97F62E1}" name="2045" dataDxfId="327" dataCellStyle="Normal 3">
      <calculatedColumnFormula>IFERROR((CAN_gen[[#This Row],[2045]]*1000)/(CAN_cap[[#This Row],[2045]]*8760), 0)</calculatedColumnFormula>
    </tableColumn>
    <tableColumn id="43" xr3:uid="{0EB42118-5A10-4C35-A9D2-295566FE7FD8}" name="2046" dataDxfId="326" dataCellStyle="Normal 3">
      <calculatedColumnFormula>IFERROR((CAN_gen[[#This Row],[2046]]*1000)/(CAN_cap[[#This Row],[2046]]*8760), 0)</calculatedColumnFormula>
    </tableColumn>
    <tableColumn id="44" xr3:uid="{CF82273F-DAC4-4414-89D2-4FD6066F930C}" name="2047" dataDxfId="325" dataCellStyle="Normal 3">
      <calculatedColumnFormula>IFERROR((CAN_gen[[#This Row],[2047]]*1000)/(CAN_cap[[#This Row],[2047]]*8760), 0)</calculatedColumnFormula>
    </tableColumn>
    <tableColumn id="45" xr3:uid="{799B03E4-86BD-456D-AB46-341C95F5146C}" name="2048" dataDxfId="324" dataCellStyle="Normal 3">
      <calculatedColumnFormula>IFERROR((CAN_gen[[#This Row],[2048]]*1000)/(CAN_cap[[#This Row],[2048]]*8760), 0)</calculatedColumnFormula>
    </tableColumn>
    <tableColumn id="46" xr3:uid="{FB0B6774-FD3A-47D3-865C-DF02A2D4407B}" name="2049" dataDxfId="323" dataCellStyle="Normal 3">
      <calculatedColumnFormula>IFERROR((CAN_gen[[#This Row],[2049]]*1000)/(CAN_cap[[#This Row],[2049]]*8760), 0)</calculatedColumnFormula>
    </tableColumn>
    <tableColumn id="47" xr3:uid="{90B1C35C-199F-491F-94D8-CC74AFB8C290}" name="2050" dataDxfId="322"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838B76D-E08C-4C34-9AD8-09D9D39D9698}" name="MB_cf" displayName="MB_cf" ref="A85:AU93" totalsRowShown="0">
  <tableColumns count="47">
    <tableColumn id="1" xr3:uid="{8D69A194-BC7F-4F45-9DFE-C74737F08E0C}" name="_"/>
    <tableColumn id="2" xr3:uid="{DD5A540A-8E2A-4E6A-8FDE-73584E4EC343}" name="2005" dataDxfId="321" dataCellStyle="Normal 3">
      <calculatedColumnFormula>IFERROR((CAN_gen[[#This Row],[2005]]*1000)/(CAN_cap[[#This Row],[2005]]*8760), 0)</calculatedColumnFormula>
    </tableColumn>
    <tableColumn id="3" xr3:uid="{838965E3-BCE3-41B3-A2B2-D7330E28904E}" name="2006" dataDxfId="320" dataCellStyle="Normal 3">
      <calculatedColumnFormula>IFERROR((CAN_gen[[#This Row],[2006]]*1000)/(CAN_cap[[#This Row],[2006]]*8760), 0)</calculatedColumnFormula>
    </tableColumn>
    <tableColumn id="4" xr3:uid="{C58C1ECC-D1E8-46E5-98C4-EE426A5A6E7D}" name="2007" dataDxfId="319" dataCellStyle="Normal 3">
      <calculatedColumnFormula>IFERROR((CAN_gen[[#This Row],[2007]]*1000)/(CAN_cap[[#This Row],[2007]]*8760), 0)</calculatedColumnFormula>
    </tableColumn>
    <tableColumn id="5" xr3:uid="{EDE2C296-BAD5-405E-855E-F6F463EDD2C9}" name="2008" dataDxfId="318" dataCellStyle="Normal 3">
      <calculatedColumnFormula>IFERROR((CAN_gen[[#This Row],[2008]]*1000)/(CAN_cap[[#This Row],[2008]]*8760), 0)</calculatedColumnFormula>
    </tableColumn>
    <tableColumn id="6" xr3:uid="{C5AA6827-8752-4648-9F2C-A44410E12CB7}" name="2009" dataDxfId="317" dataCellStyle="Normal 3">
      <calculatedColumnFormula>IFERROR((CAN_gen[[#This Row],[2009]]*1000)/(CAN_cap[[#This Row],[2009]]*8760), 0)</calculatedColumnFormula>
    </tableColumn>
    <tableColumn id="7" xr3:uid="{395B6A21-6BCF-4802-86B9-53A6C66C0496}" name="2010" dataDxfId="316" dataCellStyle="Normal 3">
      <calculatedColumnFormula>IFERROR((CAN_gen[[#This Row],[2010]]*1000)/(CAN_cap[[#This Row],[2010]]*8760), 0)</calculatedColumnFormula>
    </tableColumn>
    <tableColumn id="8" xr3:uid="{6196C98A-62F6-456C-B1A3-800C73E6D6C2}" name="2011" dataDxfId="315" dataCellStyle="Normal 3">
      <calculatedColumnFormula>IFERROR((CAN_gen[[#This Row],[2011]]*1000)/(CAN_cap[[#This Row],[2011]]*8760), 0)</calculatedColumnFormula>
    </tableColumn>
    <tableColumn id="9" xr3:uid="{8F4CE4C7-F4FF-4A2D-B076-D49F2AEF62BE}" name="2012" dataDxfId="314" dataCellStyle="Normal 3">
      <calculatedColumnFormula>IFERROR((CAN_gen[[#This Row],[2012]]*1000)/(CAN_cap[[#This Row],[2012]]*8760), 0)</calculatedColumnFormula>
    </tableColumn>
    <tableColumn id="10" xr3:uid="{A38A4F81-1711-401A-A5F5-39A9A5E8F99E}" name="2013" dataDxfId="313" dataCellStyle="Normal 3">
      <calculatedColumnFormula>IFERROR((CAN_gen[[#This Row],[2013]]*1000)/(CAN_cap[[#This Row],[2013]]*8760), 0)</calculatedColumnFormula>
    </tableColumn>
    <tableColumn id="11" xr3:uid="{5A43C3B4-5996-490D-841D-6960467997FB}" name="2014" dataDxfId="312" dataCellStyle="Normal 3">
      <calculatedColumnFormula>IFERROR((CAN_gen[[#This Row],[2014]]*1000)/(CAN_cap[[#This Row],[2014]]*8760), 0)</calculatedColumnFormula>
    </tableColumn>
    <tableColumn id="12" xr3:uid="{DD778DF3-BA27-43EC-96D0-DDE0DAB26E46}" name="2015" dataDxfId="311" dataCellStyle="Normal 3">
      <calculatedColumnFormula>IFERROR((CAN_gen[[#This Row],[2015]]*1000)/(CAN_cap[[#This Row],[2015]]*8760), 0)</calculatedColumnFormula>
    </tableColumn>
    <tableColumn id="13" xr3:uid="{CB72D837-0652-498E-876E-04DA7889C3C9}" name="2016" dataDxfId="310" dataCellStyle="Normal 3">
      <calculatedColumnFormula>IFERROR((CAN_gen[[#This Row],[2016]]*1000)/(CAN_cap[[#This Row],[2016]]*8760), 0)</calculatedColumnFormula>
    </tableColumn>
    <tableColumn id="14" xr3:uid="{2F17FE7C-CBD7-47F5-A469-23DAFE2A8AA3}" name="2017" dataDxfId="309" dataCellStyle="Normal 3">
      <calculatedColumnFormula>IFERROR((CAN_gen[[#This Row],[2017]]*1000)/(CAN_cap[[#This Row],[2017]]*8760), 0)</calculatedColumnFormula>
    </tableColumn>
    <tableColumn id="15" xr3:uid="{7824B8D8-D210-4893-BCAD-2FFAF09F478C}" name="2018" dataDxfId="308" dataCellStyle="Normal 3">
      <calculatedColumnFormula>IFERROR((CAN_gen[[#This Row],[2018]]*1000)/(CAN_cap[[#This Row],[2018]]*8760), 0)</calculatedColumnFormula>
    </tableColumn>
    <tableColumn id="16" xr3:uid="{A572CC4B-DE7D-43A9-8A55-AE9FF2889F94}" name="2019" dataDxfId="307" dataCellStyle="Normal 3">
      <calculatedColumnFormula>IFERROR((CAN_gen[[#This Row],[2019]]*1000)/(CAN_cap[[#This Row],[2019]]*8760), 0)</calculatedColumnFormula>
    </tableColumn>
    <tableColumn id="17" xr3:uid="{8228D019-F840-4444-85EA-8F5A8B0DEA4C}" name="2020" dataDxfId="306" dataCellStyle="Normal 3">
      <calculatedColumnFormula>IFERROR((CAN_gen[[#This Row],[2020]]*1000)/(CAN_cap[[#This Row],[2020]]*8760), 0)</calculatedColumnFormula>
    </tableColumn>
    <tableColumn id="18" xr3:uid="{AFED620F-538A-48F6-9C31-5471BEF20A3A}" name="2021" dataDxfId="305" dataCellStyle="Normal 3">
      <calculatedColumnFormula>IFERROR((CAN_gen[[#This Row],[2021]]*1000)/(CAN_cap[[#This Row],[2021]]*8760), 0)</calculatedColumnFormula>
    </tableColumn>
    <tableColumn id="19" xr3:uid="{D697E086-95E7-42F6-9BCC-4D394FF599F6}" name="2022" dataDxfId="304" dataCellStyle="Normal 3">
      <calculatedColumnFormula>IFERROR((CAN_gen[[#This Row],[2022]]*1000)/(CAN_cap[[#This Row],[2022]]*8760), 0)</calculatedColumnFormula>
    </tableColumn>
    <tableColumn id="20" xr3:uid="{5C37CF44-B8D2-4106-B556-A2017585A0CF}" name="2023" dataDxfId="303" dataCellStyle="Normal 3">
      <calculatedColumnFormula>IFERROR((CAN_gen[[#This Row],[2023]]*1000)/(CAN_cap[[#This Row],[2023]]*8760), 0)</calculatedColumnFormula>
    </tableColumn>
    <tableColumn id="21" xr3:uid="{BEC310A1-F25D-4334-A72E-C8CDA390B657}" name="2024" dataDxfId="302" dataCellStyle="Normal 3">
      <calculatedColumnFormula>IFERROR((CAN_gen[[#This Row],[2024]]*1000)/(CAN_cap[[#This Row],[2024]]*8760), 0)</calculatedColumnFormula>
    </tableColumn>
    <tableColumn id="22" xr3:uid="{C9B01485-6087-42AC-909C-E9D08687690C}" name="2025" dataDxfId="301" dataCellStyle="Normal 3">
      <calculatedColumnFormula>IFERROR((CAN_gen[[#This Row],[2025]]*1000)/(CAN_cap[[#This Row],[2025]]*8760), 0)</calculatedColumnFormula>
    </tableColumn>
    <tableColumn id="23" xr3:uid="{2EB3AC19-39B6-4E3F-AD81-591248339DD7}" name="2026" dataDxfId="300" dataCellStyle="Normal 3">
      <calculatedColumnFormula>IFERROR((CAN_gen[[#This Row],[2026]]*1000)/(CAN_cap[[#This Row],[2026]]*8760), 0)</calculatedColumnFormula>
    </tableColumn>
    <tableColumn id="24" xr3:uid="{D21B18C2-B63A-486C-8795-82E053B00E86}" name="2027" dataDxfId="299" dataCellStyle="Normal 3">
      <calculatedColumnFormula>IFERROR((CAN_gen[[#This Row],[2027]]*1000)/(CAN_cap[[#This Row],[2027]]*8760), 0)</calculatedColumnFormula>
    </tableColumn>
    <tableColumn id="25" xr3:uid="{86285553-7E67-4322-9D70-20D30D607B4B}" name="2028" dataDxfId="298" dataCellStyle="Normal 3">
      <calculatedColumnFormula>IFERROR((CAN_gen[[#This Row],[2028]]*1000)/(CAN_cap[[#This Row],[2028]]*8760), 0)</calculatedColumnFormula>
    </tableColumn>
    <tableColumn id="26" xr3:uid="{68934F48-B1FD-4EBB-8717-04D302E63791}" name="2029" dataDxfId="297" dataCellStyle="Normal 3">
      <calculatedColumnFormula>IFERROR((CAN_gen[[#This Row],[2029]]*1000)/(CAN_cap[[#This Row],[2029]]*8760), 0)</calculatedColumnFormula>
    </tableColumn>
    <tableColumn id="27" xr3:uid="{8388C6AC-CB2B-41E0-979D-7E7AD52C3478}" name="2030" dataDxfId="296" dataCellStyle="Normal 3">
      <calculatedColumnFormula>IFERROR((CAN_gen[[#This Row],[2030]]*1000)/(CAN_cap[[#This Row],[2030]]*8760), 0)</calculatedColumnFormula>
    </tableColumn>
    <tableColumn id="28" xr3:uid="{48834EDC-CDB9-4F81-A14B-EA9E37D9E5C7}" name="2031" dataDxfId="295" dataCellStyle="Normal 3">
      <calculatedColumnFormula>IFERROR((CAN_gen[[#This Row],[2031]]*1000)/(CAN_cap[[#This Row],[2031]]*8760), 0)</calculatedColumnFormula>
    </tableColumn>
    <tableColumn id="29" xr3:uid="{85BC0216-AAF3-42AD-8B34-A1F444D829FD}" name="2032" dataDxfId="294" dataCellStyle="Normal 3">
      <calculatedColumnFormula>IFERROR((CAN_gen[[#This Row],[2032]]*1000)/(CAN_cap[[#This Row],[2032]]*8760), 0)</calculatedColumnFormula>
    </tableColumn>
    <tableColumn id="30" xr3:uid="{256788BF-7FC3-455C-B4F1-B3D62571706F}" name="2033" dataDxfId="293" dataCellStyle="Normal 3">
      <calculatedColumnFormula>IFERROR((CAN_gen[[#This Row],[2033]]*1000)/(CAN_cap[[#This Row],[2033]]*8760), 0)</calculatedColumnFormula>
    </tableColumn>
    <tableColumn id="31" xr3:uid="{CDF43F4F-AAFD-4AED-812C-2FF9B898CB26}" name="2034" dataDxfId="292" dataCellStyle="Normal 3">
      <calculatedColumnFormula>IFERROR((CAN_gen[[#This Row],[2034]]*1000)/(CAN_cap[[#This Row],[2034]]*8760), 0)</calculatedColumnFormula>
    </tableColumn>
    <tableColumn id="32" xr3:uid="{CCC36DBA-E574-423B-8624-D6D28EDF9E8D}" name="2035" dataDxfId="291" dataCellStyle="Normal 3">
      <calculatedColumnFormula>IFERROR((CAN_gen[[#This Row],[2035]]*1000)/(CAN_cap[[#This Row],[2035]]*8760), 0)</calculatedColumnFormula>
    </tableColumn>
    <tableColumn id="33" xr3:uid="{AE393C40-034A-4A24-981A-5182FCFD9B3E}" name="2036" dataDxfId="290" dataCellStyle="Normal 3">
      <calculatedColumnFormula>IFERROR((CAN_gen[[#This Row],[2036]]*1000)/(CAN_cap[[#This Row],[2036]]*8760), 0)</calculatedColumnFormula>
    </tableColumn>
    <tableColumn id="34" xr3:uid="{249BCF9C-BAEB-4B37-98E3-163799187B0F}" name="2037" dataDxfId="289" dataCellStyle="Normal 3">
      <calculatedColumnFormula>IFERROR((CAN_gen[[#This Row],[2037]]*1000)/(CAN_cap[[#This Row],[2037]]*8760), 0)</calculatedColumnFormula>
    </tableColumn>
    <tableColumn id="35" xr3:uid="{4CF3F30E-C5D8-4750-84D8-19F67886503B}" name="2038" dataDxfId="288" dataCellStyle="Normal 3">
      <calculatedColumnFormula>IFERROR((CAN_gen[[#This Row],[2038]]*1000)/(CAN_cap[[#This Row],[2038]]*8760), 0)</calculatedColumnFormula>
    </tableColumn>
    <tableColumn id="36" xr3:uid="{4D04BC09-47F2-4407-8C13-CFD31F050889}" name="2039" dataDxfId="287" dataCellStyle="Normal 3">
      <calculatedColumnFormula>IFERROR((CAN_gen[[#This Row],[2039]]*1000)/(CAN_cap[[#This Row],[2039]]*8760), 0)</calculatedColumnFormula>
    </tableColumn>
    <tableColumn id="37" xr3:uid="{C33CA941-740E-49AD-8B62-E798286C9B31}" name="2040" dataDxfId="286" dataCellStyle="Normal 3">
      <calculatedColumnFormula>IFERROR((CAN_gen[[#This Row],[2040]]*1000)/(CAN_cap[[#This Row],[2040]]*8760), 0)</calculatedColumnFormula>
    </tableColumn>
    <tableColumn id="38" xr3:uid="{42B2DB44-EE84-4741-86B2-EF164567E4E0}" name="2041" dataDxfId="285" dataCellStyle="Normal 3">
      <calculatedColumnFormula>IFERROR((CAN_gen[[#This Row],[2041]]*1000)/(CAN_cap[[#This Row],[2041]]*8760), 0)</calculatedColumnFormula>
    </tableColumn>
    <tableColumn id="39" xr3:uid="{01E57905-61E9-464E-99CB-8DA0D318CAFD}" name="2042" dataDxfId="284" dataCellStyle="Normal 3">
      <calculatedColumnFormula>IFERROR((CAN_gen[[#This Row],[2042]]*1000)/(CAN_cap[[#This Row],[2042]]*8760), 0)</calculatedColumnFormula>
    </tableColumn>
    <tableColumn id="40" xr3:uid="{399C4C52-071B-41E3-92A4-59C48584CF90}" name="2043" dataDxfId="283" dataCellStyle="Normal 3">
      <calculatedColumnFormula>IFERROR((CAN_gen[[#This Row],[2043]]*1000)/(CAN_cap[[#This Row],[2043]]*8760), 0)</calculatedColumnFormula>
    </tableColumn>
    <tableColumn id="41" xr3:uid="{4299C34F-79A9-4A96-8CC3-7059C3D26B7A}" name="2044" dataDxfId="282" dataCellStyle="Normal 3">
      <calculatedColumnFormula>IFERROR((CAN_gen[[#This Row],[2044]]*1000)/(CAN_cap[[#This Row],[2044]]*8760), 0)</calculatedColumnFormula>
    </tableColumn>
    <tableColumn id="42" xr3:uid="{02EB45B5-0F8A-4060-AF84-90AFB814EE9D}" name="2045" dataDxfId="281" dataCellStyle="Normal 3">
      <calculatedColumnFormula>IFERROR((CAN_gen[[#This Row],[2045]]*1000)/(CAN_cap[[#This Row],[2045]]*8760), 0)</calculatedColumnFormula>
    </tableColumn>
    <tableColumn id="43" xr3:uid="{FFB48B64-1C45-4203-94BC-B3DB1923C6BC}" name="2046" dataDxfId="280" dataCellStyle="Normal 3">
      <calculatedColumnFormula>IFERROR((CAN_gen[[#This Row],[2046]]*1000)/(CAN_cap[[#This Row],[2046]]*8760), 0)</calculatedColumnFormula>
    </tableColumn>
    <tableColumn id="44" xr3:uid="{1817709F-7F5D-4428-91BA-DCFAE7ABF33F}" name="2047" dataDxfId="279" dataCellStyle="Normal 3">
      <calculatedColumnFormula>IFERROR((CAN_gen[[#This Row],[2047]]*1000)/(CAN_cap[[#This Row],[2047]]*8760), 0)</calculatedColumnFormula>
    </tableColumn>
    <tableColumn id="45" xr3:uid="{CA4DDFB9-42C0-42AC-BFC4-F594E2FB5AAF}" name="2048" dataDxfId="278" dataCellStyle="Normal 3">
      <calculatedColumnFormula>IFERROR((CAN_gen[[#This Row],[2048]]*1000)/(CAN_cap[[#This Row],[2048]]*8760), 0)</calculatedColumnFormula>
    </tableColumn>
    <tableColumn id="46" xr3:uid="{27F305AF-A51B-4A17-B8B8-135E34B93288}" name="2049" dataDxfId="277" dataCellStyle="Normal 3">
      <calculatedColumnFormula>IFERROR((CAN_gen[[#This Row],[2049]]*1000)/(CAN_cap[[#This Row],[2049]]*8760), 0)</calculatedColumnFormula>
    </tableColumn>
    <tableColumn id="47" xr3:uid="{70565DE5-9A14-4537-B36D-F3161DD0B62B}" name="2050" dataDxfId="276"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876AACE-A8C6-437F-96D3-C6D7FE932069}" name="AB_cf" displayName="AB_cf" ref="A96:AU104" totalsRowShown="0">
  <tableColumns count="47">
    <tableColumn id="1" xr3:uid="{D2291416-3304-4828-BE16-EA207389460B}" name="_"/>
    <tableColumn id="2" xr3:uid="{D4E3F033-BCE3-4368-BE95-ACE0D87EFC54}" name="2005" dataDxfId="275" dataCellStyle="Normal 3">
      <calculatedColumnFormula>IFERROR((CAN_gen[[#This Row],[2005]]*1000)/(CAN_cap[[#This Row],[2005]]*8760), 0)</calculatedColumnFormula>
    </tableColumn>
    <tableColumn id="3" xr3:uid="{8FBB0BA5-7F72-4275-81EB-F36F83C5B922}" name="2006" dataDxfId="274" dataCellStyle="Normal 3">
      <calculatedColumnFormula>IFERROR((CAN_gen[[#This Row],[2006]]*1000)/(CAN_cap[[#This Row],[2006]]*8760), 0)</calculatedColumnFormula>
    </tableColumn>
    <tableColumn id="4" xr3:uid="{11BBF56F-52FE-494B-BD8E-E08CEF6BD1BE}" name="2007" dataDxfId="273" dataCellStyle="Normal 3">
      <calculatedColumnFormula>IFERROR((CAN_gen[[#This Row],[2007]]*1000)/(CAN_cap[[#This Row],[2007]]*8760), 0)</calculatedColumnFormula>
    </tableColumn>
    <tableColumn id="5" xr3:uid="{3F80594D-2973-43FD-B4E5-0138319020C9}" name="2008" dataDxfId="272" dataCellStyle="Normal 3">
      <calculatedColumnFormula>IFERROR((CAN_gen[[#This Row],[2008]]*1000)/(CAN_cap[[#This Row],[2008]]*8760), 0)</calculatedColumnFormula>
    </tableColumn>
    <tableColumn id="6" xr3:uid="{24F3C817-EDB9-4F72-87EB-51059C618D84}" name="2009" dataDxfId="271" dataCellStyle="Normal 3">
      <calculatedColumnFormula>IFERROR((CAN_gen[[#This Row],[2009]]*1000)/(CAN_cap[[#This Row],[2009]]*8760), 0)</calculatedColumnFormula>
    </tableColumn>
    <tableColumn id="7" xr3:uid="{2D0D097A-8B6B-4E8F-AE67-318428E839EF}" name="2010" dataDxfId="270" dataCellStyle="Normal 3">
      <calculatedColumnFormula>IFERROR((CAN_gen[[#This Row],[2010]]*1000)/(CAN_cap[[#This Row],[2010]]*8760), 0)</calculatedColumnFormula>
    </tableColumn>
    <tableColumn id="8" xr3:uid="{559EE9BA-605B-4B3A-988A-3A738962B314}" name="2011" dataDxfId="269" dataCellStyle="Normal 3">
      <calculatedColumnFormula>IFERROR((CAN_gen[[#This Row],[2011]]*1000)/(CAN_cap[[#This Row],[2011]]*8760), 0)</calculatedColumnFormula>
    </tableColumn>
    <tableColumn id="9" xr3:uid="{E3F25204-7361-43E7-86B4-5D7289F913D8}" name="2012" dataDxfId="268" dataCellStyle="Normal 3">
      <calculatedColumnFormula>IFERROR((CAN_gen[[#This Row],[2012]]*1000)/(CAN_cap[[#This Row],[2012]]*8760), 0)</calculatedColumnFormula>
    </tableColumn>
    <tableColumn id="10" xr3:uid="{C1C49932-321C-46B2-BADD-EC776756064D}" name="2013" dataDxfId="267" dataCellStyle="Normal 3">
      <calculatedColumnFormula>IFERROR((CAN_gen[[#This Row],[2013]]*1000)/(CAN_cap[[#This Row],[2013]]*8760), 0)</calculatedColumnFormula>
    </tableColumn>
    <tableColumn id="11" xr3:uid="{E306709D-985F-4BFF-A92D-3DFB3FD89F73}" name="2014" dataDxfId="266" dataCellStyle="Normal 3">
      <calculatedColumnFormula>IFERROR((CAN_gen[[#This Row],[2014]]*1000)/(CAN_cap[[#This Row],[2014]]*8760), 0)</calculatedColumnFormula>
    </tableColumn>
    <tableColumn id="12" xr3:uid="{51E231C4-DA0C-47CA-ACC4-1C132BB7C49A}" name="2015" dataDxfId="265" dataCellStyle="Normal 3">
      <calculatedColumnFormula>IFERROR((CAN_gen[[#This Row],[2015]]*1000)/(CAN_cap[[#This Row],[2015]]*8760), 0)</calculatedColumnFormula>
    </tableColumn>
    <tableColumn id="13" xr3:uid="{0B07F31D-966F-4A07-BEBF-3DF5CA8B5F47}" name="2016" dataDxfId="264" dataCellStyle="Normal 3">
      <calculatedColumnFormula>IFERROR((CAN_gen[[#This Row],[2016]]*1000)/(CAN_cap[[#This Row],[2016]]*8760), 0)</calculatedColumnFormula>
    </tableColumn>
    <tableColumn id="14" xr3:uid="{52D43CCC-5A01-4EBE-BE7F-ABE91DB52B54}" name="2017" dataDxfId="263" dataCellStyle="Normal 3">
      <calculatedColumnFormula>IFERROR((CAN_gen[[#This Row],[2017]]*1000)/(CAN_cap[[#This Row],[2017]]*8760), 0)</calculatedColumnFormula>
    </tableColumn>
    <tableColumn id="15" xr3:uid="{E0B77440-83F4-4D21-99EB-D2F356E62ADC}" name="2018" dataDxfId="262" dataCellStyle="Normal 3">
      <calculatedColumnFormula>IFERROR((CAN_gen[[#This Row],[2018]]*1000)/(CAN_cap[[#This Row],[2018]]*8760), 0)</calculatedColumnFormula>
    </tableColumn>
    <tableColumn id="16" xr3:uid="{58150C66-5B36-4DC5-8F55-A74C33FBD567}" name="2019" dataDxfId="261" dataCellStyle="Normal 3">
      <calculatedColumnFormula>IFERROR((CAN_gen[[#This Row],[2019]]*1000)/(CAN_cap[[#This Row],[2019]]*8760), 0)</calculatedColumnFormula>
    </tableColumn>
    <tableColumn id="17" xr3:uid="{335967F6-EF89-45DA-BCB7-9258AC2CADAF}" name="2020" dataDxfId="260" dataCellStyle="Normal 3">
      <calculatedColumnFormula>IFERROR((CAN_gen[[#This Row],[2020]]*1000)/(CAN_cap[[#This Row],[2020]]*8760), 0)</calculatedColumnFormula>
    </tableColumn>
    <tableColumn id="18" xr3:uid="{C06BC460-831E-4039-9C8D-F76B3B386EAF}" name="2021" dataDxfId="259" dataCellStyle="Normal 3">
      <calculatedColumnFormula>IFERROR((CAN_gen[[#This Row],[2021]]*1000)/(CAN_cap[[#This Row],[2021]]*8760), 0)</calculatedColumnFormula>
    </tableColumn>
    <tableColumn id="19" xr3:uid="{CDD337B9-59B7-440E-9E8D-D54284830C20}" name="2022" dataDxfId="258" dataCellStyle="Normal 3">
      <calculatedColumnFormula>IFERROR((CAN_gen[[#This Row],[2022]]*1000)/(CAN_cap[[#This Row],[2022]]*8760), 0)</calculatedColumnFormula>
    </tableColumn>
    <tableColumn id="20" xr3:uid="{2DFB3EBC-0A36-46DD-AE44-64C723080367}" name="2023" dataDxfId="257" dataCellStyle="Normal 3">
      <calculatedColumnFormula>IFERROR((CAN_gen[[#This Row],[2023]]*1000)/(CAN_cap[[#This Row],[2023]]*8760), 0)</calculatedColumnFormula>
    </tableColumn>
    <tableColumn id="21" xr3:uid="{E5E66CDE-0A07-49EA-B04F-DE82CFC0650A}" name="2024" dataDxfId="256" dataCellStyle="Normal 3">
      <calculatedColumnFormula>IFERROR((CAN_gen[[#This Row],[2024]]*1000)/(CAN_cap[[#This Row],[2024]]*8760), 0)</calculatedColumnFormula>
    </tableColumn>
    <tableColumn id="22" xr3:uid="{5DA7FBD2-AB2F-40BF-93DA-749C8DD6D3D9}" name="2025" dataDxfId="255" dataCellStyle="Normal 3">
      <calculatedColumnFormula>IFERROR((CAN_gen[[#This Row],[2025]]*1000)/(CAN_cap[[#This Row],[2025]]*8760), 0)</calculatedColumnFormula>
    </tableColumn>
    <tableColumn id="23" xr3:uid="{413EB2DE-23BF-4972-A432-8643BF6DFF63}" name="2026" dataDxfId="254" dataCellStyle="Normal 3">
      <calculatedColumnFormula>IFERROR((CAN_gen[[#This Row],[2026]]*1000)/(CAN_cap[[#This Row],[2026]]*8760), 0)</calculatedColumnFormula>
    </tableColumn>
    <tableColumn id="24" xr3:uid="{79CFCB57-E077-48E6-B565-262FDC75FEB4}" name="2027" dataDxfId="253" dataCellStyle="Normal 3">
      <calculatedColumnFormula>IFERROR((CAN_gen[[#This Row],[2027]]*1000)/(CAN_cap[[#This Row],[2027]]*8760), 0)</calculatedColumnFormula>
    </tableColumn>
    <tableColumn id="25" xr3:uid="{0476465F-D3B8-4EA8-BFBD-2D2E129198D0}" name="2028" dataDxfId="252" dataCellStyle="Normal 3">
      <calculatedColumnFormula>IFERROR((CAN_gen[[#This Row],[2028]]*1000)/(CAN_cap[[#This Row],[2028]]*8760), 0)</calculatedColumnFormula>
    </tableColumn>
    <tableColumn id="26" xr3:uid="{436AACD7-0F4C-4F24-9852-FF1FC19D1B9A}" name="2029" dataDxfId="251" dataCellStyle="Normal 3">
      <calculatedColumnFormula>IFERROR((CAN_gen[[#This Row],[2029]]*1000)/(CAN_cap[[#This Row],[2029]]*8760), 0)</calculatedColumnFormula>
    </tableColumn>
    <tableColumn id="27" xr3:uid="{93395BEB-1F56-4E2C-835D-29BA6BD91902}" name="2030" dataDxfId="250" dataCellStyle="Normal 3">
      <calculatedColumnFormula>IFERROR((CAN_gen[[#This Row],[2030]]*1000)/(CAN_cap[[#This Row],[2030]]*8760), 0)</calculatedColumnFormula>
    </tableColumn>
    <tableColumn id="28" xr3:uid="{726BE799-3ECA-45AF-8EF8-2B7BD0F9F499}" name="2031" dataDxfId="249" dataCellStyle="Normal 3">
      <calculatedColumnFormula>IFERROR((CAN_gen[[#This Row],[2031]]*1000)/(CAN_cap[[#This Row],[2031]]*8760), 0)</calculatedColumnFormula>
    </tableColumn>
    <tableColumn id="29" xr3:uid="{00E6FCEF-63C4-4FA4-AC13-CAB17FA6ED61}" name="2032" dataDxfId="248" dataCellStyle="Normal 3">
      <calculatedColumnFormula>IFERROR((CAN_gen[[#This Row],[2032]]*1000)/(CAN_cap[[#This Row],[2032]]*8760), 0)</calculatedColumnFormula>
    </tableColumn>
    <tableColumn id="30" xr3:uid="{F0E956AC-B5B7-4D89-B296-590207793687}" name="2033" dataDxfId="247" dataCellStyle="Normal 3">
      <calculatedColumnFormula>IFERROR((CAN_gen[[#This Row],[2033]]*1000)/(CAN_cap[[#This Row],[2033]]*8760), 0)</calculatedColumnFormula>
    </tableColumn>
    <tableColumn id="31" xr3:uid="{7547DC88-E880-45F7-880B-5379A39EE45A}" name="2034" dataDxfId="246" dataCellStyle="Normal 3">
      <calculatedColumnFormula>IFERROR((CAN_gen[[#This Row],[2034]]*1000)/(CAN_cap[[#This Row],[2034]]*8760), 0)</calculatedColumnFormula>
    </tableColumn>
    <tableColumn id="32" xr3:uid="{C814E5D6-5389-4CAA-B493-C615F22B765C}" name="2035" dataDxfId="245" dataCellStyle="Normal 3">
      <calculatedColumnFormula>IFERROR((CAN_gen[[#This Row],[2035]]*1000)/(CAN_cap[[#This Row],[2035]]*8760), 0)</calculatedColumnFormula>
    </tableColumn>
    <tableColumn id="33" xr3:uid="{673FC898-67FC-4B67-A873-2CDA9B0407B9}" name="2036" dataDxfId="244" dataCellStyle="Normal 3">
      <calculatedColumnFormula>IFERROR((CAN_gen[[#This Row],[2036]]*1000)/(CAN_cap[[#This Row],[2036]]*8760), 0)</calculatedColumnFormula>
    </tableColumn>
    <tableColumn id="34" xr3:uid="{3769E8FB-7554-4E40-B656-DDCCAEFA0352}" name="2037" dataDxfId="243" dataCellStyle="Normal 3">
      <calculatedColumnFormula>IFERROR((CAN_gen[[#This Row],[2037]]*1000)/(CAN_cap[[#This Row],[2037]]*8760), 0)</calculatedColumnFormula>
    </tableColumn>
    <tableColumn id="35" xr3:uid="{C06A2251-EC62-448E-BB77-0A942DB6AE8F}" name="2038" dataDxfId="242" dataCellStyle="Normal 3">
      <calculatedColumnFormula>IFERROR((CAN_gen[[#This Row],[2038]]*1000)/(CAN_cap[[#This Row],[2038]]*8760), 0)</calculatedColumnFormula>
    </tableColumn>
    <tableColumn id="36" xr3:uid="{DFFAB694-87A6-419C-8B4C-2E5777B13B2C}" name="2039" dataDxfId="241" dataCellStyle="Normal 3">
      <calculatedColumnFormula>IFERROR((CAN_gen[[#This Row],[2039]]*1000)/(CAN_cap[[#This Row],[2039]]*8760), 0)</calculatedColumnFormula>
    </tableColumn>
    <tableColumn id="37" xr3:uid="{E1A4136A-979B-4BBD-9EB2-A1DD5F0DCD82}" name="2040" dataDxfId="240" dataCellStyle="Normal 3">
      <calculatedColumnFormula>IFERROR((CAN_gen[[#This Row],[2040]]*1000)/(CAN_cap[[#This Row],[2040]]*8760), 0)</calculatedColumnFormula>
    </tableColumn>
    <tableColumn id="38" xr3:uid="{E20FB2BF-F8F7-4844-9217-3CE8AD4FFF37}" name="2041" dataDxfId="239" dataCellStyle="Normal 3">
      <calculatedColumnFormula>IFERROR((CAN_gen[[#This Row],[2041]]*1000)/(CAN_cap[[#This Row],[2041]]*8760), 0)</calculatedColumnFormula>
    </tableColumn>
    <tableColumn id="39" xr3:uid="{41664616-FECA-4EAC-A715-F30198B4EC2E}" name="2042" dataDxfId="238" dataCellStyle="Normal 3">
      <calculatedColumnFormula>IFERROR((CAN_gen[[#This Row],[2042]]*1000)/(CAN_cap[[#This Row],[2042]]*8760), 0)</calculatedColumnFormula>
    </tableColumn>
    <tableColumn id="40" xr3:uid="{DF537FCB-5C86-4F95-A231-21B025606A09}" name="2043" dataDxfId="237" dataCellStyle="Normal 3">
      <calculatedColumnFormula>IFERROR((CAN_gen[[#This Row],[2043]]*1000)/(CAN_cap[[#This Row],[2043]]*8760), 0)</calculatedColumnFormula>
    </tableColumn>
    <tableColumn id="41" xr3:uid="{69D86D3D-0686-4ABD-A44E-39F8237C19DE}" name="2044" dataDxfId="236" dataCellStyle="Normal 3">
      <calculatedColumnFormula>IFERROR((CAN_gen[[#This Row],[2044]]*1000)/(CAN_cap[[#This Row],[2044]]*8760), 0)</calculatedColumnFormula>
    </tableColumn>
    <tableColumn id="42" xr3:uid="{13530655-65DA-450C-A255-FE9D6E0EFC1E}" name="2045" dataDxfId="235" dataCellStyle="Normal 3">
      <calculatedColumnFormula>IFERROR((CAN_gen[[#This Row],[2045]]*1000)/(CAN_cap[[#This Row],[2045]]*8760), 0)</calculatedColumnFormula>
    </tableColumn>
    <tableColumn id="43" xr3:uid="{4CCF8EFE-450F-4860-B7C8-D0524D9DD459}" name="2046" dataDxfId="234" dataCellStyle="Normal 3">
      <calculatedColumnFormula>IFERROR((CAN_gen[[#This Row],[2046]]*1000)/(CAN_cap[[#This Row],[2046]]*8760), 0)</calculatedColumnFormula>
    </tableColumn>
    <tableColumn id="44" xr3:uid="{46079D01-3F2B-4207-B12E-4437F0840886}" name="2047" dataDxfId="233" dataCellStyle="Normal 3">
      <calculatedColumnFormula>IFERROR((CAN_gen[[#This Row],[2047]]*1000)/(CAN_cap[[#This Row],[2047]]*8760), 0)</calculatedColumnFormula>
    </tableColumn>
    <tableColumn id="45" xr3:uid="{0DCBEFA2-9FEA-409E-84D1-12BB12A8D3EC}" name="2048" dataDxfId="232" dataCellStyle="Normal 3">
      <calculatedColumnFormula>IFERROR((CAN_gen[[#This Row],[2048]]*1000)/(CAN_cap[[#This Row],[2048]]*8760), 0)</calculatedColumnFormula>
    </tableColumn>
    <tableColumn id="46" xr3:uid="{98AFB408-3CC0-4F46-B616-03106B36343A}" name="2049" dataDxfId="231" dataCellStyle="Normal 3">
      <calculatedColumnFormula>IFERROR((CAN_gen[[#This Row],[2049]]*1000)/(CAN_cap[[#This Row],[2049]]*8760), 0)</calculatedColumnFormula>
    </tableColumn>
    <tableColumn id="47" xr3:uid="{82E3C189-C2EA-4E66-9BE4-EF1BBB971B32}" name="2050" dataDxfId="230"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9ED73C4-DEAF-46E3-9F75-D5EF21A48119}" name="BC_cf" displayName="BC_cf" ref="A107:AU115" totalsRowShown="0">
  <tableColumns count="47">
    <tableColumn id="1" xr3:uid="{0722AE84-2E37-46E3-84A9-8DC41E6C0571}" name="_"/>
    <tableColumn id="2" xr3:uid="{132137E8-2D25-4D3B-B3AE-FEC4EE45A813}" name="2005" dataDxfId="229" dataCellStyle="Normal 3">
      <calculatedColumnFormula>IFERROR((CAN_gen[[#This Row],[2005]]*1000)/(CAN_cap[[#This Row],[2005]]*8760), 0)</calculatedColumnFormula>
    </tableColumn>
    <tableColumn id="3" xr3:uid="{F43129E2-BC4D-43B6-913C-7AE82FD8E411}" name="2006" dataDxfId="228" dataCellStyle="Normal 3">
      <calculatedColumnFormula>IFERROR((CAN_gen[[#This Row],[2006]]*1000)/(CAN_cap[[#This Row],[2006]]*8760), 0)</calculatedColumnFormula>
    </tableColumn>
    <tableColumn id="4" xr3:uid="{957864F9-839A-47B4-BFAB-F72E6CFF2AC4}" name="2007" dataDxfId="227" dataCellStyle="Normal 3">
      <calculatedColumnFormula>IFERROR((CAN_gen[[#This Row],[2007]]*1000)/(CAN_cap[[#This Row],[2007]]*8760), 0)</calculatedColumnFormula>
    </tableColumn>
    <tableColumn id="5" xr3:uid="{42DB887B-4889-4F3B-9A71-CED406A8C251}" name="2008" dataDxfId="226" dataCellStyle="Normal 3">
      <calculatedColumnFormula>IFERROR((CAN_gen[[#This Row],[2008]]*1000)/(CAN_cap[[#This Row],[2008]]*8760), 0)</calculatedColumnFormula>
    </tableColumn>
    <tableColumn id="6" xr3:uid="{CCBE6FBB-51D2-4EBF-8C89-4F2BC139D285}" name="2009" dataDxfId="225" dataCellStyle="Normal 3">
      <calculatedColumnFormula>IFERROR((CAN_gen[[#This Row],[2009]]*1000)/(CAN_cap[[#This Row],[2009]]*8760), 0)</calculatedColumnFormula>
    </tableColumn>
    <tableColumn id="7" xr3:uid="{0E3426EE-1822-4BD6-BBF9-E7B880F7AC85}" name="2010" dataDxfId="224" dataCellStyle="Normal 3">
      <calculatedColumnFormula>IFERROR((CAN_gen[[#This Row],[2010]]*1000)/(CAN_cap[[#This Row],[2010]]*8760), 0)</calculatedColumnFormula>
    </tableColumn>
    <tableColumn id="8" xr3:uid="{CB0337A9-1AB6-4630-BBDF-7CFD29FF2A60}" name="2011" dataDxfId="223" dataCellStyle="Normal 3">
      <calculatedColumnFormula>IFERROR((CAN_gen[[#This Row],[2011]]*1000)/(CAN_cap[[#This Row],[2011]]*8760), 0)</calculatedColumnFormula>
    </tableColumn>
    <tableColumn id="9" xr3:uid="{727EBD79-6BC9-468C-8F12-E67EF45B5F94}" name="2012" dataDxfId="222" dataCellStyle="Normal 3">
      <calculatedColumnFormula>IFERROR((CAN_gen[[#This Row],[2012]]*1000)/(CAN_cap[[#This Row],[2012]]*8760), 0)</calculatedColumnFormula>
    </tableColumn>
    <tableColumn id="10" xr3:uid="{A96C9BA3-40E2-4456-A435-43412D362849}" name="2013" dataDxfId="221" dataCellStyle="Normal 3">
      <calculatedColumnFormula>IFERROR((CAN_gen[[#This Row],[2013]]*1000)/(CAN_cap[[#This Row],[2013]]*8760), 0)</calculatedColumnFormula>
    </tableColumn>
    <tableColumn id="11" xr3:uid="{FFF2CC41-76EF-4FEF-A7D5-D177413F60F0}" name="2014" dataDxfId="220" dataCellStyle="Normal 3">
      <calculatedColumnFormula>IFERROR((CAN_gen[[#This Row],[2014]]*1000)/(CAN_cap[[#This Row],[2014]]*8760), 0)</calculatedColumnFormula>
    </tableColumn>
    <tableColumn id="12" xr3:uid="{D3E8EC9C-56C7-4F61-A6DD-DD8D371FDF7A}" name="2015" dataDxfId="219" dataCellStyle="Normal 3">
      <calculatedColumnFormula>IFERROR((CAN_gen[[#This Row],[2015]]*1000)/(CAN_cap[[#This Row],[2015]]*8760), 0)</calculatedColumnFormula>
    </tableColumn>
    <tableColumn id="13" xr3:uid="{25618AAF-E44D-4475-9C69-DC816817FA86}" name="2016" dataDxfId="218" dataCellStyle="Normal 3">
      <calculatedColumnFormula>IFERROR((CAN_gen[[#This Row],[2016]]*1000)/(CAN_cap[[#This Row],[2016]]*8760), 0)</calculatedColumnFormula>
    </tableColumn>
    <tableColumn id="14" xr3:uid="{998505C8-B2EB-4346-A147-CCBC8F1514A9}" name="2017" dataDxfId="217" dataCellStyle="Normal 3">
      <calculatedColumnFormula>IFERROR((CAN_gen[[#This Row],[2017]]*1000)/(CAN_cap[[#This Row],[2017]]*8760), 0)</calculatedColumnFormula>
    </tableColumn>
    <tableColumn id="15" xr3:uid="{CD0823E8-9FAA-470E-94BC-E853A6253278}" name="2018" dataDxfId="216" dataCellStyle="Normal 3">
      <calculatedColumnFormula>IFERROR((CAN_gen[[#This Row],[2018]]*1000)/(CAN_cap[[#This Row],[2018]]*8760), 0)</calculatedColumnFormula>
    </tableColumn>
    <tableColumn id="16" xr3:uid="{D4EA4D57-AA95-4050-A9EA-44242C9A7E78}" name="2019" dataDxfId="215" dataCellStyle="Normal 3">
      <calculatedColumnFormula>IFERROR((CAN_gen[[#This Row],[2019]]*1000)/(CAN_cap[[#This Row],[2019]]*8760), 0)</calculatedColumnFormula>
    </tableColumn>
    <tableColumn id="17" xr3:uid="{D8CE6E46-E43A-46D9-8390-23DBAA905101}" name="2020" dataDxfId="214" dataCellStyle="Normal 3">
      <calculatedColumnFormula>IFERROR((CAN_gen[[#This Row],[2020]]*1000)/(CAN_cap[[#This Row],[2020]]*8760), 0)</calculatedColumnFormula>
    </tableColumn>
    <tableColumn id="18" xr3:uid="{CBEC7E4C-14ED-4615-A0D7-8BB9F64D0660}" name="2021" dataDxfId="213" dataCellStyle="Normal 3">
      <calculatedColumnFormula>IFERROR((CAN_gen[[#This Row],[2021]]*1000)/(CAN_cap[[#This Row],[2021]]*8760), 0)</calculatedColumnFormula>
    </tableColumn>
    <tableColumn id="19" xr3:uid="{D7264D71-F2F3-4CC4-8AE6-2E5CD7D3BEE3}" name="2022" dataDxfId="212" dataCellStyle="Normal 3">
      <calculatedColumnFormula>IFERROR((CAN_gen[[#This Row],[2022]]*1000)/(CAN_cap[[#This Row],[2022]]*8760), 0)</calculatedColumnFormula>
    </tableColumn>
    <tableColumn id="20" xr3:uid="{34BAA4D5-6B8A-4B39-8D20-826CFA9676B0}" name="2023" dataDxfId="211" dataCellStyle="Normal 3">
      <calculatedColumnFormula>IFERROR((CAN_gen[[#This Row],[2023]]*1000)/(CAN_cap[[#This Row],[2023]]*8760), 0)</calculatedColumnFormula>
    </tableColumn>
    <tableColumn id="21" xr3:uid="{2297FB5D-2EE5-4D8E-B36C-298195E380BC}" name="2024" dataDxfId="210" dataCellStyle="Normal 3">
      <calculatedColumnFormula>IFERROR((CAN_gen[[#This Row],[2024]]*1000)/(CAN_cap[[#This Row],[2024]]*8760), 0)</calculatedColumnFormula>
    </tableColumn>
    <tableColumn id="22" xr3:uid="{8FBB05A5-1813-4783-92EA-103C9BAEE077}" name="2025" dataDxfId="209" dataCellStyle="Normal 3">
      <calculatedColumnFormula>IFERROR((CAN_gen[[#This Row],[2025]]*1000)/(CAN_cap[[#This Row],[2025]]*8760), 0)</calculatedColumnFormula>
    </tableColumn>
    <tableColumn id="23" xr3:uid="{59C65D7D-CB77-41BF-8ABD-15AB534F96E9}" name="2026" dataDxfId="208" dataCellStyle="Normal 3">
      <calculatedColumnFormula>IFERROR((CAN_gen[[#This Row],[2026]]*1000)/(CAN_cap[[#This Row],[2026]]*8760), 0)</calculatedColumnFormula>
    </tableColumn>
    <tableColumn id="24" xr3:uid="{9FF7570A-CA03-45A6-9E86-131592C3DE99}" name="2027" dataDxfId="207" dataCellStyle="Normal 3">
      <calculatedColumnFormula>IFERROR((CAN_gen[[#This Row],[2027]]*1000)/(CAN_cap[[#This Row],[2027]]*8760), 0)</calculatedColumnFormula>
    </tableColumn>
    <tableColumn id="25" xr3:uid="{40BFE5AB-606E-4932-85E0-346423CD440B}" name="2028" dataDxfId="206" dataCellStyle="Normal 3">
      <calculatedColumnFormula>IFERROR((CAN_gen[[#This Row],[2028]]*1000)/(CAN_cap[[#This Row],[2028]]*8760), 0)</calculatedColumnFormula>
    </tableColumn>
    <tableColumn id="26" xr3:uid="{AA49AB93-77A9-41C7-87DD-D060AEE20BF9}" name="2029" dataDxfId="205" dataCellStyle="Normal 3">
      <calculatedColumnFormula>IFERROR((CAN_gen[[#This Row],[2029]]*1000)/(CAN_cap[[#This Row],[2029]]*8760), 0)</calculatedColumnFormula>
    </tableColumn>
    <tableColumn id="27" xr3:uid="{5080101D-F2B6-4566-9330-3290A2F98432}" name="2030" dataDxfId="204" dataCellStyle="Normal 3">
      <calculatedColumnFormula>IFERROR((CAN_gen[[#This Row],[2030]]*1000)/(CAN_cap[[#This Row],[2030]]*8760), 0)</calculatedColumnFormula>
    </tableColumn>
    <tableColumn id="28" xr3:uid="{AC2DA2EF-AA3B-4451-B190-C2E2A88D0465}" name="2031" dataDxfId="203" dataCellStyle="Normal 3">
      <calculatedColumnFormula>IFERROR((CAN_gen[[#This Row],[2031]]*1000)/(CAN_cap[[#This Row],[2031]]*8760), 0)</calculatedColumnFormula>
    </tableColumn>
    <tableColumn id="29" xr3:uid="{CCDC195B-5071-4B6B-9F73-5E41A9960287}" name="2032" dataDxfId="202" dataCellStyle="Normal 3">
      <calculatedColumnFormula>IFERROR((CAN_gen[[#This Row],[2032]]*1000)/(CAN_cap[[#This Row],[2032]]*8760), 0)</calculatedColumnFormula>
    </tableColumn>
    <tableColumn id="30" xr3:uid="{E3589C36-F4CF-4263-BC14-2E42ADBC535E}" name="2033" dataDxfId="201" dataCellStyle="Normal 3">
      <calculatedColumnFormula>IFERROR((CAN_gen[[#This Row],[2033]]*1000)/(CAN_cap[[#This Row],[2033]]*8760), 0)</calculatedColumnFormula>
    </tableColumn>
    <tableColumn id="31" xr3:uid="{48DE35ED-B87A-4261-858C-911FACDBAC6A}" name="2034" dataDxfId="200" dataCellStyle="Normal 3">
      <calculatedColumnFormula>IFERROR((CAN_gen[[#This Row],[2034]]*1000)/(CAN_cap[[#This Row],[2034]]*8760), 0)</calculatedColumnFormula>
    </tableColumn>
    <tableColumn id="32" xr3:uid="{5FECCA90-8EEE-42FA-AA9C-43446D084D56}" name="2035" dataDxfId="199" dataCellStyle="Normal 3">
      <calculatedColumnFormula>IFERROR((CAN_gen[[#This Row],[2035]]*1000)/(CAN_cap[[#This Row],[2035]]*8760), 0)</calculatedColumnFormula>
    </tableColumn>
    <tableColumn id="33" xr3:uid="{B234EACF-2C82-4B5E-945B-6475885A7848}" name="2036" dataDxfId="198" dataCellStyle="Normal 3">
      <calculatedColumnFormula>IFERROR((CAN_gen[[#This Row],[2036]]*1000)/(CAN_cap[[#This Row],[2036]]*8760), 0)</calculatedColumnFormula>
    </tableColumn>
    <tableColumn id="34" xr3:uid="{A0075EAC-3EBF-4EFE-9685-6CC1ED673E12}" name="2037" dataDxfId="197" dataCellStyle="Normal 3">
      <calculatedColumnFormula>IFERROR((CAN_gen[[#This Row],[2037]]*1000)/(CAN_cap[[#This Row],[2037]]*8760), 0)</calculatedColumnFormula>
    </tableColumn>
    <tableColumn id="35" xr3:uid="{88F7F7D8-CFAC-40E0-9D34-AC0B6297BB12}" name="2038" dataDxfId="196" dataCellStyle="Normal 3">
      <calculatedColumnFormula>IFERROR((CAN_gen[[#This Row],[2038]]*1000)/(CAN_cap[[#This Row],[2038]]*8760), 0)</calculatedColumnFormula>
    </tableColumn>
    <tableColumn id="36" xr3:uid="{1CC78C18-9C67-48A5-9A8B-646AA9C53B65}" name="2039" dataDxfId="195" dataCellStyle="Normal 3">
      <calculatedColumnFormula>IFERROR((CAN_gen[[#This Row],[2039]]*1000)/(CAN_cap[[#This Row],[2039]]*8760), 0)</calculatedColumnFormula>
    </tableColumn>
    <tableColumn id="37" xr3:uid="{B51500C8-9C93-4989-BE2C-2EC6895D1DC4}" name="2040" dataDxfId="194" dataCellStyle="Normal 3">
      <calculatedColumnFormula>IFERROR((CAN_gen[[#This Row],[2040]]*1000)/(CAN_cap[[#This Row],[2040]]*8760), 0)</calculatedColumnFormula>
    </tableColumn>
    <tableColumn id="38" xr3:uid="{09C3C3DE-4974-403F-ACB2-21BABB6A59B6}" name="2041" dataDxfId="193" dataCellStyle="Normal 3">
      <calculatedColumnFormula>IFERROR((CAN_gen[[#This Row],[2041]]*1000)/(CAN_cap[[#This Row],[2041]]*8760), 0)</calculatedColumnFormula>
    </tableColumn>
    <tableColumn id="39" xr3:uid="{39881E3C-9176-4A54-B393-2072E450F4B1}" name="2042" dataDxfId="192" dataCellStyle="Normal 3">
      <calculatedColumnFormula>IFERROR((CAN_gen[[#This Row],[2042]]*1000)/(CAN_cap[[#This Row],[2042]]*8760), 0)</calculatedColumnFormula>
    </tableColumn>
    <tableColumn id="40" xr3:uid="{A11D7C2F-9740-4209-92BC-371F0399569F}" name="2043" dataDxfId="191" dataCellStyle="Normal 3">
      <calculatedColumnFormula>IFERROR((CAN_gen[[#This Row],[2043]]*1000)/(CAN_cap[[#This Row],[2043]]*8760), 0)</calculatedColumnFormula>
    </tableColumn>
    <tableColumn id="41" xr3:uid="{1E94F1CC-9544-4649-B1C5-437A957385E8}" name="2044" dataDxfId="190" dataCellStyle="Normal 3">
      <calculatedColumnFormula>IFERROR((CAN_gen[[#This Row],[2044]]*1000)/(CAN_cap[[#This Row],[2044]]*8760), 0)</calculatedColumnFormula>
    </tableColumn>
    <tableColumn id="42" xr3:uid="{5BB932AA-8170-40F3-A701-24F04D036A0B}" name="2045" dataDxfId="189" dataCellStyle="Normal 3">
      <calculatedColumnFormula>IFERROR((CAN_gen[[#This Row],[2045]]*1000)/(CAN_cap[[#This Row],[2045]]*8760), 0)</calculatedColumnFormula>
    </tableColumn>
    <tableColumn id="43" xr3:uid="{C026F970-0ED7-46EE-8EE4-6B66AFE5BB28}" name="2046" dataDxfId="188" dataCellStyle="Normal 3">
      <calculatedColumnFormula>IFERROR((CAN_gen[[#This Row],[2046]]*1000)/(CAN_cap[[#This Row],[2046]]*8760), 0)</calculatedColumnFormula>
    </tableColumn>
    <tableColumn id="44" xr3:uid="{EE189DB4-2C9E-487E-BE33-8E34207316E4}" name="2047" dataDxfId="187" dataCellStyle="Normal 3">
      <calculatedColumnFormula>IFERROR((CAN_gen[[#This Row],[2047]]*1000)/(CAN_cap[[#This Row],[2047]]*8760), 0)</calculatedColumnFormula>
    </tableColumn>
    <tableColumn id="45" xr3:uid="{3E6FAF78-AA03-4551-80B6-BE867053509D}" name="2048" dataDxfId="186" dataCellStyle="Normal 3">
      <calculatedColumnFormula>IFERROR((CAN_gen[[#This Row],[2048]]*1000)/(CAN_cap[[#This Row],[2048]]*8760), 0)</calculatedColumnFormula>
    </tableColumn>
    <tableColumn id="46" xr3:uid="{0446B678-61D3-4D45-9C34-2EC665FC9001}" name="2049" dataDxfId="185" dataCellStyle="Normal 3">
      <calculatedColumnFormula>IFERROR((CAN_gen[[#This Row],[2049]]*1000)/(CAN_cap[[#This Row],[2049]]*8760), 0)</calculatedColumnFormula>
    </tableColumn>
    <tableColumn id="47" xr3:uid="{92CEF5DC-3C09-4D24-8A19-1DFC45478DED}" name="2050" dataDxfId="184"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3868A17E-CAC8-421A-A018-02D52803A9E7}" name="SK_cf" displayName="SK_cf" ref="A118:AU126" totalsRowShown="0">
  <tableColumns count="47">
    <tableColumn id="1" xr3:uid="{39F31879-533D-4246-B53E-9EABDCD039EB}" name="_"/>
    <tableColumn id="2" xr3:uid="{F3C731D0-A9B6-4317-A247-BF20F9B589DB}" name="2005" dataDxfId="183" dataCellStyle="Normal 3">
      <calculatedColumnFormula>IFERROR((CAN_gen[[#This Row],[2005]]*1000)/(CAN_cap[[#This Row],[2005]]*8760), 0)</calculatedColumnFormula>
    </tableColumn>
    <tableColumn id="3" xr3:uid="{E90BAEB8-3CB5-4396-9AF2-EB935780B11E}" name="2006" dataDxfId="182" dataCellStyle="Normal 3">
      <calculatedColumnFormula>IFERROR((CAN_gen[[#This Row],[2006]]*1000)/(CAN_cap[[#This Row],[2006]]*8760), 0)</calculatedColumnFormula>
    </tableColumn>
    <tableColumn id="4" xr3:uid="{9C6E2457-1021-42DC-94E0-EE83270DB908}" name="2007" dataDxfId="181" dataCellStyle="Normal 3">
      <calculatedColumnFormula>IFERROR((CAN_gen[[#This Row],[2007]]*1000)/(CAN_cap[[#This Row],[2007]]*8760), 0)</calculatedColumnFormula>
    </tableColumn>
    <tableColumn id="5" xr3:uid="{B988F47D-776F-4DE2-AF91-35BD6072882E}" name="2008" dataDxfId="180" dataCellStyle="Normal 3">
      <calculatedColumnFormula>IFERROR((CAN_gen[[#This Row],[2008]]*1000)/(CAN_cap[[#This Row],[2008]]*8760), 0)</calculatedColumnFormula>
    </tableColumn>
    <tableColumn id="6" xr3:uid="{9C5B1156-D549-4068-AF61-CD880FF9A39E}" name="2009" dataDxfId="179" dataCellStyle="Normal 3">
      <calculatedColumnFormula>IFERROR((CAN_gen[[#This Row],[2009]]*1000)/(CAN_cap[[#This Row],[2009]]*8760), 0)</calculatedColumnFormula>
    </tableColumn>
    <tableColumn id="7" xr3:uid="{C6694FE9-88EC-4132-90C3-EAFF05C94299}" name="2010" dataDxfId="178" dataCellStyle="Normal 3">
      <calculatedColumnFormula>IFERROR((CAN_gen[[#This Row],[2010]]*1000)/(CAN_cap[[#This Row],[2010]]*8760), 0)</calculatedColumnFormula>
    </tableColumn>
    <tableColumn id="8" xr3:uid="{D8698DA8-DB1B-44A9-A1B8-F8729832A093}" name="2011" dataDxfId="177" dataCellStyle="Normal 3">
      <calculatedColumnFormula>IFERROR((CAN_gen[[#This Row],[2011]]*1000)/(CAN_cap[[#This Row],[2011]]*8760), 0)</calculatedColumnFormula>
    </tableColumn>
    <tableColumn id="9" xr3:uid="{39CF6752-1046-438A-B2DB-0D61E691A222}" name="2012" dataDxfId="176" dataCellStyle="Normal 3">
      <calculatedColumnFormula>IFERROR((CAN_gen[[#This Row],[2012]]*1000)/(CAN_cap[[#This Row],[2012]]*8760), 0)</calculatedColumnFormula>
    </tableColumn>
    <tableColumn id="10" xr3:uid="{73DFA3B8-34EC-478B-926B-ECF75BF93359}" name="2013" dataDxfId="175" dataCellStyle="Normal 3">
      <calculatedColumnFormula>IFERROR((CAN_gen[[#This Row],[2013]]*1000)/(CAN_cap[[#This Row],[2013]]*8760), 0)</calculatedColumnFormula>
    </tableColumn>
    <tableColumn id="11" xr3:uid="{0A072AAF-C2FA-4714-8B8A-9DA7B1D3E048}" name="2014" dataDxfId="174" dataCellStyle="Normal 3">
      <calculatedColumnFormula>IFERROR((CAN_gen[[#This Row],[2014]]*1000)/(CAN_cap[[#This Row],[2014]]*8760), 0)</calculatedColumnFormula>
    </tableColumn>
    <tableColumn id="12" xr3:uid="{11D1669E-9584-4E69-8FC5-D3C128252327}" name="2015" dataDxfId="173" dataCellStyle="Normal 3">
      <calculatedColumnFormula>IFERROR((CAN_gen[[#This Row],[2015]]*1000)/(CAN_cap[[#This Row],[2015]]*8760), 0)</calculatedColumnFormula>
    </tableColumn>
    <tableColumn id="13" xr3:uid="{E50A03A8-AA1E-4CAF-8448-E9C2328BB53C}" name="2016" dataDxfId="172" dataCellStyle="Normal 3">
      <calculatedColumnFormula>IFERROR((CAN_gen[[#This Row],[2016]]*1000)/(CAN_cap[[#This Row],[2016]]*8760), 0)</calculatedColumnFormula>
    </tableColumn>
    <tableColumn id="14" xr3:uid="{7654FB69-FA7B-4847-B94E-B593635BC8FF}" name="2017" dataDxfId="171" dataCellStyle="Normal 3">
      <calculatedColumnFormula>IFERROR((CAN_gen[[#This Row],[2017]]*1000)/(CAN_cap[[#This Row],[2017]]*8760), 0)</calculatedColumnFormula>
    </tableColumn>
    <tableColumn id="15" xr3:uid="{1C75F9DE-BC09-45FC-A9BC-BAC567D5F686}" name="2018" dataDxfId="170" dataCellStyle="Normal 3">
      <calculatedColumnFormula>IFERROR((CAN_gen[[#This Row],[2018]]*1000)/(CAN_cap[[#This Row],[2018]]*8760), 0)</calculatedColumnFormula>
    </tableColumn>
    <tableColumn id="16" xr3:uid="{55597500-2358-46FC-B188-DFCC9F9020C0}" name="2019" dataDxfId="169" dataCellStyle="Normal 3">
      <calculatedColumnFormula>IFERROR((CAN_gen[[#This Row],[2019]]*1000)/(CAN_cap[[#This Row],[2019]]*8760), 0)</calculatedColumnFormula>
    </tableColumn>
    <tableColumn id="17" xr3:uid="{B67B3C88-8407-40DF-BAA8-3FF2A02A1D70}" name="2020" dataDxfId="168" dataCellStyle="Normal 3">
      <calculatedColumnFormula>IFERROR((CAN_gen[[#This Row],[2020]]*1000)/(CAN_cap[[#This Row],[2020]]*8760), 0)</calculatedColumnFormula>
    </tableColumn>
    <tableColumn id="18" xr3:uid="{9B5B1B62-7041-4837-B24B-3D0CCBBCD07B}" name="2021" dataDxfId="167" dataCellStyle="Normal 3">
      <calculatedColumnFormula>IFERROR((CAN_gen[[#This Row],[2021]]*1000)/(CAN_cap[[#This Row],[2021]]*8760), 0)</calculatedColumnFormula>
    </tableColumn>
    <tableColumn id="19" xr3:uid="{AAA7CB62-FC80-4BA0-B5D7-BBBC0DC74C5A}" name="2022" dataDxfId="166" dataCellStyle="Normal 3">
      <calculatedColumnFormula>IFERROR((CAN_gen[[#This Row],[2022]]*1000)/(CAN_cap[[#This Row],[2022]]*8760), 0)</calculatedColumnFormula>
    </tableColumn>
    <tableColumn id="20" xr3:uid="{0102E23C-44A0-4072-9D2B-6DA72A4F9636}" name="2023" dataDxfId="165" dataCellStyle="Normal 3">
      <calculatedColumnFormula>IFERROR((CAN_gen[[#This Row],[2023]]*1000)/(CAN_cap[[#This Row],[2023]]*8760), 0)</calculatedColumnFormula>
    </tableColumn>
    <tableColumn id="21" xr3:uid="{E07DAE31-823C-4665-BD83-02357B9DC036}" name="2024" dataDxfId="164" dataCellStyle="Normal 3">
      <calculatedColumnFormula>IFERROR((CAN_gen[[#This Row],[2024]]*1000)/(CAN_cap[[#This Row],[2024]]*8760), 0)</calculatedColumnFormula>
    </tableColumn>
    <tableColumn id="22" xr3:uid="{BCAD7E34-345A-4AB0-B27D-CE2D4E34DD72}" name="2025" dataDxfId="163" dataCellStyle="Normal 3">
      <calculatedColumnFormula>IFERROR((CAN_gen[[#This Row],[2025]]*1000)/(CAN_cap[[#This Row],[2025]]*8760), 0)</calculatedColumnFormula>
    </tableColumn>
    <tableColumn id="23" xr3:uid="{FE22D6BA-21D7-4B53-815A-63CF4DE17F31}" name="2026" dataDxfId="162" dataCellStyle="Normal 3">
      <calculatedColumnFormula>IFERROR((CAN_gen[[#This Row],[2026]]*1000)/(CAN_cap[[#This Row],[2026]]*8760), 0)</calculatedColumnFormula>
    </tableColumn>
    <tableColumn id="24" xr3:uid="{856168D5-37AA-44AF-9483-FAC0FF3A2949}" name="2027" dataDxfId="161" dataCellStyle="Normal 3">
      <calculatedColumnFormula>IFERROR((CAN_gen[[#This Row],[2027]]*1000)/(CAN_cap[[#This Row],[2027]]*8760), 0)</calculatedColumnFormula>
    </tableColumn>
    <tableColumn id="25" xr3:uid="{B273BB15-9C30-49CF-A5E5-C7B59D4BA1F3}" name="2028" dataDxfId="160" dataCellStyle="Normal 3">
      <calculatedColumnFormula>IFERROR((CAN_gen[[#This Row],[2028]]*1000)/(CAN_cap[[#This Row],[2028]]*8760), 0)</calculatedColumnFormula>
    </tableColumn>
    <tableColumn id="26" xr3:uid="{17393447-2297-4EF9-8A67-94054049C9D0}" name="2029" dataDxfId="159" dataCellStyle="Normal 3">
      <calculatedColumnFormula>IFERROR((CAN_gen[[#This Row],[2029]]*1000)/(CAN_cap[[#This Row],[2029]]*8760), 0)</calculatedColumnFormula>
    </tableColumn>
    <tableColumn id="27" xr3:uid="{F70517C0-437A-487B-A3C9-F10D3A03C881}" name="2030" dataDxfId="158" dataCellStyle="Normal 3">
      <calculatedColumnFormula>IFERROR((CAN_gen[[#This Row],[2030]]*1000)/(CAN_cap[[#This Row],[2030]]*8760), 0)</calculatedColumnFormula>
    </tableColumn>
    <tableColumn id="28" xr3:uid="{50511E4C-94C2-4768-AE2D-30E605A7EBFD}" name="2031" dataDxfId="157" dataCellStyle="Normal 3">
      <calculatedColumnFormula>IFERROR((CAN_gen[[#This Row],[2031]]*1000)/(CAN_cap[[#This Row],[2031]]*8760), 0)</calculatedColumnFormula>
    </tableColumn>
    <tableColumn id="29" xr3:uid="{9228A3C8-ED28-4C62-9E31-5F3AC4CDEFEE}" name="2032" dataDxfId="156" dataCellStyle="Normal 3">
      <calculatedColumnFormula>IFERROR((CAN_gen[[#This Row],[2032]]*1000)/(CAN_cap[[#This Row],[2032]]*8760), 0)</calculatedColumnFormula>
    </tableColumn>
    <tableColumn id="30" xr3:uid="{A9FF9839-210D-4B56-9D08-57E572F72AA2}" name="2033" dataDxfId="155" dataCellStyle="Normal 3">
      <calculatedColumnFormula>IFERROR((CAN_gen[[#This Row],[2033]]*1000)/(CAN_cap[[#This Row],[2033]]*8760), 0)</calculatedColumnFormula>
    </tableColumn>
    <tableColumn id="31" xr3:uid="{31473EAB-8451-449C-95CC-0BA98D1D5AA7}" name="2034" dataDxfId="154" dataCellStyle="Normal 3">
      <calculatedColumnFormula>IFERROR((CAN_gen[[#This Row],[2034]]*1000)/(CAN_cap[[#This Row],[2034]]*8760), 0)</calculatedColumnFormula>
    </tableColumn>
    <tableColumn id="32" xr3:uid="{67E10020-218A-4695-AE55-42427BC98FC5}" name="2035" dataDxfId="153" dataCellStyle="Normal 3">
      <calculatedColumnFormula>IFERROR((CAN_gen[[#This Row],[2035]]*1000)/(CAN_cap[[#This Row],[2035]]*8760), 0)</calculatedColumnFormula>
    </tableColumn>
    <tableColumn id="33" xr3:uid="{C25F1896-284F-4EFF-AE8D-32348EEB0325}" name="2036" dataDxfId="152" dataCellStyle="Normal 3">
      <calculatedColumnFormula>IFERROR((CAN_gen[[#This Row],[2036]]*1000)/(CAN_cap[[#This Row],[2036]]*8760), 0)</calculatedColumnFormula>
    </tableColumn>
    <tableColumn id="34" xr3:uid="{5490C371-8895-41AD-8E3E-3E180C24F7B6}" name="2037" dataDxfId="151" dataCellStyle="Normal 3">
      <calculatedColumnFormula>IFERROR((CAN_gen[[#This Row],[2037]]*1000)/(CAN_cap[[#This Row],[2037]]*8760), 0)</calculatedColumnFormula>
    </tableColumn>
    <tableColumn id="35" xr3:uid="{A5B266B8-8B10-45BF-9ABF-F41C74218C20}" name="2038" dataDxfId="150" dataCellStyle="Normal 3">
      <calculatedColumnFormula>IFERROR((CAN_gen[[#This Row],[2038]]*1000)/(CAN_cap[[#This Row],[2038]]*8760), 0)</calculatedColumnFormula>
    </tableColumn>
    <tableColumn id="36" xr3:uid="{164DD8D6-19E0-4A08-9359-EA3EDD99B997}" name="2039" dataDxfId="149" dataCellStyle="Normal 3">
      <calculatedColumnFormula>IFERROR((CAN_gen[[#This Row],[2039]]*1000)/(CAN_cap[[#This Row],[2039]]*8760), 0)</calculatedColumnFormula>
    </tableColumn>
    <tableColumn id="37" xr3:uid="{4650C3DB-D770-4937-896B-73983D985F00}" name="2040" dataDxfId="148" dataCellStyle="Normal 3">
      <calculatedColumnFormula>IFERROR((CAN_gen[[#This Row],[2040]]*1000)/(CAN_cap[[#This Row],[2040]]*8760), 0)</calculatedColumnFormula>
    </tableColumn>
    <tableColumn id="38" xr3:uid="{D5434B41-9CCD-4808-A290-E859B6467DD0}" name="2041" dataDxfId="147" dataCellStyle="Normal 3">
      <calculatedColumnFormula>IFERROR((CAN_gen[[#This Row],[2041]]*1000)/(CAN_cap[[#This Row],[2041]]*8760), 0)</calculatedColumnFormula>
    </tableColumn>
    <tableColumn id="39" xr3:uid="{E29B336A-DB98-4DE8-B815-FF9B08AA8EBB}" name="2042" dataDxfId="146" dataCellStyle="Normal 3">
      <calculatedColumnFormula>IFERROR((CAN_gen[[#This Row],[2042]]*1000)/(CAN_cap[[#This Row],[2042]]*8760), 0)</calculatedColumnFormula>
    </tableColumn>
    <tableColumn id="40" xr3:uid="{CD8F9DDC-4C63-4073-BB52-EC85E64ECCBC}" name="2043" dataDxfId="145" dataCellStyle="Normal 3">
      <calculatedColumnFormula>IFERROR((CAN_gen[[#This Row],[2043]]*1000)/(CAN_cap[[#This Row],[2043]]*8760), 0)</calculatedColumnFormula>
    </tableColumn>
    <tableColumn id="41" xr3:uid="{340F1132-810D-4BB9-A651-7E038EE54AAE}" name="2044" dataDxfId="144" dataCellStyle="Normal 3">
      <calculatedColumnFormula>IFERROR((CAN_gen[[#This Row],[2044]]*1000)/(CAN_cap[[#This Row],[2044]]*8760), 0)</calculatedColumnFormula>
    </tableColumn>
    <tableColumn id="42" xr3:uid="{88FBA0FD-D0E7-47BD-ADC2-CD3581ACF6B5}" name="2045" dataDxfId="143" dataCellStyle="Normal 3">
      <calculatedColumnFormula>IFERROR((CAN_gen[[#This Row],[2045]]*1000)/(CAN_cap[[#This Row],[2045]]*8760), 0)</calculatedColumnFormula>
    </tableColumn>
    <tableColumn id="43" xr3:uid="{B5590E56-8880-4FCA-9B2B-C6D50DD880DC}" name="2046" dataDxfId="142" dataCellStyle="Normal 3">
      <calculatedColumnFormula>IFERROR((CAN_gen[[#This Row],[2046]]*1000)/(CAN_cap[[#This Row],[2046]]*8760), 0)</calculatedColumnFormula>
    </tableColumn>
    <tableColumn id="44" xr3:uid="{254477DB-BC72-4D80-BA24-F2D10D58113A}" name="2047" dataDxfId="141" dataCellStyle="Normal 3">
      <calculatedColumnFormula>IFERROR((CAN_gen[[#This Row],[2047]]*1000)/(CAN_cap[[#This Row],[2047]]*8760), 0)</calculatedColumnFormula>
    </tableColumn>
    <tableColumn id="45" xr3:uid="{DF12F084-89C7-4C0C-8B04-A5FBAE85CE24}" name="2048" dataDxfId="140" dataCellStyle="Normal 3">
      <calculatedColumnFormula>IFERROR((CAN_gen[[#This Row],[2048]]*1000)/(CAN_cap[[#This Row],[2048]]*8760), 0)</calculatedColumnFormula>
    </tableColumn>
    <tableColumn id="46" xr3:uid="{67734556-BECB-4519-A4AA-94CF11DB6CE0}" name="2049" dataDxfId="139" dataCellStyle="Normal 3">
      <calculatedColumnFormula>IFERROR((CAN_gen[[#This Row],[2049]]*1000)/(CAN_cap[[#This Row],[2049]]*8760), 0)</calculatedColumnFormula>
    </tableColumn>
    <tableColumn id="47" xr3:uid="{F7C59552-D755-44E4-B59A-41B920BAA85B}" name="2050" dataDxfId="138"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615781A-D946-4796-BF20-59783CC1D7C1}" name="NS_gen" displayName="NS_gen" ref="A41:AU49" totalsRowShown="0">
  <tableColumns count="47">
    <tableColumn id="1" xr3:uid="{276DBCBA-8675-4FD9-B53C-CBFBA85F40CA}" name="_"/>
    <tableColumn id="2" xr3:uid="{7B1534EB-57F8-4676-B5BE-6183348E2D0A}" name="2005"/>
    <tableColumn id="3" xr3:uid="{29929954-D68F-4A83-9F56-8AD9EF58AE5E}" name="2006"/>
    <tableColumn id="4" xr3:uid="{3B90E1FD-6A19-4F89-A206-110B0CAE661D}" name="2007"/>
    <tableColumn id="5" xr3:uid="{4BEA894D-EF6A-4BCF-93AA-DC3D566C2EBB}" name="2008"/>
    <tableColumn id="6" xr3:uid="{75AF7B10-CE41-498C-B608-B673AB3F26F3}" name="2009"/>
    <tableColumn id="7" xr3:uid="{F6D1762B-63E1-42D8-B214-6CE4BF75706A}" name="2010"/>
    <tableColumn id="8" xr3:uid="{0AD1C0BF-810A-40EF-83FF-C2CB3E038FAE}" name="2011"/>
    <tableColumn id="9" xr3:uid="{3EB31BE1-13BC-41EB-BAAF-5A97854D8D58}" name="2012"/>
    <tableColumn id="10" xr3:uid="{B587764D-991E-4E24-B91A-1C5D1E590CAA}" name="2013"/>
    <tableColumn id="11" xr3:uid="{63F6D035-4E3F-4152-8CDB-AFA63B8CEB36}" name="2014"/>
    <tableColumn id="12" xr3:uid="{404401EF-B454-4E0B-98E4-359C671E47AC}" name="2015"/>
    <tableColumn id="13" xr3:uid="{F77AEB16-B316-4C57-9964-423B11945557}" name="2016"/>
    <tableColumn id="14" xr3:uid="{A15C506F-B558-4CAE-A42B-FC534737AA8D}" name="2017"/>
    <tableColumn id="15" xr3:uid="{EF3B6BFA-E58E-40AF-AEEC-43201C52E20C}" name="2018"/>
    <tableColumn id="16" xr3:uid="{E85C77ED-E7BE-426E-B785-93CD24A8CD08}" name="2019"/>
    <tableColumn id="17" xr3:uid="{EBCFF87F-C870-4901-835C-4E1416187C61}" name="2020"/>
    <tableColumn id="18" xr3:uid="{BC948CCA-7919-4759-91BC-545C1EF56DA6}" name="2021"/>
    <tableColumn id="19" xr3:uid="{74826527-5ADA-4B56-889D-C12B91D3C2D6}" name="2022"/>
    <tableColumn id="20" xr3:uid="{A2956A9D-989C-4BC3-9516-65EAC2F08C63}" name="2023"/>
    <tableColumn id="21" xr3:uid="{55A29568-4FD3-4D3A-890A-12F32D2DAD88}" name="2024"/>
    <tableColumn id="22" xr3:uid="{2F0C8720-F3EB-4221-8129-D6D4C9FCBE7C}" name="2025"/>
    <tableColumn id="23" xr3:uid="{260A2F42-3A44-4CD6-A341-610C683B7ADC}" name="2026"/>
    <tableColumn id="24" xr3:uid="{C4F01AB9-FC0A-4CFE-A60F-576B5BC65E5B}" name="2027"/>
    <tableColumn id="25" xr3:uid="{83D36787-2754-4139-8C8D-CAB5163E3AB8}" name="2028"/>
    <tableColumn id="26" xr3:uid="{49E55AE1-BF6F-4008-BFEC-4624E3B054DF}" name="2029"/>
    <tableColumn id="27" xr3:uid="{F01AC0CD-40B0-479A-AD25-5D0422027165}" name="2030"/>
    <tableColumn id="28" xr3:uid="{80D3CAD9-F50E-4B84-951A-85B60A3E415C}" name="2031"/>
    <tableColumn id="29" xr3:uid="{2E17B826-632A-417E-9860-195CDACB86F5}" name="2032"/>
    <tableColumn id="30" xr3:uid="{F75EE651-7AFA-4872-AB3C-505710B23A77}" name="2033"/>
    <tableColumn id="31" xr3:uid="{D4638B58-DF90-42D8-884A-9206DE481D4D}" name="2034"/>
    <tableColumn id="32" xr3:uid="{F182CF4A-E342-4115-B708-326D125A3CF7}" name="2035"/>
    <tableColumn id="33" xr3:uid="{EBC0DF04-4794-4555-A775-ADA2D3402FAA}" name="2036"/>
    <tableColumn id="34" xr3:uid="{7515EA2F-ADF1-4B9C-BC5F-A0FC1E0C42F8}" name="2037"/>
    <tableColumn id="35" xr3:uid="{57AE3831-8823-46CC-BB83-1814D1C1B51E}" name="2038"/>
    <tableColumn id="36" xr3:uid="{9D0BD4F5-0401-4F1E-BBF7-FEAAFC23FCD8}" name="2039"/>
    <tableColumn id="37" xr3:uid="{7011EDE1-688B-4015-9647-86722A54666E}" name="2040"/>
    <tableColumn id="38" xr3:uid="{6E926436-30DB-4242-91A2-11B2C705CF63}" name="2041"/>
    <tableColumn id="39" xr3:uid="{4F0B4A44-4BB1-46C8-85B9-22156B040D0C}" name="2042"/>
    <tableColumn id="40" xr3:uid="{0F65B628-6237-4075-A66C-95C2C044939F}" name="2043"/>
    <tableColumn id="41" xr3:uid="{AECA31D6-2948-4953-9B10-71E5ADDAF3D9}" name="2044"/>
    <tableColumn id="42" xr3:uid="{9D5528A6-0E52-49B2-8459-3D1847A657E5}" name="2045"/>
    <tableColumn id="43" xr3:uid="{71C14217-12ED-4867-8CFE-ED1C88EDD83D}" name="2046"/>
    <tableColumn id="44" xr3:uid="{BFB99672-0BE2-4291-B896-C03277B34D96}" name="2047"/>
    <tableColumn id="45" xr3:uid="{20D85BAB-EB84-40D6-873A-3165A3C9E8F2}" name="2048"/>
    <tableColumn id="46" xr3:uid="{C0AC300E-E224-40E4-9091-EAF823014052}" name="2049"/>
    <tableColumn id="47" xr3:uid="{9924D51E-21CD-4C8D-805F-17D0D74D86E6}" name="2050"/>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6E5E13A9-84CF-47F2-B81D-B9F6A58C8192}" name="YT_cf" displayName="YT_cf" ref="A129:AU137" totalsRowShown="0">
  <tableColumns count="47">
    <tableColumn id="1" xr3:uid="{6A02ED1F-21A1-45ED-A5E5-76DD526344A3}" name="_"/>
    <tableColumn id="2" xr3:uid="{B04E3583-FFA6-4905-BC5E-B989E2318B99}" name="2005" dataDxfId="137" dataCellStyle="Normal 3">
      <calculatedColumnFormula>IFERROR((CAN_gen[[#This Row],[2005]]*1000)/(CAN_cap[[#This Row],[2005]]*8760), 0)</calculatedColumnFormula>
    </tableColumn>
    <tableColumn id="3" xr3:uid="{587FB0DE-5956-435F-AFFA-C40F09039733}" name="2006" dataDxfId="136" dataCellStyle="Normal 3">
      <calculatedColumnFormula>IFERROR((CAN_gen[[#This Row],[2006]]*1000)/(CAN_cap[[#This Row],[2006]]*8760), 0)</calculatedColumnFormula>
    </tableColumn>
    <tableColumn id="4" xr3:uid="{935BF975-38A9-4C50-B4B4-8FAE0CFBC780}" name="2007" dataDxfId="135" dataCellStyle="Normal 3">
      <calculatedColumnFormula>IFERROR((CAN_gen[[#This Row],[2007]]*1000)/(CAN_cap[[#This Row],[2007]]*8760), 0)</calculatedColumnFormula>
    </tableColumn>
    <tableColumn id="5" xr3:uid="{621D1D7B-1F37-4970-8E11-5CA63DBDC16F}" name="2008" dataDxfId="134" dataCellStyle="Normal 3">
      <calculatedColumnFormula>IFERROR((CAN_gen[[#This Row],[2008]]*1000)/(CAN_cap[[#This Row],[2008]]*8760), 0)</calculatedColumnFormula>
    </tableColumn>
    <tableColumn id="6" xr3:uid="{6F3538AF-0B35-4D2F-AB5E-EF5CB81D79B2}" name="2009" dataDxfId="133" dataCellStyle="Normal 3">
      <calculatedColumnFormula>IFERROR((CAN_gen[[#This Row],[2009]]*1000)/(CAN_cap[[#This Row],[2009]]*8760), 0)</calculatedColumnFormula>
    </tableColumn>
    <tableColumn id="7" xr3:uid="{82525CCA-7843-48B0-8C13-0A67A5BA52E5}" name="2010" dataDxfId="132" dataCellStyle="Normal 3">
      <calculatedColumnFormula>IFERROR((CAN_gen[[#This Row],[2010]]*1000)/(CAN_cap[[#This Row],[2010]]*8760), 0)</calculatedColumnFormula>
    </tableColumn>
    <tableColumn id="8" xr3:uid="{23449502-55A8-4B99-A066-FD62991696FF}" name="2011" dataDxfId="131" dataCellStyle="Normal 3">
      <calculatedColumnFormula>IFERROR((CAN_gen[[#This Row],[2011]]*1000)/(CAN_cap[[#This Row],[2011]]*8760), 0)</calculatedColumnFormula>
    </tableColumn>
    <tableColumn id="9" xr3:uid="{E0B4C9C5-0D81-4D06-88E6-1473448A3DD4}" name="2012" dataDxfId="130" dataCellStyle="Normal 3">
      <calculatedColumnFormula>IFERROR((CAN_gen[[#This Row],[2012]]*1000)/(CAN_cap[[#This Row],[2012]]*8760), 0)</calculatedColumnFormula>
    </tableColumn>
    <tableColumn id="10" xr3:uid="{B2FF281A-D357-4D52-858D-C15C6B549422}" name="2013" dataDxfId="129" dataCellStyle="Normal 3">
      <calculatedColumnFormula>IFERROR((CAN_gen[[#This Row],[2013]]*1000)/(CAN_cap[[#This Row],[2013]]*8760), 0)</calculatedColumnFormula>
    </tableColumn>
    <tableColumn id="11" xr3:uid="{387ADAC8-1E8B-48C8-924E-42287058E6C5}" name="2014" dataDxfId="128" dataCellStyle="Normal 3">
      <calculatedColumnFormula>IFERROR((CAN_gen[[#This Row],[2014]]*1000)/(CAN_cap[[#This Row],[2014]]*8760), 0)</calculatedColumnFormula>
    </tableColumn>
    <tableColumn id="12" xr3:uid="{D9BD03A2-D45A-45FF-834D-F4DFB3BB4CC2}" name="2015" dataDxfId="127" dataCellStyle="Normal 3">
      <calculatedColumnFormula>IFERROR((CAN_gen[[#This Row],[2015]]*1000)/(CAN_cap[[#This Row],[2015]]*8760), 0)</calculatedColumnFormula>
    </tableColumn>
    <tableColumn id="13" xr3:uid="{AB6AF062-58AE-44D9-9FF8-A015B23CE4CE}" name="2016" dataDxfId="126" dataCellStyle="Normal 3">
      <calculatedColumnFormula>IFERROR((CAN_gen[[#This Row],[2016]]*1000)/(CAN_cap[[#This Row],[2016]]*8760), 0)</calculatedColumnFormula>
    </tableColumn>
    <tableColumn id="14" xr3:uid="{78943E0C-D6B4-45A0-83CA-15A9E68D30BF}" name="2017" dataDxfId="125" dataCellStyle="Normal 3">
      <calculatedColumnFormula>IFERROR((CAN_gen[[#This Row],[2017]]*1000)/(CAN_cap[[#This Row],[2017]]*8760), 0)</calculatedColumnFormula>
    </tableColumn>
    <tableColumn id="15" xr3:uid="{3C0171CD-238E-4843-A3AB-8F01C101837F}" name="2018" dataDxfId="124" dataCellStyle="Normal 3">
      <calculatedColumnFormula>IFERROR((CAN_gen[[#This Row],[2018]]*1000)/(CAN_cap[[#This Row],[2018]]*8760), 0)</calculatedColumnFormula>
    </tableColumn>
    <tableColumn id="16" xr3:uid="{9674DD43-FCB7-4BAB-A130-0B51A6EAB982}" name="2019" dataDxfId="123" dataCellStyle="Normal 3">
      <calculatedColumnFormula>IFERROR((CAN_gen[[#This Row],[2019]]*1000)/(CAN_cap[[#This Row],[2019]]*8760), 0)</calculatedColumnFormula>
    </tableColumn>
    <tableColumn id="17" xr3:uid="{B22AF13D-6A18-4A55-A7C7-4139A018D519}" name="2020" dataDxfId="122" dataCellStyle="Normal 3">
      <calculatedColumnFormula>IFERROR((CAN_gen[[#This Row],[2020]]*1000)/(CAN_cap[[#This Row],[2020]]*8760), 0)</calculatedColumnFormula>
    </tableColumn>
    <tableColumn id="18" xr3:uid="{17B47595-0637-41BA-BB60-42263AA3CF1D}" name="2021" dataDxfId="121" dataCellStyle="Normal 3">
      <calculatedColumnFormula>IFERROR((CAN_gen[[#This Row],[2021]]*1000)/(CAN_cap[[#This Row],[2021]]*8760), 0)</calculatedColumnFormula>
    </tableColumn>
    <tableColumn id="19" xr3:uid="{44208B08-1A20-4BC6-B585-46B9AC2170D8}" name="2022" dataDxfId="120" dataCellStyle="Normal 3">
      <calculatedColumnFormula>IFERROR((CAN_gen[[#This Row],[2022]]*1000)/(CAN_cap[[#This Row],[2022]]*8760), 0)</calculatedColumnFormula>
    </tableColumn>
    <tableColumn id="20" xr3:uid="{75366CBC-EC93-4DE4-BCFE-C935F8938F42}" name="2023" dataDxfId="119" dataCellStyle="Normal 3">
      <calculatedColumnFormula>IFERROR((CAN_gen[[#This Row],[2023]]*1000)/(CAN_cap[[#This Row],[2023]]*8760), 0)</calculatedColumnFormula>
    </tableColumn>
    <tableColumn id="21" xr3:uid="{D836F1AC-C9AF-4499-8A20-825AA0C6D1C9}" name="2024" dataDxfId="118" dataCellStyle="Normal 3">
      <calculatedColumnFormula>IFERROR((CAN_gen[[#This Row],[2024]]*1000)/(CAN_cap[[#This Row],[2024]]*8760), 0)</calculatedColumnFormula>
    </tableColumn>
    <tableColumn id="22" xr3:uid="{21A3E266-3D72-4840-A43F-5D54BD9BE094}" name="2025" dataDxfId="117" dataCellStyle="Normal 3">
      <calculatedColumnFormula>IFERROR((CAN_gen[[#This Row],[2025]]*1000)/(CAN_cap[[#This Row],[2025]]*8760), 0)</calculatedColumnFormula>
    </tableColumn>
    <tableColumn id="23" xr3:uid="{BCBC4963-905B-4B2A-B13C-1544809E78EA}" name="2026" dataDxfId="116" dataCellStyle="Normal 3">
      <calculatedColumnFormula>IFERROR((CAN_gen[[#This Row],[2026]]*1000)/(CAN_cap[[#This Row],[2026]]*8760), 0)</calculatedColumnFormula>
    </tableColumn>
    <tableColumn id="24" xr3:uid="{68D89F12-F2BD-4A30-A17F-DFA034BF9F32}" name="2027" dataDxfId="115" dataCellStyle="Normal 3">
      <calculatedColumnFormula>IFERROR((CAN_gen[[#This Row],[2027]]*1000)/(CAN_cap[[#This Row],[2027]]*8760), 0)</calculatedColumnFormula>
    </tableColumn>
    <tableColumn id="25" xr3:uid="{607E867D-B59D-47B8-BAA5-8675EA66105D}" name="2028" dataDxfId="114" dataCellStyle="Normal 3">
      <calculatedColumnFormula>IFERROR((CAN_gen[[#This Row],[2028]]*1000)/(CAN_cap[[#This Row],[2028]]*8760), 0)</calculatedColumnFormula>
    </tableColumn>
    <tableColumn id="26" xr3:uid="{6E64858A-8DEE-4815-B5A6-F1555829C77E}" name="2029" dataDxfId="113" dataCellStyle="Normal 3">
      <calculatedColumnFormula>IFERROR((CAN_gen[[#This Row],[2029]]*1000)/(CAN_cap[[#This Row],[2029]]*8760), 0)</calculatedColumnFormula>
    </tableColumn>
    <tableColumn id="27" xr3:uid="{6E9132DF-39C5-4564-B20B-1B70F73C31F6}" name="2030" dataDxfId="112" dataCellStyle="Normal 3">
      <calculatedColumnFormula>IFERROR((CAN_gen[[#This Row],[2030]]*1000)/(CAN_cap[[#This Row],[2030]]*8760), 0)</calculatedColumnFormula>
    </tableColumn>
    <tableColumn id="28" xr3:uid="{26068C96-9CB8-4D7F-BFD3-3BFD034E0EFF}" name="2031" dataDxfId="111" dataCellStyle="Normal 3">
      <calculatedColumnFormula>IFERROR((CAN_gen[[#This Row],[2031]]*1000)/(CAN_cap[[#This Row],[2031]]*8760), 0)</calculatedColumnFormula>
    </tableColumn>
    <tableColumn id="29" xr3:uid="{41EC6D57-BA72-402A-B8E6-9EB96DCFEDFE}" name="2032" dataDxfId="110" dataCellStyle="Normal 3">
      <calculatedColumnFormula>IFERROR((CAN_gen[[#This Row],[2032]]*1000)/(CAN_cap[[#This Row],[2032]]*8760), 0)</calculatedColumnFormula>
    </tableColumn>
    <tableColumn id="30" xr3:uid="{9201ACC5-83EA-45EF-A890-2202C60A5D69}" name="2033" dataDxfId="109" dataCellStyle="Normal 3">
      <calculatedColumnFormula>IFERROR((CAN_gen[[#This Row],[2033]]*1000)/(CAN_cap[[#This Row],[2033]]*8760), 0)</calculatedColumnFormula>
    </tableColumn>
    <tableColumn id="31" xr3:uid="{F3281635-54ED-448C-A461-E52A86190E38}" name="2034" dataDxfId="108" dataCellStyle="Normal 3">
      <calculatedColumnFormula>IFERROR((CAN_gen[[#This Row],[2034]]*1000)/(CAN_cap[[#This Row],[2034]]*8760), 0)</calculatedColumnFormula>
    </tableColumn>
    <tableColumn id="32" xr3:uid="{D3443C10-6D23-49F4-9BD4-1332F8295507}" name="2035" dataDxfId="107" dataCellStyle="Normal 3">
      <calculatedColumnFormula>IFERROR((CAN_gen[[#This Row],[2035]]*1000)/(CAN_cap[[#This Row],[2035]]*8760), 0)</calculatedColumnFormula>
    </tableColumn>
    <tableColumn id="33" xr3:uid="{DC9C26E6-396A-48DE-96BC-9EF599086DB8}" name="2036" dataDxfId="106" dataCellStyle="Normal 3">
      <calculatedColumnFormula>IFERROR((CAN_gen[[#This Row],[2036]]*1000)/(CAN_cap[[#This Row],[2036]]*8760), 0)</calculatedColumnFormula>
    </tableColumn>
    <tableColumn id="34" xr3:uid="{40FDAED8-B4C5-4E26-8868-00ACF9C3648C}" name="2037" dataDxfId="105" dataCellStyle="Normal 3">
      <calculatedColumnFormula>IFERROR((CAN_gen[[#This Row],[2037]]*1000)/(CAN_cap[[#This Row],[2037]]*8760), 0)</calculatedColumnFormula>
    </tableColumn>
    <tableColumn id="35" xr3:uid="{D977D236-A999-45AD-96C7-5CE538FB8051}" name="2038" dataDxfId="104" dataCellStyle="Normal 3">
      <calculatedColumnFormula>IFERROR((CAN_gen[[#This Row],[2038]]*1000)/(CAN_cap[[#This Row],[2038]]*8760), 0)</calculatedColumnFormula>
    </tableColumn>
    <tableColumn id="36" xr3:uid="{3DBAA6EA-28FE-489E-8DF7-B90A861B4F95}" name="2039" dataDxfId="103" dataCellStyle="Normal 3">
      <calculatedColumnFormula>IFERROR((CAN_gen[[#This Row],[2039]]*1000)/(CAN_cap[[#This Row],[2039]]*8760), 0)</calculatedColumnFormula>
    </tableColumn>
    <tableColumn id="37" xr3:uid="{A9E66F3B-40F0-4BE5-B4D2-686C45539B70}" name="2040" dataDxfId="102" dataCellStyle="Normal 3">
      <calculatedColumnFormula>IFERROR((CAN_gen[[#This Row],[2040]]*1000)/(CAN_cap[[#This Row],[2040]]*8760), 0)</calculatedColumnFormula>
    </tableColumn>
    <tableColumn id="38" xr3:uid="{154BD3D7-D39A-4B8A-8DC1-9CD9FED7748A}" name="2041" dataDxfId="101" dataCellStyle="Normal 3">
      <calculatedColumnFormula>IFERROR((CAN_gen[[#This Row],[2041]]*1000)/(CAN_cap[[#This Row],[2041]]*8760), 0)</calculatedColumnFormula>
    </tableColumn>
    <tableColumn id="39" xr3:uid="{E5E43F14-1002-4751-AE92-4D82A1316155}" name="2042" dataDxfId="100" dataCellStyle="Normal 3">
      <calculatedColumnFormula>IFERROR((CAN_gen[[#This Row],[2042]]*1000)/(CAN_cap[[#This Row],[2042]]*8760), 0)</calculatedColumnFormula>
    </tableColumn>
    <tableColumn id="40" xr3:uid="{4E0BB429-78D0-495D-A020-8B37550E8EA1}" name="2043" dataDxfId="99" dataCellStyle="Normal 3">
      <calculatedColumnFormula>IFERROR((CAN_gen[[#This Row],[2043]]*1000)/(CAN_cap[[#This Row],[2043]]*8760), 0)</calculatedColumnFormula>
    </tableColumn>
    <tableColumn id="41" xr3:uid="{5978C501-CD76-4743-8895-E1D9A732528F}" name="2044" dataDxfId="98" dataCellStyle="Normal 3">
      <calculatedColumnFormula>IFERROR((CAN_gen[[#This Row],[2044]]*1000)/(CAN_cap[[#This Row],[2044]]*8760), 0)</calculatedColumnFormula>
    </tableColumn>
    <tableColumn id="42" xr3:uid="{F814CD60-D2B0-43F6-B15D-79BAC7E4D776}" name="2045" dataDxfId="97" dataCellStyle="Normal 3">
      <calculatedColumnFormula>IFERROR((CAN_gen[[#This Row],[2045]]*1000)/(CAN_cap[[#This Row],[2045]]*8760), 0)</calculatedColumnFormula>
    </tableColumn>
    <tableColumn id="43" xr3:uid="{5E2F4BA6-46B0-4A03-ABB5-E9BBB1187A69}" name="2046" dataDxfId="96" dataCellStyle="Normal 3">
      <calculatedColumnFormula>IFERROR((CAN_gen[[#This Row],[2046]]*1000)/(CAN_cap[[#This Row],[2046]]*8760), 0)</calculatedColumnFormula>
    </tableColumn>
    <tableColumn id="44" xr3:uid="{8519DD1D-3D3D-44E0-9297-E739655A0D31}" name="2047" dataDxfId="95" dataCellStyle="Normal 3">
      <calculatedColumnFormula>IFERROR((CAN_gen[[#This Row],[2047]]*1000)/(CAN_cap[[#This Row],[2047]]*8760), 0)</calculatedColumnFormula>
    </tableColumn>
    <tableColumn id="45" xr3:uid="{D9CE856E-D615-470C-B8CF-21A462996DA8}" name="2048" dataDxfId="94" dataCellStyle="Normal 3">
      <calculatedColumnFormula>IFERROR((CAN_gen[[#This Row],[2048]]*1000)/(CAN_cap[[#This Row],[2048]]*8760), 0)</calculatedColumnFormula>
    </tableColumn>
    <tableColumn id="46" xr3:uid="{F6655FDC-E588-461C-B10B-73DE5809128E}" name="2049" dataDxfId="93" dataCellStyle="Normal 3">
      <calculatedColumnFormula>IFERROR((CAN_gen[[#This Row],[2049]]*1000)/(CAN_cap[[#This Row],[2049]]*8760), 0)</calculatedColumnFormula>
    </tableColumn>
    <tableColumn id="47" xr3:uid="{2F5DD14D-58FD-49AB-8F68-2F2A01BE81B5}" name="2050" dataDxfId="92"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33A5BFD-5E92-4F74-A966-228F9238CBD3}" name="NT_cf" displayName="NT_cf" ref="A140:AU148" totalsRowShown="0">
  <tableColumns count="47">
    <tableColumn id="1" xr3:uid="{BBF84F0A-2988-44C8-99A0-8C741DB10C91}" name="_"/>
    <tableColumn id="2" xr3:uid="{2E69C782-E813-4723-9A1A-D59190900402}" name="2005" dataDxfId="91" dataCellStyle="Normal 3">
      <calculatedColumnFormula>IFERROR((CAN_gen[[#This Row],[2005]]*1000)/(CAN_cap[[#This Row],[2005]]*8760), 0)</calculatedColumnFormula>
    </tableColumn>
    <tableColumn id="3" xr3:uid="{7485C8C8-3261-4DC3-90EA-4362D9250475}" name="2006" dataDxfId="90" dataCellStyle="Normal 3">
      <calculatedColumnFormula>IFERROR((CAN_gen[[#This Row],[2006]]*1000)/(CAN_cap[[#This Row],[2006]]*8760), 0)</calculatedColumnFormula>
    </tableColumn>
    <tableColumn id="4" xr3:uid="{FDA1D36A-DCCC-412F-8DAA-5A886ADA1150}" name="2007" dataDxfId="89" dataCellStyle="Normal 3">
      <calculatedColumnFormula>IFERROR((CAN_gen[[#This Row],[2007]]*1000)/(CAN_cap[[#This Row],[2007]]*8760), 0)</calculatedColumnFormula>
    </tableColumn>
    <tableColumn id="5" xr3:uid="{95694042-983F-45F6-9F8F-00E77DDA67A1}" name="2008" dataDxfId="88" dataCellStyle="Normal 3">
      <calculatedColumnFormula>IFERROR((CAN_gen[[#This Row],[2008]]*1000)/(CAN_cap[[#This Row],[2008]]*8760), 0)</calculatedColumnFormula>
    </tableColumn>
    <tableColumn id="6" xr3:uid="{464212F9-4F11-4814-A5FF-E0F57A5FB935}" name="2009" dataDxfId="87" dataCellStyle="Normal 3">
      <calculatedColumnFormula>IFERROR((CAN_gen[[#This Row],[2009]]*1000)/(CAN_cap[[#This Row],[2009]]*8760), 0)</calculatedColumnFormula>
    </tableColumn>
    <tableColumn id="7" xr3:uid="{85627357-67FF-4A9A-B7D7-621B361223B9}" name="2010" dataDxfId="86" dataCellStyle="Normal 3">
      <calculatedColumnFormula>IFERROR((CAN_gen[[#This Row],[2010]]*1000)/(CAN_cap[[#This Row],[2010]]*8760), 0)</calculatedColumnFormula>
    </tableColumn>
    <tableColumn id="8" xr3:uid="{A0A7ED97-066B-427E-B05E-9463FAA15E98}" name="2011" dataDxfId="85" dataCellStyle="Normal 3">
      <calculatedColumnFormula>IFERROR((CAN_gen[[#This Row],[2011]]*1000)/(CAN_cap[[#This Row],[2011]]*8760), 0)</calculatedColumnFormula>
    </tableColumn>
    <tableColumn id="9" xr3:uid="{00BF594A-F7D9-4D4C-8078-395C8E73C1D3}" name="2012" dataDxfId="84" dataCellStyle="Normal 3">
      <calculatedColumnFormula>IFERROR((CAN_gen[[#This Row],[2012]]*1000)/(CAN_cap[[#This Row],[2012]]*8760), 0)</calculatedColumnFormula>
    </tableColumn>
    <tableColumn id="10" xr3:uid="{82B3FB7F-A7B0-40B0-ABB9-191B517F0237}" name="2013" dataDxfId="83" dataCellStyle="Normal 3">
      <calculatedColumnFormula>IFERROR((CAN_gen[[#This Row],[2013]]*1000)/(CAN_cap[[#This Row],[2013]]*8760), 0)</calculatedColumnFormula>
    </tableColumn>
    <tableColumn id="11" xr3:uid="{79807A55-85F4-4F10-A56A-CECC5D4DFB11}" name="2014" dataDxfId="82" dataCellStyle="Normal 3">
      <calculatedColumnFormula>IFERROR((CAN_gen[[#This Row],[2014]]*1000)/(CAN_cap[[#This Row],[2014]]*8760), 0)</calculatedColumnFormula>
    </tableColumn>
    <tableColumn id="12" xr3:uid="{FFC55620-164D-45FC-A180-8DE1A820C71B}" name="2015" dataDxfId="81" dataCellStyle="Normal 3">
      <calculatedColumnFormula>IFERROR((CAN_gen[[#This Row],[2015]]*1000)/(CAN_cap[[#This Row],[2015]]*8760), 0)</calculatedColumnFormula>
    </tableColumn>
    <tableColumn id="13" xr3:uid="{97C180AA-47CB-433B-9F35-0B8ED79FBB9D}" name="2016" dataDxfId="80" dataCellStyle="Normal 3">
      <calculatedColumnFormula>IFERROR((CAN_gen[[#This Row],[2016]]*1000)/(CAN_cap[[#This Row],[2016]]*8760), 0)</calculatedColumnFormula>
    </tableColumn>
    <tableColumn id="14" xr3:uid="{BBA1E855-1491-4F09-A78C-B48FEA4D3E5E}" name="2017" dataDxfId="79" dataCellStyle="Normal 3">
      <calculatedColumnFormula>IFERROR((CAN_gen[[#This Row],[2017]]*1000)/(CAN_cap[[#This Row],[2017]]*8760), 0)</calculatedColumnFormula>
    </tableColumn>
    <tableColumn id="15" xr3:uid="{A758CB3A-2A00-4C55-A1E3-F9662B66E1CD}" name="2018" dataDxfId="78" dataCellStyle="Normal 3">
      <calculatedColumnFormula>IFERROR((CAN_gen[[#This Row],[2018]]*1000)/(CAN_cap[[#This Row],[2018]]*8760), 0)</calculatedColumnFormula>
    </tableColumn>
    <tableColumn id="16" xr3:uid="{26FC4377-08B3-4D21-9EB0-AD9559108891}" name="2019" dataDxfId="77" dataCellStyle="Normal 3">
      <calculatedColumnFormula>IFERROR((CAN_gen[[#This Row],[2019]]*1000)/(CAN_cap[[#This Row],[2019]]*8760), 0)</calculatedColumnFormula>
    </tableColumn>
    <tableColumn id="17" xr3:uid="{ADAD7CC2-B6C1-4E65-B071-8AB9A73ACA05}" name="2020" dataDxfId="76" dataCellStyle="Normal 3">
      <calculatedColumnFormula>IFERROR((CAN_gen[[#This Row],[2020]]*1000)/(CAN_cap[[#This Row],[2020]]*8760), 0)</calculatedColumnFormula>
    </tableColumn>
    <tableColumn id="18" xr3:uid="{48ACDA32-A396-486E-805B-E368AF08A26C}" name="2021" dataDxfId="75" dataCellStyle="Normal 3">
      <calculatedColumnFormula>IFERROR((CAN_gen[[#This Row],[2021]]*1000)/(CAN_cap[[#This Row],[2021]]*8760), 0)</calculatedColumnFormula>
    </tableColumn>
    <tableColumn id="19" xr3:uid="{07F5CB7E-CDCD-4B10-82E5-A122F8A7157F}" name="2022" dataDxfId="74" dataCellStyle="Normal 3">
      <calculatedColumnFormula>IFERROR((CAN_gen[[#This Row],[2022]]*1000)/(CAN_cap[[#This Row],[2022]]*8760), 0)</calculatedColumnFormula>
    </tableColumn>
    <tableColumn id="20" xr3:uid="{6648CB5D-B402-4028-8AE9-A7087FCF3A9B}" name="2023" dataDxfId="73" dataCellStyle="Normal 3">
      <calculatedColumnFormula>IFERROR((CAN_gen[[#This Row],[2023]]*1000)/(CAN_cap[[#This Row],[2023]]*8760), 0)</calculatedColumnFormula>
    </tableColumn>
    <tableColumn id="21" xr3:uid="{B40B3BAF-4176-4D2E-A56A-1A7F5BC78A6E}" name="2024" dataDxfId="72" dataCellStyle="Normal 3">
      <calculatedColumnFormula>IFERROR((CAN_gen[[#This Row],[2024]]*1000)/(CAN_cap[[#This Row],[2024]]*8760), 0)</calculatedColumnFormula>
    </tableColumn>
    <tableColumn id="22" xr3:uid="{3A6FECBF-1C8A-4847-968F-C9A6DFAFE2AD}" name="2025" dataDxfId="71" dataCellStyle="Normal 3">
      <calculatedColumnFormula>IFERROR((CAN_gen[[#This Row],[2025]]*1000)/(CAN_cap[[#This Row],[2025]]*8760), 0)</calculatedColumnFormula>
    </tableColumn>
    <tableColumn id="23" xr3:uid="{E27B13F6-3AC9-4A5F-A3F8-3E90935E7418}" name="2026" dataDxfId="70" dataCellStyle="Normal 3">
      <calculatedColumnFormula>IFERROR((CAN_gen[[#This Row],[2026]]*1000)/(CAN_cap[[#This Row],[2026]]*8760), 0)</calculatedColumnFormula>
    </tableColumn>
    <tableColumn id="24" xr3:uid="{1F7D7641-6421-436B-9F1A-28799FB90791}" name="2027" dataDxfId="69" dataCellStyle="Normal 3">
      <calculatedColumnFormula>IFERROR((CAN_gen[[#This Row],[2027]]*1000)/(CAN_cap[[#This Row],[2027]]*8760), 0)</calculatedColumnFormula>
    </tableColumn>
    <tableColumn id="25" xr3:uid="{F796D97D-9DF3-4FC0-9035-0D8E5DD81559}" name="2028" dataDxfId="68" dataCellStyle="Normal 3">
      <calculatedColumnFormula>IFERROR((CAN_gen[[#This Row],[2028]]*1000)/(CAN_cap[[#This Row],[2028]]*8760), 0)</calculatedColumnFormula>
    </tableColumn>
    <tableColumn id="26" xr3:uid="{FA1E055C-AE82-4300-8F4E-5FAFD31C51ED}" name="2029" dataDxfId="67" dataCellStyle="Normal 3">
      <calculatedColumnFormula>IFERROR((CAN_gen[[#This Row],[2029]]*1000)/(CAN_cap[[#This Row],[2029]]*8760), 0)</calculatedColumnFormula>
    </tableColumn>
    <tableColumn id="27" xr3:uid="{D908B36E-1004-403F-BBD4-CA20237D27CB}" name="2030" dataDxfId="66" dataCellStyle="Normal 3">
      <calculatedColumnFormula>IFERROR((CAN_gen[[#This Row],[2030]]*1000)/(CAN_cap[[#This Row],[2030]]*8760), 0)</calculatedColumnFormula>
    </tableColumn>
    <tableColumn id="28" xr3:uid="{4DA2CB0D-6FCE-4AB3-B34B-4EFA8EA7799F}" name="2031" dataDxfId="65" dataCellStyle="Normal 3">
      <calculatedColumnFormula>IFERROR((CAN_gen[[#This Row],[2031]]*1000)/(CAN_cap[[#This Row],[2031]]*8760), 0)</calculatedColumnFormula>
    </tableColumn>
    <tableColumn id="29" xr3:uid="{8F8DFDBA-FA7A-4176-B396-BA3C2165F56E}" name="2032" dataDxfId="64" dataCellStyle="Normal 3">
      <calculatedColumnFormula>IFERROR((CAN_gen[[#This Row],[2032]]*1000)/(CAN_cap[[#This Row],[2032]]*8760), 0)</calculatedColumnFormula>
    </tableColumn>
    <tableColumn id="30" xr3:uid="{4B30E591-4E2C-48CD-A99F-32FFCDD9B4DF}" name="2033" dataDxfId="63" dataCellStyle="Normal 3">
      <calculatedColumnFormula>IFERROR((CAN_gen[[#This Row],[2033]]*1000)/(CAN_cap[[#This Row],[2033]]*8760), 0)</calculatedColumnFormula>
    </tableColumn>
    <tableColumn id="31" xr3:uid="{4849430A-3A32-4B1F-812D-56B85A6E439F}" name="2034" dataDxfId="62" dataCellStyle="Normal 3">
      <calculatedColumnFormula>IFERROR((CAN_gen[[#This Row],[2034]]*1000)/(CAN_cap[[#This Row],[2034]]*8760), 0)</calculatedColumnFormula>
    </tableColumn>
    <tableColumn id="32" xr3:uid="{733D0AE6-4297-419A-BC06-1A2A019A3869}" name="2035" dataDxfId="61" dataCellStyle="Normal 3">
      <calculatedColumnFormula>IFERROR((CAN_gen[[#This Row],[2035]]*1000)/(CAN_cap[[#This Row],[2035]]*8760), 0)</calculatedColumnFormula>
    </tableColumn>
    <tableColumn id="33" xr3:uid="{14169106-4BA8-4726-99A0-6136A1A811B0}" name="2036" dataDxfId="60" dataCellStyle="Normal 3">
      <calculatedColumnFormula>IFERROR((CAN_gen[[#This Row],[2036]]*1000)/(CAN_cap[[#This Row],[2036]]*8760), 0)</calculatedColumnFormula>
    </tableColumn>
    <tableColumn id="34" xr3:uid="{C6A344CA-9C53-4A38-BC07-EB8BAA977A47}" name="2037" dataDxfId="59" dataCellStyle="Normal 3">
      <calculatedColumnFormula>IFERROR((CAN_gen[[#This Row],[2037]]*1000)/(CAN_cap[[#This Row],[2037]]*8760), 0)</calculatedColumnFormula>
    </tableColumn>
    <tableColumn id="35" xr3:uid="{E72E65F0-E51D-40F9-880A-50FB1A0864BF}" name="2038" dataDxfId="58" dataCellStyle="Normal 3">
      <calculatedColumnFormula>IFERROR((CAN_gen[[#This Row],[2038]]*1000)/(CAN_cap[[#This Row],[2038]]*8760), 0)</calculatedColumnFormula>
    </tableColumn>
    <tableColumn id="36" xr3:uid="{876E9000-847F-4FA8-A818-331B9CDBF8F5}" name="2039" dataDxfId="57" dataCellStyle="Normal 3">
      <calculatedColumnFormula>IFERROR((CAN_gen[[#This Row],[2039]]*1000)/(CAN_cap[[#This Row],[2039]]*8760), 0)</calculatedColumnFormula>
    </tableColumn>
    <tableColumn id="37" xr3:uid="{921BFF8C-DBC2-4FE4-A36E-971C7241C8BF}" name="2040" dataDxfId="56" dataCellStyle="Normal 3">
      <calculatedColumnFormula>IFERROR((CAN_gen[[#This Row],[2040]]*1000)/(CAN_cap[[#This Row],[2040]]*8760), 0)</calculatedColumnFormula>
    </tableColumn>
    <tableColumn id="38" xr3:uid="{AA039A3D-A509-41EC-B53A-D8BE40EE9E83}" name="2041" dataDxfId="55" dataCellStyle="Normal 3">
      <calculatedColumnFormula>IFERROR((CAN_gen[[#This Row],[2041]]*1000)/(CAN_cap[[#This Row],[2041]]*8760), 0)</calculatedColumnFormula>
    </tableColumn>
    <tableColumn id="39" xr3:uid="{D18E89F5-9C56-49E2-8EBC-6E1372DEA309}" name="2042" dataDxfId="54" dataCellStyle="Normal 3">
      <calculatedColumnFormula>IFERROR((CAN_gen[[#This Row],[2042]]*1000)/(CAN_cap[[#This Row],[2042]]*8760), 0)</calculatedColumnFormula>
    </tableColumn>
    <tableColumn id="40" xr3:uid="{477DB5ED-5DA3-4FAD-87DC-DC8A69E53343}" name="2043" dataDxfId="53" dataCellStyle="Normal 3">
      <calculatedColumnFormula>IFERROR((CAN_gen[[#This Row],[2043]]*1000)/(CAN_cap[[#This Row],[2043]]*8760), 0)</calculatedColumnFormula>
    </tableColumn>
    <tableColumn id="41" xr3:uid="{FB411428-8BB1-4787-BB1A-E1BA94C53E9D}" name="2044" dataDxfId="52" dataCellStyle="Normal 3">
      <calculatedColumnFormula>IFERROR((CAN_gen[[#This Row],[2044]]*1000)/(CAN_cap[[#This Row],[2044]]*8760), 0)</calculatedColumnFormula>
    </tableColumn>
    <tableColumn id="42" xr3:uid="{477C6243-7EBE-4C33-AB65-10BAE0AB33AB}" name="2045" dataDxfId="51" dataCellStyle="Normal 3">
      <calculatedColumnFormula>IFERROR((CAN_gen[[#This Row],[2045]]*1000)/(CAN_cap[[#This Row],[2045]]*8760), 0)</calculatedColumnFormula>
    </tableColumn>
    <tableColumn id="43" xr3:uid="{411F9847-C61C-4DCC-853A-7A0D78DA9F03}" name="2046" dataDxfId="50" dataCellStyle="Normal 3">
      <calculatedColumnFormula>IFERROR((CAN_gen[[#This Row],[2046]]*1000)/(CAN_cap[[#This Row],[2046]]*8760), 0)</calculatedColumnFormula>
    </tableColumn>
    <tableColumn id="44" xr3:uid="{6524EE58-A35A-44D0-98FC-0FCED52B6827}" name="2047" dataDxfId="49" dataCellStyle="Normal 3">
      <calculatedColumnFormula>IFERROR((CAN_gen[[#This Row],[2047]]*1000)/(CAN_cap[[#This Row],[2047]]*8760), 0)</calculatedColumnFormula>
    </tableColumn>
    <tableColumn id="45" xr3:uid="{AA58CEF8-EA3F-462F-9A3F-F66217620600}" name="2048" dataDxfId="48" dataCellStyle="Normal 3">
      <calculatedColumnFormula>IFERROR((CAN_gen[[#This Row],[2048]]*1000)/(CAN_cap[[#This Row],[2048]]*8760), 0)</calculatedColumnFormula>
    </tableColumn>
    <tableColumn id="46" xr3:uid="{9F091C84-8032-4D1C-802B-46E7AA43E58F}" name="2049" dataDxfId="47" dataCellStyle="Normal 3">
      <calculatedColumnFormula>IFERROR((CAN_gen[[#This Row],[2049]]*1000)/(CAN_cap[[#This Row],[2049]]*8760), 0)</calculatedColumnFormula>
    </tableColumn>
    <tableColumn id="47" xr3:uid="{4DB40E92-0A5F-4542-A5B5-5C2E188E2132}" name="2050" dataDxfId="46"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49A8459-B536-4D11-AE62-6ED725AC098A}" name="NU_cf" displayName="NU_cf" ref="A151:AU159" totalsRowShown="0">
  <tableColumns count="47">
    <tableColumn id="1" xr3:uid="{1D19C7FD-F513-4277-B891-985CCD4F9C4A}" name="_"/>
    <tableColumn id="2" xr3:uid="{D6D62979-3931-454D-9CBB-9227935AF25A}" name="2005" dataDxfId="45" dataCellStyle="Normal 3">
      <calculatedColumnFormula>IFERROR((CAN_gen[[#This Row],[2005]]*1000)/(CAN_cap[[#This Row],[2005]]*8760), 0)</calculatedColumnFormula>
    </tableColumn>
    <tableColumn id="3" xr3:uid="{B7CDE14D-9A87-4B78-9CCD-21F7F7D44BF6}" name="2006" dataDxfId="44" dataCellStyle="Normal 3">
      <calculatedColumnFormula>IFERROR((CAN_gen[[#This Row],[2006]]*1000)/(CAN_cap[[#This Row],[2006]]*8760), 0)</calculatedColumnFormula>
    </tableColumn>
    <tableColumn id="4" xr3:uid="{95B6E753-E9CB-41D3-B56F-613AD474BBEF}" name="2007" dataDxfId="43" dataCellStyle="Normal 3">
      <calculatedColumnFormula>IFERROR((CAN_gen[[#This Row],[2007]]*1000)/(CAN_cap[[#This Row],[2007]]*8760), 0)</calculatedColumnFormula>
    </tableColumn>
    <tableColumn id="5" xr3:uid="{6828665F-58A8-4093-97FD-F71CDC66F842}" name="2008" dataDxfId="42" dataCellStyle="Normal 3">
      <calculatedColumnFormula>IFERROR((CAN_gen[[#This Row],[2008]]*1000)/(CAN_cap[[#This Row],[2008]]*8760), 0)</calculatedColumnFormula>
    </tableColumn>
    <tableColumn id="6" xr3:uid="{0D9B9653-44A4-4350-B784-B6BF430E24BA}" name="2009" dataDxfId="41" dataCellStyle="Normal 3">
      <calculatedColumnFormula>IFERROR((CAN_gen[[#This Row],[2009]]*1000)/(CAN_cap[[#This Row],[2009]]*8760), 0)</calculatedColumnFormula>
    </tableColumn>
    <tableColumn id="7" xr3:uid="{BD7E57F5-5F56-4312-A0FA-0E55EADA3B2A}" name="2010" dataDxfId="40" dataCellStyle="Normal 3">
      <calculatedColumnFormula>IFERROR((CAN_gen[[#This Row],[2010]]*1000)/(CAN_cap[[#This Row],[2010]]*8760), 0)</calculatedColumnFormula>
    </tableColumn>
    <tableColumn id="8" xr3:uid="{A53D7132-1202-4B7E-9F5C-7171F2553E23}" name="2011" dataDxfId="39" dataCellStyle="Normal 3">
      <calculatedColumnFormula>IFERROR((CAN_gen[[#This Row],[2011]]*1000)/(CAN_cap[[#This Row],[2011]]*8760), 0)</calculatedColumnFormula>
    </tableColumn>
    <tableColumn id="9" xr3:uid="{54A711A6-5570-4436-BAF3-D2C2DFF3C1D6}" name="2012" dataDxfId="38" dataCellStyle="Normal 3">
      <calculatedColumnFormula>IFERROR((CAN_gen[[#This Row],[2012]]*1000)/(CAN_cap[[#This Row],[2012]]*8760), 0)</calculatedColumnFormula>
    </tableColumn>
    <tableColumn id="10" xr3:uid="{311BE701-15EA-4154-B911-C33EDFF5631F}" name="2013" dataDxfId="37" dataCellStyle="Normal 3">
      <calculatedColumnFormula>IFERROR((CAN_gen[[#This Row],[2013]]*1000)/(CAN_cap[[#This Row],[2013]]*8760), 0)</calculatedColumnFormula>
    </tableColumn>
    <tableColumn id="11" xr3:uid="{3FE71B42-43C7-4EC1-9E28-60A87FC9F2C4}" name="2014" dataDxfId="36" dataCellStyle="Normal 3">
      <calculatedColumnFormula>IFERROR((CAN_gen[[#This Row],[2014]]*1000)/(CAN_cap[[#This Row],[2014]]*8760), 0)</calculatedColumnFormula>
    </tableColumn>
    <tableColumn id="12" xr3:uid="{CE5D2CA2-337B-475F-BFCC-9A85BE7F71E0}" name="2015" dataDxfId="35" dataCellStyle="Normal 3">
      <calculatedColumnFormula>IFERROR((CAN_gen[[#This Row],[2015]]*1000)/(CAN_cap[[#This Row],[2015]]*8760), 0)</calculatedColumnFormula>
    </tableColumn>
    <tableColumn id="13" xr3:uid="{8C63D073-AE2C-4FDD-A1D1-D53CB7F3E23D}" name="2016" dataDxfId="34" dataCellStyle="Normal 3">
      <calculatedColumnFormula>IFERROR((CAN_gen[[#This Row],[2016]]*1000)/(CAN_cap[[#This Row],[2016]]*8760), 0)</calculatedColumnFormula>
    </tableColumn>
    <tableColumn id="14" xr3:uid="{546B3A8F-397D-48F3-8AC0-268CF44955EB}" name="2017" dataDxfId="33" dataCellStyle="Normal 3">
      <calculatedColumnFormula>IFERROR((CAN_gen[[#This Row],[2017]]*1000)/(CAN_cap[[#This Row],[2017]]*8760), 0)</calculatedColumnFormula>
    </tableColumn>
    <tableColumn id="15" xr3:uid="{5DBC764A-567A-4A7F-B036-A6FCD08BDA6A}" name="2018" dataDxfId="32" dataCellStyle="Normal 3">
      <calculatedColumnFormula>IFERROR((CAN_gen[[#This Row],[2018]]*1000)/(CAN_cap[[#This Row],[2018]]*8760), 0)</calculatedColumnFormula>
    </tableColumn>
    <tableColumn id="16" xr3:uid="{D566E4E0-FD74-4041-98EA-E1707CBF9569}" name="2019" dataDxfId="31" dataCellStyle="Normal 3">
      <calculatedColumnFormula>IFERROR((CAN_gen[[#This Row],[2019]]*1000)/(CAN_cap[[#This Row],[2019]]*8760), 0)</calculatedColumnFormula>
    </tableColumn>
    <tableColumn id="17" xr3:uid="{8F9C366F-4119-4301-87B8-2874C8994D7F}" name="2020" dataDxfId="30" dataCellStyle="Normal 3">
      <calculatedColumnFormula>IFERROR((CAN_gen[[#This Row],[2020]]*1000)/(CAN_cap[[#This Row],[2020]]*8760), 0)</calculatedColumnFormula>
    </tableColumn>
    <tableColumn id="18" xr3:uid="{7C430F50-3417-4091-99A1-71D4C6051542}" name="2021" dataDxfId="29" dataCellStyle="Normal 3">
      <calculatedColumnFormula>IFERROR((CAN_gen[[#This Row],[2021]]*1000)/(CAN_cap[[#This Row],[2021]]*8760), 0)</calculatedColumnFormula>
    </tableColumn>
    <tableColumn id="19" xr3:uid="{A10768A7-5D55-4C86-9A4F-94DBB942D861}" name="2022" dataDxfId="28" dataCellStyle="Normal 3">
      <calculatedColumnFormula>IFERROR((CAN_gen[[#This Row],[2022]]*1000)/(CAN_cap[[#This Row],[2022]]*8760), 0)</calculatedColumnFormula>
    </tableColumn>
    <tableColumn id="20" xr3:uid="{C52A153C-4C0E-4B9E-9CE7-8F4F4C31B51B}" name="2023" dataDxfId="27" dataCellStyle="Normal 3">
      <calculatedColumnFormula>IFERROR((CAN_gen[[#This Row],[2023]]*1000)/(CAN_cap[[#This Row],[2023]]*8760), 0)</calculatedColumnFormula>
    </tableColumn>
    <tableColumn id="21" xr3:uid="{3D06DD41-3DAF-43EB-B409-C76D1A880773}" name="2024" dataDxfId="26" dataCellStyle="Normal 3">
      <calculatedColumnFormula>IFERROR((CAN_gen[[#This Row],[2024]]*1000)/(CAN_cap[[#This Row],[2024]]*8760), 0)</calculatedColumnFormula>
    </tableColumn>
    <tableColumn id="22" xr3:uid="{23AACB9F-05BD-4433-A82F-1B1B53C44AC1}" name="2025" dataDxfId="25" dataCellStyle="Normal 3">
      <calculatedColumnFormula>IFERROR((CAN_gen[[#This Row],[2025]]*1000)/(CAN_cap[[#This Row],[2025]]*8760), 0)</calculatedColumnFormula>
    </tableColumn>
    <tableColumn id="23" xr3:uid="{2B7BBA11-B9D0-4690-90A5-96BCD49F2B66}" name="2026" dataDxfId="24" dataCellStyle="Normal 3">
      <calculatedColumnFormula>IFERROR((CAN_gen[[#This Row],[2026]]*1000)/(CAN_cap[[#This Row],[2026]]*8760), 0)</calculatedColumnFormula>
    </tableColumn>
    <tableColumn id="24" xr3:uid="{DB402884-5C27-4239-AF03-D85A4D88F1A0}" name="2027" dataDxfId="23" dataCellStyle="Normal 3">
      <calculatedColumnFormula>IFERROR((CAN_gen[[#This Row],[2027]]*1000)/(CAN_cap[[#This Row],[2027]]*8760), 0)</calculatedColumnFormula>
    </tableColumn>
    <tableColumn id="25" xr3:uid="{A271AED7-1318-47A3-A730-EE9FFCB55C9C}" name="2028" dataDxfId="22" dataCellStyle="Normal 3">
      <calculatedColumnFormula>IFERROR((CAN_gen[[#This Row],[2028]]*1000)/(CAN_cap[[#This Row],[2028]]*8760), 0)</calculatedColumnFormula>
    </tableColumn>
    <tableColumn id="26" xr3:uid="{46179F16-64F4-4C3C-9674-44CCA29A97C6}" name="2029" dataDxfId="21" dataCellStyle="Normal 3">
      <calculatedColumnFormula>IFERROR((CAN_gen[[#This Row],[2029]]*1000)/(CAN_cap[[#This Row],[2029]]*8760), 0)</calculatedColumnFormula>
    </tableColumn>
    <tableColumn id="27" xr3:uid="{5B9F68D7-7C4D-4250-83D0-99A8B0011A77}" name="2030" dataDxfId="20" dataCellStyle="Normal 3">
      <calculatedColumnFormula>IFERROR((CAN_gen[[#This Row],[2030]]*1000)/(CAN_cap[[#This Row],[2030]]*8760), 0)</calculatedColumnFormula>
    </tableColumn>
    <tableColumn id="28" xr3:uid="{86C6BA39-D604-4B50-899C-444B3E4273DA}" name="2031" dataDxfId="19" dataCellStyle="Normal 3">
      <calculatedColumnFormula>IFERROR((CAN_gen[[#This Row],[2031]]*1000)/(CAN_cap[[#This Row],[2031]]*8760), 0)</calculatedColumnFormula>
    </tableColumn>
    <tableColumn id="29" xr3:uid="{C03E3701-933E-49E3-A114-B873D2F778ED}" name="2032" dataDxfId="18" dataCellStyle="Normal 3">
      <calculatedColumnFormula>IFERROR((CAN_gen[[#This Row],[2032]]*1000)/(CAN_cap[[#This Row],[2032]]*8760), 0)</calculatedColumnFormula>
    </tableColumn>
    <tableColumn id="30" xr3:uid="{9FA158A5-99F7-458C-A57A-49B1D1439473}" name="2033" dataDxfId="17" dataCellStyle="Normal 3">
      <calculatedColumnFormula>IFERROR((CAN_gen[[#This Row],[2033]]*1000)/(CAN_cap[[#This Row],[2033]]*8760), 0)</calculatedColumnFormula>
    </tableColumn>
    <tableColumn id="31" xr3:uid="{5EC1CA04-045C-4B3B-82C6-F8D54904549A}" name="2034" dataDxfId="16" dataCellStyle="Normal 3">
      <calculatedColumnFormula>IFERROR((CAN_gen[[#This Row],[2034]]*1000)/(CAN_cap[[#This Row],[2034]]*8760), 0)</calculatedColumnFormula>
    </tableColumn>
    <tableColumn id="32" xr3:uid="{08168F38-22E2-46F0-A055-4FFC65D74AEA}" name="2035" dataDxfId="15" dataCellStyle="Normal 3">
      <calculatedColumnFormula>IFERROR((CAN_gen[[#This Row],[2035]]*1000)/(CAN_cap[[#This Row],[2035]]*8760), 0)</calculatedColumnFormula>
    </tableColumn>
    <tableColumn id="33" xr3:uid="{D1160156-F016-4C7D-8BEF-E12117A3AE4F}" name="2036" dataDxfId="14" dataCellStyle="Normal 3">
      <calculatedColumnFormula>IFERROR((CAN_gen[[#This Row],[2036]]*1000)/(CAN_cap[[#This Row],[2036]]*8760), 0)</calculatedColumnFormula>
    </tableColumn>
    <tableColumn id="34" xr3:uid="{CBC11B06-D99C-47CB-A48D-1D8A512CD038}" name="2037" dataDxfId="13" dataCellStyle="Normal 3">
      <calculatedColumnFormula>IFERROR((CAN_gen[[#This Row],[2037]]*1000)/(CAN_cap[[#This Row],[2037]]*8760), 0)</calculatedColumnFormula>
    </tableColumn>
    <tableColumn id="35" xr3:uid="{19C6A036-FD83-46C1-8835-6B74DD9F3174}" name="2038" dataDxfId="12" dataCellStyle="Normal 3">
      <calculatedColumnFormula>IFERROR((CAN_gen[[#This Row],[2038]]*1000)/(CAN_cap[[#This Row],[2038]]*8760), 0)</calculatedColumnFormula>
    </tableColumn>
    <tableColumn id="36" xr3:uid="{4FDA8E04-343E-4A44-9DCB-A93CACF68364}" name="2039" dataDxfId="11" dataCellStyle="Normal 3">
      <calculatedColumnFormula>IFERROR((CAN_gen[[#This Row],[2039]]*1000)/(CAN_cap[[#This Row],[2039]]*8760), 0)</calculatedColumnFormula>
    </tableColumn>
    <tableColumn id="37" xr3:uid="{F1F6CEC2-89F5-4410-8222-F466F2985554}" name="2040" dataDxfId="10" dataCellStyle="Normal 3">
      <calculatedColumnFormula>IFERROR((CAN_gen[[#This Row],[2040]]*1000)/(CAN_cap[[#This Row],[2040]]*8760), 0)</calculatedColumnFormula>
    </tableColumn>
    <tableColumn id="38" xr3:uid="{1F01A76E-E06F-4422-8CA6-8FD6588ED243}" name="2041" dataDxfId="9" dataCellStyle="Normal 3">
      <calculatedColumnFormula>IFERROR((CAN_gen[[#This Row],[2041]]*1000)/(CAN_cap[[#This Row],[2041]]*8760), 0)</calculatedColumnFormula>
    </tableColumn>
    <tableColumn id="39" xr3:uid="{84303755-05A4-4C12-A6CA-D03AAC6AC367}" name="2042" dataDxfId="8" dataCellStyle="Normal 3">
      <calculatedColumnFormula>IFERROR((CAN_gen[[#This Row],[2042]]*1000)/(CAN_cap[[#This Row],[2042]]*8760), 0)</calculatedColumnFormula>
    </tableColumn>
    <tableColumn id="40" xr3:uid="{F61D0C66-3CC7-4E43-9569-B4E50CAEC0D5}" name="2043" dataDxfId="7" dataCellStyle="Normal 3">
      <calculatedColumnFormula>IFERROR((CAN_gen[[#This Row],[2043]]*1000)/(CAN_cap[[#This Row],[2043]]*8760), 0)</calculatedColumnFormula>
    </tableColumn>
    <tableColumn id="41" xr3:uid="{4134F3F9-C4E3-4465-B6EC-BA0C23CAE3D4}" name="2044" dataDxfId="6" dataCellStyle="Normal 3">
      <calculatedColumnFormula>IFERROR((CAN_gen[[#This Row],[2044]]*1000)/(CAN_cap[[#This Row],[2044]]*8760), 0)</calculatedColumnFormula>
    </tableColumn>
    <tableColumn id="42" xr3:uid="{5A4CDA35-C052-4C9F-A3BA-395581DC30F0}" name="2045" dataDxfId="5" dataCellStyle="Normal 3">
      <calculatedColumnFormula>IFERROR((CAN_gen[[#This Row],[2045]]*1000)/(CAN_cap[[#This Row],[2045]]*8760), 0)</calculatedColumnFormula>
    </tableColumn>
    <tableColumn id="43" xr3:uid="{A9207C22-ABA0-40DC-8829-3A1E468C8096}" name="2046" dataDxfId="4" dataCellStyle="Normal 3">
      <calculatedColumnFormula>IFERROR((CAN_gen[[#This Row],[2046]]*1000)/(CAN_cap[[#This Row],[2046]]*8760), 0)</calculatedColumnFormula>
    </tableColumn>
    <tableColumn id="44" xr3:uid="{5A27AA34-A7E1-4F1E-841C-8D5EF6287281}" name="2047" dataDxfId="3" dataCellStyle="Normal 3">
      <calculatedColumnFormula>IFERROR((CAN_gen[[#This Row],[2047]]*1000)/(CAN_cap[[#This Row],[2047]]*8760), 0)</calculatedColumnFormula>
    </tableColumn>
    <tableColumn id="45" xr3:uid="{8CFE5EAB-F982-4B97-A729-A3319F41BD1E}" name="2048" dataDxfId="2" dataCellStyle="Normal 3">
      <calculatedColumnFormula>IFERROR((CAN_gen[[#This Row],[2048]]*1000)/(CAN_cap[[#This Row],[2048]]*8760), 0)</calculatedColumnFormula>
    </tableColumn>
    <tableColumn id="46" xr3:uid="{3D621DA6-0384-46E3-8ACB-6293DA916925}" name="2049" dataDxfId="1" dataCellStyle="Normal 3">
      <calculatedColumnFormula>IFERROR((CAN_gen[[#This Row],[2049]]*1000)/(CAN_cap[[#This Row],[2049]]*8760), 0)</calculatedColumnFormula>
    </tableColumn>
    <tableColumn id="47" xr3:uid="{0A6C5988-D344-4FAC-9B52-EBCD69A1E0C9}" name="2050" dataDxfId="0"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CF6977E-FEDB-447A-B174-9C09F1C1C923}" name="genSource_lookup" displayName="genSource_lookup" ref="B3:C14" totalsRowShown="0">
  <autoFilter ref="B3:C14" xr:uid="{ECF6977E-FEDB-447A-B174-9C09F1C1C923}"/>
  <tableColumns count="2">
    <tableColumn id="2" xr3:uid="{35938F67-970C-453B-8BAC-7C5B2229A75C}" name="EPS"/>
    <tableColumn id="3" xr3:uid="{D60A184C-786D-427A-9481-21DB9E989A12}" name="CER CEF"/>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B79E78D-6939-4E28-B6E7-CF28AE3616BB}" name="NB_gen" displayName="NB_gen" ref="A52:AU60" totalsRowShown="0">
  <tableColumns count="47">
    <tableColumn id="1" xr3:uid="{9095E783-6F2B-461C-91DA-995006B7C623}" name="_"/>
    <tableColumn id="2" xr3:uid="{4613D207-AC98-4B02-AB8C-E275C65A04EA}" name="2005"/>
    <tableColumn id="3" xr3:uid="{82F40EAC-4715-4602-AD52-9AE6D1CA6C15}" name="2006"/>
    <tableColumn id="4" xr3:uid="{4554125E-0362-4D0B-97B4-78ED1BDABA87}" name="2007"/>
    <tableColumn id="5" xr3:uid="{E81BCD52-6663-45E6-8804-9CFBAE0A64F6}" name="2008"/>
    <tableColumn id="6" xr3:uid="{3DC0863B-CA29-48F9-9934-98882DD9C546}" name="2009"/>
    <tableColumn id="7" xr3:uid="{E9B2392E-E073-4541-B8E5-0023A80FF02A}" name="2010"/>
    <tableColumn id="8" xr3:uid="{10003AB4-BF9E-4CB0-BFE5-2B89754A970A}" name="2011"/>
    <tableColumn id="9" xr3:uid="{D5B5C9EF-2317-4B15-BCE1-DA536C7895A1}" name="2012"/>
    <tableColumn id="10" xr3:uid="{222990C9-A8F5-4F09-90E3-391CEB5D1D64}" name="2013"/>
    <tableColumn id="11" xr3:uid="{63E2737C-E7B2-4FAE-AB96-570FFB76BE2A}" name="2014"/>
    <tableColumn id="12" xr3:uid="{34FCA06D-21DE-473B-AC3A-18B8AFF4C03B}" name="2015"/>
    <tableColumn id="13" xr3:uid="{35C59320-C3B3-44F1-80F1-F0F3BA894985}" name="2016"/>
    <tableColumn id="14" xr3:uid="{3A65B73E-1EF4-4F60-A377-6648517417DA}" name="2017"/>
    <tableColumn id="15" xr3:uid="{6A940342-150E-4F05-AF8E-BACCA71A1270}" name="2018"/>
    <tableColumn id="16" xr3:uid="{BE7FAC21-82F8-47EA-875A-6094317FE4AF}" name="2019"/>
    <tableColumn id="17" xr3:uid="{58592D6E-5BF0-4E59-B909-9FA2B18D8893}" name="2020"/>
    <tableColumn id="18" xr3:uid="{9C935D30-CBEC-4FE9-BD0A-E81AEE7DF9B9}" name="2021"/>
    <tableColumn id="19" xr3:uid="{841F641E-932F-47DF-8D1A-E8EF1A58AB15}" name="2022"/>
    <tableColumn id="20" xr3:uid="{61F49920-8A10-4A97-8407-31B193B5B203}" name="2023"/>
    <tableColumn id="21" xr3:uid="{FA215238-4ED0-49AD-9BF1-DA8FF78215BF}" name="2024"/>
    <tableColumn id="22" xr3:uid="{D993CB45-3FE0-439C-A61E-A77F180AD805}" name="2025"/>
    <tableColumn id="23" xr3:uid="{67A5FB73-342A-4C1B-92EA-170DE57D8468}" name="2026"/>
    <tableColumn id="24" xr3:uid="{DB31DD38-3103-46A9-9BE5-BC2C6ED9C8FA}" name="2027"/>
    <tableColumn id="25" xr3:uid="{FD92E909-3B42-4A7B-9128-42A11F939EB0}" name="2028"/>
    <tableColumn id="26" xr3:uid="{8F860BE4-6B56-459B-ADE8-ABFF29E70D46}" name="2029"/>
    <tableColumn id="27" xr3:uid="{EDCD86FD-9053-4BE3-A881-0AFF884E18DD}" name="2030"/>
    <tableColumn id="28" xr3:uid="{04FE2832-AD95-4ADA-A07F-426BF4ADC443}" name="2031"/>
    <tableColumn id="29" xr3:uid="{F5258029-C8FF-4F9A-A1A7-570C7C2CDF05}" name="2032"/>
    <tableColumn id="30" xr3:uid="{CDA4D4F4-F780-4A2E-B3E4-B0CF45545198}" name="2033"/>
    <tableColumn id="31" xr3:uid="{2257F9BC-4451-46DB-8759-2B152CD7A789}" name="2034"/>
    <tableColumn id="32" xr3:uid="{F5512837-AF30-4D48-8883-CE8C715F1AC0}" name="2035"/>
    <tableColumn id="33" xr3:uid="{60055022-A9CF-40D0-9F34-E4CC5B2066E8}" name="2036"/>
    <tableColumn id="34" xr3:uid="{BFBA406F-261F-4BF8-8768-DDFF723D8EFC}" name="2037"/>
    <tableColumn id="35" xr3:uid="{B4CEBB6B-ED7D-4B38-B94F-8BC7DB4B6D46}" name="2038"/>
    <tableColumn id="36" xr3:uid="{1BA41B93-9247-4393-9D30-4D77AECBDFC8}" name="2039"/>
    <tableColumn id="37" xr3:uid="{57EBE228-7776-4107-98B8-5540FFA909B1}" name="2040"/>
    <tableColumn id="38" xr3:uid="{3C69695B-ADC3-4DE2-9EC7-8574DF2550DF}" name="2041"/>
    <tableColumn id="39" xr3:uid="{B2CDC3A2-0460-415A-880F-15C761A3EB83}" name="2042"/>
    <tableColumn id="40" xr3:uid="{37798375-C852-41C2-ADCC-F9DDA166FD59}" name="2043"/>
    <tableColumn id="41" xr3:uid="{CCA15DBD-1BE0-4509-B3AF-5B28BCA47443}" name="2044"/>
    <tableColumn id="42" xr3:uid="{05A4EB6E-886A-4C97-9F7F-0835915B4E7E}" name="2045"/>
    <tableColumn id="43" xr3:uid="{8AB2E8A1-488C-4224-830B-C9EC7C231461}" name="2046"/>
    <tableColumn id="44" xr3:uid="{3237D01A-3128-4BAB-8CA1-7F5F5DA2AD8C}" name="2047"/>
    <tableColumn id="45" xr3:uid="{4C989FBC-4B36-410B-8DB0-86DE2BD67347}" name="2048"/>
    <tableColumn id="46" xr3:uid="{557BD645-BB93-485C-BDAE-D82384637900}" name="2049"/>
    <tableColumn id="47" xr3:uid="{8B5A6A1D-136C-4D8B-888D-AFD730EB5ECB}"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5EFCE9F-E6D1-4201-A8A0-FEC8CE222857}" name="QC_gen" displayName="QC_gen" ref="A63:AU71" totalsRowShown="0">
  <tableColumns count="47">
    <tableColumn id="1" xr3:uid="{A1E6D867-1C06-4F16-9427-5046EEC716F5}" name="_"/>
    <tableColumn id="2" xr3:uid="{A32C42CC-C3D7-484A-BAE6-AA4BE7DCDCB2}" name="2005"/>
    <tableColumn id="3" xr3:uid="{07B3551B-2B54-45FE-A42A-12BCF28D68DC}" name="2006"/>
    <tableColumn id="4" xr3:uid="{4E8E86B6-EF07-45E7-98E5-639927E5BCEC}" name="2007"/>
    <tableColumn id="5" xr3:uid="{6D161A07-DB7B-4449-9042-0951A630134A}" name="2008"/>
    <tableColumn id="6" xr3:uid="{BE273773-DBEB-429A-9A6E-5D11BEAFA6A0}" name="2009"/>
    <tableColumn id="7" xr3:uid="{2C699DC4-2883-4E71-AF8D-AE8731C3082B}" name="2010"/>
    <tableColumn id="8" xr3:uid="{23FE11C5-09D5-4FEB-BB81-AD56CB21679D}" name="2011"/>
    <tableColumn id="9" xr3:uid="{5ECC4CCD-068A-413C-8175-4C106DDEDCD2}" name="2012"/>
    <tableColumn id="10" xr3:uid="{B049F572-5C3C-4FC0-9738-79DDF4FAD29A}" name="2013"/>
    <tableColumn id="11" xr3:uid="{B1E60EBB-0F64-45AC-8877-6F604FABF493}" name="2014"/>
    <tableColumn id="12" xr3:uid="{863DECD6-61C1-44A9-8A01-48B6AE0CCE4F}" name="2015"/>
    <tableColumn id="13" xr3:uid="{C23CF788-E74C-4BAB-AAC4-601AFB9B9B9B}" name="2016"/>
    <tableColumn id="14" xr3:uid="{6A23BBFB-7811-4908-9579-533EABC5E267}" name="2017"/>
    <tableColumn id="15" xr3:uid="{BCF3ECAD-A429-4BED-979E-0E7ED6DEDE99}" name="2018"/>
    <tableColumn id="16" xr3:uid="{59F5DD35-7282-4687-8373-FA229D3A7C82}" name="2019"/>
    <tableColumn id="17" xr3:uid="{CB79759C-A1AF-42EA-AB20-175C69BAE8F4}" name="2020"/>
    <tableColumn id="18" xr3:uid="{301AA7A8-974B-4F97-A652-464D05F5A4C4}" name="2021"/>
    <tableColumn id="19" xr3:uid="{FCED6830-4166-4DA4-A92B-0C5CAF323DB6}" name="2022"/>
    <tableColumn id="20" xr3:uid="{A6A74367-A97F-47BA-9363-31C37BF145C1}" name="2023"/>
    <tableColumn id="21" xr3:uid="{7EC681FB-7AC4-45B5-9635-35399FAB683C}" name="2024"/>
    <tableColumn id="22" xr3:uid="{2E674816-13C4-4527-8599-022AF004EE0C}" name="2025"/>
    <tableColumn id="23" xr3:uid="{6F893AD6-A5A7-4ABC-A9B7-90E71C1F092F}" name="2026"/>
    <tableColumn id="24" xr3:uid="{675DA44A-182A-487F-90DA-598B0B5E6CD8}" name="2027"/>
    <tableColumn id="25" xr3:uid="{FE6D028B-BDCE-429F-A9D7-541AFD201D7F}" name="2028"/>
    <tableColumn id="26" xr3:uid="{ADE01061-6119-4C74-8ED5-A08BE9A6EF66}" name="2029"/>
    <tableColumn id="27" xr3:uid="{E42D6720-F90A-4BE7-897A-20F2CFD454E9}" name="2030"/>
    <tableColumn id="28" xr3:uid="{4351F5B4-432B-4CD2-BA41-72A094FA5847}" name="2031"/>
    <tableColumn id="29" xr3:uid="{F21910EC-614F-4F4D-B7E6-E89625446541}" name="2032"/>
    <tableColumn id="30" xr3:uid="{ABA63757-C380-47E0-9DFF-7F8606107120}" name="2033"/>
    <tableColumn id="31" xr3:uid="{F911BD58-0F16-43AA-88ED-4E641C810326}" name="2034"/>
    <tableColumn id="32" xr3:uid="{65C2BDFC-0640-402A-87B3-F2C5EDBC1F11}" name="2035"/>
    <tableColumn id="33" xr3:uid="{B38B48B2-E2D8-49B3-B975-F985152B4232}" name="2036"/>
    <tableColumn id="34" xr3:uid="{1085D67F-43CD-4B18-AC81-FA88CC61FC4F}" name="2037"/>
    <tableColumn id="35" xr3:uid="{7850D35A-343C-4C0B-AF11-0C59DD91C3E7}" name="2038"/>
    <tableColumn id="36" xr3:uid="{0107B57D-710F-437D-8A1D-1131BCD56281}" name="2039"/>
    <tableColumn id="37" xr3:uid="{03A50618-525E-4E34-A02F-AED3279335F0}" name="2040"/>
    <tableColumn id="38" xr3:uid="{FA9B30E0-7407-4C84-A71B-6E517A79E398}" name="2041"/>
    <tableColumn id="39" xr3:uid="{94D467A0-8D04-4136-B4E2-944F406E3633}" name="2042"/>
    <tableColumn id="40" xr3:uid="{73CC180B-C51E-4B67-B269-45F736FEE02E}" name="2043"/>
    <tableColumn id="41" xr3:uid="{68146ADD-FF95-4708-9BF3-E73FB4CBC8FC}" name="2044"/>
    <tableColumn id="42" xr3:uid="{82EF094D-A6BD-442C-8F40-351406DF9FDD}" name="2045"/>
    <tableColumn id="43" xr3:uid="{ED92D966-FA2C-4437-9396-FDA6DDC0622A}" name="2046"/>
    <tableColumn id="44" xr3:uid="{9876EBCE-A7C7-41BB-9721-CA7BD3F43CBD}" name="2047"/>
    <tableColumn id="45" xr3:uid="{5625A7C5-1974-4576-93AD-07E6718A724B}" name="2048"/>
    <tableColumn id="46" xr3:uid="{83BE031E-699E-43C4-97B2-07EBC3F6CD72}" name="2049"/>
    <tableColumn id="47" xr3:uid="{D3EB8FF5-5692-47C5-BED6-AF3991E41C6C}"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9B5EF1E-1943-47F4-960F-2A15B26AC382}" name="ON_gen" displayName="ON_gen" ref="A74:AU82" totalsRowShown="0">
  <tableColumns count="47">
    <tableColumn id="1" xr3:uid="{1A01F57A-7D1B-466F-8702-625919FA250B}" name="_"/>
    <tableColumn id="2" xr3:uid="{1ED3D960-07AF-461D-AFF5-2B7ADD9D0942}" name="2005"/>
    <tableColumn id="3" xr3:uid="{9760BAF3-3183-43FA-B8D9-83EBD62F5897}" name="2006"/>
    <tableColumn id="4" xr3:uid="{F7607C92-8A94-4FD9-A1D7-F99FF1868C00}" name="2007"/>
    <tableColumn id="5" xr3:uid="{CBE1ED43-EA73-41F1-AC67-62F91C1F3D36}" name="2008"/>
    <tableColumn id="6" xr3:uid="{8DD0CC6D-4A43-4ADB-9A21-A50870298EA4}" name="2009"/>
    <tableColumn id="7" xr3:uid="{655528C1-6BB3-4E5A-8455-E5BEC6656951}" name="2010"/>
    <tableColumn id="8" xr3:uid="{F5E0F126-312D-4813-A1E2-CF55C91D7965}" name="2011"/>
    <tableColumn id="9" xr3:uid="{BD18C182-3D7E-4789-9C04-4334D61D85E8}" name="2012"/>
    <tableColumn id="10" xr3:uid="{1C6D6A22-807D-45EF-8691-F089D0574B49}" name="2013"/>
    <tableColumn id="11" xr3:uid="{E0E963A9-37E3-4460-9AC8-DCAE5E592CB0}" name="2014"/>
    <tableColumn id="12" xr3:uid="{9DD4F87B-CEFE-4148-A9B3-06F382EF61FB}" name="2015"/>
    <tableColumn id="13" xr3:uid="{7DE86A1E-C2E2-41DD-8E4E-28D0C4DD6FDB}" name="2016"/>
    <tableColumn id="14" xr3:uid="{11A61E54-CA54-4ED3-9CA2-D0ABF35DE306}" name="2017"/>
    <tableColumn id="15" xr3:uid="{B5867947-BE6C-4A60-98BA-9E33F3ACFE79}" name="2018"/>
    <tableColumn id="16" xr3:uid="{518D7EC2-A7FC-4E15-8F14-61E072C61B55}" name="2019"/>
    <tableColumn id="17" xr3:uid="{E2D98A98-8BCC-40B1-B65C-74B102C4698E}" name="2020"/>
    <tableColumn id="18" xr3:uid="{C8E8779D-67DA-40E0-9091-EB91F8818872}" name="2021"/>
    <tableColumn id="19" xr3:uid="{9914E63D-79B4-4090-B1A1-71C56C818503}" name="2022"/>
    <tableColumn id="20" xr3:uid="{CE7331B8-E6D0-4344-B1E9-8094215A634F}" name="2023"/>
    <tableColumn id="21" xr3:uid="{8A6C42F7-4BDB-4188-B9DE-6F443121B629}" name="2024"/>
    <tableColumn id="22" xr3:uid="{9DF2CD0E-F294-474C-846B-6C825FBF66BD}" name="2025"/>
    <tableColumn id="23" xr3:uid="{688BBB77-2BFA-4CBF-AA2F-19DA493B93F1}" name="2026"/>
    <tableColumn id="24" xr3:uid="{5E71C696-6F8E-49D1-9295-E567CF1845F9}" name="2027"/>
    <tableColumn id="25" xr3:uid="{3840033A-DFD9-494E-A8A8-90A35B8DE9D5}" name="2028"/>
    <tableColumn id="26" xr3:uid="{E36E67F0-02CA-4BD4-A20D-8FEDFA535353}" name="2029"/>
    <tableColumn id="27" xr3:uid="{0430CC37-0388-4095-96E4-60643AAD1DF1}" name="2030"/>
    <tableColumn id="28" xr3:uid="{AC8AB565-35B0-46FF-954C-4DEA9BB09D4B}" name="2031"/>
    <tableColumn id="29" xr3:uid="{22A4435F-2A97-4B59-BF2D-82362373B9E8}" name="2032"/>
    <tableColumn id="30" xr3:uid="{04AEF996-4A19-4656-9A00-889F42D9F9A9}" name="2033"/>
    <tableColumn id="31" xr3:uid="{80C8AA4B-3B4D-4BD1-AADD-D34B1436D6E3}" name="2034"/>
    <tableColumn id="32" xr3:uid="{1F90AEF3-D674-429E-87A7-A0E1640EF619}" name="2035"/>
    <tableColumn id="33" xr3:uid="{69F14A17-4C23-4DF7-A3C4-294FD9BDDDFD}" name="2036"/>
    <tableColumn id="34" xr3:uid="{369A75C6-11C3-42AA-94FD-418B7DE81A4D}" name="2037"/>
    <tableColumn id="35" xr3:uid="{ACA03F93-D6B0-4AD5-B9B0-779290B121EB}" name="2038"/>
    <tableColumn id="36" xr3:uid="{B5C13524-D8FF-4DAF-A73C-32AE6BFC4EBB}" name="2039"/>
    <tableColumn id="37" xr3:uid="{F2409772-D826-47C4-BBD8-76B070EEF660}" name="2040"/>
    <tableColumn id="38" xr3:uid="{D28699CC-3BEB-463C-AE07-12EA73014B25}" name="2041"/>
    <tableColumn id="39" xr3:uid="{DDBAF4A4-5C4F-414D-BE87-28A534F768E9}" name="2042"/>
    <tableColumn id="40" xr3:uid="{27A93ACF-5C25-4076-A14C-2288E1F0D977}" name="2043"/>
    <tableColumn id="41" xr3:uid="{0DD30AC5-D16A-450D-AC40-69F59039AD72}" name="2044"/>
    <tableColumn id="42" xr3:uid="{A4650EA2-4B1E-45B5-A5AB-E8CB7B6EE2C9}" name="2045"/>
    <tableColumn id="43" xr3:uid="{14A2DD7A-930E-49BF-868A-028765868650}" name="2046"/>
    <tableColumn id="44" xr3:uid="{94428F16-8074-48AD-9FCF-4FB64EB2FD1D}" name="2047"/>
    <tableColumn id="45" xr3:uid="{94FA6B6B-5386-4C39-84F6-BB934259CB4F}" name="2048"/>
    <tableColumn id="46" xr3:uid="{FE18E4A0-80F4-4521-918D-15C5115FF862}" name="2049"/>
    <tableColumn id="47" xr3:uid="{58B61F04-3F27-48D3-8779-07494CB0E4A3}"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2174C88-757D-4B28-AB23-38BB9357B6C4}" name="MB_gen" displayName="MB_gen" ref="A85:AU93" totalsRowShown="0">
  <tableColumns count="47">
    <tableColumn id="1" xr3:uid="{D81706BE-8AB3-4D59-A5DB-4B01E737BC17}" name="_"/>
    <tableColumn id="2" xr3:uid="{E5F52E44-38B3-4C4E-90FC-C8A87D7C8AB3}" name="2005"/>
    <tableColumn id="3" xr3:uid="{A21CA647-8CD0-47D0-927E-FA72033D3097}" name="2006"/>
    <tableColumn id="4" xr3:uid="{AB37B8B6-A415-4240-BD83-2D1D9A34E088}" name="2007"/>
    <tableColumn id="5" xr3:uid="{0E334FC1-177B-4E80-8FB3-C9CB324CA128}" name="2008"/>
    <tableColumn id="6" xr3:uid="{47E3ADE7-75B7-4804-9F30-0F0B99E7CD7C}" name="2009"/>
    <tableColumn id="7" xr3:uid="{7F3E1FE3-582F-4194-A9F0-BC79F011D82F}" name="2010"/>
    <tableColumn id="8" xr3:uid="{9ACE0FB5-6D12-4A77-B40A-64C4B7B4EDD7}" name="2011"/>
    <tableColumn id="9" xr3:uid="{355699C4-FD83-4365-807A-CE3D32EBCE5C}" name="2012"/>
    <tableColumn id="10" xr3:uid="{860C605E-7A49-4AE4-BCA9-C0A736444665}" name="2013"/>
    <tableColumn id="11" xr3:uid="{582E0241-0C78-48F8-85CB-59E751B79E1A}" name="2014"/>
    <tableColumn id="12" xr3:uid="{A150682C-FF55-41BE-B1ED-F122181DF854}" name="2015"/>
    <tableColumn id="13" xr3:uid="{A64FC85A-3C6E-44AD-840C-480F3A620D49}" name="2016"/>
    <tableColumn id="14" xr3:uid="{BEF423D5-2333-4DB4-B60C-0917C5C8C1C0}" name="2017"/>
    <tableColumn id="15" xr3:uid="{D29C2316-285E-43DF-A316-7EF96AA31517}" name="2018"/>
    <tableColumn id="16" xr3:uid="{95724A85-C997-4A1E-A678-895339384469}" name="2019"/>
    <tableColumn id="17" xr3:uid="{2E46E699-C5C8-42FF-AC39-6C8ED875C55C}" name="2020"/>
    <tableColumn id="18" xr3:uid="{E9D0918E-F8CB-456B-A8FF-C68E047204E1}" name="2021"/>
    <tableColumn id="19" xr3:uid="{854149B1-D548-45BB-97AC-18D1D99A83EF}" name="2022"/>
    <tableColumn id="20" xr3:uid="{D91D1DF0-B70C-4D50-9BFA-F668ADD11453}" name="2023"/>
    <tableColumn id="21" xr3:uid="{2990E56A-7DBB-4588-AEF0-3A029FBFBD4E}" name="2024"/>
    <tableColumn id="22" xr3:uid="{B29FF863-5664-4736-B5C7-59BA3AC65AC8}" name="2025"/>
    <tableColumn id="23" xr3:uid="{0F429DA5-5C3C-431A-8B51-45CD9E277803}" name="2026"/>
    <tableColumn id="24" xr3:uid="{EA906A36-C35C-48A4-8D70-0531235E5A16}" name="2027"/>
    <tableColumn id="25" xr3:uid="{A5718DF3-2B2A-4D4F-B6B2-8637AAF5C2DB}" name="2028"/>
    <tableColumn id="26" xr3:uid="{2EB11D85-0590-47C1-A844-F10EF8BE295A}" name="2029"/>
    <tableColumn id="27" xr3:uid="{3867F7A8-2B1A-46EC-A7B1-1C0DE1CC01F7}" name="2030"/>
    <tableColumn id="28" xr3:uid="{2256D05D-64E4-44A3-8118-175862263913}" name="2031"/>
    <tableColumn id="29" xr3:uid="{E7B1F254-8E0A-4ED3-BB3D-D36F8048056B}" name="2032"/>
    <tableColumn id="30" xr3:uid="{11D63CDB-36A4-43C5-A022-BC9E47EE9FD5}" name="2033"/>
    <tableColumn id="31" xr3:uid="{E005E5FC-6CC3-4172-900B-339E9E480478}" name="2034"/>
    <tableColumn id="32" xr3:uid="{BCEBBAC0-9D6F-41A4-8DB6-637273A50CC0}" name="2035"/>
    <tableColumn id="33" xr3:uid="{DE1D3024-37FC-46EF-9C55-49FB940A8118}" name="2036"/>
    <tableColumn id="34" xr3:uid="{CCB3C715-D32E-4AAE-977D-A8A2D04DDB76}" name="2037"/>
    <tableColumn id="35" xr3:uid="{7B3A8935-7F35-4F1C-A9B5-CE4A9827A40B}" name="2038"/>
    <tableColumn id="36" xr3:uid="{E6B70198-9C9F-43E9-B64F-161311F72C21}" name="2039"/>
    <tableColumn id="37" xr3:uid="{4EA7AFB7-D305-4A03-BA09-95B68744C8F3}" name="2040"/>
    <tableColumn id="38" xr3:uid="{44C34942-12B6-46AA-99BA-51D74923144E}" name="2041"/>
    <tableColumn id="39" xr3:uid="{7F710AFE-7123-457E-9360-61EFBFA6EDCD}" name="2042"/>
    <tableColumn id="40" xr3:uid="{4F9B79EA-59F1-4A19-8B79-21E199652BF0}" name="2043"/>
    <tableColumn id="41" xr3:uid="{A7D683D2-55A7-4FF2-B055-E5683701201B}" name="2044"/>
    <tableColumn id="42" xr3:uid="{011EC943-3BA8-403D-BB35-9B52C10EA47E}" name="2045"/>
    <tableColumn id="43" xr3:uid="{AEF316C2-BCB4-4640-BB9C-72D2B73A2349}" name="2046"/>
    <tableColumn id="44" xr3:uid="{E654E38C-B775-4E7E-B737-B3744705792C}" name="2047"/>
    <tableColumn id="45" xr3:uid="{F2A82834-4F4F-4CE5-AFE0-9D5A5EDC29AE}" name="2048"/>
    <tableColumn id="46" xr3:uid="{7BC2B4DF-FC44-4053-A487-D1B4D43A8750}" name="2049"/>
    <tableColumn id="47" xr3:uid="{E0DDA251-8050-40CB-9035-296E7617D002}"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25729E6-CE2E-4CC7-BD57-ABE53CB7ED37}" name="AB_gen" displayName="AB_gen" ref="A96:AU104" totalsRowShown="0">
  <tableColumns count="47">
    <tableColumn id="1" xr3:uid="{2AD752D7-07E7-4E71-8C40-F60C3F7DC5F1}" name="_"/>
    <tableColumn id="2" xr3:uid="{4CF730FF-2D09-42AE-8C8E-F755BC7868B5}" name="2005"/>
    <tableColumn id="3" xr3:uid="{BA51ADE1-2C53-4E75-9F2B-F956FF82D25D}" name="2006"/>
    <tableColumn id="4" xr3:uid="{D75BF834-945F-437A-B261-50597F2DC2D0}" name="2007"/>
    <tableColumn id="5" xr3:uid="{88188476-31A1-4493-8F19-0A0FD4B7B278}" name="2008"/>
    <tableColumn id="6" xr3:uid="{47273F38-D678-441E-9BCA-B43E6B1BC0B6}" name="2009"/>
    <tableColumn id="7" xr3:uid="{7B22ED57-10E5-4AA3-9D59-8B3F005C2CDD}" name="2010"/>
    <tableColumn id="8" xr3:uid="{5BB02E13-C4CF-478B-B220-167C92FA7971}" name="2011"/>
    <tableColumn id="9" xr3:uid="{73983ED7-0F4C-4D77-882B-E3D2BD654B90}" name="2012"/>
    <tableColumn id="10" xr3:uid="{4A33FC99-461B-408C-B5A8-934979D5D98D}" name="2013"/>
    <tableColumn id="11" xr3:uid="{187BFDFC-5856-4B64-AD87-E180CFD98B19}" name="2014"/>
    <tableColumn id="12" xr3:uid="{F654B41A-415E-435B-80C2-685C6A7C81F8}" name="2015"/>
    <tableColumn id="13" xr3:uid="{12D08D3C-406A-4B69-9CCB-EAB83491D684}" name="2016"/>
    <tableColumn id="14" xr3:uid="{84C4F0CC-DE96-44A4-8707-46FB42B90848}" name="2017"/>
    <tableColumn id="15" xr3:uid="{38BE5462-78AC-404D-A6E3-CD43C910EFE2}" name="2018"/>
    <tableColumn id="16" xr3:uid="{FF461D40-9380-439D-94CE-AAB1476D03D5}" name="2019"/>
    <tableColumn id="17" xr3:uid="{DD6C4FC9-1315-4D72-BD70-9486CF45A782}" name="2020"/>
    <tableColumn id="18" xr3:uid="{5041213D-5B92-4292-A57D-3D75B0B53ECE}" name="2021"/>
    <tableColumn id="19" xr3:uid="{3B51097F-44D4-4F3B-8D0E-348821B7E001}" name="2022"/>
    <tableColumn id="20" xr3:uid="{DD70E404-56DD-4945-A936-BCEDE7142E83}" name="2023"/>
    <tableColumn id="21" xr3:uid="{4E20C487-00F2-43F4-8E70-CA8999746458}" name="2024"/>
    <tableColumn id="22" xr3:uid="{FAC27DC3-B70F-4D5B-9DD2-6E11B5D469AF}" name="2025"/>
    <tableColumn id="23" xr3:uid="{65CD68D0-2F7C-4E6F-A8E8-BD0CC523D55B}" name="2026"/>
    <tableColumn id="24" xr3:uid="{57F8F3D9-9562-47D3-9963-1D705C50A491}" name="2027"/>
    <tableColumn id="25" xr3:uid="{E4A46321-3AB6-4025-A891-50097152B004}" name="2028"/>
    <tableColumn id="26" xr3:uid="{55C9C8EA-3A6E-49DF-BE06-4072AD5EFB6E}" name="2029"/>
    <tableColumn id="27" xr3:uid="{D420887C-ED23-4190-B354-82CF92EDD573}" name="2030"/>
    <tableColumn id="28" xr3:uid="{3DEA0DD6-D99B-4B56-9DB6-3B1195A2DCED}" name="2031"/>
    <tableColumn id="29" xr3:uid="{AB7E3910-96F2-4179-969D-745886126B61}" name="2032"/>
    <tableColumn id="30" xr3:uid="{ED01884C-2B24-4A1D-A005-9C555047371D}" name="2033"/>
    <tableColumn id="31" xr3:uid="{12449F09-6389-44D6-AB6E-98F33D6CD2C8}" name="2034"/>
    <tableColumn id="32" xr3:uid="{E4F5848F-72B3-436A-9EDE-61138B554C8E}" name="2035"/>
    <tableColumn id="33" xr3:uid="{88357F7F-1D89-46CE-93E0-33C2D941152A}" name="2036"/>
    <tableColumn id="34" xr3:uid="{570BC6B7-EF49-4E2A-B29E-CBE6ECA18942}" name="2037"/>
    <tableColumn id="35" xr3:uid="{225F6929-2698-47E9-8F90-089B810BE0AB}" name="2038"/>
    <tableColumn id="36" xr3:uid="{BED95B64-E288-4E9F-94EF-56C325059037}" name="2039"/>
    <tableColumn id="37" xr3:uid="{B6B0C806-4410-47E6-B51B-F3401FFAC1CA}" name="2040"/>
    <tableColumn id="38" xr3:uid="{15551AEB-C228-464A-92F7-557903C4BBF2}" name="2041"/>
    <tableColumn id="39" xr3:uid="{0D7A9AAC-81EB-4378-9B25-4054E9F734B3}" name="2042"/>
    <tableColumn id="40" xr3:uid="{2AEB29B8-D7D0-4206-AF5E-EC1569FA6822}" name="2043"/>
    <tableColumn id="41" xr3:uid="{089D49CD-CE20-465A-B620-8B3D97F28D07}" name="2044"/>
    <tableColumn id="42" xr3:uid="{71C81980-25BB-49A9-B9E9-62CD2C5C9CF6}" name="2045"/>
    <tableColumn id="43" xr3:uid="{76691071-01BE-43E5-9466-93B43B509F47}" name="2046"/>
    <tableColumn id="44" xr3:uid="{A18014CB-BC2A-4FF3-88A2-774C9170EB76}" name="2047"/>
    <tableColumn id="45" xr3:uid="{C21DCAAC-64BB-447F-9BC1-F2E83F99DFC3}" name="2048"/>
    <tableColumn id="46" xr3:uid="{03EBE99F-09E7-453E-9877-C81634D61E30}" name="2049"/>
    <tableColumn id="47" xr3:uid="{2FD6D0FA-846D-4DE8-8ECA-D67C18E35BD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5" dT="2022-10-07T16:13:03.81" personId="{7094EDA8-4D4E-4764-8465-026D9F2A73E0}" id="{DA2E5874-19FE-49BD-B20E-BE1060310573}">
    <text>U.S. applied a 1.1 multiplying factor for BECF-new, presumably to account for improvements in technology.</text>
  </threadedComment>
  <threadedComment ref="A78" dT="2022-10-07T16:17:01.23" personId="{7094EDA8-4D4E-4764-8465-026D9F2A73E0}" id="{CCC98270-FCED-4A48-86AE-3BF4BA1A57E3}">
    <text>Assumed to match hard coal. In reality, lignite CFs are typically higher but there is negligible capacity in Canada, therefore, it is inconsequential.</text>
  </threadedComment>
</ThreadedComments>
</file>

<file path=xl/threadedComments/threadedComment2.xml><?xml version="1.0" encoding="utf-8"?>
<ThreadedComments xmlns="http://schemas.microsoft.com/office/spreadsheetml/2018/threadedcomments" xmlns:x="http://schemas.openxmlformats.org/spreadsheetml/2006/main">
  <threadedComment ref="A10" dT="2022-10-07T16:13:03.81" personId="{7094EDA8-4D4E-4764-8465-026D9F2A73E0}" id="{B475D497-37AC-4D33-B304-094D084E398A}">
    <text>U.S. applied a 1.1 multiplying factor for BECF-new, presumably to account for improvements in technology.</text>
  </threadedComment>
  <threadedComment ref="A13" dT="2022-10-07T16:17:01.23" personId="{7094EDA8-4D4E-4764-8465-026D9F2A73E0}" id="{C58562A5-E844-4A8F-82F3-1CE4918645B4}">
    <text>Assumed to match hard coal. In reality, lignite CFs are typically higher but there is negligible capacity in Canada, therefore, it is inconsequential.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apps.rec-cer.gc.ca/ftrppndc/dflt.aspx?GoCTemplateCulture&amp;GoCTemplateCulture=en-CA"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eia.gov/electricity/" TargetMode="External"/><Relationship Id="rId1" Type="http://schemas.openxmlformats.org/officeDocument/2006/relationships/hyperlink" Target="http://www.eia.gov/electricity/annual/" TargetMode="External"/><Relationship Id="rId5" Type="http://schemas.openxmlformats.org/officeDocument/2006/relationships/printerSettings" Target="../printerSettings/printerSettings2.bin"/><Relationship Id="rId4" Type="http://schemas.openxmlformats.org/officeDocument/2006/relationships/hyperlink" Target="https://data.openei.org/files/5716/2022%20v1%20Annual%20Technology%20Baseline%20Workbook%20Original%206-14-2022.xlsx" TargetMode="External"/></Relationships>
</file>

<file path=xl/worksheets/_rels/sheet6.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2" Type="http://schemas.openxmlformats.org/officeDocument/2006/relationships/table" Target="../tables/table29.xml"/><Relationship Id="rId1" Type="http://schemas.openxmlformats.org/officeDocument/2006/relationships/hyperlink" Target="https://apps.cer-rec.gc.ca/ftrppndc/dflt.aspx?GoCTemplateCulture=en-CA" TargetMode="External"/><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3"/>
  <sheetViews>
    <sheetView topLeftCell="A46" workbookViewId="0">
      <selection activeCell="B52" sqref="B52"/>
    </sheetView>
  </sheetViews>
  <sheetFormatPr defaultRowHeight="14.4" x14ac:dyDescent="0.3"/>
  <cols>
    <col min="1" max="1" width="25.77734375" customWidth="1"/>
    <col min="2" max="10" width="10.77734375" customWidth="1"/>
  </cols>
  <sheetData>
    <row r="1" spans="1:4" x14ac:dyDescent="0.3">
      <c r="A1" s="76" t="s">
        <v>250</v>
      </c>
    </row>
    <row r="3" spans="1:4" x14ac:dyDescent="0.3">
      <c r="A3" s="76" t="s">
        <v>251</v>
      </c>
      <c r="B3" s="15" t="s">
        <v>296</v>
      </c>
      <c r="C3" s="79"/>
      <c r="D3" s="79"/>
    </row>
    <row r="4" spans="1:4" x14ac:dyDescent="0.3">
      <c r="B4" s="80" t="s">
        <v>297</v>
      </c>
    </row>
    <row r="5" spans="1:4" x14ac:dyDescent="0.3">
      <c r="B5" s="80">
        <v>2021</v>
      </c>
    </row>
    <row r="6" spans="1:4" x14ac:dyDescent="0.3">
      <c r="B6" s="80" t="s">
        <v>298</v>
      </c>
    </row>
    <row r="7" spans="1:4" x14ac:dyDescent="0.3">
      <c r="B7" s="88" t="s">
        <v>299</v>
      </c>
    </row>
    <row r="8" spans="1:4" x14ac:dyDescent="0.3">
      <c r="B8" s="80" t="s">
        <v>300</v>
      </c>
    </row>
    <row r="11" spans="1:4" x14ac:dyDescent="0.3">
      <c r="B11" s="76" t="s">
        <v>301</v>
      </c>
    </row>
    <row r="12" spans="1:4" x14ac:dyDescent="0.3">
      <c r="B12" t="s">
        <v>302</v>
      </c>
      <c r="C12" t="s">
        <v>314</v>
      </c>
    </row>
    <row r="13" spans="1:4" x14ac:dyDescent="0.3">
      <c r="C13" t="s">
        <v>315</v>
      </c>
    </row>
    <row r="14" spans="1:4" x14ac:dyDescent="0.3">
      <c r="B14" t="s">
        <v>316</v>
      </c>
    </row>
    <row r="17" spans="1:2" x14ac:dyDescent="0.3">
      <c r="A17" s="76" t="s">
        <v>268</v>
      </c>
    </row>
    <row r="18" spans="1:2" x14ac:dyDescent="0.3">
      <c r="A18" s="81" t="s">
        <v>317</v>
      </c>
    </row>
    <row r="19" spans="1:2" x14ac:dyDescent="0.3">
      <c r="A19" s="81" t="s">
        <v>318</v>
      </c>
    </row>
    <row r="21" spans="1:2" x14ac:dyDescent="0.3">
      <c r="A21" t="s">
        <v>303</v>
      </c>
    </row>
    <row r="22" spans="1:2" x14ac:dyDescent="0.3">
      <c r="A22" t="s">
        <v>313</v>
      </c>
    </row>
    <row r="25" spans="1:2" x14ac:dyDescent="0.3">
      <c r="A25" s="76" t="s">
        <v>322</v>
      </c>
    </row>
    <row r="26" spans="1:2" x14ac:dyDescent="0.3">
      <c r="A26" t="s">
        <v>319</v>
      </c>
    </row>
    <row r="27" spans="1:2" x14ac:dyDescent="0.3">
      <c r="B27" t="s">
        <v>305</v>
      </c>
    </row>
    <row r="28" spans="1:2" x14ac:dyDescent="0.3">
      <c r="B28" t="s">
        <v>304</v>
      </c>
    </row>
    <row r="29" spans="1:2" x14ac:dyDescent="0.3">
      <c r="B29" t="s">
        <v>306</v>
      </c>
    </row>
    <row r="30" spans="1:2" x14ac:dyDescent="0.3">
      <c r="B30" t="s">
        <v>307</v>
      </c>
    </row>
    <row r="31" spans="1:2" x14ac:dyDescent="0.3">
      <c r="B31" t="s">
        <v>308</v>
      </c>
    </row>
    <row r="32" spans="1:2" x14ac:dyDescent="0.3">
      <c r="B32" t="s">
        <v>310</v>
      </c>
    </row>
    <row r="33" spans="1:2" x14ac:dyDescent="0.3">
      <c r="B33" s="62" t="s">
        <v>60</v>
      </c>
    </row>
    <row r="35" spans="1:2" x14ac:dyDescent="0.3">
      <c r="A35" s="73" t="s">
        <v>320</v>
      </c>
    </row>
    <row r="36" spans="1:2" x14ac:dyDescent="0.3">
      <c r="B36" t="s">
        <v>309</v>
      </c>
    </row>
    <row r="37" spans="1:2" x14ac:dyDescent="0.3">
      <c r="B37" t="s">
        <v>330</v>
      </c>
    </row>
    <row r="39" spans="1:2" x14ac:dyDescent="0.3">
      <c r="A39" s="71" t="s">
        <v>321</v>
      </c>
    </row>
    <row r="40" spans="1:2" x14ac:dyDescent="0.3">
      <c r="B40" t="s">
        <v>311</v>
      </c>
    </row>
    <row r="41" spans="1:2" x14ac:dyDescent="0.3">
      <c r="B41" t="s">
        <v>312</v>
      </c>
    </row>
    <row r="44" spans="1:2" x14ac:dyDescent="0.3">
      <c r="A44" t="s">
        <v>323</v>
      </c>
    </row>
    <row r="45" spans="1:2" x14ac:dyDescent="0.3">
      <c r="B45" t="s">
        <v>325</v>
      </c>
    </row>
    <row r="46" spans="1:2" x14ac:dyDescent="0.3">
      <c r="B46" t="s">
        <v>326</v>
      </c>
    </row>
    <row r="47" spans="1:2" x14ac:dyDescent="0.3">
      <c r="B47" t="s">
        <v>327</v>
      </c>
    </row>
    <row r="50" spans="1:2" x14ac:dyDescent="0.3">
      <c r="A50" s="62" t="s">
        <v>328</v>
      </c>
    </row>
    <row r="51" spans="1:2" x14ac:dyDescent="0.3">
      <c r="B51" t="s">
        <v>331</v>
      </c>
    </row>
    <row r="65" spans="1:10" x14ac:dyDescent="0.3">
      <c r="B65" s="91" t="s">
        <v>287</v>
      </c>
      <c r="C65" s="91"/>
      <c r="D65" s="91"/>
      <c r="E65" s="91"/>
      <c r="F65" s="91" t="s">
        <v>249</v>
      </c>
      <c r="G65" s="91"/>
      <c r="H65" s="92" t="s">
        <v>288</v>
      </c>
      <c r="I65" s="92" t="s">
        <v>289</v>
      </c>
    </row>
    <row r="66" spans="1:10" x14ac:dyDescent="0.3">
      <c r="B66" s="75" t="s">
        <v>245</v>
      </c>
      <c r="C66" s="75" t="s">
        <v>246</v>
      </c>
      <c r="D66" s="75" t="s">
        <v>247</v>
      </c>
      <c r="E66" s="75" t="s">
        <v>248</v>
      </c>
      <c r="F66" s="75">
        <v>2020</v>
      </c>
      <c r="G66" s="75">
        <v>2050</v>
      </c>
      <c r="H66" s="92"/>
      <c r="I66" s="92"/>
    </row>
    <row r="67" spans="1:10" x14ac:dyDescent="0.3">
      <c r="A67" t="s">
        <v>89</v>
      </c>
      <c r="B67" s="86">
        <f>'BECF-new'!D2</f>
        <v>0.59310376256607955</v>
      </c>
      <c r="C67" s="86">
        <v>0.48362856194521098</v>
      </c>
      <c r="D67" s="86">
        <f>'BECF-new'!AH2</f>
        <v>0.26171537290715374</v>
      </c>
      <c r="E67" s="86">
        <v>0.48362856194521098</v>
      </c>
      <c r="F67" s="85">
        <f>(B67-C67)/C67</f>
        <v>0.22636214904377533</v>
      </c>
      <c r="G67" s="85">
        <f>(D67-E67)/E67</f>
        <v>-0.45885046190302797</v>
      </c>
      <c r="H67" s="83">
        <f>'CER Electricity Generation'!Q14/CAN_gen[[#Totals],[2020]]</f>
        <v>7.0441854859687514E-2</v>
      </c>
      <c r="I67" s="83">
        <f>'CER Electricity Generation'!AU14/CAN_gen[[#Totals],[2050]]</f>
        <v>2.2101553390341043E-3</v>
      </c>
      <c r="J67" s="87" t="s">
        <v>290</v>
      </c>
    </row>
    <row r="68" spans="1:10" x14ac:dyDescent="0.3">
      <c r="A68" s="62" t="s">
        <v>91</v>
      </c>
      <c r="B68" s="86">
        <f>'BECF-new'!D3</f>
        <v>0.627</v>
      </c>
      <c r="C68" s="86">
        <v>0.627</v>
      </c>
      <c r="D68" s="86">
        <f>'BECF-new'!AH3</f>
        <v>0.627</v>
      </c>
      <c r="E68" s="86">
        <v>0.627</v>
      </c>
      <c r="F68" s="85">
        <f t="shared" ref="F68:F82" si="0">(B68-C68)/C68</f>
        <v>0</v>
      </c>
      <c r="G68" s="85">
        <f t="shared" ref="G68:G82" si="1">(D68-E68)/E68</f>
        <v>0</v>
      </c>
      <c r="H68" s="84"/>
      <c r="I68" s="84"/>
    </row>
    <row r="69" spans="1:10" x14ac:dyDescent="0.3">
      <c r="A69" t="s">
        <v>88</v>
      </c>
      <c r="B69" s="86">
        <f>'BECF-new'!D4</f>
        <v>0.77584271261997118</v>
      </c>
      <c r="C69" s="86">
        <v>0.92400000000000004</v>
      </c>
      <c r="D69" s="86">
        <f>'BECF-new'!AH4</f>
        <v>0.88117285228612185</v>
      </c>
      <c r="E69" s="86">
        <v>0.92400000000000004</v>
      </c>
      <c r="F69" s="85">
        <f t="shared" si="0"/>
        <v>-0.16034338461042086</v>
      </c>
      <c r="G69" s="85">
        <f t="shared" si="1"/>
        <v>-4.634972696307163E-2</v>
      </c>
      <c r="H69" s="83">
        <f>'CER Electricity Generation'!Q13/CAN_gen[[#Totals],[2020]]</f>
        <v>0.13530190034579948</v>
      </c>
      <c r="I69" s="83">
        <f>'CER Electricity Generation'!AU13/CAN_gen[[#Totals],[2050]]</f>
        <v>0.11488530051259019</v>
      </c>
      <c r="J69" s="87" t="s">
        <v>291</v>
      </c>
    </row>
    <row r="70" spans="1:10" x14ac:dyDescent="0.3">
      <c r="A70" t="s">
        <v>84</v>
      </c>
      <c r="B70" s="86">
        <f>'BECF-new'!D5</f>
        <v>0.53185207369775445</v>
      </c>
      <c r="C70" s="86">
        <v>0.44769999999999999</v>
      </c>
      <c r="D70" s="86">
        <f>'BECF-new'!AH5</f>
        <v>0.55644000872527766</v>
      </c>
      <c r="E70" s="86">
        <v>0.44769999999999999</v>
      </c>
      <c r="F70" s="85">
        <f t="shared" si="0"/>
        <v>0.18796531985203141</v>
      </c>
      <c r="G70" s="85">
        <f t="shared" si="1"/>
        <v>0.24288588055679625</v>
      </c>
      <c r="H70" s="83">
        <f>'CER Electricity Generation'!Q9/CAN_gen[[#Totals],[2020]]</f>
        <v>0.60324798522297973</v>
      </c>
      <c r="I70" s="83">
        <f>'CER Electricity Generation'!AU9/CAN_gen[[#Totals],[2050]]</f>
        <v>0.54425693808079134</v>
      </c>
      <c r="J70" s="87" t="s">
        <v>292</v>
      </c>
    </row>
    <row r="71" spans="1:10" x14ac:dyDescent="0.3">
      <c r="A71" t="s">
        <v>86</v>
      </c>
      <c r="B71" s="86">
        <f>'BECF-new'!D6</f>
        <v>0.29857662965171861</v>
      </c>
      <c r="C71" s="86">
        <v>0.40100000000000002</v>
      </c>
      <c r="D71" s="86">
        <f>'BECF-new'!AH6</f>
        <v>0.46837902119617114</v>
      </c>
      <c r="E71" s="86">
        <v>0.44484092999999997</v>
      </c>
      <c r="F71" s="85">
        <f t="shared" si="0"/>
        <v>-0.25541987618025291</v>
      </c>
      <c r="G71" s="85">
        <f t="shared" si="1"/>
        <v>5.2913501453589661E-2</v>
      </c>
      <c r="H71" s="83">
        <f>'CER Electricity Generation'!Q10/CAN_gen[[#Totals],[2020]]</f>
        <v>5.6310342880007511E-2</v>
      </c>
      <c r="I71" s="83">
        <f>'CER Electricity Generation'!AU10/CAN_gen[[#Totals],[2050]]</f>
        <v>0.14628977147199199</v>
      </c>
      <c r="J71" s="87" t="s">
        <v>293</v>
      </c>
    </row>
    <row r="72" spans="1:10" x14ac:dyDescent="0.3">
      <c r="A72" t="s">
        <v>87</v>
      </c>
      <c r="B72" s="86">
        <f>'BECF-new'!D7</f>
        <v>9.166180324083012E-2</v>
      </c>
      <c r="C72" s="86">
        <v>0.24252525721139628</v>
      </c>
      <c r="D72" s="86">
        <f>'BECF-new'!AH7</f>
        <v>0.16669458222034181</v>
      </c>
      <c r="E72" s="86">
        <v>0.28588102761961837</v>
      </c>
      <c r="F72" s="85">
        <f t="shared" si="0"/>
        <v>-0.62205254704282853</v>
      </c>
      <c r="G72" s="85">
        <f t="shared" si="1"/>
        <v>-0.4169092520468381</v>
      </c>
      <c r="H72" s="83">
        <f>'CER Electricity Generation'!Q12/CAN_gen[[#Totals],[2020]]</f>
        <v>3.5256907437591833E-3</v>
      </c>
      <c r="I72" s="83">
        <f>'CER Electricity Generation'!AU12/CAN_gen[[#Totals],[2050]]</f>
        <v>2.1511195753589618E-2</v>
      </c>
      <c r="J72" s="87" t="s">
        <v>295</v>
      </c>
    </row>
    <row r="73" spans="1:10" hidden="1" x14ac:dyDescent="0.3">
      <c r="A73" s="71" t="s">
        <v>92</v>
      </c>
      <c r="B73" s="86">
        <f>'BECF-new'!D8</f>
        <v>0.57599999999999996</v>
      </c>
      <c r="C73" s="86">
        <v>0.57599999999999996</v>
      </c>
      <c r="D73" s="86">
        <f>'BECF-new'!AH8</f>
        <v>0.57599999999999996</v>
      </c>
      <c r="E73" s="86">
        <v>0.57599999999999996</v>
      </c>
      <c r="F73" s="85">
        <f t="shared" si="0"/>
        <v>0</v>
      </c>
      <c r="G73" s="85">
        <f t="shared" si="1"/>
        <v>0</v>
      </c>
      <c r="H73" s="83"/>
      <c r="I73" s="83"/>
      <c r="J73" s="87"/>
    </row>
    <row r="74" spans="1:10" x14ac:dyDescent="0.3">
      <c r="A74" t="s">
        <v>85</v>
      </c>
      <c r="B74" s="86">
        <f>'BECF-new'!D9</f>
        <v>0.38226506938471466</v>
      </c>
      <c r="C74" s="86">
        <v>0.6875</v>
      </c>
      <c r="D74" s="86">
        <f>'BECF-new'!AH9</f>
        <v>0.38700933100143287</v>
      </c>
      <c r="E74" s="86">
        <v>0.6875</v>
      </c>
      <c r="F74" s="85">
        <f t="shared" si="0"/>
        <v>-0.44397808089496049</v>
      </c>
      <c r="G74" s="85">
        <f t="shared" si="1"/>
        <v>-0.43707733672518856</v>
      </c>
      <c r="H74" s="83">
        <f>'CER Electricity Generation'!Q11/CAN_gen[[#Totals],[2020]]</f>
        <v>1.2142182681071399E-2</v>
      </c>
      <c r="I74" s="83">
        <f>'CER Electricity Generation'!AU11/CAN_gen[[#Totals],[2050]]</f>
        <v>1.1999045638402459E-2</v>
      </c>
      <c r="J74" s="87" t="s">
        <v>294</v>
      </c>
    </row>
    <row r="75" spans="1:10" hidden="1" x14ac:dyDescent="0.3">
      <c r="A75" s="71" t="s">
        <v>93</v>
      </c>
      <c r="B75" s="86">
        <f>'BECF-new'!D10</f>
        <v>0.69099999999999995</v>
      </c>
      <c r="C75" s="86">
        <v>0.7601</v>
      </c>
      <c r="D75" s="86">
        <f>'BECF-new'!AH10</f>
        <v>0.69099999999999995</v>
      </c>
      <c r="E75" s="86">
        <v>0.7601</v>
      </c>
      <c r="F75" s="85">
        <f t="shared" si="0"/>
        <v>-9.0909090909090981E-2</v>
      </c>
      <c r="G75" s="85">
        <f t="shared" si="1"/>
        <v>-9.0909090909090981E-2</v>
      </c>
      <c r="H75" s="83"/>
      <c r="I75" s="83"/>
      <c r="J75" s="87"/>
    </row>
    <row r="76" spans="1:10" x14ac:dyDescent="0.3">
      <c r="A76" t="s">
        <v>90</v>
      </c>
      <c r="B76" s="86">
        <f>'BECF-new'!D11</f>
        <v>0.12795108802455094</v>
      </c>
      <c r="C76" s="86">
        <v>6.1966666666666677E-2</v>
      </c>
      <c r="D76" s="86">
        <f>'BECF-new'!AH11</f>
        <v>0.21586122143862657</v>
      </c>
      <c r="E76" s="86">
        <v>6.1966666666666677E-2</v>
      </c>
      <c r="F76" s="85">
        <f t="shared" si="0"/>
        <v>1.0648373538120106</v>
      </c>
      <c r="G76" s="85">
        <f t="shared" si="1"/>
        <v>2.4835054562446457</v>
      </c>
      <c r="H76" s="83">
        <f>'CER Electricity Generation'!Q16/CAN_gen[[#Totals],[2020]]</f>
        <v>6.4634508192352638E-3</v>
      </c>
      <c r="I76" s="83">
        <f>'CER Electricity Generation'!AU16/CAN_gen[[#Totals],[2050]]</f>
        <v>4.8824912076828536E-3</v>
      </c>
      <c r="J76" s="87" t="s">
        <v>294</v>
      </c>
    </row>
    <row r="77" spans="1:10" x14ac:dyDescent="0.3">
      <c r="A77" s="62" t="s">
        <v>94</v>
      </c>
      <c r="B77" s="86">
        <f>'BECF-new'!D12</f>
        <v>0.14630000000000001</v>
      </c>
      <c r="C77" s="86">
        <v>0.14630000000000001</v>
      </c>
      <c r="D77" s="86">
        <f>'BECF-new'!AH12</f>
        <v>0.14630000000000001</v>
      </c>
      <c r="E77" s="86">
        <v>0.14630000000000001</v>
      </c>
      <c r="F77" s="85">
        <f t="shared" si="0"/>
        <v>0</v>
      </c>
      <c r="G77" s="85">
        <f t="shared" si="1"/>
        <v>0</v>
      </c>
    </row>
    <row r="78" spans="1:10" hidden="1" x14ac:dyDescent="0.3">
      <c r="A78" s="73" t="s">
        <v>95</v>
      </c>
      <c r="B78" s="86">
        <f>'BECF-new'!D13</f>
        <v>0.59310376256607955</v>
      </c>
      <c r="C78" s="86">
        <v>0.83400921942536133</v>
      </c>
      <c r="D78" s="86">
        <f>'BECF-new'!AH13</f>
        <v>0.26171537290715374</v>
      </c>
      <c r="E78" s="86">
        <v>0.83400921942536133</v>
      </c>
      <c r="F78" s="85">
        <f t="shared" si="0"/>
        <v>-0.28885227075219561</v>
      </c>
      <c r="G78" s="85">
        <f t="shared" si="1"/>
        <v>-0.68619606736784322</v>
      </c>
    </row>
    <row r="79" spans="1:10" hidden="1" x14ac:dyDescent="0.3">
      <c r="A79" s="71" t="s">
        <v>96</v>
      </c>
      <c r="B79" s="86">
        <f>'BECF-new'!D14</f>
        <v>0.49179368897361969</v>
      </c>
      <c r="C79" s="86">
        <v>0.49179368897361969</v>
      </c>
      <c r="D79" s="86">
        <f>'BECF-new'!AH14</f>
        <v>0.56603167834304391</v>
      </c>
      <c r="E79" s="86">
        <v>0.56603167834304391</v>
      </c>
      <c r="F79" s="85">
        <f t="shared" si="0"/>
        <v>0</v>
      </c>
      <c r="G79" s="85">
        <f t="shared" si="1"/>
        <v>0</v>
      </c>
    </row>
    <row r="80" spans="1:10" hidden="1" x14ac:dyDescent="0.3">
      <c r="A80" s="73" t="s">
        <v>97</v>
      </c>
      <c r="B80" s="86">
        <f>'BECF-new'!D15</f>
        <v>0.12795108802455094</v>
      </c>
      <c r="C80" s="86">
        <v>6.1966666666666677E-2</v>
      </c>
      <c r="D80" s="86">
        <f>'BECF-new'!AH15</f>
        <v>0.21586122143862657</v>
      </c>
      <c r="E80" s="86">
        <v>6.1966666666666677E-2</v>
      </c>
      <c r="F80" s="85">
        <f t="shared" si="0"/>
        <v>1.0648373538120106</v>
      </c>
      <c r="G80" s="85">
        <f t="shared" si="1"/>
        <v>2.4835054562446457</v>
      </c>
    </row>
    <row r="81" spans="1:7" hidden="1" x14ac:dyDescent="0.3">
      <c r="A81" s="73" t="s">
        <v>98</v>
      </c>
      <c r="B81" s="86">
        <f>'BECF-new'!D16</f>
        <v>0.12795108802455094</v>
      </c>
      <c r="C81" s="86">
        <v>6.1966666666666677E-2</v>
      </c>
      <c r="D81" s="86">
        <f>'BECF-new'!AH16</f>
        <v>0.21586122143862657</v>
      </c>
      <c r="E81" s="86">
        <v>6.1966666666666677E-2</v>
      </c>
      <c r="F81" s="85">
        <f t="shared" si="0"/>
        <v>1.0648373538120106</v>
      </c>
      <c r="G81" s="85">
        <f t="shared" si="1"/>
        <v>2.4835054562446457</v>
      </c>
    </row>
    <row r="82" spans="1:7" hidden="1" x14ac:dyDescent="0.3">
      <c r="A82" s="71" t="s">
        <v>99</v>
      </c>
      <c r="B82" s="86">
        <f>'BECF-new'!D17</f>
        <v>0.64600000000000002</v>
      </c>
      <c r="C82" s="86">
        <v>0.71060000000000012</v>
      </c>
      <c r="D82" s="86">
        <f>'BECF-new'!AH17</f>
        <v>0.64600000000000002</v>
      </c>
      <c r="E82" s="86">
        <v>0.71060000000000012</v>
      </c>
      <c r="F82" s="85">
        <f t="shared" si="0"/>
        <v>-9.0909090909091037E-2</v>
      </c>
      <c r="G82" s="85">
        <f t="shared" si="1"/>
        <v>-9.0909090909091037E-2</v>
      </c>
    </row>
    <row r="83" spans="1:7" x14ac:dyDescent="0.3">
      <c r="B83" s="89"/>
      <c r="C83" s="89"/>
      <c r="D83" s="89"/>
      <c r="E83" s="89"/>
      <c r="F83" s="89"/>
      <c r="G83" s="89"/>
    </row>
  </sheetData>
  <mergeCells count="4">
    <mergeCell ref="F65:G65"/>
    <mergeCell ref="B65:E65"/>
    <mergeCell ref="H65:H66"/>
    <mergeCell ref="I65:I66"/>
  </mergeCells>
  <conditionalFormatting sqref="F67:G82">
    <cfRule type="cellIs" dxfId="744" priority="2" operator="lessThan">
      <formula>-0.3</formula>
    </cfRule>
    <cfRule type="cellIs" dxfId="743" priority="3" operator="greaterThan">
      <formula>0.3</formula>
    </cfRule>
    <cfRule type="cellIs" dxfId="742" priority="4" operator="between">
      <formula>0.1</formula>
      <formula>0.3</formula>
    </cfRule>
    <cfRule type="cellIs" dxfId="741" priority="5" operator="between">
      <formula>-0.3</formula>
      <formula>-0.1</formula>
    </cfRule>
    <cfRule type="cellIs" dxfId="740" priority="6" operator="between">
      <formula>-0.1</formula>
      <formula>0.1</formula>
    </cfRule>
  </conditionalFormatting>
  <conditionalFormatting sqref="H67:I76">
    <cfRule type="colorScale" priority="1">
      <colorScale>
        <cfvo type="min"/>
        <cfvo type="max"/>
        <color rgb="FFFCFCFF"/>
        <color rgb="FFF8696B"/>
      </colorScale>
    </cfRule>
  </conditionalFormatting>
  <hyperlinks>
    <hyperlink ref="B7" r:id="rId1" xr:uid="{F896A898-6F28-42EE-BD44-116856F4C422}"/>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B60C-1F1E-4B3A-99CC-FA5BED662144}">
  <sheetPr>
    <tabColor theme="4" tint="-0.249977111117893"/>
  </sheetPr>
  <dimension ref="A1:AH17"/>
  <sheetViews>
    <sheetView workbookViewId="0">
      <selection activeCell="B6" sqref="B6"/>
    </sheetView>
  </sheetViews>
  <sheetFormatPr defaultRowHeight="14.4" x14ac:dyDescent="0.3"/>
  <cols>
    <col min="1" max="1" width="25.77734375" customWidth="1"/>
  </cols>
  <sheetData>
    <row r="1" spans="1:34" ht="28.8" x14ac:dyDescent="0.3">
      <c r="A1" s="90" t="s">
        <v>324</v>
      </c>
      <c r="B1" s="12">
        <v>2018</v>
      </c>
      <c r="C1" s="12">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4" x14ac:dyDescent="0.3">
      <c r="A2" t="s">
        <v>89</v>
      </c>
      <c r="B2" s="74">
        <f>'BECF-new'!B2</f>
        <v>0.59472875665869829</v>
      </c>
      <c r="C2" s="74">
        <f>'BECF-new'!C2</f>
        <v>0.56299083955706397</v>
      </c>
      <c r="D2" s="74">
        <f>'BECF-new'!D2</f>
        <v>0.59310376256607955</v>
      </c>
      <c r="E2" s="74">
        <f>'BECF-new'!E2</f>
        <v>0.72564865613825835</v>
      </c>
      <c r="F2" s="74">
        <f>'BECF-new'!F2</f>
        <v>0.60131790827232001</v>
      </c>
      <c r="G2" s="74">
        <f>'BECF-new'!G2</f>
        <v>0.57957030422133593</v>
      </c>
      <c r="H2" s="74">
        <f>'BECF-new'!H2</f>
        <v>0.5646301755197195</v>
      </c>
      <c r="I2" s="74">
        <f>'BECF-new'!I2</f>
        <v>0.5214253832469542</v>
      </c>
      <c r="J2" s="74">
        <f>'BECF-new'!J2</f>
        <v>0.52015088346237837</v>
      </c>
      <c r="K2" s="74">
        <f>'BECF-new'!K2</f>
        <v>0.52258959376291125</v>
      </c>
      <c r="L2" s="74">
        <f>'BECF-new'!L2</f>
        <v>0.42993764745534208</v>
      </c>
      <c r="M2" s="74">
        <f>'BECF-new'!M2</f>
        <v>0.43359604046336181</v>
      </c>
      <c r="N2" s="74">
        <f>'BECF-new'!N2</f>
        <v>0.42991513959490468</v>
      </c>
      <c r="O2" s="74">
        <f>'BECF-new'!O2</f>
        <v>0.43917856697646718</v>
      </c>
      <c r="P2" s="74">
        <f>'BECF-new'!P2</f>
        <v>0.37325362087990727</v>
      </c>
      <c r="Q2" s="74">
        <f>'BECF-new'!Q2</f>
        <v>0.37990094232909033</v>
      </c>
      <c r="R2" s="74">
        <f>'BECF-new'!R2</f>
        <v>0.37820996717315125</v>
      </c>
      <c r="S2" s="74">
        <f>'BECF-new'!S2</f>
        <v>0.38920863219203145</v>
      </c>
      <c r="T2" s="74">
        <f>'BECF-new'!T2</f>
        <v>0.36907482870446945</v>
      </c>
      <c r="U2" s="74">
        <f>'BECF-new'!U2</f>
        <v>0.28442305079539482</v>
      </c>
      <c r="V2" s="74">
        <f>'BECF-new'!V2</f>
        <v>0.28133657634667752</v>
      </c>
      <c r="W2" s="74">
        <f>'BECF-new'!W2</f>
        <v>0.27566892843425939</v>
      </c>
      <c r="X2" s="74">
        <f>'BECF-new'!X2</f>
        <v>0.27017864353032706</v>
      </c>
      <c r="Y2" s="74">
        <f>'BECF-new'!Y2</f>
        <v>0.38082496194824961</v>
      </c>
      <c r="Z2" s="74">
        <f>'BECF-new'!Z2</f>
        <v>0.3705799086757991</v>
      </c>
      <c r="AA2" s="74">
        <f>'BECF-new'!AA2</f>
        <v>0.35578538812785387</v>
      </c>
      <c r="AB2" s="74">
        <f>'BECF-new'!AB2</f>
        <v>0.33108371385083712</v>
      </c>
      <c r="AC2" s="74">
        <f>'BECF-new'!AC2</f>
        <v>0.31240943683409439</v>
      </c>
      <c r="AD2" s="74">
        <f>'BECF-new'!AD2</f>
        <v>0.29144444444444445</v>
      </c>
      <c r="AE2" s="74">
        <f>'BECF-new'!AE2</f>
        <v>0.30611415525114155</v>
      </c>
      <c r="AF2" s="74">
        <f>'BECF-new'!AF2</f>
        <v>0.2919391171993912</v>
      </c>
      <c r="AG2" s="74">
        <f>'BECF-new'!AG2</f>
        <v>0.27119482496194824</v>
      </c>
      <c r="AH2" s="74">
        <f>'BECF-new'!AH2</f>
        <v>0.26171537290715374</v>
      </c>
    </row>
    <row r="3" spans="1:34" x14ac:dyDescent="0.3">
      <c r="A3" t="s">
        <v>91</v>
      </c>
      <c r="B3" s="74">
        <f>'BECF-new'!B3</f>
        <v>0.627</v>
      </c>
      <c r="C3" s="74">
        <f>'BECF-new'!C3</f>
        <v>0.627</v>
      </c>
      <c r="D3" s="74">
        <f>'BECF-new'!D3</f>
        <v>0.627</v>
      </c>
      <c r="E3" s="74">
        <f>'BECF-new'!E3</f>
        <v>0.627</v>
      </c>
      <c r="F3" s="74">
        <f>'BECF-new'!F3</f>
        <v>0.627</v>
      </c>
      <c r="G3" s="74">
        <f>'BECF-new'!G3</f>
        <v>0.627</v>
      </c>
      <c r="H3" s="74">
        <f>'BECF-new'!H3</f>
        <v>0.627</v>
      </c>
      <c r="I3" s="74">
        <f>'BECF-new'!I3</f>
        <v>0.627</v>
      </c>
      <c r="J3" s="74">
        <f>'BECF-new'!J3</f>
        <v>0.627</v>
      </c>
      <c r="K3" s="74">
        <f>'BECF-new'!K3</f>
        <v>0.627</v>
      </c>
      <c r="L3" s="74">
        <f>'BECF-new'!L3</f>
        <v>0.627</v>
      </c>
      <c r="M3" s="74">
        <f>'BECF-new'!M3</f>
        <v>0.627</v>
      </c>
      <c r="N3" s="74">
        <f>'BECF-new'!N3</f>
        <v>0.627</v>
      </c>
      <c r="O3" s="74">
        <f>'BECF-new'!O3</f>
        <v>0.627</v>
      </c>
      <c r="P3" s="74">
        <f>'BECF-new'!P3</f>
        <v>0.627</v>
      </c>
      <c r="Q3" s="74">
        <f>'BECF-new'!Q3</f>
        <v>0.627</v>
      </c>
      <c r="R3" s="74">
        <f>'BECF-new'!R3</f>
        <v>0.627</v>
      </c>
      <c r="S3" s="74">
        <f>'BECF-new'!S3</f>
        <v>0.627</v>
      </c>
      <c r="T3" s="74">
        <f>'BECF-new'!T3</f>
        <v>0.627</v>
      </c>
      <c r="U3" s="74">
        <f>'BECF-new'!U3</f>
        <v>0.627</v>
      </c>
      <c r="V3" s="74">
        <f>'BECF-new'!V3</f>
        <v>0.627</v>
      </c>
      <c r="W3" s="74">
        <f>'BECF-new'!W3</f>
        <v>0.627</v>
      </c>
      <c r="X3" s="74">
        <f>'BECF-new'!X3</f>
        <v>0.627</v>
      </c>
      <c r="Y3" s="74">
        <f>'BECF-new'!Y3</f>
        <v>0.627</v>
      </c>
      <c r="Z3" s="74">
        <f>'BECF-new'!Z3</f>
        <v>0.627</v>
      </c>
      <c r="AA3" s="74">
        <f>'BECF-new'!AA3</f>
        <v>0.627</v>
      </c>
      <c r="AB3" s="74">
        <f>'BECF-new'!AB3</f>
        <v>0.627</v>
      </c>
      <c r="AC3" s="74">
        <f>'BECF-new'!AC3</f>
        <v>0.627</v>
      </c>
      <c r="AD3" s="74">
        <f>'BECF-new'!AD3</f>
        <v>0.627</v>
      </c>
      <c r="AE3" s="74">
        <f>'BECF-new'!AE3</f>
        <v>0.627</v>
      </c>
      <c r="AF3" s="74">
        <f>'BECF-new'!AF3</f>
        <v>0.627</v>
      </c>
      <c r="AG3" s="74">
        <f>'BECF-new'!AG3</f>
        <v>0.627</v>
      </c>
      <c r="AH3" s="74">
        <f>'BECF-new'!AH3</f>
        <v>0.627</v>
      </c>
    </row>
    <row r="4" spans="1:34" x14ac:dyDescent="0.3">
      <c r="A4" t="s">
        <v>88</v>
      </c>
      <c r="B4" s="74">
        <f>'BECF-new'!B4</f>
        <v>0.81331987571473274</v>
      </c>
      <c r="C4" s="74">
        <f>'BECF-new'!C4</f>
        <v>0.81709415403239005</v>
      </c>
      <c r="D4" s="74">
        <f>'BECF-new'!D4</f>
        <v>0.77584271261997118</v>
      </c>
      <c r="E4" s="74">
        <f>'BECF-new'!E4</f>
        <v>0.75219196692973556</v>
      </c>
      <c r="F4" s="74">
        <f>'BECF-new'!F4</f>
        <v>0.82447323730804212</v>
      </c>
      <c r="G4" s="74">
        <f>'BECF-new'!G4</f>
        <v>0.83561422919974593</v>
      </c>
      <c r="H4" s="74">
        <f>'BECF-new'!H4</f>
        <v>0.83639633819769976</v>
      </c>
      <c r="I4" s="74">
        <f>'BECF-new'!I4</f>
        <v>0.87417108847197134</v>
      </c>
      <c r="J4" s="74">
        <f>'BECF-new'!J4</f>
        <v>0.87332616874391134</v>
      </c>
      <c r="K4" s="74">
        <f>'BECF-new'!K4</f>
        <v>0.8739928586400777</v>
      </c>
      <c r="L4" s="74">
        <f>'BECF-new'!L4</f>
        <v>0.87448613955041421</v>
      </c>
      <c r="M4" s="74">
        <f>'BECF-new'!M4</f>
        <v>0.8740043725332296</v>
      </c>
      <c r="N4" s="74">
        <f>'BECF-new'!N4</f>
        <v>0.87449584308671702</v>
      </c>
      <c r="O4" s="74">
        <f>'BECF-new'!O4</f>
        <v>0.87401584244758546</v>
      </c>
      <c r="P4" s="74">
        <f>'BECF-new'!P4</f>
        <v>0.87450551259210818</v>
      </c>
      <c r="Q4" s="74">
        <f>'BECF-new'!Q4</f>
        <v>0.87450814314868419</v>
      </c>
      <c r="R4" s="74">
        <f>'BECF-new'!R4</f>
        <v>0.87492345124923454</v>
      </c>
      <c r="S4" s="74">
        <f>'BECF-new'!S4</f>
        <v>0.87492345124923454</v>
      </c>
      <c r="T4" s="74">
        <f>'BECF-new'!T4</f>
        <v>0.87492345124923454</v>
      </c>
      <c r="U4" s="74">
        <f>'BECF-new'!U4</f>
        <v>0.87492569381538376</v>
      </c>
      <c r="V4" s="74">
        <f>'BECF-new'!V4</f>
        <v>0.87492569381538376</v>
      </c>
      <c r="W4" s="74">
        <f>'BECF-new'!W4</f>
        <v>0.87493027551177471</v>
      </c>
      <c r="X4" s="74">
        <f>'BECF-new'!X4</f>
        <v>0.87493931181130424</v>
      </c>
      <c r="Y4" s="74">
        <f>'BECF-new'!Y4</f>
        <v>0.87999991269196853</v>
      </c>
      <c r="Z4" s="74">
        <f>'BECF-new'!Z4</f>
        <v>0.87999995642929341</v>
      </c>
      <c r="AA4" s="74">
        <f>'BECF-new'!AA4</f>
        <v>0.87999989128071321</v>
      </c>
      <c r="AB4" s="74">
        <f>'BECF-new'!AB4</f>
        <v>0.88121180221023476</v>
      </c>
      <c r="AC4" s="74">
        <f>'BECF-new'!AC4</f>
        <v>0.88120920594140006</v>
      </c>
      <c r="AD4" s="74">
        <f>'BECF-new'!AD4</f>
        <v>0.88120374430033432</v>
      </c>
      <c r="AE4" s="74">
        <f>'BECF-new'!AE4</f>
        <v>0.8811931656528228</v>
      </c>
      <c r="AF4" s="74">
        <f>'BECF-new'!AF4</f>
        <v>0.88118277131836142</v>
      </c>
      <c r="AG4" s="74">
        <f>'BECF-new'!AG4</f>
        <v>0.88117285228612185</v>
      </c>
      <c r="AH4" s="74">
        <f>'BECF-new'!AH4</f>
        <v>0.88117285228612185</v>
      </c>
    </row>
    <row r="5" spans="1:34" x14ac:dyDescent="0.3">
      <c r="A5" t="s">
        <v>84</v>
      </c>
      <c r="B5" s="74">
        <f>'BECF-new'!B5</f>
        <v>0.5360549337744609</v>
      </c>
      <c r="C5" s="74">
        <f>'BECF-new'!C5</f>
        <v>0.52740654940409049</v>
      </c>
      <c r="D5" s="74">
        <f>'BECF-new'!D5</f>
        <v>0.53185207369775445</v>
      </c>
      <c r="E5" s="74">
        <f>'BECF-new'!E5</f>
        <v>0.52694850641725444</v>
      </c>
      <c r="F5" s="74">
        <f>'BECF-new'!F5</f>
        <v>0.54417905207832085</v>
      </c>
      <c r="G5" s="74">
        <f>'BECF-new'!G5</f>
        <v>0.54435101291802057</v>
      </c>
      <c r="H5" s="74">
        <f>'BECF-new'!H5</f>
        <v>0.54408635083394175</v>
      </c>
      <c r="I5" s="74">
        <f>'BECF-new'!I5</f>
        <v>0.5438799152846292</v>
      </c>
      <c r="J5" s="74">
        <f>'BECF-new'!J5</f>
        <v>0.54386539129293521</v>
      </c>
      <c r="K5" s="74">
        <f>'BECF-new'!K5</f>
        <v>0.54765888868223789</v>
      </c>
      <c r="L5" s="74">
        <f>'BECF-new'!L5</f>
        <v>0.5480367751737667</v>
      </c>
      <c r="M5" s="74">
        <f>'BECF-new'!M5</f>
        <v>0.54799150253783713</v>
      </c>
      <c r="N5" s="74">
        <f>'BECF-new'!N5</f>
        <v>0.54843140446519234</v>
      </c>
      <c r="O5" s="74">
        <f>'BECF-new'!O5</f>
        <v>0.54831898360809372</v>
      </c>
      <c r="P5" s="74">
        <f>'BECF-new'!P5</f>
        <v>0.5485336824761321</v>
      </c>
      <c r="Q5" s="74">
        <f>'BECF-new'!Q5</f>
        <v>0.54900114883484241</v>
      </c>
      <c r="R5" s="74">
        <f>'BECF-new'!R5</f>
        <v>0.54943732467266526</v>
      </c>
      <c r="S5" s="74">
        <f>'BECF-new'!S5</f>
        <v>0.54983296298985807</v>
      </c>
      <c r="T5" s="74">
        <f>'BECF-new'!T5</f>
        <v>0.55010085722195545</v>
      </c>
      <c r="U5" s="74">
        <f>'BECF-new'!U5</f>
        <v>0.55064238767046891</v>
      </c>
      <c r="V5" s="74">
        <f>'BECF-new'!V5</f>
        <v>0.55107816937187359</v>
      </c>
      <c r="W5" s="74">
        <f>'BECF-new'!W5</f>
        <v>0.55155067428845228</v>
      </c>
      <c r="X5" s="74">
        <f>'BECF-new'!X5</f>
        <v>0.55201338014535706</v>
      </c>
      <c r="Y5" s="74">
        <f>'BECF-new'!Y5</f>
        <v>0.55254996813380464</v>
      </c>
      <c r="Z5" s="74">
        <f>'BECF-new'!Z5</f>
        <v>0.55298394438049492</v>
      </c>
      <c r="AA5" s="74">
        <f>'BECF-new'!AA5</f>
        <v>0.55339300673390401</v>
      </c>
      <c r="AB5" s="74">
        <f>'BECF-new'!AB5</f>
        <v>0.55379853261833056</v>
      </c>
      <c r="AC5" s="74">
        <f>'BECF-new'!AC5</f>
        <v>0.55432190435552042</v>
      </c>
      <c r="AD5" s="74">
        <f>'BECF-new'!AD5</f>
        <v>0.55482258015917574</v>
      </c>
      <c r="AE5" s="74">
        <f>'BECF-new'!AE5</f>
        <v>0.55520161679216551</v>
      </c>
      <c r="AF5" s="74">
        <f>'BECF-new'!AF5</f>
        <v>0.55556348553739909</v>
      </c>
      <c r="AG5" s="74">
        <f>'BECF-new'!AG5</f>
        <v>0.55597354207877847</v>
      </c>
      <c r="AH5" s="74">
        <f>'BECF-new'!AH5</f>
        <v>0.55644000872527766</v>
      </c>
    </row>
    <row r="6" spans="1:34" x14ac:dyDescent="0.3">
      <c r="A6" t="s">
        <v>86</v>
      </c>
      <c r="B6" s="74">
        <f>'BECF-new'!B6</f>
        <v>0.29306791787534597</v>
      </c>
      <c r="C6" s="74">
        <f>'BECF-new'!C6</f>
        <v>0.27949172804584393</v>
      </c>
      <c r="D6" s="74">
        <f>'BECF-new'!D6</f>
        <v>0.29857662965171861</v>
      </c>
      <c r="E6" s="74">
        <f>'BECF-new'!E6</f>
        <v>0.30947182815566032</v>
      </c>
      <c r="F6" s="74">
        <f>'BECF-new'!F6</f>
        <v>0.37014571751034314</v>
      </c>
      <c r="G6" s="74">
        <f>'BECF-new'!G6</f>
        <v>0.37060950454676461</v>
      </c>
      <c r="H6" s="74">
        <f>'BECF-new'!H6</f>
        <v>0.37908179469186354</v>
      </c>
      <c r="I6" s="74">
        <f>'BECF-new'!I6</f>
        <v>0.38111770737430856</v>
      </c>
      <c r="J6" s="74">
        <f>'BECF-new'!J6</f>
        <v>0.38128941719600601</v>
      </c>
      <c r="K6" s="74">
        <f>'BECF-new'!K6</f>
        <v>0.38778937011426656</v>
      </c>
      <c r="L6" s="74">
        <f>'BECF-new'!L6</f>
        <v>0.3915847105028345</v>
      </c>
      <c r="M6" s="74">
        <f>'BECF-new'!M6</f>
        <v>0.39514753006189779</v>
      </c>
      <c r="N6" s="74">
        <f>'BECF-new'!N6</f>
        <v>0.41081953435747309</v>
      </c>
      <c r="O6" s="74">
        <f>'BECF-new'!O6</f>
        <v>0.42021215890591473</v>
      </c>
      <c r="P6" s="74">
        <f>'BECF-new'!P6</f>
        <v>0.42955847029148342</v>
      </c>
      <c r="Q6" s="74">
        <f>'BECF-new'!Q6</f>
        <v>0.43269311338132099</v>
      </c>
      <c r="R6" s="74">
        <f>'BECF-new'!R6</f>
        <v>0.4350481952727045</v>
      </c>
      <c r="S6" s="74">
        <f>'BECF-new'!S6</f>
        <v>0.43536128437594745</v>
      </c>
      <c r="T6" s="74">
        <f>'BECF-new'!T6</f>
        <v>0.43782259892322056</v>
      </c>
      <c r="U6" s="74">
        <f>'BECF-new'!U6</f>
        <v>0.43898094823953665</v>
      </c>
      <c r="V6" s="74">
        <f>'BECF-new'!V6</f>
        <v>0.44091883099451817</v>
      </c>
      <c r="W6" s="74">
        <f>'BECF-new'!W6</f>
        <v>0.44210013323105796</v>
      </c>
      <c r="X6" s="74">
        <f>'BECF-new'!X6</f>
        <v>0.44444025354874339</v>
      </c>
      <c r="Y6" s="74">
        <f>'BECF-new'!Y6</f>
        <v>0.44576566754837127</v>
      </c>
      <c r="Z6" s="74">
        <f>'BECF-new'!Z6</f>
        <v>0.44985783351355341</v>
      </c>
      <c r="AA6" s="74">
        <f>'BECF-new'!AA6</f>
        <v>0.45125613286131444</v>
      </c>
      <c r="AB6" s="74">
        <f>'BECF-new'!AB6</f>
        <v>0.45517115335978497</v>
      </c>
      <c r="AC6" s="74">
        <f>'BECF-new'!AC6</f>
        <v>0.45641104924601444</v>
      </c>
      <c r="AD6" s="74">
        <f>'BECF-new'!AD6</f>
        <v>0.46012884337739496</v>
      </c>
      <c r="AE6" s="74">
        <f>'BECF-new'!AE6</f>
        <v>0.46156614771584836</v>
      </c>
      <c r="AF6" s="74">
        <f>'BECF-new'!AF6</f>
        <v>0.46516335639216166</v>
      </c>
      <c r="AG6" s="74">
        <f>'BECF-new'!AG6</f>
        <v>0.4667266299032638</v>
      </c>
      <c r="AH6" s="74">
        <f>'BECF-new'!AH6</f>
        <v>0.46837902119617114</v>
      </c>
    </row>
    <row r="7" spans="1:34" x14ac:dyDescent="0.3">
      <c r="A7" t="s">
        <v>87</v>
      </c>
      <c r="B7" s="74">
        <f>'BECF-new'!B7</f>
        <v>9.1958466704588307E-2</v>
      </c>
      <c r="C7" s="74">
        <f>'BECF-new'!C7</f>
        <v>9.1412196610252419E-2</v>
      </c>
      <c r="D7" s="74">
        <f>'BECF-new'!D7</f>
        <v>9.166180324083012E-2</v>
      </c>
      <c r="E7" s="74">
        <f>'BECF-new'!E7</f>
        <v>9.6246592075806811E-2</v>
      </c>
      <c r="F7" s="74">
        <f>'BECF-new'!F7</f>
        <v>0.10539578807588613</v>
      </c>
      <c r="G7" s="74">
        <f>'BECF-new'!G7</f>
        <v>0.10562896582195294</v>
      </c>
      <c r="H7" s="74">
        <f>'BECF-new'!H7</f>
        <v>0.10605552424820447</v>
      </c>
      <c r="I7" s="74">
        <f>'BECF-new'!I7</f>
        <v>0.10728695513805556</v>
      </c>
      <c r="J7" s="74">
        <f>'BECF-new'!J7</f>
        <v>0.10955517520484352</v>
      </c>
      <c r="K7" s="74">
        <f>'BECF-new'!K7</f>
        <v>0.11175716507791388</v>
      </c>
      <c r="L7" s="74">
        <f>'BECF-new'!L7</f>
        <v>0.11214730302641135</v>
      </c>
      <c r="M7" s="74">
        <f>'BECF-new'!M7</f>
        <v>0.11641705623323308</v>
      </c>
      <c r="N7" s="74">
        <f>'BECF-new'!N7</f>
        <v>0.12034383474233723</v>
      </c>
      <c r="O7" s="74">
        <f>'BECF-new'!O7</f>
        <v>0.12406125674639104</v>
      </c>
      <c r="P7" s="74">
        <f>'BECF-new'!P7</f>
        <v>0.12681491525677505</v>
      </c>
      <c r="Q7" s="74">
        <f>'BECF-new'!Q7</f>
        <v>0.12968270896420242</v>
      </c>
      <c r="R7" s="74">
        <f>'BECF-new'!R7</f>
        <v>0.1326268114736921</v>
      </c>
      <c r="S7" s="74">
        <f>'BECF-new'!S7</f>
        <v>0.13739268777149233</v>
      </c>
      <c r="T7" s="74">
        <f>'BECF-new'!T7</f>
        <v>0.14084032001644486</v>
      </c>
      <c r="U7" s="74">
        <f>'BECF-new'!U7</f>
        <v>0.14394165176518056</v>
      </c>
      <c r="V7" s="74">
        <f>'BECF-new'!V7</f>
        <v>0.14640088449185357</v>
      </c>
      <c r="W7" s="74">
        <f>'BECF-new'!W7</f>
        <v>0.14873001551308918</v>
      </c>
      <c r="X7" s="74">
        <f>'BECF-new'!X7</f>
        <v>0.15101366399120261</v>
      </c>
      <c r="Y7" s="74">
        <f>'BECF-new'!Y7</f>
        <v>0.15323271679327594</v>
      </c>
      <c r="Z7" s="74">
        <f>'BECF-new'!Z7</f>
        <v>0.15497421115311255</v>
      </c>
      <c r="AA7" s="74">
        <f>'BECF-new'!AA7</f>
        <v>0.15692482761997906</v>
      </c>
      <c r="AB7" s="74">
        <f>'BECF-new'!AB7</f>
        <v>0.15847313805370258</v>
      </c>
      <c r="AC7" s="74">
        <f>'BECF-new'!AC7</f>
        <v>0.16016385664928573</v>
      </c>
      <c r="AD7" s="74">
        <f>'BECF-new'!AD7</f>
        <v>0.1614115335163781</v>
      </c>
      <c r="AE7" s="74">
        <f>'BECF-new'!AE7</f>
        <v>0.16285833151156562</v>
      </c>
      <c r="AF7" s="74">
        <f>'BECF-new'!AF7</f>
        <v>0.16399083649183827</v>
      </c>
      <c r="AG7" s="74">
        <f>'BECF-new'!AG7</f>
        <v>0.16532653036422404</v>
      </c>
      <c r="AH7" s="74">
        <f>'BECF-new'!AH7</f>
        <v>0.16669458222034181</v>
      </c>
    </row>
    <row r="8" spans="1:34" x14ac:dyDescent="0.3">
      <c r="A8" t="s">
        <v>92</v>
      </c>
      <c r="B8" s="74">
        <f>'BECF-new'!B8</f>
        <v>0.58933333333333326</v>
      </c>
      <c r="C8" s="74">
        <f>'BECF-new'!C8</f>
        <v>0.58933333333333326</v>
      </c>
      <c r="D8" s="74">
        <f>'BECF-new'!D8</f>
        <v>0.57599999999999996</v>
      </c>
      <c r="E8" s="74">
        <f>'BECF-new'!E8</f>
        <v>0.57599999999999996</v>
      </c>
      <c r="F8" s="74">
        <f>'BECF-new'!F8</f>
        <v>0.57599999999999996</v>
      </c>
      <c r="G8" s="74">
        <f>'BECF-new'!G8</f>
        <v>0.57599999999999996</v>
      </c>
      <c r="H8" s="74">
        <f>'BECF-new'!H8</f>
        <v>0.57599999999999996</v>
      </c>
      <c r="I8" s="74">
        <f>'BECF-new'!I8</f>
        <v>0.57599999999999996</v>
      </c>
      <c r="J8" s="74">
        <f>'BECF-new'!J8</f>
        <v>0.57599999999999996</v>
      </c>
      <c r="K8" s="74">
        <f>'BECF-new'!K8</f>
        <v>0.57599999999999996</v>
      </c>
      <c r="L8" s="74">
        <f>'BECF-new'!L8</f>
        <v>0.57599999999999996</v>
      </c>
      <c r="M8" s="74">
        <f>'BECF-new'!M8</f>
        <v>0.57599999999999996</v>
      </c>
      <c r="N8" s="74">
        <f>'BECF-new'!N8</f>
        <v>0.57599999999999996</v>
      </c>
      <c r="O8" s="74">
        <f>'BECF-new'!O8</f>
        <v>0.57599999999999996</v>
      </c>
      <c r="P8" s="74">
        <f>'BECF-new'!P8</f>
        <v>0.57599999999999996</v>
      </c>
      <c r="Q8" s="74">
        <f>'BECF-new'!Q8</f>
        <v>0.57599999999999996</v>
      </c>
      <c r="R8" s="74">
        <f>'BECF-new'!R8</f>
        <v>0.57599999999999996</v>
      </c>
      <c r="S8" s="74">
        <f>'BECF-new'!S8</f>
        <v>0.57599999999999996</v>
      </c>
      <c r="T8" s="74">
        <f>'BECF-new'!T8</f>
        <v>0.57599999999999996</v>
      </c>
      <c r="U8" s="74">
        <f>'BECF-new'!U8</f>
        <v>0.57599999999999996</v>
      </c>
      <c r="V8" s="74">
        <f>'BECF-new'!V8</f>
        <v>0.57599999999999996</v>
      </c>
      <c r="W8" s="74">
        <f>'BECF-new'!W8</f>
        <v>0.57599999999999996</v>
      </c>
      <c r="X8" s="74">
        <f>'BECF-new'!X8</f>
        <v>0.57599999999999996</v>
      </c>
      <c r="Y8" s="74">
        <f>'BECF-new'!Y8</f>
        <v>0.57599999999999996</v>
      </c>
      <c r="Z8" s="74">
        <f>'BECF-new'!Z8</f>
        <v>0.57599999999999996</v>
      </c>
      <c r="AA8" s="74">
        <f>'BECF-new'!AA8</f>
        <v>0.57599999999999996</v>
      </c>
      <c r="AB8" s="74">
        <f>'BECF-new'!AB8</f>
        <v>0.57599999999999996</v>
      </c>
      <c r="AC8" s="74">
        <f>'BECF-new'!AC8</f>
        <v>0.57599999999999996</v>
      </c>
      <c r="AD8" s="74">
        <f>'BECF-new'!AD8</f>
        <v>0.57599999999999996</v>
      </c>
      <c r="AE8" s="74">
        <f>'BECF-new'!AE8</f>
        <v>0.57599999999999996</v>
      </c>
      <c r="AF8" s="74">
        <f>'BECF-new'!AF8</f>
        <v>0.57599999999999996</v>
      </c>
      <c r="AG8" s="74">
        <f>'BECF-new'!AG8</f>
        <v>0.57599999999999996</v>
      </c>
      <c r="AH8" s="74">
        <f>'BECF-new'!AH8</f>
        <v>0.57599999999999996</v>
      </c>
    </row>
    <row r="9" spans="1:34" x14ac:dyDescent="0.3">
      <c r="A9" t="s">
        <v>85</v>
      </c>
      <c r="B9" s="74">
        <f>'BECF-new'!B9</f>
        <v>0.42980377938951236</v>
      </c>
      <c r="C9" s="74">
        <f>'BECF-new'!C9</f>
        <v>0.44914197191908101</v>
      </c>
      <c r="D9" s="74">
        <f>'BECF-new'!D9</f>
        <v>0.38226506938471466</v>
      </c>
      <c r="E9" s="74">
        <f>'BECF-new'!E9</f>
        <v>0.38404809565091019</v>
      </c>
      <c r="F9" s="74">
        <f>'BECF-new'!F9</f>
        <v>0.39053223670235476</v>
      </c>
      <c r="G9" s="74">
        <f>'BECF-new'!G9</f>
        <v>0.38565357415106766</v>
      </c>
      <c r="H9" s="74">
        <f>'BECF-new'!H9</f>
        <v>0.38628866729104988</v>
      </c>
      <c r="I9" s="74">
        <f>'BECF-new'!I9</f>
        <v>0.38610180267734562</v>
      </c>
      <c r="J9" s="74">
        <f>'BECF-new'!J9</f>
        <v>0.38990026785166559</v>
      </c>
      <c r="K9" s="74">
        <f>'BECF-new'!K9</f>
        <v>0.39159240721968042</v>
      </c>
      <c r="L9" s="74">
        <f>'BECF-new'!L9</f>
        <v>0.38409211727599635</v>
      </c>
      <c r="M9" s="74">
        <f>'BECF-new'!M9</f>
        <v>0.38448766477158014</v>
      </c>
      <c r="N9" s="74">
        <f>'BECF-new'!N9</f>
        <v>0.38347247375569898</v>
      </c>
      <c r="O9" s="74">
        <f>'BECF-new'!O9</f>
        <v>0.38498798142639901</v>
      </c>
      <c r="P9" s="74">
        <f>'BECF-new'!P9</f>
        <v>0.38291568753521432</v>
      </c>
      <c r="Q9" s="74">
        <f>'BECF-new'!Q9</f>
        <v>0.37443827479384767</v>
      </c>
      <c r="R9" s="74">
        <f>'BECF-new'!R9</f>
        <v>0.3746693035595397</v>
      </c>
      <c r="S9" s="74">
        <f>'BECF-new'!S9</f>
        <v>0.37653145169486379</v>
      </c>
      <c r="T9" s="74">
        <f>'BECF-new'!T9</f>
        <v>0.37775531349140856</v>
      </c>
      <c r="U9" s="74">
        <f>'BECF-new'!U9</f>
        <v>0.3768692513220529</v>
      </c>
      <c r="V9" s="74">
        <f>'BECF-new'!V9</f>
        <v>0.37857526057940727</v>
      </c>
      <c r="W9" s="74">
        <f>'BECF-new'!W9</f>
        <v>0.37915539506848484</v>
      </c>
      <c r="X9" s="74">
        <f>'BECF-new'!X9</f>
        <v>0.38067271965067323</v>
      </c>
      <c r="Y9" s="74">
        <f>'BECF-new'!Y9</f>
        <v>0.38192446896863691</v>
      </c>
      <c r="Z9" s="74">
        <f>'BECF-new'!Z9</f>
        <v>0.3820580581773817</v>
      </c>
      <c r="AA9" s="74">
        <f>'BECF-new'!AA9</f>
        <v>0.38539249663141784</v>
      </c>
      <c r="AB9" s="74">
        <f>'BECF-new'!AB9</f>
        <v>0.38683072733477442</v>
      </c>
      <c r="AC9" s="74">
        <f>'BECF-new'!AC9</f>
        <v>0.3872914435125675</v>
      </c>
      <c r="AD9" s="74">
        <f>'BECF-new'!AD9</f>
        <v>0.39583938311561401</v>
      </c>
      <c r="AE9" s="74">
        <f>'BECF-new'!AE9</f>
        <v>0.39569488538868108</v>
      </c>
      <c r="AF9" s="74">
        <f>'BECF-new'!AF9</f>
        <v>0.39153394221506593</v>
      </c>
      <c r="AG9" s="74">
        <f>'BECF-new'!AG9</f>
        <v>0.38620513040661231</v>
      </c>
      <c r="AH9" s="74">
        <f>'BECF-new'!AH9</f>
        <v>0.38700933100143287</v>
      </c>
    </row>
    <row r="10" spans="1:34" x14ac:dyDescent="0.3">
      <c r="A10" t="s">
        <v>93</v>
      </c>
      <c r="B10" s="74">
        <f>'BECF-new'!B10</f>
        <v>0.76</v>
      </c>
      <c r="C10" s="74">
        <f>'BECF-new'!C10</f>
        <v>0.69599999999999995</v>
      </c>
      <c r="D10" s="74">
        <f>'BECF-new'!D10</f>
        <v>0.69099999999999995</v>
      </c>
      <c r="E10" s="74">
        <f>'BECF-new'!E10</f>
        <v>0.69099999999999995</v>
      </c>
      <c r="F10" s="74">
        <f>'BECF-new'!F10</f>
        <v>0.69099999999999995</v>
      </c>
      <c r="G10" s="74">
        <f>'BECF-new'!G10</f>
        <v>0.69099999999999995</v>
      </c>
      <c r="H10" s="74">
        <f>'BECF-new'!H10</f>
        <v>0.69099999999999995</v>
      </c>
      <c r="I10" s="74">
        <f>'BECF-new'!I10</f>
        <v>0.69099999999999995</v>
      </c>
      <c r="J10" s="74">
        <f>'BECF-new'!J10</f>
        <v>0.69099999999999995</v>
      </c>
      <c r="K10" s="74">
        <f>'BECF-new'!K10</f>
        <v>0.69099999999999995</v>
      </c>
      <c r="L10" s="74">
        <f>'BECF-new'!L10</f>
        <v>0.69099999999999995</v>
      </c>
      <c r="M10" s="74">
        <f>'BECF-new'!M10</f>
        <v>0.69099999999999995</v>
      </c>
      <c r="N10" s="74">
        <f>'BECF-new'!N10</f>
        <v>0.69099999999999995</v>
      </c>
      <c r="O10" s="74">
        <f>'BECF-new'!O10</f>
        <v>0.69099999999999995</v>
      </c>
      <c r="P10" s="74">
        <f>'BECF-new'!P10</f>
        <v>0.69099999999999995</v>
      </c>
      <c r="Q10" s="74">
        <f>'BECF-new'!Q10</f>
        <v>0.69099999999999995</v>
      </c>
      <c r="R10" s="74">
        <f>'BECF-new'!R10</f>
        <v>0.69099999999999995</v>
      </c>
      <c r="S10" s="74">
        <f>'BECF-new'!S10</f>
        <v>0.69099999999999995</v>
      </c>
      <c r="T10" s="74">
        <f>'BECF-new'!T10</f>
        <v>0.69099999999999995</v>
      </c>
      <c r="U10" s="74">
        <f>'BECF-new'!U10</f>
        <v>0.69099999999999995</v>
      </c>
      <c r="V10" s="74">
        <f>'BECF-new'!V10</f>
        <v>0.69099999999999995</v>
      </c>
      <c r="W10" s="74">
        <f>'BECF-new'!W10</f>
        <v>0.69099999999999995</v>
      </c>
      <c r="X10" s="74">
        <f>'BECF-new'!X10</f>
        <v>0.69099999999999995</v>
      </c>
      <c r="Y10" s="74">
        <f>'BECF-new'!Y10</f>
        <v>0.69099999999999995</v>
      </c>
      <c r="Z10" s="74">
        <f>'BECF-new'!Z10</f>
        <v>0.69099999999999995</v>
      </c>
      <c r="AA10" s="74">
        <f>'BECF-new'!AA10</f>
        <v>0.69099999999999995</v>
      </c>
      <c r="AB10" s="74">
        <f>'BECF-new'!AB10</f>
        <v>0.69099999999999995</v>
      </c>
      <c r="AC10" s="74">
        <f>'BECF-new'!AC10</f>
        <v>0.69099999999999995</v>
      </c>
      <c r="AD10" s="74">
        <f>'BECF-new'!AD10</f>
        <v>0.69099999999999995</v>
      </c>
      <c r="AE10" s="74">
        <f>'BECF-new'!AE10</f>
        <v>0.69099999999999995</v>
      </c>
      <c r="AF10" s="74">
        <f>'BECF-new'!AF10</f>
        <v>0.69099999999999995</v>
      </c>
      <c r="AG10" s="74">
        <f>'BECF-new'!AG10</f>
        <v>0.69099999999999995</v>
      </c>
      <c r="AH10" s="74">
        <f>'BECF-new'!AH10</f>
        <v>0.69099999999999995</v>
      </c>
    </row>
    <row r="11" spans="1:34" x14ac:dyDescent="0.3">
      <c r="A11" t="s">
        <v>90</v>
      </c>
      <c r="B11" s="74">
        <f>'BECF-new'!B11</f>
        <v>0.13230750666194346</v>
      </c>
      <c r="C11" s="74">
        <f>'BECF-new'!C11</f>
        <v>0.1171532780184619</v>
      </c>
      <c r="D11" s="74">
        <f>'BECF-new'!D11</f>
        <v>0.12795108802455094</v>
      </c>
      <c r="E11" s="74">
        <f>'BECF-new'!E11</f>
        <v>0.1458041349325884</v>
      </c>
      <c r="F11" s="74">
        <f>'BECF-new'!F11</f>
        <v>0.1437628593230213</v>
      </c>
      <c r="G11" s="74">
        <f>'BECF-new'!G11</f>
        <v>0.20273662024764164</v>
      </c>
      <c r="H11" s="74">
        <f>'BECF-new'!H11</f>
        <v>0.16460786174698572</v>
      </c>
      <c r="I11" s="74">
        <f>'BECF-new'!I11</f>
        <v>0.15687450070525463</v>
      </c>
      <c r="J11" s="74">
        <f>'BECF-new'!J11</f>
        <v>0.18170877615234451</v>
      </c>
      <c r="K11" s="74">
        <f>'BECF-new'!K11</f>
        <v>0.13314894485126985</v>
      </c>
      <c r="L11" s="74">
        <f>'BECF-new'!L11</f>
        <v>0.14148458752959475</v>
      </c>
      <c r="M11" s="74">
        <f>'BECF-new'!M11</f>
        <v>0.16499127693041396</v>
      </c>
      <c r="N11" s="74">
        <f>'BECF-new'!N11</f>
        <v>0.1685068265927889</v>
      </c>
      <c r="O11" s="74">
        <f>'BECF-new'!O11</f>
        <v>0.23436164630191439</v>
      </c>
      <c r="P11" s="74">
        <f>'BECF-new'!P11</f>
        <v>0.19185525724235303</v>
      </c>
      <c r="Q11" s="74">
        <f>'BECF-new'!Q11</f>
        <v>0.24322096992723666</v>
      </c>
      <c r="R11" s="74">
        <f>'BECF-new'!R11</f>
        <v>0.23315377145974137</v>
      </c>
      <c r="S11" s="74">
        <f>'BECF-new'!S11</f>
        <v>0.22848987474585353</v>
      </c>
      <c r="T11" s="74">
        <f>'BECF-new'!T11</f>
        <v>0.12374248742313884</v>
      </c>
      <c r="U11" s="74">
        <f>'BECF-new'!U11</f>
        <v>0.18441611965790455</v>
      </c>
      <c r="V11" s="74">
        <f>'BECF-new'!V11</f>
        <v>0.18321738856924966</v>
      </c>
      <c r="W11" s="74">
        <f>'BECF-new'!W11</f>
        <v>0.18778540492203166</v>
      </c>
      <c r="X11" s="74">
        <f>'BECF-new'!X11</f>
        <v>0.18612240811909075</v>
      </c>
      <c r="Y11" s="74">
        <f>'BECF-new'!Y11</f>
        <v>0.42522133488159725</v>
      </c>
      <c r="Z11" s="74">
        <f>'BECF-new'!Z11</f>
        <v>0.29712734449900907</v>
      </c>
      <c r="AA11" s="74">
        <f>'BECF-new'!AA11</f>
        <v>0.31999260510331068</v>
      </c>
      <c r="AB11" s="74">
        <f>'BECF-new'!AB11</f>
        <v>0.21872136798951258</v>
      </c>
      <c r="AC11" s="74">
        <f>'BECF-new'!AC11</f>
        <v>0.21393930297347724</v>
      </c>
      <c r="AD11" s="74">
        <f>'BECF-new'!AD11</f>
        <v>0.20888275935937356</v>
      </c>
      <c r="AE11" s="74">
        <f>'BECF-new'!AE11</f>
        <v>0.21273171079771075</v>
      </c>
      <c r="AF11" s="74">
        <f>'BECF-new'!AF11</f>
        <v>0.20802409028756971</v>
      </c>
      <c r="AG11" s="74">
        <f>'BECF-new'!AG11</f>
        <v>0.21228163409031919</v>
      </c>
      <c r="AH11" s="74">
        <f>'BECF-new'!AH11</f>
        <v>0.21586122143862657</v>
      </c>
    </row>
    <row r="12" spans="1:34" x14ac:dyDescent="0.3">
      <c r="A12" t="s">
        <v>94</v>
      </c>
      <c r="B12" s="74">
        <f>'BECF-new'!B12</f>
        <v>0.14630000000000001</v>
      </c>
      <c r="C12" s="74">
        <f>'BECF-new'!C12</f>
        <v>0.14630000000000001</v>
      </c>
      <c r="D12" s="74">
        <f>'BECF-new'!D12</f>
        <v>0.14630000000000001</v>
      </c>
      <c r="E12" s="74">
        <f>'BECF-new'!E12</f>
        <v>0.14630000000000001</v>
      </c>
      <c r="F12" s="74">
        <f>'BECF-new'!F12</f>
        <v>0.14630000000000001</v>
      </c>
      <c r="G12" s="74">
        <f>'BECF-new'!G12</f>
        <v>0.14630000000000001</v>
      </c>
      <c r="H12" s="74">
        <f>'BECF-new'!H12</f>
        <v>0.14630000000000001</v>
      </c>
      <c r="I12" s="74">
        <f>'BECF-new'!I12</f>
        <v>0.14630000000000001</v>
      </c>
      <c r="J12" s="74">
        <f>'BECF-new'!J12</f>
        <v>0.14630000000000001</v>
      </c>
      <c r="K12" s="74">
        <f>'BECF-new'!K12</f>
        <v>0.14630000000000001</v>
      </c>
      <c r="L12" s="74">
        <f>'BECF-new'!L12</f>
        <v>0.14630000000000001</v>
      </c>
      <c r="M12" s="74">
        <f>'BECF-new'!M12</f>
        <v>0.14630000000000001</v>
      </c>
      <c r="N12" s="74">
        <f>'BECF-new'!N12</f>
        <v>0.14630000000000001</v>
      </c>
      <c r="O12" s="74">
        <f>'BECF-new'!O12</f>
        <v>0.14630000000000001</v>
      </c>
      <c r="P12" s="74">
        <f>'BECF-new'!P12</f>
        <v>0.14630000000000001</v>
      </c>
      <c r="Q12" s="74">
        <f>'BECF-new'!Q12</f>
        <v>0.14630000000000001</v>
      </c>
      <c r="R12" s="74">
        <f>'BECF-new'!R12</f>
        <v>0.14630000000000001</v>
      </c>
      <c r="S12" s="74">
        <f>'BECF-new'!S12</f>
        <v>0.14630000000000001</v>
      </c>
      <c r="T12" s="74">
        <f>'BECF-new'!T12</f>
        <v>0.14630000000000001</v>
      </c>
      <c r="U12" s="74">
        <f>'BECF-new'!U12</f>
        <v>0.14630000000000001</v>
      </c>
      <c r="V12" s="74">
        <f>'BECF-new'!V12</f>
        <v>0.14630000000000001</v>
      </c>
      <c r="W12" s="74">
        <f>'BECF-new'!W12</f>
        <v>0.14630000000000001</v>
      </c>
      <c r="X12" s="74">
        <f>'BECF-new'!X12</f>
        <v>0.14630000000000001</v>
      </c>
      <c r="Y12" s="74">
        <f>'BECF-new'!Y12</f>
        <v>0.14630000000000001</v>
      </c>
      <c r="Z12" s="74">
        <f>'BECF-new'!Z12</f>
        <v>0.14630000000000001</v>
      </c>
      <c r="AA12" s="74">
        <f>'BECF-new'!AA12</f>
        <v>0.14630000000000001</v>
      </c>
      <c r="AB12" s="74">
        <f>'BECF-new'!AB12</f>
        <v>0.14630000000000001</v>
      </c>
      <c r="AC12" s="74">
        <f>'BECF-new'!AC12</f>
        <v>0.14630000000000001</v>
      </c>
      <c r="AD12" s="74">
        <f>'BECF-new'!AD12</f>
        <v>0.14630000000000001</v>
      </c>
      <c r="AE12" s="74">
        <f>'BECF-new'!AE12</f>
        <v>0.14630000000000001</v>
      </c>
      <c r="AF12" s="74">
        <f>'BECF-new'!AF12</f>
        <v>0.14630000000000001</v>
      </c>
      <c r="AG12" s="74">
        <f>'BECF-new'!AG12</f>
        <v>0.14630000000000001</v>
      </c>
      <c r="AH12" s="74">
        <f>'BECF-new'!AH12</f>
        <v>0.14630000000000001</v>
      </c>
    </row>
    <row r="13" spans="1:34" x14ac:dyDescent="0.3">
      <c r="A13" t="s">
        <v>95</v>
      </c>
      <c r="B13" s="74">
        <f>'BECF-new'!B13</f>
        <v>0.59472875665869829</v>
      </c>
      <c r="C13" s="74">
        <f>'BECF-new'!C13</f>
        <v>0.56299083955706397</v>
      </c>
      <c r="D13" s="74">
        <f>'BECF-new'!D13</f>
        <v>0.59310376256607955</v>
      </c>
      <c r="E13" s="74">
        <f>'BECF-new'!E13</f>
        <v>0.72564865613825835</v>
      </c>
      <c r="F13" s="74">
        <f>'BECF-new'!F13</f>
        <v>0.60131790827232001</v>
      </c>
      <c r="G13" s="74">
        <f>'BECF-new'!G13</f>
        <v>0.57957030422133593</v>
      </c>
      <c r="H13" s="74">
        <f>'BECF-new'!H13</f>
        <v>0.5646301755197195</v>
      </c>
      <c r="I13" s="74">
        <f>'BECF-new'!I13</f>
        <v>0.5214253832469542</v>
      </c>
      <c r="J13" s="74">
        <f>'BECF-new'!J13</f>
        <v>0.52015088346237837</v>
      </c>
      <c r="K13" s="74">
        <f>'BECF-new'!K13</f>
        <v>0.52258959376291125</v>
      </c>
      <c r="L13" s="74">
        <f>'BECF-new'!L13</f>
        <v>0.42993764745534208</v>
      </c>
      <c r="M13" s="74">
        <f>'BECF-new'!M13</f>
        <v>0.43359604046336181</v>
      </c>
      <c r="N13" s="74">
        <f>'BECF-new'!N13</f>
        <v>0.42991513959490468</v>
      </c>
      <c r="O13" s="74">
        <f>'BECF-new'!O13</f>
        <v>0.43917856697646718</v>
      </c>
      <c r="P13" s="74">
        <f>'BECF-new'!P13</f>
        <v>0.37325362087990727</v>
      </c>
      <c r="Q13" s="74">
        <f>'BECF-new'!Q13</f>
        <v>0.37990094232909033</v>
      </c>
      <c r="R13" s="74">
        <f>'BECF-new'!R13</f>
        <v>0.37820996717315125</v>
      </c>
      <c r="S13" s="74">
        <f>'BECF-new'!S13</f>
        <v>0.38920863219203145</v>
      </c>
      <c r="T13" s="74">
        <f>'BECF-new'!T13</f>
        <v>0.36907482870446945</v>
      </c>
      <c r="U13" s="74">
        <f>'BECF-new'!U13</f>
        <v>0.28442305079539482</v>
      </c>
      <c r="V13" s="74">
        <f>'BECF-new'!V13</f>
        <v>0.28133657634667752</v>
      </c>
      <c r="W13" s="74">
        <f>'BECF-new'!W13</f>
        <v>0.27566892843425939</v>
      </c>
      <c r="X13" s="74">
        <f>'BECF-new'!X13</f>
        <v>0.27017864353032706</v>
      </c>
      <c r="Y13" s="74">
        <f>'BECF-new'!Y13</f>
        <v>0.38082496194824961</v>
      </c>
      <c r="Z13" s="74">
        <f>'BECF-new'!Z13</f>
        <v>0.3705799086757991</v>
      </c>
      <c r="AA13" s="74">
        <f>'BECF-new'!AA13</f>
        <v>0.35578538812785387</v>
      </c>
      <c r="AB13" s="74">
        <f>'BECF-new'!AB13</f>
        <v>0.33108371385083712</v>
      </c>
      <c r="AC13" s="74">
        <f>'BECF-new'!AC13</f>
        <v>0.31240943683409439</v>
      </c>
      <c r="AD13" s="74">
        <f>'BECF-new'!AD13</f>
        <v>0.29144444444444445</v>
      </c>
      <c r="AE13" s="74">
        <f>'BECF-new'!AE13</f>
        <v>0.30611415525114155</v>
      </c>
      <c r="AF13" s="74">
        <f>'BECF-new'!AF13</f>
        <v>0.2919391171993912</v>
      </c>
      <c r="AG13" s="74">
        <f>'BECF-new'!AG13</f>
        <v>0.27119482496194824</v>
      </c>
      <c r="AH13" s="74">
        <f>'BECF-new'!AH13</f>
        <v>0.26171537290715374</v>
      </c>
    </row>
    <row r="14" spans="1:34" x14ac:dyDescent="0.3">
      <c r="A14" t="s">
        <v>96</v>
      </c>
      <c r="B14" s="74">
        <f>'BECF-new'!B14</f>
        <v>0.48769523684708904</v>
      </c>
      <c r="C14" s="74">
        <f>'BECF-new'!C14</f>
        <v>0.48769523684708904</v>
      </c>
      <c r="D14" s="74">
        <f>'BECF-new'!D14</f>
        <v>0.49179368897361969</v>
      </c>
      <c r="E14" s="74">
        <f>'BECF-new'!E14</f>
        <v>0.49770158703445572</v>
      </c>
      <c r="F14" s="74">
        <f>'BECF-new'!F14</f>
        <v>0.50295712800238879</v>
      </c>
      <c r="G14" s="74">
        <f>'BECF-new'!G14</f>
        <v>0.50780003916098659</v>
      </c>
      <c r="H14" s="74">
        <f>'BECF-new'!H14</f>
        <v>0.51235819834388641</v>
      </c>
      <c r="I14" s="74">
        <f>'BECF-new'!I14</f>
        <v>0.51670793722182362</v>
      </c>
      <c r="J14" s="74">
        <f>'BECF-new'!J14</f>
        <v>0.52089849128751742</v>
      </c>
      <c r="K14" s="74">
        <f>'BECF-new'!K14</f>
        <v>0.52496347818975675</v>
      </c>
      <c r="L14" s="74">
        <f>'BECF-new'!L14</f>
        <v>0.5289268760291459</v>
      </c>
      <c r="M14" s="74">
        <f>'BECF-new'!M14</f>
        <v>0.53280638934835378</v>
      </c>
      <c r="N14" s="74">
        <f>'BECF-new'!N14</f>
        <v>0.53661546317226139</v>
      </c>
      <c r="O14" s="74">
        <f>'BECF-new'!O14</f>
        <v>0.53836454853125437</v>
      </c>
      <c r="P14" s="74">
        <f>'BECF-new'!P14</f>
        <v>0.54006193031628746</v>
      </c>
      <c r="Q14" s="74">
        <f>'BECF-new'!Q14</f>
        <v>0.54171428740919136</v>
      </c>
      <c r="R14" s="74">
        <f>'BECF-new'!R14</f>
        <v>0.5433270827033736</v>
      </c>
      <c r="S14" s="74">
        <f>'BECF-new'!S14</f>
        <v>0.54490484147488527</v>
      </c>
      <c r="T14" s="74">
        <f>'BECF-new'!T14</f>
        <v>0.54645135438946035</v>
      </c>
      <c r="U14" s="74">
        <f>'BECF-new'!U14</f>
        <v>0.54796982837712416</v>
      </c>
      <c r="V14" s="74">
        <f>'BECF-new'!V14</f>
        <v>0.54946300065778508</v>
      </c>
      <c r="W14" s="74">
        <f>'BECF-new'!W14</f>
        <v>0.55093322621651331</v>
      </c>
      <c r="X14" s="74">
        <f>'BECF-new'!X14</f>
        <v>0.55238254581810975</v>
      </c>
      <c r="Y14" s="74">
        <f>'BECF-new'!Y14</f>
        <v>0.55381273953572185</v>
      </c>
      <c r="Z14" s="74">
        <f>'BECF-new'!Z14</f>
        <v>0.5552253693450574</v>
      </c>
      <c r="AA14" s="74">
        <f>'BECF-new'!AA14</f>
        <v>0.5566218133596289</v>
      </c>
      <c r="AB14" s="74">
        <f>'BECF-new'!AB14</f>
        <v>0.55800329360141576</v>
      </c>
      <c r="AC14" s="74">
        <f>'BECF-new'!AC14</f>
        <v>0.55937089871862156</v>
      </c>
      <c r="AD14" s="74">
        <f>'BECF-new'!AD14</f>
        <v>0.56072560271516125</v>
      </c>
      <c r="AE14" s="74">
        <f>'BECF-new'!AE14</f>
        <v>0.56206828050365498</v>
      </c>
      <c r="AF14" s="74">
        <f>'BECF-new'!AF14</f>
        <v>0.56339972090725576</v>
      </c>
      <c r="AG14" s="74">
        <f>'BECF-new'!AG14</f>
        <v>0.56472063759655866</v>
      </c>
      <c r="AH14" s="74">
        <f>'BECF-new'!AH14</f>
        <v>0.56603167834304391</v>
      </c>
    </row>
    <row r="15" spans="1:34" x14ac:dyDescent="0.3">
      <c r="A15" t="s">
        <v>97</v>
      </c>
      <c r="B15" s="74">
        <f>'BECF-new'!B15</f>
        <v>0.13230750666194346</v>
      </c>
      <c r="C15" s="74">
        <f>'BECF-new'!C15</f>
        <v>0.1171532780184619</v>
      </c>
      <c r="D15" s="74">
        <f>'BECF-new'!D15</f>
        <v>0.12795108802455094</v>
      </c>
      <c r="E15" s="74">
        <f>'BECF-new'!E15</f>
        <v>0.1458041349325884</v>
      </c>
      <c r="F15" s="74">
        <f>'BECF-new'!F15</f>
        <v>0.1437628593230213</v>
      </c>
      <c r="G15" s="74">
        <f>'BECF-new'!G15</f>
        <v>0.20273662024764164</v>
      </c>
      <c r="H15" s="74">
        <f>'BECF-new'!H15</f>
        <v>0.16460786174698572</v>
      </c>
      <c r="I15" s="74">
        <f>'BECF-new'!I15</f>
        <v>0.15687450070525463</v>
      </c>
      <c r="J15" s="74">
        <f>'BECF-new'!J15</f>
        <v>0.18170877615234451</v>
      </c>
      <c r="K15" s="74">
        <f>'BECF-new'!K15</f>
        <v>0.13314894485126985</v>
      </c>
      <c r="L15" s="74">
        <f>'BECF-new'!L15</f>
        <v>0.14148458752959475</v>
      </c>
      <c r="M15" s="74">
        <f>'BECF-new'!M15</f>
        <v>0.16499127693041396</v>
      </c>
      <c r="N15" s="74">
        <f>'BECF-new'!N15</f>
        <v>0.1685068265927889</v>
      </c>
      <c r="O15" s="74">
        <f>'BECF-new'!O15</f>
        <v>0.23436164630191439</v>
      </c>
      <c r="P15" s="74">
        <f>'BECF-new'!P15</f>
        <v>0.19185525724235303</v>
      </c>
      <c r="Q15" s="74">
        <f>'BECF-new'!Q15</f>
        <v>0.24322096992723666</v>
      </c>
      <c r="R15" s="74">
        <f>'BECF-new'!R15</f>
        <v>0.23315377145974137</v>
      </c>
      <c r="S15" s="74">
        <f>'BECF-new'!S15</f>
        <v>0.22848987474585353</v>
      </c>
      <c r="T15" s="74">
        <f>'BECF-new'!T15</f>
        <v>0.12374248742313884</v>
      </c>
      <c r="U15" s="74">
        <f>'BECF-new'!U15</f>
        <v>0.18441611965790455</v>
      </c>
      <c r="V15" s="74">
        <f>'BECF-new'!V15</f>
        <v>0.18321738856924966</v>
      </c>
      <c r="W15" s="74">
        <f>'BECF-new'!W15</f>
        <v>0.18778540492203166</v>
      </c>
      <c r="X15" s="74">
        <f>'BECF-new'!X15</f>
        <v>0.18612240811909075</v>
      </c>
      <c r="Y15" s="74">
        <f>'BECF-new'!Y15</f>
        <v>0.42522133488159725</v>
      </c>
      <c r="Z15" s="74">
        <f>'BECF-new'!Z15</f>
        <v>0.29712734449900907</v>
      </c>
      <c r="AA15" s="74">
        <f>'BECF-new'!AA15</f>
        <v>0.31999260510331068</v>
      </c>
      <c r="AB15" s="74">
        <f>'BECF-new'!AB15</f>
        <v>0.21872136798951258</v>
      </c>
      <c r="AC15" s="74">
        <f>'BECF-new'!AC15</f>
        <v>0.21393930297347724</v>
      </c>
      <c r="AD15" s="74">
        <f>'BECF-new'!AD15</f>
        <v>0.20888275935937356</v>
      </c>
      <c r="AE15" s="74">
        <f>'BECF-new'!AE15</f>
        <v>0.21273171079771075</v>
      </c>
      <c r="AF15" s="74">
        <f>'BECF-new'!AF15</f>
        <v>0.20802409028756971</v>
      </c>
      <c r="AG15" s="74">
        <f>'BECF-new'!AG15</f>
        <v>0.21228163409031919</v>
      </c>
      <c r="AH15" s="74">
        <f>'BECF-new'!AH15</f>
        <v>0.21586122143862657</v>
      </c>
    </row>
    <row r="16" spans="1:34" x14ac:dyDescent="0.3">
      <c r="A16" t="s">
        <v>98</v>
      </c>
      <c r="B16" s="74">
        <f>'BECF-new'!B16</f>
        <v>0.13230750666194346</v>
      </c>
      <c r="C16" s="74">
        <f>'BECF-new'!C16</f>
        <v>0.1171532780184619</v>
      </c>
      <c r="D16" s="74">
        <f>'BECF-new'!D16</f>
        <v>0.12795108802455094</v>
      </c>
      <c r="E16" s="74">
        <f>'BECF-new'!E16</f>
        <v>0.1458041349325884</v>
      </c>
      <c r="F16" s="74">
        <f>'BECF-new'!F16</f>
        <v>0.1437628593230213</v>
      </c>
      <c r="G16" s="74">
        <f>'BECF-new'!G16</f>
        <v>0.20273662024764164</v>
      </c>
      <c r="H16" s="74">
        <f>'BECF-new'!H16</f>
        <v>0.16460786174698572</v>
      </c>
      <c r="I16" s="74">
        <f>'BECF-new'!I16</f>
        <v>0.15687450070525463</v>
      </c>
      <c r="J16" s="74">
        <f>'BECF-new'!J16</f>
        <v>0.18170877615234451</v>
      </c>
      <c r="K16" s="74">
        <f>'BECF-new'!K16</f>
        <v>0.13314894485126985</v>
      </c>
      <c r="L16" s="74">
        <f>'BECF-new'!L16</f>
        <v>0.14148458752959475</v>
      </c>
      <c r="M16" s="74">
        <f>'BECF-new'!M16</f>
        <v>0.16499127693041396</v>
      </c>
      <c r="N16" s="74">
        <f>'BECF-new'!N16</f>
        <v>0.1685068265927889</v>
      </c>
      <c r="O16" s="74">
        <f>'BECF-new'!O16</f>
        <v>0.23436164630191439</v>
      </c>
      <c r="P16" s="74">
        <f>'BECF-new'!P16</f>
        <v>0.19185525724235303</v>
      </c>
      <c r="Q16" s="74">
        <f>'BECF-new'!Q16</f>
        <v>0.24322096992723666</v>
      </c>
      <c r="R16" s="74">
        <f>'BECF-new'!R16</f>
        <v>0.23315377145974137</v>
      </c>
      <c r="S16" s="74">
        <f>'BECF-new'!S16</f>
        <v>0.22848987474585353</v>
      </c>
      <c r="T16" s="74">
        <f>'BECF-new'!T16</f>
        <v>0.12374248742313884</v>
      </c>
      <c r="U16" s="74">
        <f>'BECF-new'!U16</f>
        <v>0.18441611965790455</v>
      </c>
      <c r="V16" s="74">
        <f>'BECF-new'!V16</f>
        <v>0.18321738856924966</v>
      </c>
      <c r="W16" s="74">
        <f>'BECF-new'!W16</f>
        <v>0.18778540492203166</v>
      </c>
      <c r="X16" s="74">
        <f>'BECF-new'!X16</f>
        <v>0.18612240811909075</v>
      </c>
      <c r="Y16" s="74">
        <f>'BECF-new'!Y16</f>
        <v>0.42522133488159725</v>
      </c>
      <c r="Z16" s="74">
        <f>'BECF-new'!Z16</f>
        <v>0.29712734449900907</v>
      </c>
      <c r="AA16" s="74">
        <f>'BECF-new'!AA16</f>
        <v>0.31999260510331068</v>
      </c>
      <c r="AB16" s="74">
        <f>'BECF-new'!AB16</f>
        <v>0.21872136798951258</v>
      </c>
      <c r="AC16" s="74">
        <f>'BECF-new'!AC16</f>
        <v>0.21393930297347724</v>
      </c>
      <c r="AD16" s="74">
        <f>'BECF-new'!AD16</f>
        <v>0.20888275935937356</v>
      </c>
      <c r="AE16" s="74">
        <f>'BECF-new'!AE16</f>
        <v>0.21273171079771075</v>
      </c>
      <c r="AF16" s="74">
        <f>'BECF-new'!AF16</f>
        <v>0.20802409028756971</v>
      </c>
      <c r="AG16" s="74">
        <f>'BECF-new'!AG16</f>
        <v>0.21228163409031919</v>
      </c>
      <c r="AH16" s="74">
        <f>'BECF-new'!AH16</f>
        <v>0.21586122143862657</v>
      </c>
    </row>
    <row r="17" spans="1:34" x14ac:dyDescent="0.3">
      <c r="A17" t="s">
        <v>99</v>
      </c>
      <c r="B17" s="74">
        <f>'BECF-new'!B17</f>
        <v>0.65400000000000003</v>
      </c>
      <c r="C17" s="74">
        <f>'BECF-new'!C17</f>
        <v>0.67400000000000004</v>
      </c>
      <c r="D17" s="74">
        <f>'BECF-new'!D17</f>
        <v>0.64600000000000002</v>
      </c>
      <c r="E17" s="74">
        <f>'BECF-new'!E17</f>
        <v>0.64600000000000002</v>
      </c>
      <c r="F17" s="74">
        <f>'BECF-new'!F17</f>
        <v>0.64600000000000002</v>
      </c>
      <c r="G17" s="74">
        <f>'BECF-new'!G17</f>
        <v>0.64600000000000002</v>
      </c>
      <c r="H17" s="74">
        <f>'BECF-new'!H17</f>
        <v>0.64600000000000002</v>
      </c>
      <c r="I17" s="74">
        <f>'BECF-new'!I17</f>
        <v>0.64600000000000002</v>
      </c>
      <c r="J17" s="74">
        <f>'BECF-new'!J17</f>
        <v>0.64600000000000002</v>
      </c>
      <c r="K17" s="74">
        <f>'BECF-new'!K17</f>
        <v>0.64600000000000002</v>
      </c>
      <c r="L17" s="74">
        <f>'BECF-new'!L17</f>
        <v>0.64600000000000002</v>
      </c>
      <c r="M17" s="74">
        <f>'BECF-new'!M17</f>
        <v>0.64600000000000002</v>
      </c>
      <c r="N17" s="74">
        <f>'BECF-new'!N17</f>
        <v>0.64600000000000002</v>
      </c>
      <c r="O17" s="74">
        <f>'BECF-new'!O17</f>
        <v>0.64600000000000002</v>
      </c>
      <c r="P17" s="74">
        <f>'BECF-new'!P17</f>
        <v>0.64600000000000002</v>
      </c>
      <c r="Q17" s="74">
        <f>'BECF-new'!Q17</f>
        <v>0.64600000000000002</v>
      </c>
      <c r="R17" s="74">
        <f>'BECF-new'!R17</f>
        <v>0.64600000000000002</v>
      </c>
      <c r="S17" s="74">
        <f>'BECF-new'!S17</f>
        <v>0.64600000000000002</v>
      </c>
      <c r="T17" s="74">
        <f>'BECF-new'!T17</f>
        <v>0.64600000000000002</v>
      </c>
      <c r="U17" s="74">
        <f>'BECF-new'!U17</f>
        <v>0.64600000000000002</v>
      </c>
      <c r="V17" s="74">
        <f>'BECF-new'!V17</f>
        <v>0.64600000000000002</v>
      </c>
      <c r="W17" s="74">
        <f>'BECF-new'!W17</f>
        <v>0.64600000000000002</v>
      </c>
      <c r="X17" s="74">
        <f>'BECF-new'!X17</f>
        <v>0.64600000000000002</v>
      </c>
      <c r="Y17" s="74">
        <f>'BECF-new'!Y17</f>
        <v>0.64600000000000002</v>
      </c>
      <c r="Z17" s="74">
        <f>'BECF-new'!Z17</f>
        <v>0.64600000000000002</v>
      </c>
      <c r="AA17" s="74">
        <f>'BECF-new'!AA17</f>
        <v>0.64600000000000002</v>
      </c>
      <c r="AB17" s="74">
        <f>'BECF-new'!AB17</f>
        <v>0.64600000000000002</v>
      </c>
      <c r="AC17" s="74">
        <f>'BECF-new'!AC17</f>
        <v>0.64600000000000002</v>
      </c>
      <c r="AD17" s="74">
        <f>'BECF-new'!AD17</f>
        <v>0.64600000000000002</v>
      </c>
      <c r="AE17" s="74">
        <f>'BECF-new'!AE17</f>
        <v>0.64600000000000002</v>
      </c>
      <c r="AF17" s="74">
        <f>'BECF-new'!AF17</f>
        <v>0.64600000000000002</v>
      </c>
      <c r="AG17" s="74">
        <f>'BECF-new'!AG17</f>
        <v>0.64600000000000002</v>
      </c>
      <c r="AH17" s="74">
        <f>'BECF-new'!AH17</f>
        <v>0.64600000000000002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AD9A-22FE-472F-B05E-55243F5FBB57}">
  <sheetPr>
    <tabColor theme="4" tint="-0.249977111117893"/>
  </sheetPr>
  <dimension ref="A1:AH17"/>
  <sheetViews>
    <sheetView workbookViewId="0"/>
  </sheetViews>
  <sheetFormatPr defaultRowHeight="14.4" x14ac:dyDescent="0.3"/>
  <cols>
    <col min="1" max="1" width="25.77734375" customWidth="1"/>
  </cols>
  <sheetData>
    <row r="1" spans="1:34" ht="28.8" x14ac:dyDescent="0.3">
      <c r="A1" s="90" t="s">
        <v>324</v>
      </c>
      <c r="B1" s="12">
        <v>2018</v>
      </c>
      <c r="C1" s="12">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4" x14ac:dyDescent="0.3">
      <c r="A2" t="s">
        <v>89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x14ac:dyDescent="0.3">
      <c r="A3" t="s">
        <v>91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x14ac:dyDescent="0.3">
      <c r="A4" t="s">
        <v>88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row>
    <row r="5" spans="1:34" x14ac:dyDescent="0.3">
      <c r="A5" t="s">
        <v>84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3">
      <c r="A6" t="s">
        <v>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3">
      <c r="A7" t="s">
        <v>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3">
      <c r="A8" t="s">
        <v>92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3">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x14ac:dyDescent="0.3">
      <c r="A10" t="s">
        <v>93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4" x14ac:dyDescent="0.3">
      <c r="A11" t="s">
        <v>90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3">
      <c r="A12" t="s">
        <v>94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3">
      <c r="A13" t="s">
        <v>95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x14ac:dyDescent="0.3">
      <c r="A14" t="s">
        <v>96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row>
    <row r="15" spans="1:34" x14ac:dyDescent="0.3">
      <c r="A15" t="s">
        <v>97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3">
      <c r="A16" t="s">
        <v>98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
      <c r="A17" t="s">
        <v>99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0337-7B85-4ECE-A188-C6F92CB73E4C}">
  <sheetPr>
    <tabColor theme="4" tint="-0.249977111117893"/>
  </sheetPr>
  <dimension ref="A1:AH17"/>
  <sheetViews>
    <sheetView tabSelected="1" workbookViewId="0">
      <selection activeCell="AE15" sqref="AE15"/>
    </sheetView>
  </sheetViews>
  <sheetFormatPr defaultRowHeight="14.4" x14ac:dyDescent="0.3"/>
  <cols>
    <col min="1" max="1" width="25.77734375" customWidth="1"/>
  </cols>
  <sheetData>
    <row r="1" spans="1:34" ht="28.8" x14ac:dyDescent="0.3">
      <c r="A1" s="90" t="s">
        <v>324</v>
      </c>
      <c r="B1" s="12">
        <v>2018</v>
      </c>
      <c r="C1" s="12">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4" x14ac:dyDescent="0.3">
      <c r="A2" t="s">
        <v>89</v>
      </c>
      <c r="B2" s="14">
        <f>IFERROR(INDEX(CAN_cf[], MATCH(VLOOKUP($A2, genSource_lookup[], 2, FALSE), CAN_cf[[_]:[_]], 0), MATCH(TEXT(B$1, "0"), CAN_cf[#Headers], 0)), 0)</f>
        <v>0.59472875665869829</v>
      </c>
      <c r="C2" s="14">
        <f>IFERROR(INDEX(CAN_cf[], MATCH(VLOOKUP($A2, genSource_lookup[], 2, FALSE), CAN_cf[[_]:[_]], 0), MATCH(TEXT(C$1, "0"), CAN_cf[#Headers], 0)), 0)</f>
        <v>0.56299083955706397</v>
      </c>
      <c r="D2" s="14">
        <f>IFERROR(INDEX(CAN_cf[], MATCH(VLOOKUP($A2, genSource_lookup[], 2, FALSE), CAN_cf[[_]:[_]], 0), MATCH(TEXT(D$1, "0"), CAN_cf[#Headers], 0)), 0)</f>
        <v>0.59310376256607955</v>
      </c>
      <c r="E2" s="14">
        <f>IFERROR(INDEX(CAN_cf[], MATCH(VLOOKUP($A2, genSource_lookup[], 2, FALSE), CAN_cf[[_]:[_]], 0), MATCH(TEXT(E$1, "0"), CAN_cf[#Headers], 0)), 0)</f>
        <v>0.72564865613825835</v>
      </c>
      <c r="F2" s="14">
        <f>IFERROR(INDEX(CAN_cf[], MATCH(VLOOKUP($A2, genSource_lookup[], 2, FALSE), CAN_cf[[_]:[_]], 0), MATCH(TEXT(F$1, "0"), CAN_cf[#Headers], 0)), 0)</f>
        <v>0.60131790827232001</v>
      </c>
      <c r="G2" s="14">
        <f>IFERROR(INDEX(CAN_cf[], MATCH(VLOOKUP($A2, genSource_lookup[], 2, FALSE), CAN_cf[[_]:[_]], 0), MATCH(TEXT(G$1, "0"), CAN_cf[#Headers], 0)), 0)</f>
        <v>0.57957030422133593</v>
      </c>
      <c r="H2" s="14">
        <f>IFERROR(INDEX(CAN_cf[], MATCH(VLOOKUP($A2, genSource_lookup[], 2, FALSE), CAN_cf[[_]:[_]], 0), MATCH(TEXT(H$1, "0"), CAN_cf[#Headers], 0)), 0)</f>
        <v>0.5646301755197195</v>
      </c>
      <c r="I2" s="14">
        <f>IFERROR(INDEX(CAN_cf[], MATCH(VLOOKUP($A2, genSource_lookup[], 2, FALSE), CAN_cf[[_]:[_]], 0), MATCH(TEXT(I$1, "0"), CAN_cf[#Headers], 0)), 0)</f>
        <v>0.5214253832469542</v>
      </c>
      <c r="J2" s="14">
        <f>IFERROR(INDEX(CAN_cf[], MATCH(VLOOKUP($A2, genSource_lookup[], 2, FALSE), CAN_cf[[_]:[_]], 0), MATCH(TEXT(J$1, "0"), CAN_cf[#Headers], 0)), 0)</f>
        <v>0.52015088346237837</v>
      </c>
      <c r="K2" s="14">
        <f>IFERROR(INDEX(CAN_cf[], MATCH(VLOOKUP($A2, genSource_lookup[], 2, FALSE), CAN_cf[[_]:[_]], 0), MATCH(TEXT(K$1, "0"), CAN_cf[#Headers], 0)), 0)</f>
        <v>0.52258959376291125</v>
      </c>
      <c r="L2" s="14">
        <f>IFERROR(INDEX(CAN_cf[], MATCH(VLOOKUP($A2, genSource_lookup[], 2, FALSE), CAN_cf[[_]:[_]], 0), MATCH(TEXT(L$1, "0"), CAN_cf[#Headers], 0)), 0)</f>
        <v>0.42993764745534208</v>
      </c>
      <c r="M2" s="14">
        <f>IFERROR(INDEX(CAN_cf[], MATCH(VLOOKUP($A2, genSource_lookup[], 2, FALSE), CAN_cf[[_]:[_]], 0), MATCH(TEXT(M$1, "0"), CAN_cf[#Headers], 0)), 0)</f>
        <v>0.43359604046336181</v>
      </c>
      <c r="N2" s="14">
        <f>IFERROR(INDEX(CAN_cf[], MATCH(VLOOKUP($A2, genSource_lookup[], 2, FALSE), CAN_cf[[_]:[_]], 0), MATCH(TEXT(N$1, "0"), CAN_cf[#Headers], 0)), 0)</f>
        <v>0.42991513959490468</v>
      </c>
      <c r="O2" s="14">
        <f>IFERROR(INDEX(CAN_cf[], MATCH(VLOOKUP($A2, genSource_lookup[], 2, FALSE), CAN_cf[[_]:[_]], 0), MATCH(TEXT(O$1, "0"), CAN_cf[#Headers], 0)), 0)</f>
        <v>0.43917856697646718</v>
      </c>
      <c r="P2" s="14">
        <f>IFERROR(INDEX(CAN_cf[], MATCH(VLOOKUP($A2, genSource_lookup[], 2, FALSE), CAN_cf[[_]:[_]], 0), MATCH(TEXT(P$1, "0"), CAN_cf[#Headers], 0)), 0)</f>
        <v>0.37325362087990727</v>
      </c>
      <c r="Q2" s="14">
        <f>IFERROR(INDEX(CAN_cf[], MATCH(VLOOKUP($A2, genSource_lookup[], 2, FALSE), CAN_cf[[_]:[_]], 0), MATCH(TEXT(Q$1, "0"), CAN_cf[#Headers], 0)), 0)</f>
        <v>0.37990094232909033</v>
      </c>
      <c r="R2" s="14">
        <f>IFERROR(INDEX(CAN_cf[], MATCH(VLOOKUP($A2, genSource_lookup[], 2, FALSE), CAN_cf[[_]:[_]], 0), MATCH(TEXT(R$1, "0"), CAN_cf[#Headers], 0)), 0)</f>
        <v>0.37820996717315125</v>
      </c>
      <c r="S2" s="14">
        <f>IFERROR(INDEX(CAN_cf[], MATCH(VLOOKUP($A2, genSource_lookup[], 2, FALSE), CAN_cf[[_]:[_]], 0), MATCH(TEXT(S$1, "0"), CAN_cf[#Headers], 0)), 0)</f>
        <v>0.38920863219203145</v>
      </c>
      <c r="T2" s="14">
        <f>IFERROR(INDEX(CAN_cf[], MATCH(VLOOKUP($A2, genSource_lookup[], 2, FALSE), CAN_cf[[_]:[_]], 0), MATCH(TEXT(T$1, "0"), CAN_cf[#Headers], 0)), 0)</f>
        <v>0.36907482870446945</v>
      </c>
      <c r="U2" s="14">
        <f>IFERROR(INDEX(CAN_cf[], MATCH(VLOOKUP($A2, genSource_lookup[], 2, FALSE), CAN_cf[[_]:[_]], 0), MATCH(TEXT(U$1, "0"), CAN_cf[#Headers], 0)), 0)</f>
        <v>0.28442305079539482</v>
      </c>
      <c r="V2" s="14">
        <f>IFERROR(INDEX(CAN_cf[], MATCH(VLOOKUP($A2, genSource_lookup[], 2, FALSE), CAN_cf[[_]:[_]], 0), MATCH(TEXT(V$1, "0"), CAN_cf[#Headers], 0)), 0)</f>
        <v>0.28133657634667752</v>
      </c>
      <c r="W2" s="14">
        <f>IFERROR(INDEX(CAN_cf[], MATCH(VLOOKUP($A2, genSource_lookup[], 2, FALSE), CAN_cf[[_]:[_]], 0), MATCH(TEXT(W$1, "0"), CAN_cf[#Headers], 0)), 0)</f>
        <v>0.27566892843425939</v>
      </c>
      <c r="X2" s="14">
        <f>IFERROR(INDEX(CAN_cf[], MATCH(VLOOKUP($A2, genSource_lookup[], 2, FALSE), CAN_cf[[_]:[_]], 0), MATCH(TEXT(X$1, "0"), CAN_cf[#Headers], 0)), 0)</f>
        <v>0.27017864353032706</v>
      </c>
      <c r="Y2" s="14">
        <f>IFERROR(INDEX(CAN_cf[], MATCH(VLOOKUP($A2, genSource_lookup[], 2, FALSE), CAN_cf[[_]:[_]], 0), MATCH(TEXT(Y$1, "0"), CAN_cf[#Headers], 0)), 0)</f>
        <v>0.38082496194824961</v>
      </c>
      <c r="Z2" s="14">
        <f>IFERROR(INDEX(CAN_cf[], MATCH(VLOOKUP($A2, genSource_lookup[], 2, FALSE), CAN_cf[[_]:[_]], 0), MATCH(TEXT(Z$1, "0"), CAN_cf[#Headers], 0)), 0)</f>
        <v>0.3705799086757991</v>
      </c>
      <c r="AA2" s="14">
        <f>IFERROR(INDEX(CAN_cf[], MATCH(VLOOKUP($A2, genSource_lookup[], 2, FALSE), CAN_cf[[_]:[_]], 0), MATCH(TEXT(AA$1, "0"), CAN_cf[#Headers], 0)), 0)</f>
        <v>0.35578538812785387</v>
      </c>
      <c r="AB2" s="14">
        <f>IFERROR(INDEX(CAN_cf[], MATCH(VLOOKUP($A2, genSource_lookup[], 2, FALSE), CAN_cf[[_]:[_]], 0), MATCH(TEXT(AB$1, "0"), CAN_cf[#Headers], 0)), 0)</f>
        <v>0.33108371385083712</v>
      </c>
      <c r="AC2" s="14">
        <f>IFERROR(INDEX(CAN_cf[], MATCH(VLOOKUP($A2, genSource_lookup[], 2, FALSE), CAN_cf[[_]:[_]], 0), MATCH(TEXT(AC$1, "0"), CAN_cf[#Headers], 0)), 0)</f>
        <v>0.31240943683409439</v>
      </c>
      <c r="AD2" s="14">
        <f>IFERROR(INDEX(CAN_cf[], MATCH(VLOOKUP($A2, genSource_lookup[], 2, FALSE), CAN_cf[[_]:[_]], 0), MATCH(TEXT(AD$1, "0"), CAN_cf[#Headers], 0)), 0)</f>
        <v>0.29144444444444445</v>
      </c>
      <c r="AE2" s="14">
        <f>IFERROR(INDEX(CAN_cf[], MATCH(VLOOKUP($A2, genSource_lookup[], 2, FALSE), CAN_cf[[_]:[_]], 0), MATCH(TEXT(AE$1, "0"), CAN_cf[#Headers], 0)), 0)</f>
        <v>0.30611415525114155</v>
      </c>
      <c r="AF2" s="14">
        <f>IFERROR(INDEX(CAN_cf[], MATCH(VLOOKUP($A2, genSource_lookup[], 2, FALSE), CAN_cf[[_]:[_]], 0), MATCH(TEXT(AF$1, "0"), CAN_cf[#Headers], 0)), 0)</f>
        <v>0.2919391171993912</v>
      </c>
      <c r="AG2" s="14">
        <f>IFERROR(INDEX(CAN_cf[], MATCH(VLOOKUP($A2, genSource_lookup[], 2, FALSE), CAN_cf[[_]:[_]], 0), MATCH(TEXT(AG$1, "0"), CAN_cf[#Headers], 0)), 0)</f>
        <v>0.27119482496194824</v>
      </c>
      <c r="AH2" s="14">
        <f>IFERROR(INDEX(CAN_cf[], MATCH(VLOOKUP($A2, genSource_lookup[], 2, FALSE), CAN_cf[[_]:[_]], 0), MATCH(TEXT(AH$1, "0"), CAN_cf[#Headers], 0)), 0)</f>
        <v>0.26171537290715374</v>
      </c>
    </row>
    <row r="3" spans="1:34" x14ac:dyDescent="0.3">
      <c r="A3" s="62" t="s">
        <v>91</v>
      </c>
      <c r="B3" s="63">
        <f>0.57*1.1</f>
        <v>0.627</v>
      </c>
      <c r="C3" s="63">
        <f>B3</f>
        <v>0.627</v>
      </c>
      <c r="D3" s="63">
        <f t="shared" ref="D3:AH3" si="0">C3</f>
        <v>0.627</v>
      </c>
      <c r="E3" s="63">
        <f t="shared" si="0"/>
        <v>0.627</v>
      </c>
      <c r="F3" s="63">
        <f t="shared" si="0"/>
        <v>0.627</v>
      </c>
      <c r="G3" s="63">
        <f t="shared" si="0"/>
        <v>0.627</v>
      </c>
      <c r="H3" s="63">
        <f t="shared" si="0"/>
        <v>0.627</v>
      </c>
      <c r="I3" s="63">
        <f t="shared" si="0"/>
        <v>0.627</v>
      </c>
      <c r="J3" s="63">
        <f t="shared" si="0"/>
        <v>0.627</v>
      </c>
      <c r="K3" s="63">
        <f t="shared" si="0"/>
        <v>0.627</v>
      </c>
      <c r="L3" s="63">
        <f t="shared" si="0"/>
        <v>0.627</v>
      </c>
      <c r="M3" s="63">
        <f t="shared" si="0"/>
        <v>0.627</v>
      </c>
      <c r="N3" s="63">
        <f t="shared" si="0"/>
        <v>0.627</v>
      </c>
      <c r="O3" s="63">
        <f t="shared" si="0"/>
        <v>0.627</v>
      </c>
      <c r="P3" s="63">
        <f t="shared" si="0"/>
        <v>0.627</v>
      </c>
      <c r="Q3" s="63">
        <f t="shared" si="0"/>
        <v>0.627</v>
      </c>
      <c r="R3" s="63">
        <f t="shared" si="0"/>
        <v>0.627</v>
      </c>
      <c r="S3" s="63">
        <f t="shared" si="0"/>
        <v>0.627</v>
      </c>
      <c r="T3" s="63">
        <f t="shared" si="0"/>
        <v>0.627</v>
      </c>
      <c r="U3" s="63">
        <f t="shared" si="0"/>
        <v>0.627</v>
      </c>
      <c r="V3" s="63">
        <f t="shared" si="0"/>
        <v>0.627</v>
      </c>
      <c r="W3" s="63">
        <f t="shared" si="0"/>
        <v>0.627</v>
      </c>
      <c r="X3" s="63">
        <f t="shared" si="0"/>
        <v>0.627</v>
      </c>
      <c r="Y3" s="63">
        <f t="shared" si="0"/>
        <v>0.627</v>
      </c>
      <c r="Z3" s="63">
        <f t="shared" si="0"/>
        <v>0.627</v>
      </c>
      <c r="AA3" s="63">
        <f t="shared" si="0"/>
        <v>0.627</v>
      </c>
      <c r="AB3" s="63">
        <f t="shared" si="0"/>
        <v>0.627</v>
      </c>
      <c r="AC3" s="63">
        <f t="shared" si="0"/>
        <v>0.627</v>
      </c>
      <c r="AD3" s="63">
        <f t="shared" si="0"/>
        <v>0.627</v>
      </c>
      <c r="AE3" s="63">
        <f t="shared" si="0"/>
        <v>0.627</v>
      </c>
      <c r="AF3" s="63">
        <f t="shared" si="0"/>
        <v>0.627</v>
      </c>
      <c r="AG3" s="63">
        <f t="shared" si="0"/>
        <v>0.627</v>
      </c>
      <c r="AH3" s="63">
        <f t="shared" si="0"/>
        <v>0.627</v>
      </c>
    </row>
    <row r="4" spans="1:34" x14ac:dyDescent="0.3">
      <c r="A4" t="s">
        <v>88</v>
      </c>
      <c r="B4" s="14">
        <f>IFERROR(INDEX(CAN_cf[], MATCH(VLOOKUP($A4, genSource_lookup[], 2, FALSE), CAN_cf[[_]:[_]], 0), MATCH(TEXT(B$1, "0"), CAN_cf[#Headers], 0)), 0)</f>
        <v>0.81331987571473274</v>
      </c>
      <c r="C4" s="14">
        <f>IFERROR(INDEX(CAN_cf[], MATCH(VLOOKUP($A4, genSource_lookup[], 2, FALSE), CAN_cf[[_]:[_]], 0), MATCH(TEXT(C$1, "0"), CAN_cf[#Headers], 0)), 0)</f>
        <v>0.81709415403239005</v>
      </c>
      <c r="D4" s="14">
        <f>IFERROR(INDEX(CAN_cf[], MATCH(VLOOKUP($A4, genSource_lookup[], 2, FALSE), CAN_cf[[_]:[_]], 0), MATCH(TEXT(D$1, "0"), CAN_cf[#Headers], 0)), 0)</f>
        <v>0.77584271261997118</v>
      </c>
      <c r="E4" s="14">
        <f>IFERROR(INDEX(CAN_cf[], MATCH(VLOOKUP($A4, genSource_lookup[], 2, FALSE), CAN_cf[[_]:[_]], 0), MATCH(TEXT(E$1, "0"), CAN_cf[#Headers], 0)), 0)</f>
        <v>0.75219196692973556</v>
      </c>
      <c r="F4" s="14">
        <f>IFERROR(INDEX(CAN_cf[], MATCH(VLOOKUP($A4, genSource_lookup[], 2, FALSE), CAN_cf[[_]:[_]], 0), MATCH(TEXT(F$1, "0"), CAN_cf[#Headers], 0)), 0)</f>
        <v>0.82447323730804212</v>
      </c>
      <c r="G4" s="14">
        <f>IFERROR(INDEX(CAN_cf[], MATCH(VLOOKUP($A4, genSource_lookup[], 2, FALSE), CAN_cf[[_]:[_]], 0), MATCH(TEXT(G$1, "0"), CAN_cf[#Headers], 0)), 0)</f>
        <v>0.83561422919974593</v>
      </c>
      <c r="H4" s="14">
        <f>IFERROR(INDEX(CAN_cf[], MATCH(VLOOKUP($A4, genSource_lookup[], 2, FALSE), CAN_cf[[_]:[_]], 0), MATCH(TEXT(H$1, "0"), CAN_cf[#Headers], 0)), 0)</f>
        <v>0.83639633819769976</v>
      </c>
      <c r="I4" s="14">
        <f>IFERROR(INDEX(CAN_cf[], MATCH(VLOOKUP($A4, genSource_lookup[], 2, FALSE), CAN_cf[[_]:[_]], 0), MATCH(TEXT(I$1, "0"), CAN_cf[#Headers], 0)), 0)</f>
        <v>0.87417108847197134</v>
      </c>
      <c r="J4" s="14">
        <f>IFERROR(INDEX(CAN_cf[], MATCH(VLOOKUP($A4, genSource_lookup[], 2, FALSE), CAN_cf[[_]:[_]], 0), MATCH(TEXT(J$1, "0"), CAN_cf[#Headers], 0)), 0)</f>
        <v>0.87332616874391134</v>
      </c>
      <c r="K4" s="14">
        <f>IFERROR(INDEX(CAN_cf[], MATCH(VLOOKUP($A4, genSource_lookup[], 2, FALSE), CAN_cf[[_]:[_]], 0), MATCH(TEXT(K$1, "0"), CAN_cf[#Headers], 0)), 0)</f>
        <v>0.8739928586400777</v>
      </c>
      <c r="L4" s="14">
        <f>IFERROR(INDEX(CAN_cf[], MATCH(VLOOKUP($A4, genSource_lookup[], 2, FALSE), CAN_cf[[_]:[_]], 0), MATCH(TEXT(L$1, "0"), CAN_cf[#Headers], 0)), 0)</f>
        <v>0.87448613955041421</v>
      </c>
      <c r="M4" s="14">
        <f>IFERROR(INDEX(CAN_cf[], MATCH(VLOOKUP($A4, genSource_lookup[], 2, FALSE), CAN_cf[[_]:[_]], 0), MATCH(TEXT(M$1, "0"), CAN_cf[#Headers], 0)), 0)</f>
        <v>0.8740043725332296</v>
      </c>
      <c r="N4" s="14">
        <f>IFERROR(INDEX(CAN_cf[], MATCH(VLOOKUP($A4, genSource_lookup[], 2, FALSE), CAN_cf[[_]:[_]], 0), MATCH(TEXT(N$1, "0"), CAN_cf[#Headers], 0)), 0)</f>
        <v>0.87449584308671702</v>
      </c>
      <c r="O4" s="14">
        <f>IFERROR(INDEX(CAN_cf[], MATCH(VLOOKUP($A4, genSource_lookup[], 2, FALSE), CAN_cf[[_]:[_]], 0), MATCH(TEXT(O$1, "0"), CAN_cf[#Headers], 0)), 0)</f>
        <v>0.87401584244758546</v>
      </c>
      <c r="P4" s="14">
        <f>IFERROR(INDEX(CAN_cf[], MATCH(VLOOKUP($A4, genSource_lookup[], 2, FALSE), CAN_cf[[_]:[_]], 0), MATCH(TEXT(P$1, "0"), CAN_cf[#Headers], 0)), 0)</f>
        <v>0.87450551259210818</v>
      </c>
      <c r="Q4" s="14">
        <f>IFERROR(INDEX(CAN_cf[], MATCH(VLOOKUP($A4, genSource_lookup[], 2, FALSE), CAN_cf[[_]:[_]], 0), MATCH(TEXT(Q$1, "0"), CAN_cf[#Headers], 0)), 0)</f>
        <v>0.87450814314868419</v>
      </c>
      <c r="R4" s="14">
        <f>IFERROR(INDEX(CAN_cf[], MATCH(VLOOKUP($A4, genSource_lookup[], 2, FALSE), CAN_cf[[_]:[_]], 0), MATCH(TEXT(R$1, "0"), CAN_cf[#Headers], 0)), 0)</f>
        <v>0.87492345124923454</v>
      </c>
      <c r="S4" s="14">
        <f>IFERROR(INDEX(CAN_cf[], MATCH(VLOOKUP($A4, genSource_lookup[], 2, FALSE), CAN_cf[[_]:[_]], 0), MATCH(TEXT(S$1, "0"), CAN_cf[#Headers], 0)), 0)</f>
        <v>0.87492345124923454</v>
      </c>
      <c r="T4" s="14">
        <f>IFERROR(INDEX(CAN_cf[], MATCH(VLOOKUP($A4, genSource_lookup[], 2, FALSE), CAN_cf[[_]:[_]], 0), MATCH(TEXT(T$1, "0"), CAN_cf[#Headers], 0)), 0)</f>
        <v>0.87492345124923454</v>
      </c>
      <c r="U4" s="14">
        <f>IFERROR(INDEX(CAN_cf[], MATCH(VLOOKUP($A4, genSource_lookup[], 2, FALSE), CAN_cf[[_]:[_]], 0), MATCH(TEXT(U$1, "0"), CAN_cf[#Headers], 0)), 0)</f>
        <v>0.87492569381538376</v>
      </c>
      <c r="V4" s="14">
        <f>IFERROR(INDEX(CAN_cf[], MATCH(VLOOKUP($A4, genSource_lookup[], 2, FALSE), CAN_cf[[_]:[_]], 0), MATCH(TEXT(V$1, "0"), CAN_cf[#Headers], 0)), 0)</f>
        <v>0.87492569381538376</v>
      </c>
      <c r="W4" s="14">
        <f>IFERROR(INDEX(CAN_cf[], MATCH(VLOOKUP($A4, genSource_lookup[], 2, FALSE), CAN_cf[[_]:[_]], 0), MATCH(TEXT(W$1, "0"), CAN_cf[#Headers], 0)), 0)</f>
        <v>0.87493027551177471</v>
      </c>
      <c r="X4" s="14">
        <f>IFERROR(INDEX(CAN_cf[], MATCH(VLOOKUP($A4, genSource_lookup[], 2, FALSE), CAN_cf[[_]:[_]], 0), MATCH(TEXT(X$1, "0"), CAN_cf[#Headers], 0)), 0)</f>
        <v>0.87493931181130424</v>
      </c>
      <c r="Y4" s="14">
        <f>IFERROR(INDEX(CAN_cf[], MATCH(VLOOKUP($A4, genSource_lookup[], 2, FALSE), CAN_cf[[_]:[_]], 0), MATCH(TEXT(Y$1, "0"), CAN_cf[#Headers], 0)), 0)</f>
        <v>0.87999991269196853</v>
      </c>
      <c r="Z4" s="14">
        <f>IFERROR(INDEX(CAN_cf[], MATCH(VLOOKUP($A4, genSource_lookup[], 2, FALSE), CAN_cf[[_]:[_]], 0), MATCH(TEXT(Z$1, "0"), CAN_cf[#Headers], 0)), 0)</f>
        <v>0.87999995642929341</v>
      </c>
      <c r="AA4" s="14">
        <f>IFERROR(INDEX(CAN_cf[], MATCH(VLOOKUP($A4, genSource_lookup[], 2, FALSE), CAN_cf[[_]:[_]], 0), MATCH(TEXT(AA$1, "0"), CAN_cf[#Headers], 0)), 0)</f>
        <v>0.87999989128071321</v>
      </c>
      <c r="AB4" s="14">
        <f>IFERROR(INDEX(CAN_cf[], MATCH(VLOOKUP($A4, genSource_lookup[], 2, FALSE), CAN_cf[[_]:[_]], 0), MATCH(TEXT(AB$1, "0"), CAN_cf[#Headers], 0)), 0)</f>
        <v>0.88121180221023476</v>
      </c>
      <c r="AC4" s="14">
        <f>IFERROR(INDEX(CAN_cf[], MATCH(VLOOKUP($A4, genSource_lookup[], 2, FALSE), CAN_cf[[_]:[_]], 0), MATCH(TEXT(AC$1, "0"), CAN_cf[#Headers], 0)), 0)</f>
        <v>0.88120920594140006</v>
      </c>
      <c r="AD4" s="14">
        <f>IFERROR(INDEX(CAN_cf[], MATCH(VLOOKUP($A4, genSource_lookup[], 2, FALSE), CAN_cf[[_]:[_]], 0), MATCH(TEXT(AD$1, "0"), CAN_cf[#Headers], 0)), 0)</f>
        <v>0.88120374430033432</v>
      </c>
      <c r="AE4" s="14">
        <f>IFERROR(INDEX(CAN_cf[], MATCH(VLOOKUP($A4, genSource_lookup[], 2, FALSE), CAN_cf[[_]:[_]], 0), MATCH(TEXT(AE$1, "0"), CAN_cf[#Headers], 0)), 0)</f>
        <v>0.8811931656528228</v>
      </c>
      <c r="AF4" s="14">
        <f>IFERROR(INDEX(CAN_cf[], MATCH(VLOOKUP($A4, genSource_lookup[], 2, FALSE), CAN_cf[[_]:[_]], 0), MATCH(TEXT(AF$1, "0"), CAN_cf[#Headers], 0)), 0)</f>
        <v>0.88118277131836142</v>
      </c>
      <c r="AG4" s="14">
        <f>IFERROR(INDEX(CAN_cf[], MATCH(VLOOKUP($A4, genSource_lookup[], 2, FALSE), CAN_cf[[_]:[_]], 0), MATCH(TEXT(AG$1, "0"), CAN_cf[#Headers], 0)), 0)</f>
        <v>0.88117285228612185</v>
      </c>
      <c r="AH4" s="14">
        <f>IFERROR(INDEX(CAN_cf[], MATCH(VLOOKUP($A4, genSource_lookup[], 2, FALSE), CAN_cf[[_]:[_]], 0), MATCH(TEXT(AH$1, "0"), CAN_cf[#Headers], 0)), 0)</f>
        <v>0.88117285228612185</v>
      </c>
    </row>
    <row r="5" spans="1:34" x14ac:dyDescent="0.3">
      <c r="A5" t="s">
        <v>84</v>
      </c>
      <c r="B5" s="14">
        <f>IFERROR(INDEX(CAN_cf[], MATCH(VLOOKUP($A5, genSource_lookup[], 2, FALSE), CAN_cf[[_]:[_]], 0), MATCH(TEXT(B$1, "0"), CAN_cf[#Headers], 0)), 0)</f>
        <v>0.5360549337744609</v>
      </c>
      <c r="C5" s="14">
        <f>IFERROR(INDEX(CAN_cf[], MATCH(VLOOKUP($A5, genSource_lookup[], 2, FALSE), CAN_cf[[_]:[_]], 0), MATCH(TEXT(C$1, "0"), CAN_cf[#Headers], 0)), 0)</f>
        <v>0.52740654940409049</v>
      </c>
      <c r="D5" s="14">
        <f>IFERROR(INDEX(CAN_cf[], MATCH(VLOOKUP($A5, genSource_lookup[], 2, FALSE), CAN_cf[[_]:[_]], 0), MATCH(TEXT(D$1, "0"), CAN_cf[#Headers], 0)), 0)</f>
        <v>0.53185207369775445</v>
      </c>
      <c r="E5" s="14">
        <f>IFERROR(INDEX(CAN_cf[], MATCH(VLOOKUP($A5, genSource_lookup[], 2, FALSE), CAN_cf[[_]:[_]], 0), MATCH(TEXT(E$1, "0"), CAN_cf[#Headers], 0)), 0)</f>
        <v>0.52694850641725444</v>
      </c>
      <c r="F5" s="14">
        <f>IFERROR(INDEX(CAN_cf[], MATCH(VLOOKUP($A5, genSource_lookup[], 2, FALSE), CAN_cf[[_]:[_]], 0), MATCH(TEXT(F$1, "0"), CAN_cf[#Headers], 0)), 0)</f>
        <v>0.54417905207832085</v>
      </c>
      <c r="G5" s="14">
        <f>IFERROR(INDEX(CAN_cf[], MATCH(VLOOKUP($A5, genSource_lookup[], 2, FALSE), CAN_cf[[_]:[_]], 0), MATCH(TEXT(G$1, "0"), CAN_cf[#Headers], 0)), 0)</f>
        <v>0.54435101291802057</v>
      </c>
      <c r="H5" s="14">
        <f>IFERROR(INDEX(CAN_cf[], MATCH(VLOOKUP($A5, genSource_lookup[], 2, FALSE), CAN_cf[[_]:[_]], 0), MATCH(TEXT(H$1, "0"), CAN_cf[#Headers], 0)), 0)</f>
        <v>0.54408635083394175</v>
      </c>
      <c r="I5" s="14">
        <f>IFERROR(INDEX(CAN_cf[], MATCH(VLOOKUP($A5, genSource_lookup[], 2, FALSE), CAN_cf[[_]:[_]], 0), MATCH(TEXT(I$1, "0"), CAN_cf[#Headers], 0)), 0)</f>
        <v>0.5438799152846292</v>
      </c>
      <c r="J5" s="14">
        <f>IFERROR(INDEX(CAN_cf[], MATCH(VLOOKUP($A5, genSource_lookup[], 2, FALSE), CAN_cf[[_]:[_]], 0), MATCH(TEXT(J$1, "0"), CAN_cf[#Headers], 0)), 0)</f>
        <v>0.54386539129293521</v>
      </c>
      <c r="K5" s="14">
        <f>IFERROR(INDEX(CAN_cf[], MATCH(VLOOKUP($A5, genSource_lookup[], 2, FALSE), CAN_cf[[_]:[_]], 0), MATCH(TEXT(K$1, "0"), CAN_cf[#Headers], 0)), 0)</f>
        <v>0.54765888868223789</v>
      </c>
      <c r="L5" s="14">
        <f>IFERROR(INDEX(CAN_cf[], MATCH(VLOOKUP($A5, genSource_lookup[], 2, FALSE), CAN_cf[[_]:[_]], 0), MATCH(TEXT(L$1, "0"), CAN_cf[#Headers], 0)), 0)</f>
        <v>0.5480367751737667</v>
      </c>
      <c r="M5" s="14">
        <f>IFERROR(INDEX(CAN_cf[], MATCH(VLOOKUP($A5, genSource_lookup[], 2, FALSE), CAN_cf[[_]:[_]], 0), MATCH(TEXT(M$1, "0"), CAN_cf[#Headers], 0)), 0)</f>
        <v>0.54799150253783713</v>
      </c>
      <c r="N5" s="14">
        <f>IFERROR(INDEX(CAN_cf[], MATCH(VLOOKUP($A5, genSource_lookup[], 2, FALSE), CAN_cf[[_]:[_]], 0), MATCH(TEXT(N$1, "0"), CAN_cf[#Headers], 0)), 0)</f>
        <v>0.54843140446519234</v>
      </c>
      <c r="O5" s="14">
        <f>IFERROR(INDEX(CAN_cf[], MATCH(VLOOKUP($A5, genSource_lookup[], 2, FALSE), CAN_cf[[_]:[_]], 0), MATCH(TEXT(O$1, "0"), CAN_cf[#Headers], 0)), 0)</f>
        <v>0.54831898360809372</v>
      </c>
      <c r="P5" s="14">
        <f>IFERROR(INDEX(CAN_cf[], MATCH(VLOOKUP($A5, genSource_lookup[], 2, FALSE), CAN_cf[[_]:[_]], 0), MATCH(TEXT(P$1, "0"), CAN_cf[#Headers], 0)), 0)</f>
        <v>0.5485336824761321</v>
      </c>
      <c r="Q5" s="14">
        <f>IFERROR(INDEX(CAN_cf[], MATCH(VLOOKUP($A5, genSource_lookup[], 2, FALSE), CAN_cf[[_]:[_]], 0), MATCH(TEXT(Q$1, "0"), CAN_cf[#Headers], 0)), 0)</f>
        <v>0.54900114883484241</v>
      </c>
      <c r="R5" s="14">
        <f>IFERROR(INDEX(CAN_cf[], MATCH(VLOOKUP($A5, genSource_lookup[], 2, FALSE), CAN_cf[[_]:[_]], 0), MATCH(TEXT(R$1, "0"), CAN_cf[#Headers], 0)), 0)</f>
        <v>0.54943732467266526</v>
      </c>
      <c r="S5" s="14">
        <f>IFERROR(INDEX(CAN_cf[], MATCH(VLOOKUP($A5, genSource_lookup[], 2, FALSE), CAN_cf[[_]:[_]], 0), MATCH(TEXT(S$1, "0"), CAN_cf[#Headers], 0)), 0)</f>
        <v>0.54983296298985807</v>
      </c>
      <c r="T5" s="14">
        <f>IFERROR(INDEX(CAN_cf[], MATCH(VLOOKUP($A5, genSource_lookup[], 2, FALSE), CAN_cf[[_]:[_]], 0), MATCH(TEXT(T$1, "0"), CAN_cf[#Headers], 0)), 0)</f>
        <v>0.55010085722195545</v>
      </c>
      <c r="U5" s="14">
        <f>IFERROR(INDEX(CAN_cf[], MATCH(VLOOKUP($A5, genSource_lookup[], 2, FALSE), CAN_cf[[_]:[_]], 0), MATCH(TEXT(U$1, "0"), CAN_cf[#Headers], 0)), 0)</f>
        <v>0.55064238767046891</v>
      </c>
      <c r="V5" s="14">
        <f>IFERROR(INDEX(CAN_cf[], MATCH(VLOOKUP($A5, genSource_lookup[], 2, FALSE), CAN_cf[[_]:[_]], 0), MATCH(TEXT(V$1, "0"), CAN_cf[#Headers], 0)), 0)</f>
        <v>0.55107816937187359</v>
      </c>
      <c r="W5" s="14">
        <f>IFERROR(INDEX(CAN_cf[], MATCH(VLOOKUP($A5, genSource_lookup[], 2, FALSE), CAN_cf[[_]:[_]], 0), MATCH(TEXT(W$1, "0"), CAN_cf[#Headers], 0)), 0)</f>
        <v>0.55155067428845228</v>
      </c>
      <c r="X5" s="14">
        <f>IFERROR(INDEX(CAN_cf[], MATCH(VLOOKUP($A5, genSource_lookup[], 2, FALSE), CAN_cf[[_]:[_]], 0), MATCH(TEXT(X$1, "0"), CAN_cf[#Headers], 0)), 0)</f>
        <v>0.55201338014535706</v>
      </c>
      <c r="Y5" s="14">
        <f>IFERROR(INDEX(CAN_cf[], MATCH(VLOOKUP($A5, genSource_lookup[], 2, FALSE), CAN_cf[[_]:[_]], 0), MATCH(TEXT(Y$1, "0"), CAN_cf[#Headers], 0)), 0)</f>
        <v>0.55254996813380464</v>
      </c>
      <c r="Z5" s="14">
        <f>IFERROR(INDEX(CAN_cf[], MATCH(VLOOKUP($A5, genSource_lookup[], 2, FALSE), CAN_cf[[_]:[_]], 0), MATCH(TEXT(Z$1, "0"), CAN_cf[#Headers], 0)), 0)</f>
        <v>0.55298394438049492</v>
      </c>
      <c r="AA5" s="14">
        <f>IFERROR(INDEX(CAN_cf[], MATCH(VLOOKUP($A5, genSource_lookup[], 2, FALSE), CAN_cf[[_]:[_]], 0), MATCH(TEXT(AA$1, "0"), CAN_cf[#Headers], 0)), 0)</f>
        <v>0.55339300673390401</v>
      </c>
      <c r="AB5" s="14">
        <f>IFERROR(INDEX(CAN_cf[], MATCH(VLOOKUP($A5, genSource_lookup[], 2, FALSE), CAN_cf[[_]:[_]], 0), MATCH(TEXT(AB$1, "0"), CAN_cf[#Headers], 0)), 0)</f>
        <v>0.55379853261833056</v>
      </c>
      <c r="AC5" s="14">
        <f>IFERROR(INDEX(CAN_cf[], MATCH(VLOOKUP($A5, genSource_lookup[], 2, FALSE), CAN_cf[[_]:[_]], 0), MATCH(TEXT(AC$1, "0"), CAN_cf[#Headers], 0)), 0)</f>
        <v>0.55432190435552042</v>
      </c>
      <c r="AD5" s="14">
        <f>IFERROR(INDEX(CAN_cf[], MATCH(VLOOKUP($A5, genSource_lookup[], 2, FALSE), CAN_cf[[_]:[_]], 0), MATCH(TEXT(AD$1, "0"), CAN_cf[#Headers], 0)), 0)</f>
        <v>0.55482258015917574</v>
      </c>
      <c r="AE5" s="14">
        <f>IFERROR(INDEX(CAN_cf[], MATCH(VLOOKUP($A5, genSource_lookup[], 2, FALSE), CAN_cf[[_]:[_]], 0), MATCH(TEXT(AE$1, "0"), CAN_cf[#Headers], 0)), 0)</f>
        <v>0.55520161679216551</v>
      </c>
      <c r="AF5" s="14">
        <f>IFERROR(INDEX(CAN_cf[], MATCH(VLOOKUP($A5, genSource_lookup[], 2, FALSE), CAN_cf[[_]:[_]], 0), MATCH(TEXT(AF$1, "0"), CAN_cf[#Headers], 0)), 0)</f>
        <v>0.55556348553739909</v>
      </c>
      <c r="AG5" s="14">
        <f>IFERROR(INDEX(CAN_cf[], MATCH(VLOOKUP($A5, genSource_lookup[], 2, FALSE), CAN_cf[[_]:[_]], 0), MATCH(TEXT(AG$1, "0"), CAN_cf[#Headers], 0)), 0)</f>
        <v>0.55597354207877847</v>
      </c>
      <c r="AH5" s="14">
        <f>IFERROR(INDEX(CAN_cf[], MATCH(VLOOKUP($A5, genSource_lookup[], 2, FALSE), CAN_cf[[_]:[_]], 0), MATCH(TEXT(AH$1, "0"), CAN_cf[#Headers], 0)), 0)</f>
        <v>0.55644000872527766</v>
      </c>
    </row>
    <row r="6" spans="1:34" x14ac:dyDescent="0.3">
      <c r="A6" t="s">
        <v>86</v>
      </c>
      <c r="B6" s="14">
        <f>IFERROR(INDEX(CAN_cf[], MATCH(VLOOKUP($A6, genSource_lookup[], 2, FALSE), CAN_cf[[_]:[_]], 0), MATCH(TEXT(B$1, "0"), CAN_cf[#Headers], 0)), 0)</f>
        <v>0.29306791787534597</v>
      </c>
      <c r="C6" s="14">
        <f>IFERROR(INDEX(CAN_cf[], MATCH(VLOOKUP($A6, genSource_lookup[], 2, FALSE), CAN_cf[[_]:[_]], 0), MATCH(TEXT(C$1, "0"), CAN_cf[#Headers], 0)), 0)</f>
        <v>0.27949172804584393</v>
      </c>
      <c r="D6" s="14">
        <f>IFERROR(INDEX(CAN_cf[], MATCH(VLOOKUP($A6, genSource_lookup[], 2, FALSE), CAN_cf[[_]:[_]], 0), MATCH(TEXT(D$1, "0"), CAN_cf[#Headers], 0)), 0)</f>
        <v>0.29857662965171861</v>
      </c>
      <c r="E6" s="14">
        <f>IFERROR(INDEX(CAN_cf[], MATCH(VLOOKUP($A6, genSource_lookup[], 2, FALSE), CAN_cf[[_]:[_]], 0), MATCH(TEXT(E$1, "0"), CAN_cf[#Headers], 0)), 0)</f>
        <v>0.30947182815566032</v>
      </c>
      <c r="F6" s="14">
        <f>IFERROR(INDEX(CAN_cf[], MATCH(VLOOKUP($A6, genSource_lookup[], 2, FALSE), CAN_cf[[_]:[_]], 0), MATCH(TEXT(F$1, "0"), CAN_cf[#Headers], 0)), 0)</f>
        <v>0.37014571751034314</v>
      </c>
      <c r="G6" s="14">
        <f>IFERROR(INDEX(CAN_cf[], MATCH(VLOOKUP($A6, genSource_lookup[], 2, FALSE), CAN_cf[[_]:[_]], 0), MATCH(TEXT(G$1, "0"), CAN_cf[#Headers], 0)), 0)</f>
        <v>0.37060950454676461</v>
      </c>
      <c r="H6" s="14">
        <f>IFERROR(INDEX(CAN_cf[], MATCH(VLOOKUP($A6, genSource_lookup[], 2, FALSE), CAN_cf[[_]:[_]], 0), MATCH(TEXT(H$1, "0"), CAN_cf[#Headers], 0)), 0)</f>
        <v>0.37908179469186354</v>
      </c>
      <c r="I6" s="14">
        <f>IFERROR(INDEX(CAN_cf[], MATCH(VLOOKUP($A6, genSource_lookup[], 2, FALSE), CAN_cf[[_]:[_]], 0), MATCH(TEXT(I$1, "0"), CAN_cf[#Headers], 0)), 0)</f>
        <v>0.38111770737430856</v>
      </c>
      <c r="J6" s="14">
        <f>IFERROR(INDEX(CAN_cf[], MATCH(VLOOKUP($A6, genSource_lookup[], 2, FALSE), CAN_cf[[_]:[_]], 0), MATCH(TEXT(J$1, "0"), CAN_cf[#Headers], 0)), 0)</f>
        <v>0.38128941719600601</v>
      </c>
      <c r="K6" s="14">
        <f>IFERROR(INDEX(CAN_cf[], MATCH(VLOOKUP($A6, genSource_lookup[], 2, FALSE), CAN_cf[[_]:[_]], 0), MATCH(TEXT(K$1, "0"), CAN_cf[#Headers], 0)), 0)</f>
        <v>0.38778937011426656</v>
      </c>
      <c r="L6" s="14">
        <f>IFERROR(INDEX(CAN_cf[], MATCH(VLOOKUP($A6, genSource_lookup[], 2, FALSE), CAN_cf[[_]:[_]], 0), MATCH(TEXT(L$1, "0"), CAN_cf[#Headers], 0)), 0)</f>
        <v>0.3915847105028345</v>
      </c>
      <c r="M6" s="14">
        <f>IFERROR(INDEX(CAN_cf[], MATCH(VLOOKUP($A6, genSource_lookup[], 2, FALSE), CAN_cf[[_]:[_]], 0), MATCH(TEXT(M$1, "0"), CAN_cf[#Headers], 0)), 0)</f>
        <v>0.39514753006189779</v>
      </c>
      <c r="N6" s="14">
        <f>IFERROR(INDEX(CAN_cf[], MATCH(VLOOKUP($A6, genSource_lookup[], 2, FALSE), CAN_cf[[_]:[_]], 0), MATCH(TEXT(N$1, "0"), CAN_cf[#Headers], 0)), 0)</f>
        <v>0.41081953435747309</v>
      </c>
      <c r="O6" s="14">
        <f>IFERROR(INDEX(CAN_cf[], MATCH(VLOOKUP($A6, genSource_lookup[], 2, FALSE), CAN_cf[[_]:[_]], 0), MATCH(TEXT(O$1, "0"), CAN_cf[#Headers], 0)), 0)</f>
        <v>0.42021215890591473</v>
      </c>
      <c r="P6" s="14">
        <f>IFERROR(INDEX(CAN_cf[], MATCH(VLOOKUP($A6, genSource_lookup[], 2, FALSE), CAN_cf[[_]:[_]], 0), MATCH(TEXT(P$1, "0"), CAN_cf[#Headers], 0)), 0)</f>
        <v>0.42955847029148342</v>
      </c>
      <c r="Q6" s="14">
        <f>IFERROR(INDEX(CAN_cf[], MATCH(VLOOKUP($A6, genSource_lookup[], 2, FALSE), CAN_cf[[_]:[_]], 0), MATCH(TEXT(Q$1, "0"), CAN_cf[#Headers], 0)), 0)</f>
        <v>0.43269311338132099</v>
      </c>
      <c r="R6" s="14">
        <f>IFERROR(INDEX(CAN_cf[], MATCH(VLOOKUP($A6, genSource_lookup[], 2, FALSE), CAN_cf[[_]:[_]], 0), MATCH(TEXT(R$1, "0"), CAN_cf[#Headers], 0)), 0)</f>
        <v>0.4350481952727045</v>
      </c>
      <c r="S6" s="14">
        <f>IFERROR(INDEX(CAN_cf[], MATCH(VLOOKUP($A6, genSource_lookup[], 2, FALSE), CAN_cf[[_]:[_]], 0), MATCH(TEXT(S$1, "0"), CAN_cf[#Headers], 0)), 0)</f>
        <v>0.43536128437594745</v>
      </c>
      <c r="T6" s="14">
        <f>IFERROR(INDEX(CAN_cf[], MATCH(VLOOKUP($A6, genSource_lookup[], 2, FALSE), CAN_cf[[_]:[_]], 0), MATCH(TEXT(T$1, "0"), CAN_cf[#Headers], 0)), 0)</f>
        <v>0.43782259892322056</v>
      </c>
      <c r="U6" s="14">
        <f>IFERROR(INDEX(CAN_cf[], MATCH(VLOOKUP($A6, genSource_lookup[], 2, FALSE), CAN_cf[[_]:[_]], 0), MATCH(TEXT(U$1, "0"), CAN_cf[#Headers], 0)), 0)</f>
        <v>0.43898094823953665</v>
      </c>
      <c r="V6" s="14">
        <f>IFERROR(INDEX(CAN_cf[], MATCH(VLOOKUP($A6, genSource_lookup[], 2, FALSE), CAN_cf[[_]:[_]], 0), MATCH(TEXT(V$1, "0"), CAN_cf[#Headers], 0)), 0)</f>
        <v>0.44091883099451817</v>
      </c>
      <c r="W6" s="14">
        <f>IFERROR(INDEX(CAN_cf[], MATCH(VLOOKUP($A6, genSource_lookup[], 2, FALSE), CAN_cf[[_]:[_]], 0), MATCH(TEXT(W$1, "0"), CAN_cf[#Headers], 0)), 0)</f>
        <v>0.44210013323105796</v>
      </c>
      <c r="X6" s="14">
        <f>IFERROR(INDEX(CAN_cf[], MATCH(VLOOKUP($A6, genSource_lookup[], 2, FALSE), CAN_cf[[_]:[_]], 0), MATCH(TEXT(X$1, "0"), CAN_cf[#Headers], 0)), 0)</f>
        <v>0.44444025354874339</v>
      </c>
      <c r="Y6" s="14">
        <f>IFERROR(INDEX(CAN_cf[], MATCH(VLOOKUP($A6, genSource_lookup[], 2, FALSE), CAN_cf[[_]:[_]], 0), MATCH(TEXT(Y$1, "0"), CAN_cf[#Headers], 0)), 0)</f>
        <v>0.44576566754837127</v>
      </c>
      <c r="Z6" s="14">
        <f>IFERROR(INDEX(CAN_cf[], MATCH(VLOOKUP($A6, genSource_lookup[], 2, FALSE), CAN_cf[[_]:[_]], 0), MATCH(TEXT(Z$1, "0"), CAN_cf[#Headers], 0)), 0)</f>
        <v>0.44985783351355341</v>
      </c>
      <c r="AA6" s="14">
        <f>IFERROR(INDEX(CAN_cf[], MATCH(VLOOKUP($A6, genSource_lookup[], 2, FALSE), CAN_cf[[_]:[_]], 0), MATCH(TEXT(AA$1, "0"), CAN_cf[#Headers], 0)), 0)</f>
        <v>0.45125613286131444</v>
      </c>
      <c r="AB6" s="14">
        <f>IFERROR(INDEX(CAN_cf[], MATCH(VLOOKUP($A6, genSource_lookup[], 2, FALSE), CAN_cf[[_]:[_]], 0), MATCH(TEXT(AB$1, "0"), CAN_cf[#Headers], 0)), 0)</f>
        <v>0.45517115335978497</v>
      </c>
      <c r="AC6" s="14">
        <f>IFERROR(INDEX(CAN_cf[], MATCH(VLOOKUP($A6, genSource_lookup[], 2, FALSE), CAN_cf[[_]:[_]], 0), MATCH(TEXT(AC$1, "0"), CAN_cf[#Headers], 0)), 0)</f>
        <v>0.45641104924601444</v>
      </c>
      <c r="AD6" s="14">
        <f>IFERROR(INDEX(CAN_cf[], MATCH(VLOOKUP($A6, genSource_lookup[], 2, FALSE), CAN_cf[[_]:[_]], 0), MATCH(TEXT(AD$1, "0"), CAN_cf[#Headers], 0)), 0)</f>
        <v>0.46012884337739496</v>
      </c>
      <c r="AE6" s="14">
        <f>IFERROR(INDEX(CAN_cf[], MATCH(VLOOKUP($A6, genSource_lookup[], 2, FALSE), CAN_cf[[_]:[_]], 0), MATCH(TEXT(AE$1, "0"), CAN_cf[#Headers], 0)), 0)</f>
        <v>0.46156614771584836</v>
      </c>
      <c r="AF6" s="14">
        <f>IFERROR(INDEX(CAN_cf[], MATCH(VLOOKUP($A6, genSource_lookup[], 2, FALSE), CAN_cf[[_]:[_]], 0), MATCH(TEXT(AF$1, "0"), CAN_cf[#Headers], 0)), 0)</f>
        <v>0.46516335639216166</v>
      </c>
      <c r="AG6" s="14">
        <f>IFERROR(INDEX(CAN_cf[], MATCH(VLOOKUP($A6, genSource_lookup[], 2, FALSE), CAN_cf[[_]:[_]], 0), MATCH(TEXT(AG$1, "0"), CAN_cf[#Headers], 0)), 0)</f>
        <v>0.4667266299032638</v>
      </c>
      <c r="AH6" s="14">
        <f>IFERROR(INDEX(CAN_cf[], MATCH(VLOOKUP($A6, genSource_lookup[], 2, FALSE), CAN_cf[[_]:[_]], 0), MATCH(TEXT(AH$1, "0"), CAN_cf[#Headers], 0)), 0)</f>
        <v>0.46837902119617114</v>
      </c>
    </row>
    <row r="7" spans="1:34" x14ac:dyDescent="0.3">
      <c r="A7" t="s">
        <v>87</v>
      </c>
      <c r="B7" s="14">
        <f>IFERROR(INDEX(CAN_cf[], MATCH(VLOOKUP($A7, genSource_lookup[], 2, FALSE), CAN_cf[[_]:[_]], 0), MATCH(TEXT(B$1, "0"), CAN_cf[#Headers], 0)), 0)</f>
        <v>9.1958466704588307E-2</v>
      </c>
      <c r="C7" s="14">
        <f>IFERROR(INDEX(CAN_cf[], MATCH(VLOOKUP($A7, genSource_lookup[], 2, FALSE), CAN_cf[[_]:[_]], 0), MATCH(TEXT(C$1, "0"), CAN_cf[#Headers], 0)), 0)</f>
        <v>9.1412196610252419E-2</v>
      </c>
      <c r="D7" s="14">
        <f>IFERROR(INDEX(CAN_cf[], MATCH(VLOOKUP($A7, genSource_lookup[], 2, FALSE), CAN_cf[[_]:[_]], 0), MATCH(TEXT(D$1, "0"), CAN_cf[#Headers], 0)), 0)</f>
        <v>9.166180324083012E-2</v>
      </c>
      <c r="E7" s="14">
        <f>IFERROR(INDEX(CAN_cf[], MATCH(VLOOKUP($A7, genSource_lookup[], 2, FALSE), CAN_cf[[_]:[_]], 0), MATCH(TEXT(E$1, "0"), CAN_cf[#Headers], 0)), 0)</f>
        <v>9.6246592075806811E-2</v>
      </c>
      <c r="F7" s="14">
        <f>IFERROR(INDEX(CAN_cf[], MATCH(VLOOKUP($A7, genSource_lookup[], 2, FALSE), CAN_cf[[_]:[_]], 0), MATCH(TEXT(F$1, "0"), CAN_cf[#Headers], 0)), 0)</f>
        <v>0.10539578807588613</v>
      </c>
      <c r="G7" s="14">
        <f>IFERROR(INDEX(CAN_cf[], MATCH(VLOOKUP($A7, genSource_lookup[], 2, FALSE), CAN_cf[[_]:[_]], 0), MATCH(TEXT(G$1, "0"), CAN_cf[#Headers], 0)), 0)</f>
        <v>0.10562896582195294</v>
      </c>
      <c r="H7" s="14">
        <f>IFERROR(INDEX(CAN_cf[], MATCH(VLOOKUP($A7, genSource_lookup[], 2, FALSE), CAN_cf[[_]:[_]], 0), MATCH(TEXT(H$1, "0"), CAN_cf[#Headers], 0)), 0)</f>
        <v>0.10605552424820447</v>
      </c>
      <c r="I7" s="14">
        <f>IFERROR(INDEX(CAN_cf[], MATCH(VLOOKUP($A7, genSource_lookup[], 2, FALSE), CAN_cf[[_]:[_]], 0), MATCH(TEXT(I$1, "0"), CAN_cf[#Headers], 0)), 0)</f>
        <v>0.10728695513805556</v>
      </c>
      <c r="J7" s="14">
        <f>IFERROR(INDEX(CAN_cf[], MATCH(VLOOKUP($A7, genSource_lookup[], 2, FALSE), CAN_cf[[_]:[_]], 0), MATCH(TEXT(J$1, "0"), CAN_cf[#Headers], 0)), 0)</f>
        <v>0.10955517520484352</v>
      </c>
      <c r="K7" s="14">
        <f>IFERROR(INDEX(CAN_cf[], MATCH(VLOOKUP($A7, genSource_lookup[], 2, FALSE), CAN_cf[[_]:[_]], 0), MATCH(TEXT(K$1, "0"), CAN_cf[#Headers], 0)), 0)</f>
        <v>0.11175716507791388</v>
      </c>
      <c r="L7" s="14">
        <f>IFERROR(INDEX(CAN_cf[], MATCH(VLOOKUP($A7, genSource_lookup[], 2, FALSE), CAN_cf[[_]:[_]], 0), MATCH(TEXT(L$1, "0"), CAN_cf[#Headers], 0)), 0)</f>
        <v>0.11214730302641135</v>
      </c>
      <c r="M7" s="14">
        <f>IFERROR(INDEX(CAN_cf[], MATCH(VLOOKUP($A7, genSource_lookup[], 2, FALSE), CAN_cf[[_]:[_]], 0), MATCH(TEXT(M$1, "0"), CAN_cf[#Headers], 0)), 0)</f>
        <v>0.11641705623323308</v>
      </c>
      <c r="N7" s="14">
        <f>IFERROR(INDEX(CAN_cf[], MATCH(VLOOKUP($A7, genSource_lookup[], 2, FALSE), CAN_cf[[_]:[_]], 0), MATCH(TEXT(N$1, "0"), CAN_cf[#Headers], 0)), 0)</f>
        <v>0.12034383474233723</v>
      </c>
      <c r="O7" s="14">
        <f>IFERROR(INDEX(CAN_cf[], MATCH(VLOOKUP($A7, genSource_lookup[], 2, FALSE), CAN_cf[[_]:[_]], 0), MATCH(TEXT(O$1, "0"), CAN_cf[#Headers], 0)), 0)</f>
        <v>0.12406125674639104</v>
      </c>
      <c r="P7" s="14">
        <f>IFERROR(INDEX(CAN_cf[], MATCH(VLOOKUP($A7, genSource_lookup[], 2, FALSE), CAN_cf[[_]:[_]], 0), MATCH(TEXT(P$1, "0"), CAN_cf[#Headers], 0)), 0)</f>
        <v>0.12681491525677505</v>
      </c>
      <c r="Q7" s="14">
        <f>IFERROR(INDEX(CAN_cf[], MATCH(VLOOKUP($A7, genSource_lookup[], 2, FALSE), CAN_cf[[_]:[_]], 0), MATCH(TEXT(Q$1, "0"), CAN_cf[#Headers], 0)), 0)</f>
        <v>0.12968270896420242</v>
      </c>
      <c r="R7" s="14">
        <f>IFERROR(INDEX(CAN_cf[], MATCH(VLOOKUP($A7, genSource_lookup[], 2, FALSE), CAN_cf[[_]:[_]], 0), MATCH(TEXT(R$1, "0"), CAN_cf[#Headers], 0)), 0)</f>
        <v>0.1326268114736921</v>
      </c>
      <c r="S7" s="14">
        <f>IFERROR(INDEX(CAN_cf[], MATCH(VLOOKUP($A7, genSource_lookup[], 2, FALSE), CAN_cf[[_]:[_]], 0), MATCH(TEXT(S$1, "0"), CAN_cf[#Headers], 0)), 0)</f>
        <v>0.13739268777149233</v>
      </c>
      <c r="T7" s="14">
        <f>IFERROR(INDEX(CAN_cf[], MATCH(VLOOKUP($A7, genSource_lookup[], 2, FALSE), CAN_cf[[_]:[_]], 0), MATCH(TEXT(T$1, "0"), CAN_cf[#Headers], 0)), 0)</f>
        <v>0.14084032001644486</v>
      </c>
      <c r="U7" s="14">
        <f>IFERROR(INDEX(CAN_cf[], MATCH(VLOOKUP($A7, genSource_lookup[], 2, FALSE), CAN_cf[[_]:[_]], 0), MATCH(TEXT(U$1, "0"), CAN_cf[#Headers], 0)), 0)</f>
        <v>0.14394165176518056</v>
      </c>
      <c r="V7" s="14">
        <f>IFERROR(INDEX(CAN_cf[], MATCH(VLOOKUP($A7, genSource_lookup[], 2, FALSE), CAN_cf[[_]:[_]], 0), MATCH(TEXT(V$1, "0"), CAN_cf[#Headers], 0)), 0)</f>
        <v>0.14640088449185357</v>
      </c>
      <c r="W7" s="14">
        <f>IFERROR(INDEX(CAN_cf[], MATCH(VLOOKUP($A7, genSource_lookup[], 2, FALSE), CAN_cf[[_]:[_]], 0), MATCH(TEXT(W$1, "0"), CAN_cf[#Headers], 0)), 0)</f>
        <v>0.14873001551308918</v>
      </c>
      <c r="X7" s="14">
        <f>IFERROR(INDEX(CAN_cf[], MATCH(VLOOKUP($A7, genSource_lookup[], 2, FALSE), CAN_cf[[_]:[_]], 0), MATCH(TEXT(X$1, "0"), CAN_cf[#Headers], 0)), 0)</f>
        <v>0.15101366399120261</v>
      </c>
      <c r="Y7" s="14">
        <f>IFERROR(INDEX(CAN_cf[], MATCH(VLOOKUP($A7, genSource_lookup[], 2, FALSE), CAN_cf[[_]:[_]], 0), MATCH(TEXT(Y$1, "0"), CAN_cf[#Headers], 0)), 0)</f>
        <v>0.15323271679327594</v>
      </c>
      <c r="Z7" s="14">
        <f>IFERROR(INDEX(CAN_cf[], MATCH(VLOOKUP($A7, genSource_lookup[], 2, FALSE), CAN_cf[[_]:[_]], 0), MATCH(TEXT(Z$1, "0"), CAN_cf[#Headers], 0)), 0)</f>
        <v>0.15497421115311255</v>
      </c>
      <c r="AA7" s="14">
        <f>IFERROR(INDEX(CAN_cf[], MATCH(VLOOKUP($A7, genSource_lookup[], 2, FALSE), CAN_cf[[_]:[_]], 0), MATCH(TEXT(AA$1, "0"), CAN_cf[#Headers], 0)), 0)</f>
        <v>0.15692482761997906</v>
      </c>
      <c r="AB7" s="14">
        <f>IFERROR(INDEX(CAN_cf[], MATCH(VLOOKUP($A7, genSource_lookup[], 2, FALSE), CAN_cf[[_]:[_]], 0), MATCH(TEXT(AB$1, "0"), CAN_cf[#Headers], 0)), 0)</f>
        <v>0.15847313805370258</v>
      </c>
      <c r="AC7" s="14">
        <f>IFERROR(INDEX(CAN_cf[], MATCH(VLOOKUP($A7, genSource_lookup[], 2, FALSE), CAN_cf[[_]:[_]], 0), MATCH(TEXT(AC$1, "0"), CAN_cf[#Headers], 0)), 0)</f>
        <v>0.16016385664928573</v>
      </c>
      <c r="AD7" s="14">
        <f>IFERROR(INDEX(CAN_cf[], MATCH(VLOOKUP($A7, genSource_lookup[], 2, FALSE), CAN_cf[[_]:[_]], 0), MATCH(TEXT(AD$1, "0"), CAN_cf[#Headers], 0)), 0)</f>
        <v>0.1614115335163781</v>
      </c>
      <c r="AE7" s="14">
        <f>IFERROR(INDEX(CAN_cf[], MATCH(VLOOKUP($A7, genSource_lookup[], 2, FALSE), CAN_cf[[_]:[_]], 0), MATCH(TEXT(AE$1, "0"), CAN_cf[#Headers], 0)), 0)</f>
        <v>0.16285833151156562</v>
      </c>
      <c r="AF7" s="14">
        <f>IFERROR(INDEX(CAN_cf[], MATCH(VLOOKUP($A7, genSource_lookup[], 2, FALSE), CAN_cf[[_]:[_]], 0), MATCH(TEXT(AF$1, "0"), CAN_cf[#Headers], 0)), 0)</f>
        <v>0.16399083649183827</v>
      </c>
      <c r="AG7" s="14">
        <f>IFERROR(INDEX(CAN_cf[], MATCH(VLOOKUP($A7, genSource_lookup[], 2, FALSE), CAN_cf[[_]:[_]], 0), MATCH(TEXT(AG$1, "0"), CAN_cf[#Headers], 0)), 0)</f>
        <v>0.16532653036422404</v>
      </c>
      <c r="AH7" s="14">
        <f>IFERROR(INDEX(CAN_cf[], MATCH(VLOOKUP($A7, genSource_lookup[], 2, FALSE), CAN_cf[[_]:[_]], 0), MATCH(TEXT(AH$1, "0"), CAN_cf[#Headers], 0)), 0)</f>
        <v>0.16669458222034181</v>
      </c>
    </row>
    <row r="8" spans="1:34" x14ac:dyDescent="0.3">
      <c r="A8" s="71" t="s">
        <v>92</v>
      </c>
      <c r="B8" s="72">
        <f>C8</f>
        <v>0.58933333333333326</v>
      </c>
      <c r="C8" s="72">
        <f>'U.S. NREL ATB 2021'!C50</f>
        <v>0.58933333333333326</v>
      </c>
      <c r="D8" s="72">
        <f>'U.S. NREL ATB 2022'!C50</f>
        <v>0.57599999999999996</v>
      </c>
      <c r="E8" s="72">
        <f>'U.S. NREL ATB 2022'!D50</f>
        <v>0.57599999999999996</v>
      </c>
      <c r="F8" s="72">
        <f>'U.S. NREL ATB 2022'!E50</f>
        <v>0.57599999999999996</v>
      </c>
      <c r="G8" s="72">
        <f>'U.S. NREL ATB 2022'!F50</f>
        <v>0.57599999999999996</v>
      </c>
      <c r="H8" s="72">
        <f>'U.S. NREL ATB 2022'!G50</f>
        <v>0.57599999999999996</v>
      </c>
      <c r="I8" s="72">
        <f>'U.S. NREL ATB 2022'!H50</f>
        <v>0.57599999999999996</v>
      </c>
      <c r="J8" s="72">
        <f>'U.S. NREL ATB 2022'!I50</f>
        <v>0.57599999999999996</v>
      </c>
      <c r="K8" s="72">
        <f>'U.S. NREL ATB 2022'!J50</f>
        <v>0.57599999999999996</v>
      </c>
      <c r="L8" s="72">
        <f>'U.S. NREL ATB 2022'!K50</f>
        <v>0.57599999999999996</v>
      </c>
      <c r="M8" s="72">
        <f>'U.S. NREL ATB 2022'!L50</f>
        <v>0.57599999999999996</v>
      </c>
      <c r="N8" s="72">
        <f>'U.S. NREL ATB 2022'!M50</f>
        <v>0.57599999999999996</v>
      </c>
      <c r="O8" s="72">
        <f>'U.S. NREL ATB 2022'!N50</f>
        <v>0.57599999999999996</v>
      </c>
      <c r="P8" s="72">
        <f>'U.S. NREL ATB 2022'!O50</f>
        <v>0.57599999999999996</v>
      </c>
      <c r="Q8" s="72">
        <f>'U.S. NREL ATB 2022'!P50</f>
        <v>0.57599999999999996</v>
      </c>
      <c r="R8" s="72">
        <f>'U.S. NREL ATB 2022'!Q50</f>
        <v>0.57599999999999996</v>
      </c>
      <c r="S8" s="72">
        <f>'U.S. NREL ATB 2022'!R50</f>
        <v>0.57599999999999996</v>
      </c>
      <c r="T8" s="72">
        <f>'U.S. NREL ATB 2022'!S50</f>
        <v>0.57599999999999996</v>
      </c>
      <c r="U8" s="72">
        <f>'U.S. NREL ATB 2022'!T50</f>
        <v>0.57599999999999996</v>
      </c>
      <c r="V8" s="72">
        <f>'U.S. NREL ATB 2022'!U50</f>
        <v>0.57599999999999996</v>
      </c>
      <c r="W8" s="72">
        <f>'U.S. NREL ATB 2022'!V50</f>
        <v>0.57599999999999996</v>
      </c>
      <c r="X8" s="72">
        <f>'U.S. NREL ATB 2022'!W50</f>
        <v>0.57599999999999996</v>
      </c>
      <c r="Y8" s="72">
        <f>'U.S. NREL ATB 2022'!X50</f>
        <v>0.57599999999999996</v>
      </c>
      <c r="Z8" s="72">
        <f>'U.S. NREL ATB 2022'!Y50</f>
        <v>0.57599999999999996</v>
      </c>
      <c r="AA8" s="72">
        <f>'U.S. NREL ATB 2022'!Z50</f>
        <v>0.57599999999999996</v>
      </c>
      <c r="AB8" s="72">
        <f>'U.S. NREL ATB 2022'!AA50</f>
        <v>0.57599999999999996</v>
      </c>
      <c r="AC8" s="72">
        <f>'U.S. NREL ATB 2022'!AB50</f>
        <v>0.57599999999999996</v>
      </c>
      <c r="AD8" s="72">
        <f>'U.S. NREL ATB 2022'!AC50</f>
        <v>0.57599999999999996</v>
      </c>
      <c r="AE8" s="72">
        <f>'U.S. NREL ATB 2022'!AD50</f>
        <v>0.57599999999999996</v>
      </c>
      <c r="AF8" s="72">
        <f>'U.S. NREL ATB 2022'!AE50</f>
        <v>0.57599999999999996</v>
      </c>
      <c r="AG8" s="72">
        <f>'U.S. NREL ATB 2022'!AF50</f>
        <v>0.57599999999999996</v>
      </c>
      <c r="AH8" s="72">
        <f>'U.S. NREL ATB 2022'!AG50</f>
        <v>0.57599999999999996</v>
      </c>
    </row>
    <row r="9" spans="1:34" x14ac:dyDescent="0.3">
      <c r="A9" t="s">
        <v>85</v>
      </c>
      <c r="B9" s="14">
        <f>IFERROR(INDEX(CAN_cf[], MATCH(VLOOKUP($A9, genSource_lookup[], 2, FALSE), CAN_cf[[_]:[_]], 0), MATCH(TEXT(B$1, "0"), CAN_cf[#Headers], 0)), 0)</f>
        <v>0.42980377938951236</v>
      </c>
      <c r="C9" s="14">
        <f>IFERROR(INDEX(CAN_cf[], MATCH(VLOOKUP($A9, genSource_lookup[], 2, FALSE), CAN_cf[[_]:[_]], 0), MATCH(TEXT(C$1, "0"), CAN_cf[#Headers], 0)), 0)</f>
        <v>0.44914197191908101</v>
      </c>
      <c r="D9" s="14">
        <f>IFERROR(INDEX(CAN_cf[], MATCH(VLOOKUP($A9, genSource_lookup[], 2, FALSE), CAN_cf[[_]:[_]], 0), MATCH(TEXT(D$1, "0"), CAN_cf[#Headers], 0)), 0)</f>
        <v>0.38226506938471466</v>
      </c>
      <c r="E9" s="14">
        <f>IFERROR(INDEX(CAN_cf[], MATCH(VLOOKUP($A9, genSource_lookup[], 2, FALSE), CAN_cf[[_]:[_]], 0), MATCH(TEXT(E$1, "0"), CAN_cf[#Headers], 0)), 0)</f>
        <v>0.38404809565091019</v>
      </c>
      <c r="F9" s="14">
        <f>IFERROR(INDEX(CAN_cf[], MATCH(VLOOKUP($A9, genSource_lookup[], 2, FALSE), CAN_cf[[_]:[_]], 0), MATCH(TEXT(F$1, "0"), CAN_cf[#Headers], 0)), 0)</f>
        <v>0.39053223670235476</v>
      </c>
      <c r="G9" s="14">
        <f>IFERROR(INDEX(CAN_cf[], MATCH(VLOOKUP($A9, genSource_lookup[], 2, FALSE), CAN_cf[[_]:[_]], 0), MATCH(TEXT(G$1, "0"), CAN_cf[#Headers], 0)), 0)</f>
        <v>0.38565357415106766</v>
      </c>
      <c r="H9" s="14">
        <f>IFERROR(INDEX(CAN_cf[], MATCH(VLOOKUP($A9, genSource_lookup[], 2, FALSE), CAN_cf[[_]:[_]], 0), MATCH(TEXT(H$1, "0"), CAN_cf[#Headers], 0)), 0)</f>
        <v>0.38628866729104988</v>
      </c>
      <c r="I9" s="14">
        <f>IFERROR(INDEX(CAN_cf[], MATCH(VLOOKUP($A9, genSource_lookup[], 2, FALSE), CAN_cf[[_]:[_]], 0), MATCH(TEXT(I$1, "0"), CAN_cf[#Headers], 0)), 0)</f>
        <v>0.38610180267734562</v>
      </c>
      <c r="J9" s="14">
        <f>IFERROR(INDEX(CAN_cf[], MATCH(VLOOKUP($A9, genSource_lookup[], 2, FALSE), CAN_cf[[_]:[_]], 0), MATCH(TEXT(J$1, "0"), CAN_cf[#Headers], 0)), 0)</f>
        <v>0.38990026785166559</v>
      </c>
      <c r="K9" s="14">
        <f>IFERROR(INDEX(CAN_cf[], MATCH(VLOOKUP($A9, genSource_lookup[], 2, FALSE), CAN_cf[[_]:[_]], 0), MATCH(TEXT(K$1, "0"), CAN_cf[#Headers], 0)), 0)</f>
        <v>0.39159240721968042</v>
      </c>
      <c r="L9" s="14">
        <f>IFERROR(INDEX(CAN_cf[], MATCH(VLOOKUP($A9, genSource_lookup[], 2, FALSE), CAN_cf[[_]:[_]], 0), MATCH(TEXT(L$1, "0"), CAN_cf[#Headers], 0)), 0)</f>
        <v>0.38409211727599635</v>
      </c>
      <c r="M9" s="14">
        <f>IFERROR(INDEX(CAN_cf[], MATCH(VLOOKUP($A9, genSource_lookup[], 2, FALSE), CAN_cf[[_]:[_]], 0), MATCH(TEXT(M$1, "0"), CAN_cf[#Headers], 0)), 0)</f>
        <v>0.38448766477158014</v>
      </c>
      <c r="N9" s="14">
        <f>IFERROR(INDEX(CAN_cf[], MATCH(VLOOKUP($A9, genSource_lookup[], 2, FALSE), CAN_cf[[_]:[_]], 0), MATCH(TEXT(N$1, "0"), CAN_cf[#Headers], 0)), 0)</f>
        <v>0.38347247375569898</v>
      </c>
      <c r="O9" s="14">
        <f>IFERROR(INDEX(CAN_cf[], MATCH(VLOOKUP($A9, genSource_lookup[], 2, FALSE), CAN_cf[[_]:[_]], 0), MATCH(TEXT(O$1, "0"), CAN_cf[#Headers], 0)), 0)</f>
        <v>0.38498798142639901</v>
      </c>
      <c r="P9" s="14">
        <f>IFERROR(INDEX(CAN_cf[], MATCH(VLOOKUP($A9, genSource_lookup[], 2, FALSE), CAN_cf[[_]:[_]], 0), MATCH(TEXT(P$1, "0"), CAN_cf[#Headers], 0)), 0)</f>
        <v>0.38291568753521432</v>
      </c>
      <c r="Q9" s="14">
        <f>IFERROR(INDEX(CAN_cf[], MATCH(VLOOKUP($A9, genSource_lookup[], 2, FALSE), CAN_cf[[_]:[_]], 0), MATCH(TEXT(Q$1, "0"), CAN_cf[#Headers], 0)), 0)</f>
        <v>0.37443827479384767</v>
      </c>
      <c r="R9" s="14">
        <f>IFERROR(INDEX(CAN_cf[], MATCH(VLOOKUP($A9, genSource_lookup[], 2, FALSE), CAN_cf[[_]:[_]], 0), MATCH(TEXT(R$1, "0"), CAN_cf[#Headers], 0)), 0)</f>
        <v>0.3746693035595397</v>
      </c>
      <c r="S9" s="14">
        <f>IFERROR(INDEX(CAN_cf[], MATCH(VLOOKUP($A9, genSource_lookup[], 2, FALSE), CAN_cf[[_]:[_]], 0), MATCH(TEXT(S$1, "0"), CAN_cf[#Headers], 0)), 0)</f>
        <v>0.37653145169486379</v>
      </c>
      <c r="T9" s="14">
        <f>IFERROR(INDEX(CAN_cf[], MATCH(VLOOKUP($A9, genSource_lookup[], 2, FALSE), CAN_cf[[_]:[_]], 0), MATCH(TEXT(T$1, "0"), CAN_cf[#Headers], 0)), 0)</f>
        <v>0.37775531349140856</v>
      </c>
      <c r="U9" s="14">
        <f>IFERROR(INDEX(CAN_cf[], MATCH(VLOOKUP($A9, genSource_lookup[], 2, FALSE), CAN_cf[[_]:[_]], 0), MATCH(TEXT(U$1, "0"), CAN_cf[#Headers], 0)), 0)</f>
        <v>0.3768692513220529</v>
      </c>
      <c r="V9" s="14">
        <f>IFERROR(INDEX(CAN_cf[], MATCH(VLOOKUP($A9, genSource_lookup[], 2, FALSE), CAN_cf[[_]:[_]], 0), MATCH(TEXT(V$1, "0"), CAN_cf[#Headers], 0)), 0)</f>
        <v>0.37857526057940727</v>
      </c>
      <c r="W9" s="14">
        <f>IFERROR(INDEX(CAN_cf[], MATCH(VLOOKUP($A9, genSource_lookup[], 2, FALSE), CAN_cf[[_]:[_]], 0), MATCH(TEXT(W$1, "0"), CAN_cf[#Headers], 0)), 0)</f>
        <v>0.37915539506848484</v>
      </c>
      <c r="X9" s="14">
        <f>IFERROR(INDEX(CAN_cf[], MATCH(VLOOKUP($A9, genSource_lookup[], 2, FALSE), CAN_cf[[_]:[_]], 0), MATCH(TEXT(X$1, "0"), CAN_cf[#Headers], 0)), 0)</f>
        <v>0.38067271965067323</v>
      </c>
      <c r="Y9" s="14">
        <f>IFERROR(INDEX(CAN_cf[], MATCH(VLOOKUP($A9, genSource_lookup[], 2, FALSE), CAN_cf[[_]:[_]], 0), MATCH(TEXT(Y$1, "0"), CAN_cf[#Headers], 0)), 0)</f>
        <v>0.38192446896863691</v>
      </c>
      <c r="Z9" s="14">
        <f>IFERROR(INDEX(CAN_cf[], MATCH(VLOOKUP($A9, genSource_lookup[], 2, FALSE), CAN_cf[[_]:[_]], 0), MATCH(TEXT(Z$1, "0"), CAN_cf[#Headers], 0)), 0)</f>
        <v>0.3820580581773817</v>
      </c>
      <c r="AA9" s="14">
        <f>IFERROR(INDEX(CAN_cf[], MATCH(VLOOKUP($A9, genSource_lookup[], 2, FALSE), CAN_cf[[_]:[_]], 0), MATCH(TEXT(AA$1, "0"), CAN_cf[#Headers], 0)), 0)</f>
        <v>0.38539249663141784</v>
      </c>
      <c r="AB9" s="14">
        <f>IFERROR(INDEX(CAN_cf[], MATCH(VLOOKUP($A9, genSource_lookup[], 2, FALSE), CAN_cf[[_]:[_]], 0), MATCH(TEXT(AB$1, "0"), CAN_cf[#Headers], 0)), 0)</f>
        <v>0.38683072733477442</v>
      </c>
      <c r="AC9" s="14">
        <f>IFERROR(INDEX(CAN_cf[], MATCH(VLOOKUP($A9, genSource_lookup[], 2, FALSE), CAN_cf[[_]:[_]], 0), MATCH(TEXT(AC$1, "0"), CAN_cf[#Headers], 0)), 0)</f>
        <v>0.3872914435125675</v>
      </c>
      <c r="AD9" s="14">
        <f>IFERROR(INDEX(CAN_cf[], MATCH(VLOOKUP($A9, genSource_lookup[], 2, FALSE), CAN_cf[[_]:[_]], 0), MATCH(TEXT(AD$1, "0"), CAN_cf[#Headers], 0)), 0)</f>
        <v>0.39583938311561401</v>
      </c>
      <c r="AE9" s="14">
        <f>IFERROR(INDEX(CAN_cf[], MATCH(VLOOKUP($A9, genSource_lookup[], 2, FALSE), CAN_cf[[_]:[_]], 0), MATCH(TEXT(AE$1, "0"), CAN_cf[#Headers], 0)), 0)</f>
        <v>0.39569488538868108</v>
      </c>
      <c r="AF9" s="14">
        <f>IFERROR(INDEX(CAN_cf[], MATCH(VLOOKUP($A9, genSource_lookup[], 2, FALSE), CAN_cf[[_]:[_]], 0), MATCH(TEXT(AF$1, "0"), CAN_cf[#Headers], 0)), 0)</f>
        <v>0.39153394221506593</v>
      </c>
      <c r="AG9" s="14">
        <f>IFERROR(INDEX(CAN_cf[], MATCH(VLOOKUP($A9, genSource_lookup[], 2, FALSE), CAN_cf[[_]:[_]], 0), MATCH(TEXT(AG$1, "0"), CAN_cf[#Headers], 0)), 0)</f>
        <v>0.38620513040661231</v>
      </c>
      <c r="AH9" s="14">
        <f>IFERROR(INDEX(CAN_cf[], MATCH(VLOOKUP($A9, genSource_lookup[], 2, FALSE), CAN_cf[[_]:[_]], 0), MATCH(TEXT(AH$1, "0"), CAN_cf[#Headers], 0)), 0)</f>
        <v>0.38700933100143287</v>
      </c>
    </row>
    <row r="10" spans="1:34" x14ac:dyDescent="0.3">
      <c r="A10" s="71" t="s">
        <v>93</v>
      </c>
      <c r="B10" s="72">
        <f>'U.S. Table 4.8.B'!C14</f>
        <v>0.76</v>
      </c>
      <c r="C10" s="72">
        <f>'U.S. Table 4.8.B'!C15</f>
        <v>0.69599999999999995</v>
      </c>
      <c r="D10" s="72">
        <f>'U.S. Table 4.8.B'!C16</f>
        <v>0.69099999999999995</v>
      </c>
      <c r="E10" s="72">
        <f>D10</f>
        <v>0.69099999999999995</v>
      </c>
      <c r="F10" s="72">
        <f t="shared" ref="F10:AH10" si="1">E10</f>
        <v>0.69099999999999995</v>
      </c>
      <c r="G10" s="72">
        <f t="shared" si="1"/>
        <v>0.69099999999999995</v>
      </c>
      <c r="H10" s="72">
        <f t="shared" si="1"/>
        <v>0.69099999999999995</v>
      </c>
      <c r="I10" s="72">
        <f t="shared" si="1"/>
        <v>0.69099999999999995</v>
      </c>
      <c r="J10" s="72">
        <f t="shared" si="1"/>
        <v>0.69099999999999995</v>
      </c>
      <c r="K10" s="72">
        <f t="shared" si="1"/>
        <v>0.69099999999999995</v>
      </c>
      <c r="L10" s="72">
        <f t="shared" si="1"/>
        <v>0.69099999999999995</v>
      </c>
      <c r="M10" s="72">
        <f t="shared" si="1"/>
        <v>0.69099999999999995</v>
      </c>
      <c r="N10" s="72">
        <f t="shared" si="1"/>
        <v>0.69099999999999995</v>
      </c>
      <c r="O10" s="72">
        <f t="shared" si="1"/>
        <v>0.69099999999999995</v>
      </c>
      <c r="P10" s="72">
        <f t="shared" si="1"/>
        <v>0.69099999999999995</v>
      </c>
      <c r="Q10" s="72">
        <f t="shared" si="1"/>
        <v>0.69099999999999995</v>
      </c>
      <c r="R10" s="72">
        <f t="shared" si="1"/>
        <v>0.69099999999999995</v>
      </c>
      <c r="S10" s="72">
        <f t="shared" si="1"/>
        <v>0.69099999999999995</v>
      </c>
      <c r="T10" s="72">
        <f t="shared" si="1"/>
        <v>0.69099999999999995</v>
      </c>
      <c r="U10" s="72">
        <f t="shared" si="1"/>
        <v>0.69099999999999995</v>
      </c>
      <c r="V10" s="72">
        <f>U10</f>
        <v>0.69099999999999995</v>
      </c>
      <c r="W10" s="72">
        <f t="shared" si="1"/>
        <v>0.69099999999999995</v>
      </c>
      <c r="X10" s="72">
        <f t="shared" si="1"/>
        <v>0.69099999999999995</v>
      </c>
      <c r="Y10" s="72">
        <f t="shared" si="1"/>
        <v>0.69099999999999995</v>
      </c>
      <c r="Z10" s="72">
        <f t="shared" si="1"/>
        <v>0.69099999999999995</v>
      </c>
      <c r="AA10" s="72">
        <f t="shared" si="1"/>
        <v>0.69099999999999995</v>
      </c>
      <c r="AB10" s="72">
        <f t="shared" si="1"/>
        <v>0.69099999999999995</v>
      </c>
      <c r="AC10" s="72">
        <f t="shared" si="1"/>
        <v>0.69099999999999995</v>
      </c>
      <c r="AD10" s="72">
        <f t="shared" si="1"/>
        <v>0.69099999999999995</v>
      </c>
      <c r="AE10" s="72">
        <f t="shared" si="1"/>
        <v>0.69099999999999995</v>
      </c>
      <c r="AF10" s="72">
        <f t="shared" si="1"/>
        <v>0.69099999999999995</v>
      </c>
      <c r="AG10" s="72">
        <f t="shared" si="1"/>
        <v>0.69099999999999995</v>
      </c>
      <c r="AH10" s="72">
        <f t="shared" si="1"/>
        <v>0.69099999999999995</v>
      </c>
    </row>
    <row r="11" spans="1:34" x14ac:dyDescent="0.3">
      <c r="A11" t="s">
        <v>90</v>
      </c>
      <c r="B11" s="14">
        <f>IFERROR(INDEX(CAN_cf[], MATCH(VLOOKUP($A11, genSource_lookup[], 2, FALSE), CAN_cf[[_]:[_]], 0), MATCH(TEXT(B$1, "0"), CAN_cf[#Headers], 0)), 0)</f>
        <v>0.13230750666194346</v>
      </c>
      <c r="C11" s="14">
        <f>IFERROR(INDEX(CAN_cf[], MATCH(VLOOKUP($A11, genSource_lookup[], 2, FALSE), CAN_cf[[_]:[_]], 0), MATCH(TEXT(C$1, "0"), CAN_cf[#Headers], 0)), 0)</f>
        <v>0.1171532780184619</v>
      </c>
      <c r="D11" s="14">
        <f>IFERROR(INDEX(CAN_cf[], MATCH(VLOOKUP($A11, genSource_lookup[], 2, FALSE), CAN_cf[[_]:[_]], 0), MATCH(TEXT(D$1, "0"), CAN_cf[#Headers], 0)), 0)</f>
        <v>0.12795108802455094</v>
      </c>
      <c r="E11" s="14">
        <f>IFERROR(INDEX(CAN_cf[], MATCH(VLOOKUP($A11, genSource_lookup[], 2, FALSE), CAN_cf[[_]:[_]], 0), MATCH(TEXT(E$1, "0"), CAN_cf[#Headers], 0)), 0)</f>
        <v>0.1458041349325884</v>
      </c>
      <c r="F11" s="14">
        <f>IFERROR(INDEX(CAN_cf[], MATCH(VLOOKUP($A11, genSource_lookup[], 2, FALSE), CAN_cf[[_]:[_]], 0), MATCH(TEXT(F$1, "0"), CAN_cf[#Headers], 0)), 0)</f>
        <v>0.1437628593230213</v>
      </c>
      <c r="G11" s="14">
        <f>IFERROR(INDEX(CAN_cf[], MATCH(VLOOKUP($A11, genSource_lookup[], 2, FALSE), CAN_cf[[_]:[_]], 0), MATCH(TEXT(G$1, "0"), CAN_cf[#Headers], 0)), 0)</f>
        <v>0.20273662024764164</v>
      </c>
      <c r="H11" s="14">
        <f>IFERROR(INDEX(CAN_cf[], MATCH(VLOOKUP($A11, genSource_lookup[], 2, FALSE), CAN_cf[[_]:[_]], 0), MATCH(TEXT(H$1, "0"), CAN_cf[#Headers], 0)), 0)</f>
        <v>0.16460786174698572</v>
      </c>
      <c r="I11" s="14">
        <f>IFERROR(INDEX(CAN_cf[], MATCH(VLOOKUP($A11, genSource_lookup[], 2, FALSE), CAN_cf[[_]:[_]], 0), MATCH(TEXT(I$1, "0"), CAN_cf[#Headers], 0)), 0)</f>
        <v>0.15687450070525463</v>
      </c>
      <c r="J11" s="14">
        <f>IFERROR(INDEX(CAN_cf[], MATCH(VLOOKUP($A11, genSource_lookup[], 2, FALSE), CAN_cf[[_]:[_]], 0), MATCH(TEXT(J$1, "0"), CAN_cf[#Headers], 0)), 0)</f>
        <v>0.18170877615234451</v>
      </c>
      <c r="K11" s="14">
        <f>IFERROR(INDEX(CAN_cf[], MATCH(VLOOKUP($A11, genSource_lookup[], 2, FALSE), CAN_cf[[_]:[_]], 0), MATCH(TEXT(K$1, "0"), CAN_cf[#Headers], 0)), 0)</f>
        <v>0.13314894485126985</v>
      </c>
      <c r="L11" s="14">
        <f>IFERROR(INDEX(CAN_cf[], MATCH(VLOOKUP($A11, genSource_lookup[], 2, FALSE), CAN_cf[[_]:[_]], 0), MATCH(TEXT(L$1, "0"), CAN_cf[#Headers], 0)), 0)</f>
        <v>0.14148458752959475</v>
      </c>
      <c r="M11" s="14">
        <f>IFERROR(INDEX(CAN_cf[], MATCH(VLOOKUP($A11, genSource_lookup[], 2, FALSE), CAN_cf[[_]:[_]], 0), MATCH(TEXT(M$1, "0"), CAN_cf[#Headers], 0)), 0)</f>
        <v>0.16499127693041396</v>
      </c>
      <c r="N11" s="14">
        <f>IFERROR(INDEX(CAN_cf[], MATCH(VLOOKUP($A11, genSource_lookup[], 2, FALSE), CAN_cf[[_]:[_]], 0), MATCH(TEXT(N$1, "0"), CAN_cf[#Headers], 0)), 0)</f>
        <v>0.1685068265927889</v>
      </c>
      <c r="O11" s="14">
        <f>IFERROR(INDEX(CAN_cf[], MATCH(VLOOKUP($A11, genSource_lookup[], 2, FALSE), CAN_cf[[_]:[_]], 0), MATCH(TEXT(O$1, "0"), CAN_cf[#Headers], 0)), 0)</f>
        <v>0.23436164630191439</v>
      </c>
      <c r="P11" s="14">
        <f>IFERROR(INDEX(CAN_cf[], MATCH(VLOOKUP($A11, genSource_lookup[], 2, FALSE), CAN_cf[[_]:[_]], 0), MATCH(TEXT(P$1, "0"), CAN_cf[#Headers], 0)), 0)</f>
        <v>0.19185525724235303</v>
      </c>
      <c r="Q11" s="14">
        <f>IFERROR(INDEX(CAN_cf[], MATCH(VLOOKUP($A11, genSource_lookup[], 2, FALSE), CAN_cf[[_]:[_]], 0), MATCH(TEXT(Q$1, "0"), CAN_cf[#Headers], 0)), 0)</f>
        <v>0.24322096992723666</v>
      </c>
      <c r="R11" s="14">
        <f>IFERROR(INDEX(CAN_cf[], MATCH(VLOOKUP($A11, genSource_lookup[], 2, FALSE), CAN_cf[[_]:[_]], 0), MATCH(TEXT(R$1, "0"), CAN_cf[#Headers], 0)), 0)</f>
        <v>0.23315377145974137</v>
      </c>
      <c r="S11" s="14">
        <f>IFERROR(INDEX(CAN_cf[], MATCH(VLOOKUP($A11, genSource_lookup[], 2, FALSE), CAN_cf[[_]:[_]], 0), MATCH(TEXT(S$1, "0"), CAN_cf[#Headers], 0)), 0)</f>
        <v>0.22848987474585353</v>
      </c>
      <c r="T11" s="14">
        <f>IFERROR(INDEX(CAN_cf[], MATCH(VLOOKUP($A11, genSource_lookup[], 2, FALSE), CAN_cf[[_]:[_]], 0), MATCH(TEXT(T$1, "0"), CAN_cf[#Headers], 0)), 0)</f>
        <v>0.12374248742313884</v>
      </c>
      <c r="U11" s="14">
        <f>IFERROR(INDEX(CAN_cf[], MATCH(VLOOKUP($A11, genSource_lookup[], 2, FALSE), CAN_cf[[_]:[_]], 0), MATCH(TEXT(U$1, "0"), CAN_cf[#Headers], 0)), 0)</f>
        <v>0.18441611965790455</v>
      </c>
      <c r="V11" s="14">
        <f>IFERROR(INDEX(CAN_cf[], MATCH(VLOOKUP($A11, genSource_lookup[], 2, FALSE), CAN_cf[[_]:[_]], 0), MATCH(TEXT(V$1, "0"), CAN_cf[#Headers], 0)), 0)</f>
        <v>0.18321738856924966</v>
      </c>
      <c r="W11" s="14">
        <f>IFERROR(INDEX(CAN_cf[], MATCH(VLOOKUP($A11, genSource_lookup[], 2, FALSE), CAN_cf[[_]:[_]], 0), MATCH(TEXT(W$1, "0"), CAN_cf[#Headers], 0)), 0)</f>
        <v>0.18778540492203166</v>
      </c>
      <c r="X11" s="14">
        <f>IFERROR(INDEX(CAN_cf[], MATCH(VLOOKUP($A11, genSource_lookup[], 2, FALSE), CAN_cf[[_]:[_]], 0), MATCH(TEXT(X$1, "0"), CAN_cf[#Headers], 0)), 0)</f>
        <v>0.18612240811909075</v>
      </c>
      <c r="Y11" s="14">
        <f>IFERROR(INDEX(CAN_cf[], MATCH(VLOOKUP($A11, genSource_lookup[], 2, FALSE), CAN_cf[[_]:[_]], 0), MATCH(TEXT(Y$1, "0"), CAN_cf[#Headers], 0)), 0)</f>
        <v>0.42522133488159725</v>
      </c>
      <c r="Z11" s="14">
        <f>IFERROR(INDEX(CAN_cf[], MATCH(VLOOKUP($A11, genSource_lookup[], 2, FALSE), CAN_cf[[_]:[_]], 0), MATCH(TEXT(Z$1, "0"), CAN_cf[#Headers], 0)), 0)</f>
        <v>0.29712734449900907</v>
      </c>
      <c r="AA11" s="14">
        <f>IFERROR(INDEX(CAN_cf[], MATCH(VLOOKUP($A11, genSource_lookup[], 2, FALSE), CAN_cf[[_]:[_]], 0), MATCH(TEXT(AA$1, "0"), CAN_cf[#Headers], 0)), 0)</f>
        <v>0.31999260510331068</v>
      </c>
      <c r="AB11" s="14">
        <f>IFERROR(INDEX(CAN_cf[], MATCH(VLOOKUP($A11, genSource_lookup[], 2, FALSE), CAN_cf[[_]:[_]], 0), MATCH(TEXT(AB$1, "0"), CAN_cf[#Headers], 0)), 0)</f>
        <v>0.21872136798951258</v>
      </c>
      <c r="AC11" s="14">
        <f>IFERROR(INDEX(CAN_cf[], MATCH(VLOOKUP($A11, genSource_lookup[], 2, FALSE), CAN_cf[[_]:[_]], 0), MATCH(TEXT(AC$1, "0"), CAN_cf[#Headers], 0)), 0)</f>
        <v>0.21393930297347724</v>
      </c>
      <c r="AD11" s="14">
        <f>IFERROR(INDEX(CAN_cf[], MATCH(VLOOKUP($A11, genSource_lookup[], 2, FALSE), CAN_cf[[_]:[_]], 0), MATCH(TEXT(AD$1, "0"), CAN_cf[#Headers], 0)), 0)</f>
        <v>0.20888275935937356</v>
      </c>
      <c r="AE11" s="14">
        <f>IFERROR(INDEX(CAN_cf[], MATCH(VLOOKUP($A11, genSource_lookup[], 2, FALSE), CAN_cf[[_]:[_]], 0), MATCH(TEXT(AE$1, "0"), CAN_cf[#Headers], 0)), 0)</f>
        <v>0.21273171079771075</v>
      </c>
      <c r="AF11" s="14">
        <f>IFERROR(INDEX(CAN_cf[], MATCH(VLOOKUP($A11, genSource_lookup[], 2, FALSE), CAN_cf[[_]:[_]], 0), MATCH(TEXT(AF$1, "0"), CAN_cf[#Headers], 0)), 0)</f>
        <v>0.20802409028756971</v>
      </c>
      <c r="AG11" s="14">
        <f>IFERROR(INDEX(CAN_cf[], MATCH(VLOOKUP($A11, genSource_lookup[], 2, FALSE), CAN_cf[[_]:[_]], 0), MATCH(TEXT(AG$1, "0"), CAN_cf[#Headers], 0)), 0)</f>
        <v>0.21228163409031919</v>
      </c>
      <c r="AH11" s="14">
        <f>IFERROR(INDEX(CAN_cf[], MATCH(VLOOKUP($A11, genSource_lookup[], 2, FALSE), CAN_cf[[_]:[_]], 0), MATCH(TEXT(AH$1, "0"), CAN_cf[#Headers], 0)), 0)</f>
        <v>0.21586122143862657</v>
      </c>
    </row>
    <row r="12" spans="1:34" x14ac:dyDescent="0.3">
      <c r="A12" s="62" t="s">
        <v>94</v>
      </c>
      <c r="B12" s="63">
        <f>0.133*1.1</f>
        <v>0.14630000000000001</v>
      </c>
      <c r="C12" s="63">
        <f>B12</f>
        <v>0.14630000000000001</v>
      </c>
      <c r="D12" s="63">
        <f t="shared" ref="D12:AH12" si="2">C12</f>
        <v>0.14630000000000001</v>
      </c>
      <c r="E12" s="63">
        <f t="shared" si="2"/>
        <v>0.14630000000000001</v>
      </c>
      <c r="F12" s="63">
        <f t="shared" si="2"/>
        <v>0.14630000000000001</v>
      </c>
      <c r="G12" s="63">
        <f t="shared" si="2"/>
        <v>0.14630000000000001</v>
      </c>
      <c r="H12" s="63">
        <f t="shared" si="2"/>
        <v>0.14630000000000001</v>
      </c>
      <c r="I12" s="63">
        <f t="shared" si="2"/>
        <v>0.14630000000000001</v>
      </c>
      <c r="J12" s="63">
        <f t="shared" si="2"/>
        <v>0.14630000000000001</v>
      </c>
      <c r="K12" s="63">
        <f t="shared" si="2"/>
        <v>0.14630000000000001</v>
      </c>
      <c r="L12" s="63">
        <f t="shared" si="2"/>
        <v>0.14630000000000001</v>
      </c>
      <c r="M12" s="63">
        <f t="shared" si="2"/>
        <v>0.14630000000000001</v>
      </c>
      <c r="N12" s="63">
        <f t="shared" si="2"/>
        <v>0.14630000000000001</v>
      </c>
      <c r="O12" s="63">
        <f t="shared" si="2"/>
        <v>0.14630000000000001</v>
      </c>
      <c r="P12" s="63">
        <f t="shared" si="2"/>
        <v>0.14630000000000001</v>
      </c>
      <c r="Q12" s="63">
        <f t="shared" si="2"/>
        <v>0.14630000000000001</v>
      </c>
      <c r="R12" s="63">
        <f t="shared" si="2"/>
        <v>0.14630000000000001</v>
      </c>
      <c r="S12" s="63">
        <f t="shared" si="2"/>
        <v>0.14630000000000001</v>
      </c>
      <c r="T12" s="63">
        <f t="shared" si="2"/>
        <v>0.14630000000000001</v>
      </c>
      <c r="U12" s="63">
        <f t="shared" si="2"/>
        <v>0.14630000000000001</v>
      </c>
      <c r="V12" s="63">
        <f t="shared" si="2"/>
        <v>0.14630000000000001</v>
      </c>
      <c r="W12" s="63">
        <f t="shared" si="2"/>
        <v>0.14630000000000001</v>
      </c>
      <c r="X12" s="63">
        <f t="shared" si="2"/>
        <v>0.14630000000000001</v>
      </c>
      <c r="Y12" s="63">
        <f t="shared" si="2"/>
        <v>0.14630000000000001</v>
      </c>
      <c r="Z12" s="63">
        <f t="shared" si="2"/>
        <v>0.14630000000000001</v>
      </c>
      <c r="AA12" s="63">
        <f t="shared" si="2"/>
        <v>0.14630000000000001</v>
      </c>
      <c r="AB12" s="63">
        <f t="shared" si="2"/>
        <v>0.14630000000000001</v>
      </c>
      <c r="AC12" s="63">
        <f t="shared" si="2"/>
        <v>0.14630000000000001</v>
      </c>
      <c r="AD12" s="63">
        <f t="shared" si="2"/>
        <v>0.14630000000000001</v>
      </c>
      <c r="AE12" s="63">
        <f t="shared" si="2"/>
        <v>0.14630000000000001</v>
      </c>
      <c r="AF12" s="63">
        <f t="shared" si="2"/>
        <v>0.14630000000000001</v>
      </c>
      <c r="AG12" s="63">
        <f t="shared" si="2"/>
        <v>0.14630000000000001</v>
      </c>
      <c r="AH12" s="63">
        <f t="shared" si="2"/>
        <v>0.14630000000000001</v>
      </c>
    </row>
    <row r="13" spans="1:34" x14ac:dyDescent="0.3">
      <c r="A13" s="73" t="s">
        <v>95</v>
      </c>
      <c r="B13" s="14">
        <f>IFERROR(INDEX(CAN_cf[], MATCH(VLOOKUP($A13, genSource_lookup[], 2, FALSE), CAN_cf[[_]:[_]], 0), MATCH(TEXT(B$1, "0"), CAN_cf[#Headers], 0)), 0)</f>
        <v>0.59472875665869829</v>
      </c>
      <c r="C13" s="14">
        <f>IFERROR(INDEX(CAN_cf[], MATCH(VLOOKUP($A13, genSource_lookup[], 2, FALSE), CAN_cf[[_]:[_]], 0), MATCH(TEXT(C$1, "0"), CAN_cf[#Headers], 0)), 0)</f>
        <v>0.56299083955706397</v>
      </c>
      <c r="D13" s="14">
        <f>IFERROR(INDEX(CAN_cf[], MATCH(VLOOKUP($A13, genSource_lookup[], 2, FALSE), CAN_cf[[_]:[_]], 0), MATCH(TEXT(D$1, "0"), CAN_cf[#Headers], 0)), 0)</f>
        <v>0.59310376256607955</v>
      </c>
      <c r="E13" s="14">
        <f>IFERROR(INDEX(CAN_cf[], MATCH(VLOOKUP($A13, genSource_lookup[], 2, FALSE), CAN_cf[[_]:[_]], 0), MATCH(TEXT(E$1, "0"), CAN_cf[#Headers], 0)), 0)</f>
        <v>0.72564865613825835</v>
      </c>
      <c r="F13" s="14">
        <f>IFERROR(INDEX(CAN_cf[], MATCH(VLOOKUP($A13, genSource_lookup[], 2, FALSE), CAN_cf[[_]:[_]], 0), MATCH(TEXT(F$1, "0"), CAN_cf[#Headers], 0)), 0)</f>
        <v>0.60131790827232001</v>
      </c>
      <c r="G13" s="14">
        <f>IFERROR(INDEX(CAN_cf[], MATCH(VLOOKUP($A13, genSource_lookup[], 2, FALSE), CAN_cf[[_]:[_]], 0), MATCH(TEXT(G$1, "0"), CAN_cf[#Headers], 0)), 0)</f>
        <v>0.57957030422133593</v>
      </c>
      <c r="H13" s="14">
        <f>IFERROR(INDEX(CAN_cf[], MATCH(VLOOKUP($A13, genSource_lookup[], 2, FALSE), CAN_cf[[_]:[_]], 0), MATCH(TEXT(H$1, "0"), CAN_cf[#Headers], 0)), 0)</f>
        <v>0.5646301755197195</v>
      </c>
      <c r="I13" s="14">
        <f>IFERROR(INDEX(CAN_cf[], MATCH(VLOOKUP($A13, genSource_lookup[], 2, FALSE), CAN_cf[[_]:[_]], 0), MATCH(TEXT(I$1, "0"), CAN_cf[#Headers], 0)), 0)</f>
        <v>0.5214253832469542</v>
      </c>
      <c r="J13" s="14">
        <f>IFERROR(INDEX(CAN_cf[], MATCH(VLOOKUP($A13, genSource_lookup[], 2, FALSE), CAN_cf[[_]:[_]], 0), MATCH(TEXT(J$1, "0"), CAN_cf[#Headers], 0)), 0)</f>
        <v>0.52015088346237837</v>
      </c>
      <c r="K13" s="14">
        <f>IFERROR(INDEX(CAN_cf[], MATCH(VLOOKUP($A13, genSource_lookup[], 2, FALSE), CAN_cf[[_]:[_]], 0), MATCH(TEXT(K$1, "0"), CAN_cf[#Headers], 0)), 0)</f>
        <v>0.52258959376291125</v>
      </c>
      <c r="L13" s="14">
        <f>IFERROR(INDEX(CAN_cf[], MATCH(VLOOKUP($A13, genSource_lookup[], 2, FALSE), CAN_cf[[_]:[_]], 0), MATCH(TEXT(L$1, "0"), CAN_cf[#Headers], 0)), 0)</f>
        <v>0.42993764745534208</v>
      </c>
      <c r="M13" s="14">
        <f>IFERROR(INDEX(CAN_cf[], MATCH(VLOOKUP($A13, genSource_lookup[], 2, FALSE), CAN_cf[[_]:[_]], 0), MATCH(TEXT(M$1, "0"), CAN_cf[#Headers], 0)), 0)</f>
        <v>0.43359604046336181</v>
      </c>
      <c r="N13" s="14">
        <f>IFERROR(INDEX(CAN_cf[], MATCH(VLOOKUP($A13, genSource_lookup[], 2, FALSE), CAN_cf[[_]:[_]], 0), MATCH(TEXT(N$1, "0"), CAN_cf[#Headers], 0)), 0)</f>
        <v>0.42991513959490468</v>
      </c>
      <c r="O13" s="14">
        <f>IFERROR(INDEX(CAN_cf[], MATCH(VLOOKUP($A13, genSource_lookup[], 2, FALSE), CAN_cf[[_]:[_]], 0), MATCH(TEXT(O$1, "0"), CAN_cf[#Headers], 0)), 0)</f>
        <v>0.43917856697646718</v>
      </c>
      <c r="P13" s="14">
        <f>IFERROR(INDEX(CAN_cf[], MATCH(VLOOKUP($A13, genSource_lookup[], 2, FALSE), CAN_cf[[_]:[_]], 0), MATCH(TEXT(P$1, "0"), CAN_cf[#Headers], 0)), 0)</f>
        <v>0.37325362087990727</v>
      </c>
      <c r="Q13" s="14">
        <f>IFERROR(INDEX(CAN_cf[], MATCH(VLOOKUP($A13, genSource_lookup[], 2, FALSE), CAN_cf[[_]:[_]], 0), MATCH(TEXT(Q$1, "0"), CAN_cf[#Headers], 0)), 0)</f>
        <v>0.37990094232909033</v>
      </c>
      <c r="R13" s="14">
        <f>IFERROR(INDEX(CAN_cf[], MATCH(VLOOKUP($A13, genSource_lookup[], 2, FALSE), CAN_cf[[_]:[_]], 0), MATCH(TEXT(R$1, "0"), CAN_cf[#Headers], 0)), 0)</f>
        <v>0.37820996717315125</v>
      </c>
      <c r="S13" s="14">
        <f>IFERROR(INDEX(CAN_cf[], MATCH(VLOOKUP($A13, genSource_lookup[], 2, FALSE), CAN_cf[[_]:[_]], 0), MATCH(TEXT(S$1, "0"), CAN_cf[#Headers], 0)), 0)</f>
        <v>0.38920863219203145</v>
      </c>
      <c r="T13" s="14">
        <f>IFERROR(INDEX(CAN_cf[], MATCH(VLOOKUP($A13, genSource_lookup[], 2, FALSE), CAN_cf[[_]:[_]], 0), MATCH(TEXT(T$1, "0"), CAN_cf[#Headers], 0)), 0)</f>
        <v>0.36907482870446945</v>
      </c>
      <c r="U13" s="14">
        <f>IFERROR(INDEX(CAN_cf[], MATCH(VLOOKUP($A13, genSource_lookup[], 2, FALSE), CAN_cf[[_]:[_]], 0), MATCH(TEXT(U$1, "0"), CAN_cf[#Headers], 0)), 0)</f>
        <v>0.28442305079539482</v>
      </c>
      <c r="V13" s="14">
        <f>IFERROR(INDEX(CAN_cf[], MATCH(VLOOKUP($A13, genSource_lookup[], 2, FALSE), CAN_cf[[_]:[_]], 0), MATCH(TEXT(V$1, "0"), CAN_cf[#Headers], 0)), 0)</f>
        <v>0.28133657634667752</v>
      </c>
      <c r="W13" s="14">
        <f>IFERROR(INDEX(CAN_cf[], MATCH(VLOOKUP($A13, genSource_lookup[], 2, FALSE), CAN_cf[[_]:[_]], 0), MATCH(TEXT(W$1, "0"), CAN_cf[#Headers], 0)), 0)</f>
        <v>0.27566892843425939</v>
      </c>
      <c r="X13" s="14">
        <f>IFERROR(INDEX(CAN_cf[], MATCH(VLOOKUP($A13, genSource_lookup[], 2, FALSE), CAN_cf[[_]:[_]], 0), MATCH(TEXT(X$1, "0"), CAN_cf[#Headers], 0)), 0)</f>
        <v>0.27017864353032706</v>
      </c>
      <c r="Y13" s="14">
        <f>IFERROR(INDEX(CAN_cf[], MATCH(VLOOKUP($A13, genSource_lookup[], 2, FALSE), CAN_cf[[_]:[_]], 0), MATCH(TEXT(Y$1, "0"), CAN_cf[#Headers], 0)), 0)</f>
        <v>0.38082496194824961</v>
      </c>
      <c r="Z13" s="14">
        <f>IFERROR(INDEX(CAN_cf[], MATCH(VLOOKUP($A13, genSource_lookup[], 2, FALSE), CAN_cf[[_]:[_]], 0), MATCH(TEXT(Z$1, "0"), CAN_cf[#Headers], 0)), 0)</f>
        <v>0.3705799086757991</v>
      </c>
      <c r="AA13" s="14">
        <f>IFERROR(INDEX(CAN_cf[], MATCH(VLOOKUP($A13, genSource_lookup[], 2, FALSE), CAN_cf[[_]:[_]], 0), MATCH(TEXT(AA$1, "0"), CAN_cf[#Headers], 0)), 0)</f>
        <v>0.35578538812785387</v>
      </c>
      <c r="AB13" s="14">
        <f>IFERROR(INDEX(CAN_cf[], MATCH(VLOOKUP($A13, genSource_lookup[], 2, FALSE), CAN_cf[[_]:[_]], 0), MATCH(TEXT(AB$1, "0"), CAN_cf[#Headers], 0)), 0)</f>
        <v>0.33108371385083712</v>
      </c>
      <c r="AC13" s="14">
        <f>IFERROR(INDEX(CAN_cf[], MATCH(VLOOKUP($A13, genSource_lookup[], 2, FALSE), CAN_cf[[_]:[_]], 0), MATCH(TEXT(AC$1, "0"), CAN_cf[#Headers], 0)), 0)</f>
        <v>0.31240943683409439</v>
      </c>
      <c r="AD13" s="14">
        <f>IFERROR(INDEX(CAN_cf[], MATCH(VLOOKUP($A13, genSource_lookup[], 2, FALSE), CAN_cf[[_]:[_]], 0), MATCH(TEXT(AD$1, "0"), CAN_cf[#Headers], 0)), 0)</f>
        <v>0.29144444444444445</v>
      </c>
      <c r="AE13" s="14">
        <f>IFERROR(INDEX(CAN_cf[], MATCH(VLOOKUP($A13, genSource_lookup[], 2, FALSE), CAN_cf[[_]:[_]], 0), MATCH(TEXT(AE$1, "0"), CAN_cf[#Headers], 0)), 0)</f>
        <v>0.30611415525114155</v>
      </c>
      <c r="AF13" s="14">
        <f>IFERROR(INDEX(CAN_cf[], MATCH(VLOOKUP($A13, genSource_lookup[], 2, FALSE), CAN_cf[[_]:[_]], 0), MATCH(TEXT(AF$1, "0"), CAN_cf[#Headers], 0)), 0)</f>
        <v>0.2919391171993912</v>
      </c>
      <c r="AG13" s="14">
        <f>IFERROR(INDEX(CAN_cf[], MATCH(VLOOKUP($A13, genSource_lookup[], 2, FALSE), CAN_cf[[_]:[_]], 0), MATCH(TEXT(AG$1, "0"), CAN_cf[#Headers], 0)), 0)</f>
        <v>0.27119482496194824</v>
      </c>
      <c r="AH13" s="14">
        <f>IFERROR(INDEX(CAN_cf[], MATCH(VLOOKUP($A13, genSource_lookup[], 2, FALSE), CAN_cf[[_]:[_]], 0), MATCH(TEXT(AH$1, "0"), CAN_cf[#Headers], 0)), 0)</f>
        <v>0.26171537290715374</v>
      </c>
    </row>
    <row r="14" spans="1:34" x14ac:dyDescent="0.3">
      <c r="A14" s="71" t="s">
        <v>96</v>
      </c>
      <c r="B14" s="72">
        <f>C14</f>
        <v>0.48769523684708904</v>
      </c>
      <c r="C14" s="72">
        <f>'U.S. NREL ATB 2021'!F154</f>
        <v>0.48769523684708904</v>
      </c>
      <c r="D14" s="72">
        <f>'U.S. NREL ATB 2022'!F154</f>
        <v>0.49179368897361969</v>
      </c>
      <c r="E14" s="72">
        <f>'U.S. NREL ATB 2022'!G154</f>
        <v>0.49770158703445572</v>
      </c>
      <c r="F14" s="72">
        <f>'U.S. NREL ATB 2022'!H154</f>
        <v>0.50295712800238879</v>
      </c>
      <c r="G14" s="72">
        <f>'U.S. NREL ATB 2022'!I154</f>
        <v>0.50780003916098659</v>
      </c>
      <c r="H14" s="72">
        <f>'U.S. NREL ATB 2022'!J154</f>
        <v>0.51235819834388641</v>
      </c>
      <c r="I14" s="72">
        <f>'U.S. NREL ATB 2022'!K154</f>
        <v>0.51670793722182362</v>
      </c>
      <c r="J14" s="72">
        <f>'U.S. NREL ATB 2022'!L154</f>
        <v>0.52089849128751742</v>
      </c>
      <c r="K14" s="72">
        <f>'U.S. NREL ATB 2022'!M154</f>
        <v>0.52496347818975675</v>
      </c>
      <c r="L14" s="72">
        <f>'U.S. NREL ATB 2022'!N154</f>
        <v>0.5289268760291459</v>
      </c>
      <c r="M14" s="72">
        <f>'U.S. NREL ATB 2022'!O154</f>
        <v>0.53280638934835378</v>
      </c>
      <c r="N14" s="72">
        <f>'U.S. NREL ATB 2022'!P154</f>
        <v>0.53661546317226139</v>
      </c>
      <c r="O14" s="72">
        <f>'U.S. NREL ATB 2022'!Q154</f>
        <v>0.53836454853125437</v>
      </c>
      <c r="P14" s="72">
        <f>'U.S. NREL ATB 2022'!R154</f>
        <v>0.54006193031628746</v>
      </c>
      <c r="Q14" s="72">
        <f>'U.S. NREL ATB 2022'!S154</f>
        <v>0.54171428740919136</v>
      </c>
      <c r="R14" s="72">
        <f>'U.S. NREL ATB 2022'!T154</f>
        <v>0.5433270827033736</v>
      </c>
      <c r="S14" s="72">
        <f>'U.S. NREL ATB 2022'!U154</f>
        <v>0.54490484147488527</v>
      </c>
      <c r="T14" s="72">
        <f>'U.S. NREL ATB 2022'!V154</f>
        <v>0.54645135438946035</v>
      </c>
      <c r="U14" s="72">
        <f>'U.S. NREL ATB 2022'!W154</f>
        <v>0.54796982837712416</v>
      </c>
      <c r="V14" s="72">
        <f>'U.S. NREL ATB 2022'!X154</f>
        <v>0.54946300065778508</v>
      </c>
      <c r="W14" s="72">
        <f>'U.S. NREL ATB 2022'!Y154</f>
        <v>0.55093322621651331</v>
      </c>
      <c r="X14" s="72">
        <f>'U.S. NREL ATB 2022'!Z154</f>
        <v>0.55238254581810975</v>
      </c>
      <c r="Y14" s="72">
        <f>'U.S. NREL ATB 2022'!AA154</f>
        <v>0.55381273953572185</v>
      </c>
      <c r="Z14" s="72">
        <f>'U.S. NREL ATB 2022'!AB154</f>
        <v>0.5552253693450574</v>
      </c>
      <c r="AA14" s="72">
        <f>'U.S. NREL ATB 2022'!AC154</f>
        <v>0.5566218133596289</v>
      </c>
      <c r="AB14" s="72">
        <f>'U.S. NREL ATB 2022'!AD154</f>
        <v>0.55800329360141576</v>
      </c>
      <c r="AC14" s="72">
        <f>'U.S. NREL ATB 2022'!AE154</f>
        <v>0.55937089871862156</v>
      </c>
      <c r="AD14" s="72">
        <f>'U.S. NREL ATB 2022'!AF154</f>
        <v>0.56072560271516125</v>
      </c>
      <c r="AE14" s="72">
        <f>'U.S. NREL ATB 2022'!AG154</f>
        <v>0.56206828050365498</v>
      </c>
      <c r="AF14" s="72">
        <f>'U.S. NREL ATB 2022'!AH154</f>
        <v>0.56339972090725576</v>
      </c>
      <c r="AG14" s="72">
        <f>'U.S. NREL ATB 2022'!AI154</f>
        <v>0.56472063759655866</v>
      </c>
      <c r="AH14" s="72">
        <f>'U.S. NREL ATB 2022'!AJ154</f>
        <v>0.56603167834304391</v>
      </c>
    </row>
    <row r="15" spans="1:34" x14ac:dyDescent="0.3">
      <c r="A15" s="73" t="s">
        <v>97</v>
      </c>
      <c r="B15" s="14">
        <f>IFERROR(INDEX(CAN_cf[], MATCH(VLOOKUP($A15, genSource_lookup[], 2, FALSE), CAN_cf[[_]:[_]], 0), MATCH(TEXT(B$1, "0"), CAN_cf[#Headers], 0)), 0)</f>
        <v>0.13230750666194346</v>
      </c>
      <c r="C15" s="14">
        <f>IFERROR(INDEX(CAN_cf[], MATCH(VLOOKUP($A15, genSource_lookup[], 2, FALSE), CAN_cf[[_]:[_]], 0), MATCH(TEXT(C$1, "0"), CAN_cf[#Headers], 0)), 0)</f>
        <v>0.1171532780184619</v>
      </c>
      <c r="D15" s="14">
        <f>IFERROR(INDEX(CAN_cf[], MATCH(VLOOKUP($A15, genSource_lookup[], 2, FALSE), CAN_cf[[_]:[_]], 0), MATCH(TEXT(D$1, "0"), CAN_cf[#Headers], 0)), 0)</f>
        <v>0.12795108802455094</v>
      </c>
      <c r="E15" s="14">
        <f>IFERROR(INDEX(CAN_cf[], MATCH(VLOOKUP($A15, genSource_lookup[], 2, FALSE), CAN_cf[[_]:[_]], 0), MATCH(TEXT(E$1, "0"), CAN_cf[#Headers], 0)), 0)</f>
        <v>0.1458041349325884</v>
      </c>
      <c r="F15" s="14">
        <f>IFERROR(INDEX(CAN_cf[], MATCH(VLOOKUP($A15, genSource_lookup[], 2, FALSE), CAN_cf[[_]:[_]], 0), MATCH(TEXT(F$1, "0"), CAN_cf[#Headers], 0)), 0)</f>
        <v>0.1437628593230213</v>
      </c>
      <c r="G15" s="14">
        <f>IFERROR(INDEX(CAN_cf[], MATCH(VLOOKUP($A15, genSource_lookup[], 2, FALSE), CAN_cf[[_]:[_]], 0), MATCH(TEXT(G$1, "0"), CAN_cf[#Headers], 0)), 0)</f>
        <v>0.20273662024764164</v>
      </c>
      <c r="H15" s="14">
        <f>IFERROR(INDEX(CAN_cf[], MATCH(VLOOKUP($A15, genSource_lookup[], 2, FALSE), CAN_cf[[_]:[_]], 0), MATCH(TEXT(H$1, "0"), CAN_cf[#Headers], 0)), 0)</f>
        <v>0.16460786174698572</v>
      </c>
      <c r="I15" s="14">
        <f>IFERROR(INDEX(CAN_cf[], MATCH(VLOOKUP($A15, genSource_lookup[], 2, FALSE), CAN_cf[[_]:[_]], 0), MATCH(TEXT(I$1, "0"), CAN_cf[#Headers], 0)), 0)</f>
        <v>0.15687450070525463</v>
      </c>
      <c r="J15" s="14">
        <f>IFERROR(INDEX(CAN_cf[], MATCH(VLOOKUP($A15, genSource_lookup[], 2, FALSE), CAN_cf[[_]:[_]], 0), MATCH(TEXT(J$1, "0"), CAN_cf[#Headers], 0)), 0)</f>
        <v>0.18170877615234451</v>
      </c>
      <c r="K15" s="14">
        <f>IFERROR(INDEX(CAN_cf[], MATCH(VLOOKUP($A15, genSource_lookup[], 2, FALSE), CAN_cf[[_]:[_]], 0), MATCH(TEXT(K$1, "0"), CAN_cf[#Headers], 0)), 0)</f>
        <v>0.13314894485126985</v>
      </c>
      <c r="L15" s="14">
        <f>IFERROR(INDEX(CAN_cf[], MATCH(VLOOKUP($A15, genSource_lookup[], 2, FALSE), CAN_cf[[_]:[_]], 0), MATCH(TEXT(L$1, "0"), CAN_cf[#Headers], 0)), 0)</f>
        <v>0.14148458752959475</v>
      </c>
      <c r="M15" s="14">
        <f>IFERROR(INDEX(CAN_cf[], MATCH(VLOOKUP($A15, genSource_lookup[], 2, FALSE), CAN_cf[[_]:[_]], 0), MATCH(TEXT(M$1, "0"), CAN_cf[#Headers], 0)), 0)</f>
        <v>0.16499127693041396</v>
      </c>
      <c r="N15" s="14">
        <f>IFERROR(INDEX(CAN_cf[], MATCH(VLOOKUP($A15, genSource_lookup[], 2, FALSE), CAN_cf[[_]:[_]], 0), MATCH(TEXT(N$1, "0"), CAN_cf[#Headers], 0)), 0)</f>
        <v>0.1685068265927889</v>
      </c>
      <c r="O15" s="14">
        <f>IFERROR(INDEX(CAN_cf[], MATCH(VLOOKUP($A15, genSource_lookup[], 2, FALSE), CAN_cf[[_]:[_]], 0), MATCH(TEXT(O$1, "0"), CAN_cf[#Headers], 0)), 0)</f>
        <v>0.23436164630191439</v>
      </c>
      <c r="P15" s="14">
        <f>IFERROR(INDEX(CAN_cf[], MATCH(VLOOKUP($A15, genSource_lookup[], 2, FALSE), CAN_cf[[_]:[_]], 0), MATCH(TEXT(P$1, "0"), CAN_cf[#Headers], 0)), 0)</f>
        <v>0.19185525724235303</v>
      </c>
      <c r="Q15" s="14">
        <f>IFERROR(INDEX(CAN_cf[], MATCH(VLOOKUP($A15, genSource_lookup[], 2, FALSE), CAN_cf[[_]:[_]], 0), MATCH(TEXT(Q$1, "0"), CAN_cf[#Headers], 0)), 0)</f>
        <v>0.24322096992723666</v>
      </c>
      <c r="R15" s="14">
        <f>IFERROR(INDEX(CAN_cf[], MATCH(VLOOKUP($A15, genSource_lookup[], 2, FALSE), CAN_cf[[_]:[_]], 0), MATCH(TEXT(R$1, "0"), CAN_cf[#Headers], 0)), 0)</f>
        <v>0.23315377145974137</v>
      </c>
      <c r="S15" s="14">
        <f>IFERROR(INDEX(CAN_cf[], MATCH(VLOOKUP($A15, genSource_lookup[], 2, FALSE), CAN_cf[[_]:[_]], 0), MATCH(TEXT(S$1, "0"), CAN_cf[#Headers], 0)), 0)</f>
        <v>0.22848987474585353</v>
      </c>
      <c r="T15" s="14">
        <f>IFERROR(INDEX(CAN_cf[], MATCH(VLOOKUP($A15, genSource_lookup[], 2, FALSE), CAN_cf[[_]:[_]], 0), MATCH(TEXT(T$1, "0"), CAN_cf[#Headers], 0)), 0)</f>
        <v>0.12374248742313884</v>
      </c>
      <c r="U15" s="14">
        <f>IFERROR(INDEX(CAN_cf[], MATCH(VLOOKUP($A15, genSource_lookup[], 2, FALSE), CAN_cf[[_]:[_]], 0), MATCH(TEXT(U$1, "0"), CAN_cf[#Headers], 0)), 0)</f>
        <v>0.18441611965790455</v>
      </c>
      <c r="V15" s="14">
        <f>IFERROR(INDEX(CAN_cf[], MATCH(VLOOKUP($A15, genSource_lookup[], 2, FALSE), CAN_cf[[_]:[_]], 0), MATCH(TEXT(V$1, "0"), CAN_cf[#Headers], 0)), 0)</f>
        <v>0.18321738856924966</v>
      </c>
      <c r="W15" s="14">
        <f>IFERROR(INDEX(CAN_cf[], MATCH(VLOOKUP($A15, genSource_lookup[], 2, FALSE), CAN_cf[[_]:[_]], 0), MATCH(TEXT(W$1, "0"), CAN_cf[#Headers], 0)), 0)</f>
        <v>0.18778540492203166</v>
      </c>
      <c r="X15" s="14">
        <f>IFERROR(INDEX(CAN_cf[], MATCH(VLOOKUP($A15, genSource_lookup[], 2, FALSE), CAN_cf[[_]:[_]], 0), MATCH(TEXT(X$1, "0"), CAN_cf[#Headers], 0)), 0)</f>
        <v>0.18612240811909075</v>
      </c>
      <c r="Y15" s="14">
        <f>IFERROR(INDEX(CAN_cf[], MATCH(VLOOKUP($A15, genSource_lookup[], 2, FALSE), CAN_cf[[_]:[_]], 0), MATCH(TEXT(Y$1, "0"), CAN_cf[#Headers], 0)), 0)</f>
        <v>0.42522133488159725</v>
      </c>
      <c r="Z15" s="14">
        <f>IFERROR(INDEX(CAN_cf[], MATCH(VLOOKUP($A15, genSource_lookup[], 2, FALSE), CAN_cf[[_]:[_]], 0), MATCH(TEXT(Z$1, "0"), CAN_cf[#Headers], 0)), 0)</f>
        <v>0.29712734449900907</v>
      </c>
      <c r="AA15" s="14">
        <f>IFERROR(INDEX(CAN_cf[], MATCH(VLOOKUP($A15, genSource_lookup[], 2, FALSE), CAN_cf[[_]:[_]], 0), MATCH(TEXT(AA$1, "0"), CAN_cf[#Headers], 0)), 0)</f>
        <v>0.31999260510331068</v>
      </c>
      <c r="AB15" s="14">
        <f>IFERROR(INDEX(CAN_cf[], MATCH(VLOOKUP($A15, genSource_lookup[], 2, FALSE), CAN_cf[[_]:[_]], 0), MATCH(TEXT(AB$1, "0"), CAN_cf[#Headers], 0)), 0)</f>
        <v>0.21872136798951258</v>
      </c>
      <c r="AC15" s="14">
        <f>IFERROR(INDEX(CAN_cf[], MATCH(VLOOKUP($A15, genSource_lookup[], 2, FALSE), CAN_cf[[_]:[_]], 0), MATCH(TEXT(AC$1, "0"), CAN_cf[#Headers], 0)), 0)</f>
        <v>0.21393930297347724</v>
      </c>
      <c r="AD15" s="14">
        <f>IFERROR(INDEX(CAN_cf[], MATCH(VLOOKUP($A15, genSource_lookup[], 2, FALSE), CAN_cf[[_]:[_]], 0), MATCH(TEXT(AD$1, "0"), CAN_cf[#Headers], 0)), 0)</f>
        <v>0.20888275935937356</v>
      </c>
      <c r="AE15" s="14">
        <f>IFERROR(INDEX(CAN_cf[], MATCH(VLOOKUP($A15, genSource_lookup[], 2, FALSE), CAN_cf[[_]:[_]], 0), MATCH(TEXT(AE$1, "0"), CAN_cf[#Headers], 0)), 0)</f>
        <v>0.21273171079771075</v>
      </c>
      <c r="AF15" s="14">
        <f>IFERROR(INDEX(CAN_cf[], MATCH(VLOOKUP($A15, genSource_lookup[], 2, FALSE), CAN_cf[[_]:[_]], 0), MATCH(TEXT(AF$1, "0"), CAN_cf[#Headers], 0)), 0)</f>
        <v>0.20802409028756971</v>
      </c>
      <c r="AG15" s="14">
        <f>IFERROR(INDEX(CAN_cf[], MATCH(VLOOKUP($A15, genSource_lookup[], 2, FALSE), CAN_cf[[_]:[_]], 0), MATCH(TEXT(AG$1, "0"), CAN_cf[#Headers], 0)), 0)</f>
        <v>0.21228163409031919</v>
      </c>
      <c r="AH15" s="14">
        <f>IFERROR(INDEX(CAN_cf[], MATCH(VLOOKUP($A15, genSource_lookup[], 2, FALSE), CAN_cf[[_]:[_]], 0), MATCH(TEXT(AH$1, "0"), CAN_cf[#Headers], 0)), 0)</f>
        <v>0.21586122143862657</v>
      </c>
    </row>
    <row r="16" spans="1:34" x14ac:dyDescent="0.3">
      <c r="A16" s="73" t="s">
        <v>98</v>
      </c>
      <c r="B16" s="14">
        <f>IFERROR(INDEX(CAN_cf[], MATCH(VLOOKUP($A16, genSource_lookup[], 2, FALSE), CAN_cf[[_]:[_]], 0), MATCH(TEXT(B$1, "0"), CAN_cf[#Headers], 0)), 0)</f>
        <v>0.13230750666194346</v>
      </c>
      <c r="C16" s="14">
        <f>IFERROR(INDEX(CAN_cf[], MATCH(VLOOKUP($A16, genSource_lookup[], 2, FALSE), CAN_cf[[_]:[_]], 0), MATCH(TEXT(C$1, "0"), CAN_cf[#Headers], 0)), 0)</f>
        <v>0.1171532780184619</v>
      </c>
      <c r="D16" s="14">
        <f>IFERROR(INDEX(CAN_cf[], MATCH(VLOOKUP($A16, genSource_lookup[], 2, FALSE), CAN_cf[[_]:[_]], 0), MATCH(TEXT(D$1, "0"), CAN_cf[#Headers], 0)), 0)</f>
        <v>0.12795108802455094</v>
      </c>
      <c r="E16" s="14">
        <f>IFERROR(INDEX(CAN_cf[], MATCH(VLOOKUP($A16, genSource_lookup[], 2, FALSE), CAN_cf[[_]:[_]], 0), MATCH(TEXT(E$1, "0"), CAN_cf[#Headers], 0)), 0)</f>
        <v>0.1458041349325884</v>
      </c>
      <c r="F16" s="14">
        <f>IFERROR(INDEX(CAN_cf[], MATCH(VLOOKUP($A16, genSource_lookup[], 2, FALSE), CAN_cf[[_]:[_]], 0), MATCH(TEXT(F$1, "0"), CAN_cf[#Headers], 0)), 0)</f>
        <v>0.1437628593230213</v>
      </c>
      <c r="G16" s="14">
        <f>IFERROR(INDEX(CAN_cf[], MATCH(VLOOKUP($A16, genSource_lookup[], 2, FALSE), CAN_cf[[_]:[_]], 0), MATCH(TEXT(G$1, "0"), CAN_cf[#Headers], 0)), 0)</f>
        <v>0.20273662024764164</v>
      </c>
      <c r="H16" s="14">
        <f>IFERROR(INDEX(CAN_cf[], MATCH(VLOOKUP($A16, genSource_lookup[], 2, FALSE), CAN_cf[[_]:[_]], 0), MATCH(TEXT(H$1, "0"), CAN_cf[#Headers], 0)), 0)</f>
        <v>0.16460786174698572</v>
      </c>
      <c r="I16" s="14">
        <f>IFERROR(INDEX(CAN_cf[], MATCH(VLOOKUP($A16, genSource_lookup[], 2, FALSE), CAN_cf[[_]:[_]], 0), MATCH(TEXT(I$1, "0"), CAN_cf[#Headers], 0)), 0)</f>
        <v>0.15687450070525463</v>
      </c>
      <c r="J16" s="14">
        <f>IFERROR(INDEX(CAN_cf[], MATCH(VLOOKUP($A16, genSource_lookup[], 2, FALSE), CAN_cf[[_]:[_]], 0), MATCH(TEXT(J$1, "0"), CAN_cf[#Headers], 0)), 0)</f>
        <v>0.18170877615234451</v>
      </c>
      <c r="K16" s="14">
        <f>IFERROR(INDEX(CAN_cf[], MATCH(VLOOKUP($A16, genSource_lookup[], 2, FALSE), CAN_cf[[_]:[_]], 0), MATCH(TEXT(K$1, "0"), CAN_cf[#Headers], 0)), 0)</f>
        <v>0.13314894485126985</v>
      </c>
      <c r="L16" s="14">
        <f>IFERROR(INDEX(CAN_cf[], MATCH(VLOOKUP($A16, genSource_lookup[], 2, FALSE), CAN_cf[[_]:[_]], 0), MATCH(TEXT(L$1, "0"), CAN_cf[#Headers], 0)), 0)</f>
        <v>0.14148458752959475</v>
      </c>
      <c r="M16" s="14">
        <f>IFERROR(INDEX(CAN_cf[], MATCH(VLOOKUP($A16, genSource_lookup[], 2, FALSE), CAN_cf[[_]:[_]], 0), MATCH(TEXT(M$1, "0"), CAN_cf[#Headers], 0)), 0)</f>
        <v>0.16499127693041396</v>
      </c>
      <c r="N16" s="14">
        <f>IFERROR(INDEX(CAN_cf[], MATCH(VLOOKUP($A16, genSource_lookup[], 2, FALSE), CAN_cf[[_]:[_]], 0), MATCH(TEXT(N$1, "0"), CAN_cf[#Headers], 0)), 0)</f>
        <v>0.1685068265927889</v>
      </c>
      <c r="O16" s="14">
        <f>IFERROR(INDEX(CAN_cf[], MATCH(VLOOKUP($A16, genSource_lookup[], 2, FALSE), CAN_cf[[_]:[_]], 0), MATCH(TEXT(O$1, "0"), CAN_cf[#Headers], 0)), 0)</f>
        <v>0.23436164630191439</v>
      </c>
      <c r="P16" s="14">
        <f>IFERROR(INDEX(CAN_cf[], MATCH(VLOOKUP($A16, genSource_lookup[], 2, FALSE), CAN_cf[[_]:[_]], 0), MATCH(TEXT(P$1, "0"), CAN_cf[#Headers], 0)), 0)</f>
        <v>0.19185525724235303</v>
      </c>
      <c r="Q16" s="14">
        <f>IFERROR(INDEX(CAN_cf[], MATCH(VLOOKUP($A16, genSource_lookup[], 2, FALSE), CAN_cf[[_]:[_]], 0), MATCH(TEXT(Q$1, "0"), CAN_cf[#Headers], 0)), 0)</f>
        <v>0.24322096992723666</v>
      </c>
      <c r="R16" s="14">
        <f>IFERROR(INDEX(CAN_cf[], MATCH(VLOOKUP($A16, genSource_lookup[], 2, FALSE), CAN_cf[[_]:[_]], 0), MATCH(TEXT(R$1, "0"), CAN_cf[#Headers], 0)), 0)</f>
        <v>0.23315377145974137</v>
      </c>
      <c r="S16" s="14">
        <f>IFERROR(INDEX(CAN_cf[], MATCH(VLOOKUP($A16, genSource_lookup[], 2, FALSE), CAN_cf[[_]:[_]], 0), MATCH(TEXT(S$1, "0"), CAN_cf[#Headers], 0)), 0)</f>
        <v>0.22848987474585353</v>
      </c>
      <c r="T16" s="14">
        <f>IFERROR(INDEX(CAN_cf[], MATCH(VLOOKUP($A16, genSource_lookup[], 2, FALSE), CAN_cf[[_]:[_]], 0), MATCH(TEXT(T$1, "0"), CAN_cf[#Headers], 0)), 0)</f>
        <v>0.12374248742313884</v>
      </c>
      <c r="U16" s="14">
        <f>IFERROR(INDEX(CAN_cf[], MATCH(VLOOKUP($A16, genSource_lookup[], 2, FALSE), CAN_cf[[_]:[_]], 0), MATCH(TEXT(U$1, "0"), CAN_cf[#Headers], 0)), 0)</f>
        <v>0.18441611965790455</v>
      </c>
      <c r="V16" s="14">
        <f>IFERROR(INDEX(CAN_cf[], MATCH(VLOOKUP($A16, genSource_lookup[], 2, FALSE), CAN_cf[[_]:[_]], 0), MATCH(TEXT(V$1, "0"), CAN_cf[#Headers], 0)), 0)</f>
        <v>0.18321738856924966</v>
      </c>
      <c r="W16" s="14">
        <f>IFERROR(INDEX(CAN_cf[], MATCH(VLOOKUP($A16, genSource_lookup[], 2, FALSE), CAN_cf[[_]:[_]], 0), MATCH(TEXT(W$1, "0"), CAN_cf[#Headers], 0)), 0)</f>
        <v>0.18778540492203166</v>
      </c>
      <c r="X16" s="14">
        <f>IFERROR(INDEX(CAN_cf[], MATCH(VLOOKUP($A16, genSource_lookup[], 2, FALSE), CAN_cf[[_]:[_]], 0), MATCH(TEXT(X$1, "0"), CAN_cf[#Headers], 0)), 0)</f>
        <v>0.18612240811909075</v>
      </c>
      <c r="Y16" s="14">
        <f>IFERROR(INDEX(CAN_cf[], MATCH(VLOOKUP($A16, genSource_lookup[], 2, FALSE), CAN_cf[[_]:[_]], 0), MATCH(TEXT(Y$1, "0"), CAN_cf[#Headers], 0)), 0)</f>
        <v>0.42522133488159725</v>
      </c>
      <c r="Z16" s="14">
        <f>IFERROR(INDEX(CAN_cf[], MATCH(VLOOKUP($A16, genSource_lookup[], 2, FALSE), CAN_cf[[_]:[_]], 0), MATCH(TEXT(Z$1, "0"), CAN_cf[#Headers], 0)), 0)</f>
        <v>0.29712734449900907</v>
      </c>
      <c r="AA16" s="14">
        <f>IFERROR(INDEX(CAN_cf[], MATCH(VLOOKUP($A16, genSource_lookup[], 2, FALSE), CAN_cf[[_]:[_]], 0), MATCH(TEXT(AA$1, "0"), CAN_cf[#Headers], 0)), 0)</f>
        <v>0.31999260510331068</v>
      </c>
      <c r="AB16" s="14">
        <f>IFERROR(INDEX(CAN_cf[], MATCH(VLOOKUP($A16, genSource_lookup[], 2, FALSE), CAN_cf[[_]:[_]], 0), MATCH(TEXT(AB$1, "0"), CAN_cf[#Headers], 0)), 0)</f>
        <v>0.21872136798951258</v>
      </c>
      <c r="AC16" s="14">
        <f>IFERROR(INDEX(CAN_cf[], MATCH(VLOOKUP($A16, genSource_lookup[], 2, FALSE), CAN_cf[[_]:[_]], 0), MATCH(TEXT(AC$1, "0"), CAN_cf[#Headers], 0)), 0)</f>
        <v>0.21393930297347724</v>
      </c>
      <c r="AD16" s="14">
        <f>IFERROR(INDEX(CAN_cf[], MATCH(VLOOKUP($A16, genSource_lookup[], 2, FALSE), CAN_cf[[_]:[_]], 0), MATCH(TEXT(AD$1, "0"), CAN_cf[#Headers], 0)), 0)</f>
        <v>0.20888275935937356</v>
      </c>
      <c r="AE16" s="14">
        <f>IFERROR(INDEX(CAN_cf[], MATCH(VLOOKUP($A16, genSource_lookup[], 2, FALSE), CAN_cf[[_]:[_]], 0), MATCH(TEXT(AE$1, "0"), CAN_cf[#Headers], 0)), 0)</f>
        <v>0.21273171079771075</v>
      </c>
      <c r="AF16" s="14">
        <f>IFERROR(INDEX(CAN_cf[], MATCH(VLOOKUP($A16, genSource_lookup[], 2, FALSE), CAN_cf[[_]:[_]], 0), MATCH(TEXT(AF$1, "0"), CAN_cf[#Headers], 0)), 0)</f>
        <v>0.20802409028756971</v>
      </c>
      <c r="AG16" s="14">
        <f>IFERROR(INDEX(CAN_cf[], MATCH(VLOOKUP($A16, genSource_lookup[], 2, FALSE), CAN_cf[[_]:[_]], 0), MATCH(TEXT(AG$1, "0"), CAN_cf[#Headers], 0)), 0)</f>
        <v>0.21228163409031919</v>
      </c>
      <c r="AH16" s="14">
        <f>IFERROR(INDEX(CAN_cf[], MATCH(VLOOKUP($A16, genSource_lookup[], 2, FALSE), CAN_cf[[_]:[_]], 0), MATCH(TEXT(AH$1, "0"), CAN_cf[#Headers], 0)), 0)</f>
        <v>0.21586122143862657</v>
      </c>
    </row>
    <row r="17" spans="1:34" x14ac:dyDescent="0.3">
      <c r="A17" s="71" t="s">
        <v>99</v>
      </c>
      <c r="B17" s="72">
        <f>'U.S. Table 4.8.B'!K14</f>
        <v>0.65400000000000003</v>
      </c>
      <c r="C17" s="72">
        <f>'U.S. Table 4.8.B'!K15</f>
        <v>0.67400000000000004</v>
      </c>
      <c r="D17" s="72">
        <f>'U.S. Table 4.8.B'!$K16</f>
        <v>0.64600000000000002</v>
      </c>
      <c r="E17" s="72">
        <f>'U.S. Table 4.8.B'!$K16</f>
        <v>0.64600000000000002</v>
      </c>
      <c r="F17" s="72">
        <f>'U.S. Table 4.8.B'!$K16</f>
        <v>0.64600000000000002</v>
      </c>
      <c r="G17" s="72">
        <f>'U.S. Table 4.8.B'!$K16</f>
        <v>0.64600000000000002</v>
      </c>
      <c r="H17" s="72">
        <f>'U.S. Table 4.8.B'!$K16</f>
        <v>0.64600000000000002</v>
      </c>
      <c r="I17" s="72">
        <f>'U.S. Table 4.8.B'!$K16</f>
        <v>0.64600000000000002</v>
      </c>
      <c r="J17" s="72">
        <f>'U.S. Table 4.8.B'!$K16</f>
        <v>0.64600000000000002</v>
      </c>
      <c r="K17" s="72">
        <f>'U.S. Table 4.8.B'!$K16</f>
        <v>0.64600000000000002</v>
      </c>
      <c r="L17" s="72">
        <f>'U.S. Table 4.8.B'!$K16</f>
        <v>0.64600000000000002</v>
      </c>
      <c r="M17" s="72">
        <f>'U.S. Table 4.8.B'!$K16</f>
        <v>0.64600000000000002</v>
      </c>
      <c r="N17" s="72">
        <f>'U.S. Table 4.8.B'!$K16</f>
        <v>0.64600000000000002</v>
      </c>
      <c r="O17" s="72">
        <f>'U.S. Table 4.8.B'!$K16</f>
        <v>0.64600000000000002</v>
      </c>
      <c r="P17" s="72">
        <f>'U.S. Table 4.8.B'!$K16</f>
        <v>0.64600000000000002</v>
      </c>
      <c r="Q17" s="72">
        <f>'U.S. Table 4.8.B'!$K16</f>
        <v>0.64600000000000002</v>
      </c>
      <c r="R17" s="72">
        <f>'U.S. Table 4.8.B'!$K16</f>
        <v>0.64600000000000002</v>
      </c>
      <c r="S17" s="72">
        <f>'U.S. Table 4.8.B'!$K16</f>
        <v>0.64600000000000002</v>
      </c>
      <c r="T17" s="72">
        <f>'U.S. Table 4.8.B'!$K16</f>
        <v>0.64600000000000002</v>
      </c>
      <c r="U17" s="72">
        <f>'U.S. Table 4.8.B'!$K16</f>
        <v>0.64600000000000002</v>
      </c>
      <c r="V17" s="72">
        <f>'U.S. Table 4.8.B'!$K16</f>
        <v>0.64600000000000002</v>
      </c>
      <c r="W17" s="72">
        <f>'U.S. Table 4.8.B'!$K16</f>
        <v>0.64600000000000002</v>
      </c>
      <c r="X17" s="72">
        <f>'U.S. Table 4.8.B'!$K16</f>
        <v>0.64600000000000002</v>
      </c>
      <c r="Y17" s="72">
        <f>'U.S. Table 4.8.B'!$K16</f>
        <v>0.64600000000000002</v>
      </c>
      <c r="Z17" s="72">
        <f>'U.S. Table 4.8.B'!$K16</f>
        <v>0.64600000000000002</v>
      </c>
      <c r="AA17" s="72">
        <f>'U.S. Table 4.8.B'!$K16</f>
        <v>0.64600000000000002</v>
      </c>
      <c r="AB17" s="72">
        <f>'U.S. Table 4.8.B'!$K16</f>
        <v>0.64600000000000002</v>
      </c>
      <c r="AC17" s="72">
        <f>'U.S. Table 4.8.B'!$K16</f>
        <v>0.64600000000000002</v>
      </c>
      <c r="AD17" s="72">
        <f>'U.S. Table 4.8.B'!$K16</f>
        <v>0.64600000000000002</v>
      </c>
      <c r="AE17" s="72">
        <f>'U.S. Table 4.8.B'!$K16</f>
        <v>0.64600000000000002</v>
      </c>
      <c r="AF17" s="72">
        <f>'U.S. Table 4.8.B'!$K16</f>
        <v>0.64600000000000002</v>
      </c>
      <c r="AG17" s="72">
        <f>'U.S. Table 4.8.B'!$K16</f>
        <v>0.64600000000000002</v>
      </c>
      <c r="AH17" s="72">
        <f>'U.S. Table 4.8.B'!$K16</f>
        <v>0.64600000000000002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6E9BD-2E2F-46E0-9554-DC621CF9D16D}">
  <sheetPr>
    <tabColor theme="5" tint="0.59999389629810485"/>
  </sheetPr>
  <dimension ref="A1:J41"/>
  <sheetViews>
    <sheetView workbookViewId="0">
      <selection activeCell="B7" sqref="B7"/>
    </sheetView>
  </sheetViews>
  <sheetFormatPr defaultRowHeight="14.4" x14ac:dyDescent="0.3"/>
  <cols>
    <col min="2" max="2" width="90" customWidth="1"/>
  </cols>
  <sheetData>
    <row r="1" spans="1:10" x14ac:dyDescent="0.3">
      <c r="A1" s="76" t="s">
        <v>250</v>
      </c>
    </row>
    <row r="3" spans="1:10" x14ac:dyDescent="0.3">
      <c r="A3" s="76" t="s">
        <v>251</v>
      </c>
      <c r="B3" s="77" t="s">
        <v>252</v>
      </c>
      <c r="D3" s="78" t="s">
        <v>253</v>
      </c>
      <c r="E3" s="79"/>
      <c r="F3" s="79"/>
      <c r="G3" s="79"/>
      <c r="H3" s="79"/>
      <c r="I3" s="79"/>
      <c r="J3" s="79"/>
    </row>
    <row r="4" spans="1:10" x14ac:dyDescent="0.3">
      <c r="B4" t="s">
        <v>254</v>
      </c>
      <c r="D4" t="s">
        <v>255</v>
      </c>
    </row>
    <row r="5" spans="1:10" x14ac:dyDescent="0.3">
      <c r="B5" s="80">
        <v>2021</v>
      </c>
      <c r="D5" s="80" t="s">
        <v>256</v>
      </c>
    </row>
    <row r="6" spans="1:10" x14ac:dyDescent="0.3">
      <c r="B6" t="s">
        <v>257</v>
      </c>
      <c r="D6" t="s">
        <v>258</v>
      </c>
    </row>
    <row r="7" spans="1:10" x14ac:dyDescent="0.3">
      <c r="B7" s="8" t="s">
        <v>259</v>
      </c>
      <c r="D7" s="8" t="s">
        <v>260</v>
      </c>
    </row>
    <row r="8" spans="1:10" x14ac:dyDescent="0.3">
      <c r="B8" t="s">
        <v>261</v>
      </c>
      <c r="D8" s="8" t="s">
        <v>262</v>
      </c>
    </row>
    <row r="10" spans="1:10" x14ac:dyDescent="0.3">
      <c r="B10" s="77" t="s">
        <v>263</v>
      </c>
    </row>
    <row r="11" spans="1:10" x14ac:dyDescent="0.3">
      <c r="B11" t="s">
        <v>254</v>
      </c>
    </row>
    <row r="12" spans="1:10" x14ac:dyDescent="0.3">
      <c r="B12" s="80" t="s">
        <v>264</v>
      </c>
    </row>
    <row r="13" spans="1:10" x14ac:dyDescent="0.3">
      <c r="B13" t="s">
        <v>265</v>
      </c>
    </row>
    <row r="14" spans="1:10" x14ac:dyDescent="0.3">
      <c r="B14" s="8" t="s">
        <v>266</v>
      </c>
    </row>
    <row r="15" spans="1:10" x14ac:dyDescent="0.3">
      <c r="B15" t="s">
        <v>267</v>
      </c>
    </row>
    <row r="18" spans="1:2" x14ac:dyDescent="0.3">
      <c r="A18" s="76" t="s">
        <v>268</v>
      </c>
    </row>
    <row r="19" spans="1:2" x14ac:dyDescent="0.3">
      <c r="A19" s="81" t="s">
        <v>269</v>
      </c>
      <c r="B19" s="81"/>
    </row>
    <row r="20" spans="1:2" x14ac:dyDescent="0.3">
      <c r="A20" s="81" t="s">
        <v>270</v>
      </c>
      <c r="B20" s="81"/>
    </row>
    <row r="21" spans="1:2" x14ac:dyDescent="0.3">
      <c r="A21" s="81" t="s">
        <v>271</v>
      </c>
      <c r="B21" s="81"/>
    </row>
    <row r="22" spans="1:2" x14ac:dyDescent="0.3">
      <c r="A22" s="82"/>
      <c r="B22" s="81"/>
    </row>
    <row r="23" spans="1:2" x14ac:dyDescent="0.3">
      <c r="A23" s="81" t="s">
        <v>272</v>
      </c>
      <c r="B23" s="81"/>
    </row>
    <row r="24" spans="1:2" x14ac:dyDescent="0.3">
      <c r="A24" s="81" t="s">
        <v>273</v>
      </c>
      <c r="B24" s="81"/>
    </row>
    <row r="25" spans="1:2" x14ac:dyDescent="0.3">
      <c r="A25" s="81" t="s">
        <v>274</v>
      </c>
      <c r="B25" s="81"/>
    </row>
    <row r="26" spans="1:2" x14ac:dyDescent="0.3">
      <c r="A26" s="81" t="s">
        <v>275</v>
      </c>
      <c r="B26" s="81"/>
    </row>
    <row r="27" spans="1:2" x14ac:dyDescent="0.3">
      <c r="B27" s="81"/>
    </row>
    <row r="28" spans="1:2" x14ac:dyDescent="0.3">
      <c r="A28" s="81" t="s">
        <v>276</v>
      </c>
      <c r="B28" s="81"/>
    </row>
    <row r="29" spans="1:2" x14ac:dyDescent="0.3">
      <c r="A29" s="81" t="s">
        <v>277</v>
      </c>
      <c r="B29" s="81"/>
    </row>
    <row r="30" spans="1:2" x14ac:dyDescent="0.3">
      <c r="A30" s="81" t="s">
        <v>278</v>
      </c>
      <c r="B30" s="81"/>
    </row>
    <row r="31" spans="1:2" x14ac:dyDescent="0.3">
      <c r="A31" s="81" t="s">
        <v>279</v>
      </c>
      <c r="B31" s="81"/>
    </row>
    <row r="32" spans="1:2" x14ac:dyDescent="0.3">
      <c r="B32" s="81"/>
    </row>
    <row r="33" spans="1:2" x14ac:dyDescent="0.3">
      <c r="A33" s="81" t="s">
        <v>280</v>
      </c>
      <c r="B33" s="81"/>
    </row>
    <row r="34" spans="1:2" x14ac:dyDescent="0.3">
      <c r="A34" s="81" t="s">
        <v>281</v>
      </c>
      <c r="B34" s="81"/>
    </row>
    <row r="35" spans="1:2" x14ac:dyDescent="0.3">
      <c r="A35" s="81" t="s">
        <v>282</v>
      </c>
      <c r="B35" s="81"/>
    </row>
    <row r="36" spans="1:2" x14ac:dyDescent="0.3">
      <c r="B36" s="81"/>
    </row>
    <row r="37" spans="1:2" x14ac:dyDescent="0.3">
      <c r="A37" s="81" t="s">
        <v>283</v>
      </c>
      <c r="B37" s="81"/>
    </row>
    <row r="38" spans="1:2" x14ac:dyDescent="0.3">
      <c r="A38" s="81" t="s">
        <v>284</v>
      </c>
      <c r="B38" s="81"/>
    </row>
    <row r="40" spans="1:2" x14ac:dyDescent="0.3">
      <c r="A40" t="s">
        <v>285</v>
      </c>
    </row>
    <row r="41" spans="1:2" x14ac:dyDescent="0.3">
      <c r="A41" t="s">
        <v>286</v>
      </c>
    </row>
  </sheetData>
  <hyperlinks>
    <hyperlink ref="B7" r:id="rId1" xr:uid="{78134E7D-371B-451D-84EB-B547FDC048A0}"/>
    <hyperlink ref="B14" r:id="rId2" xr:uid="{E9053159-EEED-48F8-94DD-0668C775C4D6}"/>
    <hyperlink ref="D7" r:id="rId3" xr:uid="{3A72BD34-B2B8-4F35-A6E5-3B5BFB519D75}"/>
    <hyperlink ref="D8" r:id="rId4" xr:uid="{7DD70619-DD3E-4E16-A3F4-85EFFA14532F}"/>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35310-5481-4FC6-B8FF-18BA50A51698}">
  <sheetPr>
    <tabColor theme="5" tint="0.59999389629810485"/>
  </sheetPr>
  <dimension ref="A1:BJ154"/>
  <sheetViews>
    <sheetView workbookViewId="0">
      <selection activeCell="B7" sqref="B7"/>
    </sheetView>
  </sheetViews>
  <sheetFormatPr defaultRowHeight="14.4" x14ac:dyDescent="0.3"/>
  <cols>
    <col min="1" max="1" width="34.109375" customWidth="1"/>
    <col min="6" max="6" width="15.33203125" customWidth="1"/>
  </cols>
  <sheetData>
    <row r="1" spans="1:34" x14ac:dyDescent="0.3">
      <c r="A1" s="15" t="s">
        <v>100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s="16" customFormat="1" ht="13.95" customHeight="1" x14ac:dyDescent="0.25">
      <c r="C2" s="16" t="s">
        <v>101</v>
      </c>
    </row>
    <row r="3" spans="1:34" s="16" customFormat="1" ht="13.95" customHeight="1" x14ac:dyDescent="0.25">
      <c r="B3" s="17"/>
      <c r="C3" s="17">
        <v>2019</v>
      </c>
      <c r="D3" s="17">
        <v>2020</v>
      </c>
      <c r="E3" s="17">
        <v>2021</v>
      </c>
      <c r="F3" s="17">
        <v>2022</v>
      </c>
      <c r="G3" s="17">
        <v>2023</v>
      </c>
      <c r="H3" s="17">
        <v>2024</v>
      </c>
      <c r="I3" s="17">
        <v>2025</v>
      </c>
      <c r="J3" s="17">
        <v>2026</v>
      </c>
      <c r="K3" s="17">
        <v>2027</v>
      </c>
      <c r="L3" s="17">
        <v>2028</v>
      </c>
      <c r="M3" s="17">
        <v>2029</v>
      </c>
      <c r="N3" s="17">
        <v>2030</v>
      </c>
      <c r="O3" s="17">
        <v>2031</v>
      </c>
      <c r="P3" s="17">
        <v>2032</v>
      </c>
      <c r="Q3" s="17">
        <v>2033</v>
      </c>
      <c r="R3" s="17">
        <v>2034</v>
      </c>
      <c r="S3" s="17">
        <v>2035</v>
      </c>
      <c r="T3" s="17">
        <v>2036</v>
      </c>
      <c r="U3" s="17">
        <v>2037</v>
      </c>
      <c r="V3" s="17">
        <v>2038</v>
      </c>
      <c r="W3" s="17">
        <v>2039</v>
      </c>
      <c r="X3" s="17">
        <v>2040</v>
      </c>
      <c r="Y3" s="17">
        <v>2041</v>
      </c>
      <c r="Z3" s="17">
        <v>2042</v>
      </c>
      <c r="AA3" s="17">
        <v>2043</v>
      </c>
      <c r="AB3" s="17">
        <v>2044</v>
      </c>
      <c r="AC3" s="17">
        <v>2045</v>
      </c>
      <c r="AD3" s="17">
        <v>2046</v>
      </c>
      <c r="AE3" s="17">
        <v>2047</v>
      </c>
      <c r="AF3" s="17">
        <v>2048</v>
      </c>
      <c r="AG3" s="17">
        <v>2049</v>
      </c>
      <c r="AH3" s="17">
        <v>2050</v>
      </c>
    </row>
    <row r="4" spans="1:34" s="16" customFormat="1" ht="13.95" customHeight="1" x14ac:dyDescent="0.25">
      <c r="A4" s="18" t="s">
        <v>102</v>
      </c>
      <c r="B4" s="19"/>
      <c r="C4" s="19">
        <v>0.19265270841007084</v>
      </c>
      <c r="D4" s="19">
        <v>0.1961515400282112</v>
      </c>
      <c r="E4" s="19">
        <v>0.19965037164635155</v>
      </c>
      <c r="F4" s="19">
        <v>0.2031492032644919</v>
      </c>
      <c r="G4" s="19">
        <v>0.20664803488263225</v>
      </c>
      <c r="H4" s="19">
        <v>0.21014686650077261</v>
      </c>
      <c r="I4" s="19">
        <v>0.21364569811891296</v>
      </c>
      <c r="J4" s="19">
        <v>0.21714452973705331</v>
      </c>
      <c r="K4" s="19">
        <v>0.22064336135519366</v>
      </c>
      <c r="L4" s="19">
        <v>0.22414219297333401</v>
      </c>
      <c r="M4" s="19">
        <v>0.22764102459147437</v>
      </c>
      <c r="N4" s="19">
        <v>0.2311398562096148</v>
      </c>
      <c r="O4" s="19">
        <v>0.23164233415789656</v>
      </c>
      <c r="P4" s="19">
        <v>0.23214481210617832</v>
      </c>
      <c r="Q4" s="19">
        <v>0.23264729005446008</v>
      </c>
      <c r="R4" s="19">
        <v>0.23314976800274184</v>
      </c>
      <c r="S4" s="19">
        <v>0.2336522459510236</v>
      </c>
      <c r="T4" s="19">
        <v>0.23415472389930536</v>
      </c>
      <c r="U4" s="19">
        <v>0.23465720184758712</v>
      </c>
      <c r="V4" s="19">
        <v>0.23515967979586888</v>
      </c>
      <c r="W4" s="19">
        <v>0.23566215774415064</v>
      </c>
      <c r="X4" s="19">
        <v>0.2361646356924324</v>
      </c>
      <c r="Y4" s="19">
        <v>0.23666711364071416</v>
      </c>
      <c r="Z4" s="19">
        <v>0.23716959158899592</v>
      </c>
      <c r="AA4" s="19">
        <v>0.23767206953727768</v>
      </c>
      <c r="AB4" s="19">
        <v>0.23817454748555944</v>
      </c>
      <c r="AC4" s="19">
        <v>0.2386770254338412</v>
      </c>
      <c r="AD4" s="19">
        <v>0.23917950338212296</v>
      </c>
      <c r="AE4" s="19">
        <v>0.23968198133040472</v>
      </c>
      <c r="AF4" s="19">
        <v>0.24018445927868648</v>
      </c>
      <c r="AG4" s="19">
        <v>0.24068693722696824</v>
      </c>
      <c r="AH4" s="19">
        <v>0.24118941517525025</v>
      </c>
    </row>
    <row r="5" spans="1:34" s="16" customFormat="1" ht="13.95" customHeight="1" x14ac:dyDescent="0.25">
      <c r="A5" s="20" t="s">
        <v>103</v>
      </c>
      <c r="B5" s="21"/>
      <c r="C5" s="21">
        <v>0.19265270841007084</v>
      </c>
      <c r="D5" s="21">
        <v>0.19473197004983886</v>
      </c>
      <c r="E5" s="21">
        <v>0.19681123168960687</v>
      </c>
      <c r="F5" s="21">
        <v>0.19889049332937489</v>
      </c>
      <c r="G5" s="21">
        <v>0.20096975496914291</v>
      </c>
      <c r="H5" s="21">
        <v>0.20304901660891092</v>
      </c>
      <c r="I5" s="21">
        <v>0.20512827824867894</v>
      </c>
      <c r="J5" s="21">
        <v>0.20720753988844695</v>
      </c>
      <c r="K5" s="21">
        <v>0.20928680152821497</v>
      </c>
      <c r="L5" s="21">
        <v>0.21136606316798298</v>
      </c>
      <c r="M5" s="21">
        <v>0.213445324807751</v>
      </c>
      <c r="N5" s="21">
        <v>0.21552458644751893</v>
      </c>
      <c r="O5" s="21">
        <v>0.21630534993562373</v>
      </c>
      <c r="P5" s="21">
        <v>0.21708611342372852</v>
      </c>
      <c r="Q5" s="21">
        <v>0.21786687691183332</v>
      </c>
      <c r="R5" s="21">
        <v>0.21864764039993811</v>
      </c>
      <c r="S5" s="21">
        <v>0.21942840388804291</v>
      </c>
      <c r="T5" s="21">
        <v>0.22020916737614771</v>
      </c>
      <c r="U5" s="21">
        <v>0.2209899308642525</v>
      </c>
      <c r="V5" s="21">
        <v>0.2217706943523573</v>
      </c>
      <c r="W5" s="21">
        <v>0.2225514578404621</v>
      </c>
      <c r="X5" s="21">
        <v>0.22333222132856689</v>
      </c>
      <c r="Y5" s="21">
        <v>0.22411298481667169</v>
      </c>
      <c r="Z5" s="21">
        <v>0.22489374830477649</v>
      </c>
      <c r="AA5" s="21">
        <v>0.22567451179288128</v>
      </c>
      <c r="AB5" s="21">
        <v>0.22645527528098608</v>
      </c>
      <c r="AC5" s="21">
        <v>0.22723603876909088</v>
      </c>
      <c r="AD5" s="21">
        <v>0.22801680225719567</v>
      </c>
      <c r="AE5" s="21">
        <v>0.22879756574530047</v>
      </c>
      <c r="AF5" s="21">
        <v>0.22957832923340526</v>
      </c>
      <c r="AG5" s="21">
        <v>0.23035909272151006</v>
      </c>
      <c r="AH5" s="21">
        <v>0.2311398562096148</v>
      </c>
    </row>
    <row r="6" spans="1:34" s="16" customFormat="1" ht="13.95" customHeight="1" thickBot="1" x14ac:dyDescent="0.3">
      <c r="A6" s="22" t="s">
        <v>104</v>
      </c>
      <c r="B6" s="23"/>
      <c r="C6" s="23">
        <v>0.19265270841007084</v>
      </c>
      <c r="D6" s="23">
        <v>0.19265270841007084</v>
      </c>
      <c r="E6" s="23">
        <v>0.19265270841007084</v>
      </c>
      <c r="F6" s="23">
        <v>0.19265270841007084</v>
      </c>
      <c r="G6" s="23">
        <v>0.19265270841007084</v>
      </c>
      <c r="H6" s="23">
        <v>0.19265270841007084</v>
      </c>
      <c r="I6" s="23">
        <v>0.19265270841007084</v>
      </c>
      <c r="J6" s="23">
        <v>0.19265270841007084</v>
      </c>
      <c r="K6" s="23">
        <v>0.19265270841007084</v>
      </c>
      <c r="L6" s="23">
        <v>0.19265270841007084</v>
      </c>
      <c r="M6" s="23">
        <v>0.19265270841007084</v>
      </c>
      <c r="N6" s="23">
        <v>0.19265270841007084</v>
      </c>
      <c r="O6" s="23">
        <v>0.19379630231194325</v>
      </c>
      <c r="P6" s="23">
        <v>0.19493989621381566</v>
      </c>
      <c r="Q6" s="23">
        <v>0.19608349011568807</v>
      </c>
      <c r="R6" s="23">
        <v>0.19722708401756048</v>
      </c>
      <c r="S6" s="23">
        <v>0.19837067791943289</v>
      </c>
      <c r="T6" s="23">
        <v>0.19951427182130529</v>
      </c>
      <c r="U6" s="23">
        <v>0.2006578657231777</v>
      </c>
      <c r="V6" s="23">
        <v>0.20180145962505011</v>
      </c>
      <c r="W6" s="23">
        <v>0.20294505352692252</v>
      </c>
      <c r="X6" s="23">
        <v>0.20408864742879493</v>
      </c>
      <c r="Y6" s="23">
        <v>0.20523224133066734</v>
      </c>
      <c r="Z6" s="23">
        <v>0.20637583523253974</v>
      </c>
      <c r="AA6" s="23">
        <v>0.20751942913441215</v>
      </c>
      <c r="AB6" s="23">
        <v>0.20866302303628456</v>
      </c>
      <c r="AC6" s="23">
        <v>0.20980661693815697</v>
      </c>
      <c r="AD6" s="23">
        <v>0.21095021084002938</v>
      </c>
      <c r="AE6" s="23">
        <v>0.21209380474190179</v>
      </c>
      <c r="AF6" s="23">
        <v>0.2132373986437742</v>
      </c>
      <c r="AG6" s="23">
        <v>0.2143809925456466</v>
      </c>
      <c r="AH6" s="23">
        <v>0.21552458644751893</v>
      </c>
    </row>
    <row r="7" spans="1:34" s="16" customFormat="1" ht="13.95" customHeight="1" thickTop="1" x14ac:dyDescent="0.25">
      <c r="A7" s="18" t="s">
        <v>105</v>
      </c>
      <c r="B7" s="19"/>
      <c r="C7" s="19">
        <v>0.20973134956672476</v>
      </c>
      <c r="D7" s="19">
        <v>0.21354035221836329</v>
      </c>
      <c r="E7" s="19">
        <v>0.21734935487000182</v>
      </c>
      <c r="F7" s="19">
        <v>0.22115835752164034</v>
      </c>
      <c r="G7" s="19">
        <v>0.22496736017327887</v>
      </c>
      <c r="H7" s="19">
        <v>0.2287763628249174</v>
      </c>
      <c r="I7" s="19">
        <v>0.23258536547655592</v>
      </c>
      <c r="J7" s="19">
        <v>0.23639436812819445</v>
      </c>
      <c r="K7" s="19">
        <v>0.24020337077983298</v>
      </c>
      <c r="L7" s="19">
        <v>0.2440123734314715</v>
      </c>
      <c r="M7" s="19">
        <v>0.24782137608311003</v>
      </c>
      <c r="N7" s="19">
        <v>0.25163037873474864</v>
      </c>
      <c r="O7" s="19">
        <v>0.2521774012972155</v>
      </c>
      <c r="P7" s="19">
        <v>0.25272442385968236</v>
      </c>
      <c r="Q7" s="19">
        <v>0.25327144642214922</v>
      </c>
      <c r="R7" s="19">
        <v>0.25381846898461607</v>
      </c>
      <c r="S7" s="19">
        <v>0.25436549154708293</v>
      </c>
      <c r="T7" s="19">
        <v>0.25491251410954979</v>
      </c>
      <c r="U7" s="19">
        <v>0.25545953667201665</v>
      </c>
      <c r="V7" s="19">
        <v>0.25600655923448351</v>
      </c>
      <c r="W7" s="19">
        <v>0.25655358179695037</v>
      </c>
      <c r="X7" s="19">
        <v>0.25710060435941723</v>
      </c>
      <c r="Y7" s="19">
        <v>0.25764762692188409</v>
      </c>
      <c r="Z7" s="19">
        <v>0.25819464948435095</v>
      </c>
      <c r="AA7" s="19">
        <v>0.25874167204681781</v>
      </c>
      <c r="AB7" s="19">
        <v>0.25928869460928466</v>
      </c>
      <c r="AC7" s="19">
        <v>0.25983571717175152</v>
      </c>
      <c r="AD7" s="19">
        <v>0.26038273973421838</v>
      </c>
      <c r="AE7" s="19">
        <v>0.26092976229668524</v>
      </c>
      <c r="AF7" s="19">
        <v>0.2614767848591521</v>
      </c>
      <c r="AG7" s="19">
        <v>0.26202380742161896</v>
      </c>
      <c r="AH7" s="19">
        <v>0.26257082998408554</v>
      </c>
    </row>
    <row r="8" spans="1:34" s="16" customFormat="1" ht="13.95" customHeight="1" x14ac:dyDescent="0.25">
      <c r="A8" s="20" t="s">
        <v>106</v>
      </c>
      <c r="B8" s="21"/>
      <c r="C8" s="21">
        <v>0.20973134956672476</v>
      </c>
      <c r="D8" s="21">
        <v>0.21199493751941856</v>
      </c>
      <c r="E8" s="21">
        <v>0.21425852547211235</v>
      </c>
      <c r="F8" s="21">
        <v>0.21652211342480615</v>
      </c>
      <c r="G8" s="21">
        <v>0.21878570137749995</v>
      </c>
      <c r="H8" s="21">
        <v>0.22104928933019374</v>
      </c>
      <c r="I8" s="21">
        <v>0.22331287728288754</v>
      </c>
      <c r="J8" s="21">
        <v>0.22557646523558134</v>
      </c>
      <c r="K8" s="21">
        <v>0.22784005318827513</v>
      </c>
      <c r="L8" s="21">
        <v>0.23010364114096893</v>
      </c>
      <c r="M8" s="21">
        <v>0.23236722909366272</v>
      </c>
      <c r="N8" s="21">
        <v>0.23463081704635638</v>
      </c>
      <c r="O8" s="21">
        <v>0.23548079513077599</v>
      </c>
      <c r="P8" s="21">
        <v>0.23633077321519561</v>
      </c>
      <c r="Q8" s="21">
        <v>0.23718075129961522</v>
      </c>
      <c r="R8" s="21">
        <v>0.23803072938403483</v>
      </c>
      <c r="S8" s="21">
        <v>0.23888070746845444</v>
      </c>
      <c r="T8" s="21">
        <v>0.23973068555287405</v>
      </c>
      <c r="U8" s="21">
        <v>0.24058066363729366</v>
      </c>
      <c r="V8" s="21">
        <v>0.24143064172171327</v>
      </c>
      <c r="W8" s="21">
        <v>0.24228061980613289</v>
      </c>
      <c r="X8" s="21">
        <v>0.2431305978905525</v>
      </c>
      <c r="Y8" s="21">
        <v>0.24398057597497211</v>
      </c>
      <c r="Z8" s="21">
        <v>0.24483055405939172</v>
      </c>
      <c r="AA8" s="21">
        <v>0.24568053214381133</v>
      </c>
      <c r="AB8" s="21">
        <v>0.24653051022823094</v>
      </c>
      <c r="AC8" s="21">
        <v>0.24738048831265055</v>
      </c>
      <c r="AD8" s="21">
        <v>0.24823046639707017</v>
      </c>
      <c r="AE8" s="21">
        <v>0.24908044448148978</v>
      </c>
      <c r="AF8" s="21">
        <v>0.24993042256590939</v>
      </c>
      <c r="AG8" s="21">
        <v>0.25078040065032903</v>
      </c>
      <c r="AH8" s="21">
        <v>0.25163037873474864</v>
      </c>
    </row>
    <row r="9" spans="1:34" s="16" customFormat="1" ht="13.95" customHeight="1" thickBot="1" x14ac:dyDescent="0.3">
      <c r="A9" s="22" t="s">
        <v>107</v>
      </c>
      <c r="B9" s="23"/>
      <c r="C9" s="23">
        <v>0.20973134956672476</v>
      </c>
      <c r="D9" s="23">
        <v>0.20973134956672476</v>
      </c>
      <c r="E9" s="23">
        <v>0.20973134956672476</v>
      </c>
      <c r="F9" s="23">
        <v>0.20973134956672476</v>
      </c>
      <c r="G9" s="23">
        <v>0.20973134956672476</v>
      </c>
      <c r="H9" s="23">
        <v>0.20973134956672476</v>
      </c>
      <c r="I9" s="23">
        <v>0.20973134956672476</v>
      </c>
      <c r="J9" s="23">
        <v>0.20973134956672476</v>
      </c>
      <c r="K9" s="23">
        <v>0.20973134956672476</v>
      </c>
      <c r="L9" s="23">
        <v>0.20973134956672476</v>
      </c>
      <c r="M9" s="23">
        <v>0.20973134956672476</v>
      </c>
      <c r="N9" s="23">
        <v>0.20973134956672476</v>
      </c>
      <c r="O9" s="23">
        <v>0.21097632294070634</v>
      </c>
      <c r="P9" s="23">
        <v>0.21222129631468792</v>
      </c>
      <c r="Q9" s="23">
        <v>0.2134662696886695</v>
      </c>
      <c r="R9" s="23">
        <v>0.21471124306265107</v>
      </c>
      <c r="S9" s="23">
        <v>0.21595621643663265</v>
      </c>
      <c r="T9" s="23">
        <v>0.21720118981061423</v>
      </c>
      <c r="U9" s="23">
        <v>0.21844616318459581</v>
      </c>
      <c r="V9" s="23">
        <v>0.21969113655857739</v>
      </c>
      <c r="W9" s="23">
        <v>0.22093610993255897</v>
      </c>
      <c r="X9" s="23">
        <v>0.22218108330654054</v>
      </c>
      <c r="Y9" s="23">
        <v>0.22342605668052212</v>
      </c>
      <c r="Z9" s="23">
        <v>0.2246710300545037</v>
      </c>
      <c r="AA9" s="23">
        <v>0.22591600342848528</v>
      </c>
      <c r="AB9" s="23">
        <v>0.22716097680246686</v>
      </c>
      <c r="AC9" s="23">
        <v>0.22840595017644844</v>
      </c>
      <c r="AD9" s="23">
        <v>0.22965092355043001</v>
      </c>
      <c r="AE9" s="23">
        <v>0.23089589692441159</v>
      </c>
      <c r="AF9" s="23">
        <v>0.23214087029839317</v>
      </c>
      <c r="AG9" s="23">
        <v>0.23338584367237475</v>
      </c>
      <c r="AH9" s="23">
        <v>0.23463081704635638</v>
      </c>
    </row>
    <row r="10" spans="1:34" s="16" customFormat="1" ht="13.95" customHeight="1" thickTop="1" x14ac:dyDescent="0.25">
      <c r="A10" s="18" t="s">
        <v>108</v>
      </c>
      <c r="B10" s="19"/>
      <c r="C10" s="19">
        <v>0.2204938653577603</v>
      </c>
      <c r="D10" s="19">
        <v>0.22449832973350944</v>
      </c>
      <c r="E10" s="19">
        <v>0.22850279410925858</v>
      </c>
      <c r="F10" s="19">
        <v>0.23250725848500772</v>
      </c>
      <c r="G10" s="19">
        <v>0.23651172286075686</v>
      </c>
      <c r="H10" s="19">
        <v>0.240516187236506</v>
      </c>
      <c r="I10" s="19">
        <v>0.24452065161225514</v>
      </c>
      <c r="J10" s="19">
        <v>0.24852511598800428</v>
      </c>
      <c r="K10" s="19">
        <v>0.25252958036375339</v>
      </c>
      <c r="L10" s="19">
        <v>0.25653404473950253</v>
      </c>
      <c r="M10" s="19">
        <v>0.26053850911525167</v>
      </c>
      <c r="N10" s="19">
        <v>0.26454297349100081</v>
      </c>
      <c r="O10" s="19">
        <v>0.26511806691163342</v>
      </c>
      <c r="P10" s="19">
        <v>0.26569316033226603</v>
      </c>
      <c r="Q10" s="19">
        <v>0.26626825375289864</v>
      </c>
      <c r="R10" s="19">
        <v>0.26684334717353125</v>
      </c>
      <c r="S10" s="19">
        <v>0.26741844059416386</v>
      </c>
      <c r="T10" s="19">
        <v>0.26799353401479648</v>
      </c>
      <c r="U10" s="19">
        <v>0.26856862743542909</v>
      </c>
      <c r="V10" s="19">
        <v>0.2691437208560617</v>
      </c>
      <c r="W10" s="19">
        <v>0.26971881427669431</v>
      </c>
      <c r="X10" s="19">
        <v>0.27029390769732692</v>
      </c>
      <c r="Y10" s="19">
        <v>0.27086900111795953</v>
      </c>
      <c r="Z10" s="19">
        <v>0.27144409453859214</v>
      </c>
      <c r="AA10" s="19">
        <v>0.27201918795922475</v>
      </c>
      <c r="AB10" s="19">
        <v>0.27259428137985736</v>
      </c>
      <c r="AC10" s="19">
        <v>0.27316937480048997</v>
      </c>
      <c r="AD10" s="19">
        <v>0.27374446822112258</v>
      </c>
      <c r="AE10" s="19">
        <v>0.27431956164175519</v>
      </c>
      <c r="AF10" s="19">
        <v>0.2748946550623878</v>
      </c>
      <c r="AG10" s="19">
        <v>0.27546974848302042</v>
      </c>
      <c r="AH10" s="19">
        <v>0.27604484190365303</v>
      </c>
    </row>
    <row r="11" spans="1:34" s="16" customFormat="1" ht="13.95" customHeight="1" x14ac:dyDescent="0.25">
      <c r="A11" s="20" t="s">
        <v>109</v>
      </c>
      <c r="B11" s="21"/>
      <c r="C11" s="21">
        <v>0.2204938653577603</v>
      </c>
      <c r="D11" s="21">
        <v>0.22287361096230535</v>
      </c>
      <c r="E11" s="21">
        <v>0.22525335656685039</v>
      </c>
      <c r="F11" s="21">
        <v>0.22763310217139543</v>
      </c>
      <c r="G11" s="21">
        <v>0.23001284777594047</v>
      </c>
      <c r="H11" s="21">
        <v>0.23239259338048551</v>
      </c>
      <c r="I11" s="21">
        <v>0.23477233898503055</v>
      </c>
      <c r="J11" s="21">
        <v>0.2371520845895756</v>
      </c>
      <c r="K11" s="21">
        <v>0.23953183019412064</v>
      </c>
      <c r="L11" s="21">
        <v>0.24191157579866568</v>
      </c>
      <c r="M11" s="21">
        <v>0.24429132140321072</v>
      </c>
      <c r="N11" s="21">
        <v>0.24667106700775568</v>
      </c>
      <c r="O11" s="21">
        <v>0.24756466233191793</v>
      </c>
      <c r="P11" s="21">
        <v>0.24845825765608018</v>
      </c>
      <c r="Q11" s="21">
        <v>0.24935185298024243</v>
      </c>
      <c r="R11" s="21">
        <v>0.25024544830440471</v>
      </c>
      <c r="S11" s="21">
        <v>0.25113904362856698</v>
      </c>
      <c r="T11" s="21">
        <v>0.25203263895272926</v>
      </c>
      <c r="U11" s="21">
        <v>0.25292623427689154</v>
      </c>
      <c r="V11" s="21">
        <v>0.25381982960105381</v>
      </c>
      <c r="W11" s="21">
        <v>0.25471342492521609</v>
      </c>
      <c r="X11" s="21">
        <v>0.25560702024937837</v>
      </c>
      <c r="Y11" s="21">
        <v>0.25650061557354065</v>
      </c>
      <c r="Z11" s="21">
        <v>0.25739421089770292</v>
      </c>
      <c r="AA11" s="21">
        <v>0.2582878062218652</v>
      </c>
      <c r="AB11" s="21">
        <v>0.25918140154602748</v>
      </c>
      <c r="AC11" s="21">
        <v>0.26007499687018976</v>
      </c>
      <c r="AD11" s="21">
        <v>0.26096859219435203</v>
      </c>
      <c r="AE11" s="21">
        <v>0.26186218751851431</v>
      </c>
      <c r="AF11" s="21">
        <v>0.26275578284267659</v>
      </c>
      <c r="AG11" s="21">
        <v>0.26364937816683887</v>
      </c>
      <c r="AH11" s="21">
        <v>0.26454297349100081</v>
      </c>
    </row>
    <row r="12" spans="1:34" s="16" customFormat="1" ht="13.95" customHeight="1" thickBot="1" x14ac:dyDescent="0.3">
      <c r="A12" s="22" t="s">
        <v>110</v>
      </c>
      <c r="B12" s="23"/>
      <c r="C12" s="23">
        <v>0.2204938653577603</v>
      </c>
      <c r="D12" s="23">
        <v>0.2204938653577603</v>
      </c>
      <c r="E12" s="23">
        <v>0.2204938653577603</v>
      </c>
      <c r="F12" s="23">
        <v>0.2204938653577603</v>
      </c>
      <c r="G12" s="23">
        <v>0.2204938653577603</v>
      </c>
      <c r="H12" s="23">
        <v>0.2204938653577603</v>
      </c>
      <c r="I12" s="23">
        <v>0.2204938653577603</v>
      </c>
      <c r="J12" s="23">
        <v>0.2204938653577603</v>
      </c>
      <c r="K12" s="23">
        <v>0.2204938653577603</v>
      </c>
      <c r="L12" s="23">
        <v>0.2204938653577603</v>
      </c>
      <c r="M12" s="23">
        <v>0.2204938653577603</v>
      </c>
      <c r="N12" s="23">
        <v>0.2204938653577603</v>
      </c>
      <c r="O12" s="23">
        <v>0.22180272544026008</v>
      </c>
      <c r="P12" s="23">
        <v>0.22311158552275986</v>
      </c>
      <c r="Q12" s="23">
        <v>0.22442044560525964</v>
      </c>
      <c r="R12" s="23">
        <v>0.22572930568775942</v>
      </c>
      <c r="S12" s="23">
        <v>0.2270381657702592</v>
      </c>
      <c r="T12" s="23">
        <v>0.22834702585275898</v>
      </c>
      <c r="U12" s="23">
        <v>0.22965588593525876</v>
      </c>
      <c r="V12" s="23">
        <v>0.23096474601775854</v>
      </c>
      <c r="W12" s="23">
        <v>0.23227360610025832</v>
      </c>
      <c r="X12" s="23">
        <v>0.2335824661827581</v>
      </c>
      <c r="Y12" s="23">
        <v>0.23489132626525788</v>
      </c>
      <c r="Z12" s="23">
        <v>0.23620018634775766</v>
      </c>
      <c r="AA12" s="23">
        <v>0.23750904643025744</v>
      </c>
      <c r="AB12" s="23">
        <v>0.23881790651275722</v>
      </c>
      <c r="AC12" s="23">
        <v>0.240126766595257</v>
      </c>
      <c r="AD12" s="23">
        <v>0.24143562667775678</v>
      </c>
      <c r="AE12" s="23">
        <v>0.24274448676025656</v>
      </c>
      <c r="AF12" s="23">
        <v>0.24405334684275634</v>
      </c>
      <c r="AG12" s="23">
        <v>0.24536220692525612</v>
      </c>
      <c r="AH12" s="23">
        <v>0.24667106700775568</v>
      </c>
    </row>
    <row r="13" spans="1:34" s="16" customFormat="1" ht="13.95" customHeight="1" thickTop="1" x14ac:dyDescent="0.25">
      <c r="A13" s="18" t="s">
        <v>111</v>
      </c>
      <c r="B13" s="19"/>
      <c r="C13" s="19">
        <v>0.23146148168747635</v>
      </c>
      <c r="D13" s="19">
        <v>0.23566513268825004</v>
      </c>
      <c r="E13" s="19">
        <v>0.23986878368902373</v>
      </c>
      <c r="F13" s="19">
        <v>0.24407243468979742</v>
      </c>
      <c r="G13" s="19">
        <v>0.24827608569057111</v>
      </c>
      <c r="H13" s="19">
        <v>0.25247973669134482</v>
      </c>
      <c r="I13" s="19">
        <v>0.25668338769211851</v>
      </c>
      <c r="J13" s="19">
        <v>0.2608870386928922</v>
      </c>
      <c r="K13" s="19">
        <v>0.26509068969366589</v>
      </c>
      <c r="L13" s="19">
        <v>0.26929434069443958</v>
      </c>
      <c r="M13" s="19">
        <v>0.27349799169521327</v>
      </c>
      <c r="N13" s="19">
        <v>0.27770164269598707</v>
      </c>
      <c r="O13" s="19">
        <v>0.27830534191923922</v>
      </c>
      <c r="P13" s="19">
        <v>0.27890904114249138</v>
      </c>
      <c r="Q13" s="19">
        <v>0.27951274036574353</v>
      </c>
      <c r="R13" s="19">
        <v>0.28011643958899568</v>
      </c>
      <c r="S13" s="19">
        <v>0.28072013881224783</v>
      </c>
      <c r="T13" s="19">
        <v>0.28132383803549998</v>
      </c>
      <c r="U13" s="19">
        <v>0.28192753725875214</v>
      </c>
      <c r="V13" s="19">
        <v>0.28253123648200429</v>
      </c>
      <c r="W13" s="19">
        <v>0.28313493570525644</v>
      </c>
      <c r="X13" s="19">
        <v>0.28373863492850859</v>
      </c>
      <c r="Y13" s="19">
        <v>0.28434233415176074</v>
      </c>
      <c r="Z13" s="19">
        <v>0.2849460333750129</v>
      </c>
      <c r="AA13" s="19">
        <v>0.28554973259826505</v>
      </c>
      <c r="AB13" s="19">
        <v>0.2861534318215172</v>
      </c>
      <c r="AC13" s="19">
        <v>0.28675713104476935</v>
      </c>
      <c r="AD13" s="19">
        <v>0.28736083026802151</v>
      </c>
      <c r="AE13" s="19">
        <v>0.28796452949127366</v>
      </c>
      <c r="AF13" s="19">
        <v>0.28856822871452581</v>
      </c>
      <c r="AG13" s="19">
        <v>0.28917192793777796</v>
      </c>
      <c r="AH13" s="19">
        <v>0.28977562716103</v>
      </c>
    </row>
    <row r="14" spans="1:34" s="16" customFormat="1" ht="13.95" customHeight="1" x14ac:dyDescent="0.25">
      <c r="A14" s="20" t="s">
        <v>112</v>
      </c>
      <c r="B14" s="21"/>
      <c r="C14" s="21">
        <v>0.23146148168747635</v>
      </c>
      <c r="D14" s="21">
        <v>0.2339595985524219</v>
      </c>
      <c r="E14" s="21">
        <v>0.23645771541736746</v>
      </c>
      <c r="F14" s="21">
        <v>0.23895583228231301</v>
      </c>
      <c r="G14" s="21">
        <v>0.24145394914725857</v>
      </c>
      <c r="H14" s="21">
        <v>0.24395206601220412</v>
      </c>
      <c r="I14" s="21">
        <v>0.24645018287714968</v>
      </c>
      <c r="J14" s="21">
        <v>0.24894829974209523</v>
      </c>
      <c r="K14" s="21">
        <v>0.25144641660704076</v>
      </c>
      <c r="L14" s="21">
        <v>0.25394453347198631</v>
      </c>
      <c r="M14" s="21">
        <v>0.25644265033693187</v>
      </c>
      <c r="N14" s="21">
        <v>0.25894076720187736</v>
      </c>
      <c r="O14" s="21">
        <v>0.25987881097658283</v>
      </c>
      <c r="P14" s="21">
        <v>0.2608168547512883</v>
      </c>
      <c r="Q14" s="21">
        <v>0.26175489852599376</v>
      </c>
      <c r="R14" s="21">
        <v>0.26269294230069923</v>
      </c>
      <c r="S14" s="21">
        <v>0.26363098607540469</v>
      </c>
      <c r="T14" s="21">
        <v>0.26456902985011016</v>
      </c>
      <c r="U14" s="21">
        <v>0.26550707362481563</v>
      </c>
      <c r="V14" s="21">
        <v>0.26644511739952109</v>
      </c>
      <c r="W14" s="21">
        <v>0.26738316117422656</v>
      </c>
      <c r="X14" s="21">
        <v>0.26832120494893202</v>
      </c>
      <c r="Y14" s="21">
        <v>0.26925924872363749</v>
      </c>
      <c r="Z14" s="21">
        <v>0.27019729249834296</v>
      </c>
      <c r="AA14" s="21">
        <v>0.27113533627304842</v>
      </c>
      <c r="AB14" s="21">
        <v>0.27207338004775389</v>
      </c>
      <c r="AC14" s="21">
        <v>0.27301142382245935</v>
      </c>
      <c r="AD14" s="21">
        <v>0.27394946759716482</v>
      </c>
      <c r="AE14" s="21">
        <v>0.27488751137187029</v>
      </c>
      <c r="AF14" s="21">
        <v>0.27582555514657575</v>
      </c>
      <c r="AG14" s="21">
        <v>0.27676359892128122</v>
      </c>
      <c r="AH14" s="21">
        <v>0.27770164269598707</v>
      </c>
    </row>
    <row r="15" spans="1:34" s="16" customFormat="1" ht="13.95" customHeight="1" thickBot="1" x14ac:dyDescent="0.3">
      <c r="A15" s="22" t="s">
        <v>113</v>
      </c>
      <c r="B15" s="23"/>
      <c r="C15" s="23">
        <v>0.23146148168747635</v>
      </c>
      <c r="D15" s="23">
        <v>0.23146148168747635</v>
      </c>
      <c r="E15" s="23">
        <v>0.23146148168747635</v>
      </c>
      <c r="F15" s="23">
        <v>0.23146148168747635</v>
      </c>
      <c r="G15" s="23">
        <v>0.23146148168747635</v>
      </c>
      <c r="H15" s="23">
        <v>0.23146148168747635</v>
      </c>
      <c r="I15" s="23">
        <v>0.23146148168747635</v>
      </c>
      <c r="J15" s="23">
        <v>0.23146148168747635</v>
      </c>
      <c r="K15" s="23">
        <v>0.23146148168747635</v>
      </c>
      <c r="L15" s="23">
        <v>0.23146148168747635</v>
      </c>
      <c r="M15" s="23">
        <v>0.23146148168747635</v>
      </c>
      <c r="N15" s="23">
        <v>0.23146148168747635</v>
      </c>
      <c r="O15" s="23">
        <v>0.23283544596319641</v>
      </c>
      <c r="P15" s="23">
        <v>0.23420941023891648</v>
      </c>
      <c r="Q15" s="23">
        <v>0.23558337451463654</v>
      </c>
      <c r="R15" s="23">
        <v>0.2369573387903566</v>
      </c>
      <c r="S15" s="23">
        <v>0.23833130306607667</v>
      </c>
      <c r="T15" s="23">
        <v>0.23970526734179673</v>
      </c>
      <c r="U15" s="23">
        <v>0.24107923161751679</v>
      </c>
      <c r="V15" s="23">
        <v>0.24245319589323686</v>
      </c>
      <c r="W15" s="23">
        <v>0.24382716016895692</v>
      </c>
      <c r="X15" s="23">
        <v>0.24520112444467698</v>
      </c>
      <c r="Y15" s="23">
        <v>0.24657508872039705</v>
      </c>
      <c r="Z15" s="23">
        <v>0.24794905299611711</v>
      </c>
      <c r="AA15" s="23">
        <v>0.24932301727183717</v>
      </c>
      <c r="AB15" s="23">
        <v>0.25069698154755721</v>
      </c>
      <c r="AC15" s="23">
        <v>0.25207094582327727</v>
      </c>
      <c r="AD15" s="23">
        <v>0.25344491009899733</v>
      </c>
      <c r="AE15" s="23">
        <v>0.2548188743747174</v>
      </c>
      <c r="AF15" s="23">
        <v>0.25619283865043746</v>
      </c>
      <c r="AG15" s="23">
        <v>0.25756680292615752</v>
      </c>
      <c r="AH15" s="23">
        <v>0.25894076720187736</v>
      </c>
    </row>
    <row r="16" spans="1:34" s="16" customFormat="1" ht="13.95" customHeight="1" thickTop="1" x14ac:dyDescent="0.25">
      <c r="A16" s="18" t="s">
        <v>114</v>
      </c>
      <c r="B16" s="19"/>
      <c r="C16" s="19">
        <v>0.24320342623035651</v>
      </c>
      <c r="D16" s="19">
        <v>0.24762032669522616</v>
      </c>
      <c r="E16" s="19">
        <v>0.2520372271600958</v>
      </c>
      <c r="F16" s="19">
        <v>0.25645412762496544</v>
      </c>
      <c r="G16" s="19">
        <v>0.26087102808983509</v>
      </c>
      <c r="H16" s="19">
        <v>0.26528792855470473</v>
      </c>
      <c r="I16" s="19">
        <v>0.26970482901957438</v>
      </c>
      <c r="J16" s="19">
        <v>0.27412172948444402</v>
      </c>
      <c r="K16" s="19">
        <v>0.27853862994931367</v>
      </c>
      <c r="L16" s="19">
        <v>0.28295553041418331</v>
      </c>
      <c r="M16" s="19">
        <v>0.28737243087905295</v>
      </c>
      <c r="N16" s="19">
        <v>0.29178933134392265</v>
      </c>
      <c r="O16" s="19">
        <v>0.29242365597727898</v>
      </c>
      <c r="P16" s="19">
        <v>0.29305798061063532</v>
      </c>
      <c r="Q16" s="19">
        <v>0.29369230524399165</v>
      </c>
      <c r="R16" s="19">
        <v>0.29432662987734798</v>
      </c>
      <c r="S16" s="19">
        <v>0.29496095451070431</v>
      </c>
      <c r="T16" s="19">
        <v>0.29559527914406064</v>
      </c>
      <c r="U16" s="19">
        <v>0.29622960377741697</v>
      </c>
      <c r="V16" s="19">
        <v>0.2968639284107733</v>
      </c>
      <c r="W16" s="19">
        <v>0.29749825304412963</v>
      </c>
      <c r="X16" s="19">
        <v>0.29813257767748597</v>
      </c>
      <c r="Y16" s="19">
        <v>0.2987669023108423</v>
      </c>
      <c r="Z16" s="19">
        <v>0.29940122694419863</v>
      </c>
      <c r="AA16" s="19">
        <v>0.30003555157755496</v>
      </c>
      <c r="AB16" s="19">
        <v>0.30066987621091129</v>
      </c>
      <c r="AC16" s="19">
        <v>0.30130420084426762</v>
      </c>
      <c r="AD16" s="19">
        <v>0.30193852547762395</v>
      </c>
      <c r="AE16" s="19">
        <v>0.30257285011098028</v>
      </c>
      <c r="AF16" s="19">
        <v>0.30320717474433662</v>
      </c>
      <c r="AG16" s="19">
        <v>0.30384149937769295</v>
      </c>
      <c r="AH16" s="19">
        <v>0.30447582401104972</v>
      </c>
    </row>
    <row r="17" spans="1:34" s="16" customFormat="1" ht="13.95" customHeight="1" x14ac:dyDescent="0.25">
      <c r="A17" s="20" t="s">
        <v>115</v>
      </c>
      <c r="B17" s="21"/>
      <c r="C17" s="21">
        <v>0.24320342623035651</v>
      </c>
      <c r="D17" s="21">
        <v>0.24582827152318548</v>
      </c>
      <c r="E17" s="21">
        <v>0.24845311681601445</v>
      </c>
      <c r="F17" s="21">
        <v>0.25107796210884342</v>
      </c>
      <c r="G17" s="21">
        <v>0.25370280740167239</v>
      </c>
      <c r="H17" s="21">
        <v>0.25632765269450136</v>
      </c>
      <c r="I17" s="21">
        <v>0.25895249798733033</v>
      </c>
      <c r="J17" s="21">
        <v>0.2615773432801593</v>
      </c>
      <c r="K17" s="21">
        <v>0.26420218857298827</v>
      </c>
      <c r="L17" s="21">
        <v>0.26682703386581724</v>
      </c>
      <c r="M17" s="21">
        <v>0.26945187915864621</v>
      </c>
      <c r="N17" s="21">
        <v>0.27207672445147529</v>
      </c>
      <c r="O17" s="21">
        <v>0.27306235479609764</v>
      </c>
      <c r="P17" s="21">
        <v>0.27404798514071999</v>
      </c>
      <c r="Q17" s="21">
        <v>0.27503361548534233</v>
      </c>
      <c r="R17" s="21">
        <v>0.27601924582996468</v>
      </c>
      <c r="S17" s="21">
        <v>0.27700487617458702</v>
      </c>
      <c r="T17" s="21">
        <v>0.27799050651920937</v>
      </c>
      <c r="U17" s="21">
        <v>0.27897613686383171</v>
      </c>
      <c r="V17" s="21">
        <v>0.27996176720845406</v>
      </c>
      <c r="W17" s="21">
        <v>0.28094739755307641</v>
      </c>
      <c r="X17" s="21">
        <v>0.28193302789769875</v>
      </c>
      <c r="Y17" s="21">
        <v>0.2829186582423211</v>
      </c>
      <c r="Z17" s="21">
        <v>0.28390428858694344</v>
      </c>
      <c r="AA17" s="21">
        <v>0.28488991893156579</v>
      </c>
      <c r="AB17" s="21">
        <v>0.28587554927618813</v>
      </c>
      <c r="AC17" s="21">
        <v>0.28686117962081048</v>
      </c>
      <c r="AD17" s="21">
        <v>0.28784680996543283</v>
      </c>
      <c r="AE17" s="21">
        <v>0.28883244031005517</v>
      </c>
      <c r="AF17" s="21">
        <v>0.28981807065467752</v>
      </c>
      <c r="AG17" s="21">
        <v>0.29080370099929986</v>
      </c>
      <c r="AH17" s="21">
        <v>0.29178933134392265</v>
      </c>
    </row>
    <row r="18" spans="1:34" s="16" customFormat="1" ht="13.95" customHeight="1" thickBot="1" x14ac:dyDescent="0.3">
      <c r="A18" s="22" t="s">
        <v>116</v>
      </c>
      <c r="B18" s="23"/>
      <c r="C18" s="23">
        <v>0.24320342623035651</v>
      </c>
      <c r="D18" s="23">
        <v>0.24320342623035651</v>
      </c>
      <c r="E18" s="23">
        <v>0.24320342623035651</v>
      </c>
      <c r="F18" s="23">
        <v>0.24320342623035651</v>
      </c>
      <c r="G18" s="23">
        <v>0.24320342623035651</v>
      </c>
      <c r="H18" s="23">
        <v>0.24320342623035651</v>
      </c>
      <c r="I18" s="23">
        <v>0.24320342623035651</v>
      </c>
      <c r="J18" s="23">
        <v>0.24320342623035651</v>
      </c>
      <c r="K18" s="23">
        <v>0.24320342623035651</v>
      </c>
      <c r="L18" s="23">
        <v>0.24320342623035651</v>
      </c>
      <c r="M18" s="23">
        <v>0.24320342623035651</v>
      </c>
      <c r="N18" s="23">
        <v>0.24320342623035651</v>
      </c>
      <c r="O18" s="23">
        <v>0.24464709114141245</v>
      </c>
      <c r="P18" s="23">
        <v>0.24609075605246838</v>
      </c>
      <c r="Q18" s="23">
        <v>0.24753442096352432</v>
      </c>
      <c r="R18" s="23">
        <v>0.24897808587458026</v>
      </c>
      <c r="S18" s="23">
        <v>0.25042175078563622</v>
      </c>
      <c r="T18" s="23">
        <v>0.25186541569669219</v>
      </c>
      <c r="U18" s="23">
        <v>0.25330908060774815</v>
      </c>
      <c r="V18" s="23">
        <v>0.25475274551880411</v>
      </c>
      <c r="W18" s="23">
        <v>0.25619641042986008</v>
      </c>
      <c r="X18" s="23">
        <v>0.25764007534091604</v>
      </c>
      <c r="Y18" s="23">
        <v>0.25908374025197201</v>
      </c>
      <c r="Z18" s="23">
        <v>0.26052740516302797</v>
      </c>
      <c r="AA18" s="23">
        <v>0.26197107007408393</v>
      </c>
      <c r="AB18" s="23">
        <v>0.2634147349851399</v>
      </c>
      <c r="AC18" s="23">
        <v>0.26485839989619586</v>
      </c>
      <c r="AD18" s="23">
        <v>0.26630206480725183</v>
      </c>
      <c r="AE18" s="23">
        <v>0.26774572971830779</v>
      </c>
      <c r="AF18" s="23">
        <v>0.26918939462936375</v>
      </c>
      <c r="AG18" s="23">
        <v>0.27063305954041972</v>
      </c>
      <c r="AH18" s="23">
        <v>0.27207672445147529</v>
      </c>
    </row>
    <row r="19" spans="1:34" ht="15" thickTop="1" x14ac:dyDescent="0.3">
      <c r="A19" s="18" t="s">
        <v>117</v>
      </c>
      <c r="C19">
        <v>0.25238422643046826</v>
      </c>
      <c r="D19">
        <v>0.25696786254252957</v>
      </c>
      <c r="E19">
        <v>0.26155149865459087</v>
      </c>
      <c r="F19">
        <v>0.26613513476665218</v>
      </c>
      <c r="G19">
        <v>0.27071877087871349</v>
      </c>
      <c r="H19">
        <v>0.2753024069907748</v>
      </c>
      <c r="I19">
        <v>0.2798860431028361</v>
      </c>
      <c r="J19">
        <v>0.28446967921489741</v>
      </c>
      <c r="K19">
        <v>0.28905331532695872</v>
      </c>
      <c r="L19">
        <v>0.29363695143902002</v>
      </c>
      <c r="M19">
        <v>0.29822058755108133</v>
      </c>
      <c r="N19">
        <v>0.30280422366314269</v>
      </c>
      <c r="O19">
        <v>0.30346249371458428</v>
      </c>
      <c r="P19">
        <v>0.30412076376602587</v>
      </c>
      <c r="Q19">
        <v>0.30477903381746746</v>
      </c>
      <c r="R19">
        <v>0.30543730386890905</v>
      </c>
      <c r="S19">
        <v>0.30609557392035064</v>
      </c>
      <c r="T19">
        <v>0.30675384397179223</v>
      </c>
      <c r="U19">
        <v>0.30741211402323382</v>
      </c>
      <c r="V19">
        <v>0.30807038407467541</v>
      </c>
      <c r="W19">
        <v>0.308728654126117</v>
      </c>
      <c r="X19">
        <v>0.30938692417755859</v>
      </c>
      <c r="Y19">
        <v>0.31004519422900018</v>
      </c>
      <c r="Z19">
        <v>0.31070346428044177</v>
      </c>
      <c r="AA19">
        <v>0.31136173433188336</v>
      </c>
      <c r="AB19">
        <v>0.31202000438332494</v>
      </c>
      <c r="AC19">
        <v>0.31267827443476653</v>
      </c>
      <c r="AD19">
        <v>0.31333654448620812</v>
      </c>
      <c r="AE19">
        <v>0.31399481453764971</v>
      </c>
      <c r="AF19">
        <v>0.3146530845890913</v>
      </c>
      <c r="AG19">
        <v>0.31531135464053289</v>
      </c>
      <c r="AH19">
        <v>0.31596962469197498</v>
      </c>
    </row>
    <row r="20" spans="1:34" x14ac:dyDescent="0.3">
      <c r="A20" s="20" t="s">
        <v>118</v>
      </c>
      <c r="C20">
        <v>0.25238422643046826</v>
      </c>
      <c r="D20">
        <v>0.25510815823931876</v>
      </c>
      <c r="E20">
        <v>0.25783209004816926</v>
      </c>
      <c r="F20">
        <v>0.26055602185701976</v>
      </c>
      <c r="G20">
        <v>0.26327995366587026</v>
      </c>
      <c r="H20">
        <v>0.26600388547472076</v>
      </c>
      <c r="I20">
        <v>0.26872781728357126</v>
      </c>
      <c r="J20">
        <v>0.27145174909242176</v>
      </c>
      <c r="K20">
        <v>0.27417568090127226</v>
      </c>
      <c r="L20">
        <v>0.27689961271012276</v>
      </c>
      <c r="M20">
        <v>0.27962354451897325</v>
      </c>
      <c r="N20">
        <v>0.28234747632782392</v>
      </c>
      <c r="O20">
        <v>0.28337031369458987</v>
      </c>
      <c r="P20">
        <v>0.28439315106135582</v>
      </c>
      <c r="Q20">
        <v>0.28541598842812177</v>
      </c>
      <c r="R20">
        <v>0.28643882579488772</v>
      </c>
      <c r="S20">
        <v>0.28746166316165367</v>
      </c>
      <c r="T20">
        <v>0.28848450052841962</v>
      </c>
      <c r="U20">
        <v>0.28950733789518557</v>
      </c>
      <c r="V20">
        <v>0.29053017526195152</v>
      </c>
      <c r="W20">
        <v>0.29155301262871747</v>
      </c>
      <c r="X20">
        <v>0.29257584999548342</v>
      </c>
      <c r="Y20">
        <v>0.29359868736224937</v>
      </c>
      <c r="Z20">
        <v>0.29462152472901532</v>
      </c>
      <c r="AA20">
        <v>0.29564436209578127</v>
      </c>
      <c r="AB20">
        <v>0.29666719946254722</v>
      </c>
      <c r="AC20">
        <v>0.29769003682931316</v>
      </c>
      <c r="AD20">
        <v>0.29871287419607911</v>
      </c>
      <c r="AE20">
        <v>0.29973571156284506</v>
      </c>
      <c r="AF20">
        <v>0.30075854892961101</v>
      </c>
      <c r="AG20">
        <v>0.30178138629637696</v>
      </c>
      <c r="AH20">
        <v>0.30280422366314269</v>
      </c>
    </row>
    <row r="21" spans="1:34" x14ac:dyDescent="0.3">
      <c r="A21" s="22" t="s">
        <v>119</v>
      </c>
      <c r="C21">
        <v>0.25238422643046826</v>
      </c>
      <c r="D21">
        <v>0.25238422643046826</v>
      </c>
      <c r="E21">
        <v>0.25238422643046826</v>
      </c>
      <c r="F21">
        <v>0.25238422643046826</v>
      </c>
      <c r="G21">
        <v>0.25238422643046826</v>
      </c>
      <c r="H21">
        <v>0.25238422643046826</v>
      </c>
      <c r="I21">
        <v>0.25238422643046826</v>
      </c>
      <c r="J21">
        <v>0.25238422643046826</v>
      </c>
      <c r="K21">
        <v>0.25238422643046826</v>
      </c>
      <c r="L21">
        <v>0.25238422643046826</v>
      </c>
      <c r="M21">
        <v>0.25238422643046826</v>
      </c>
      <c r="N21">
        <v>0.25238422643046826</v>
      </c>
      <c r="O21">
        <v>0.25388238892533604</v>
      </c>
      <c r="P21">
        <v>0.25538055142020383</v>
      </c>
      <c r="Q21">
        <v>0.25687871391507161</v>
      </c>
      <c r="R21">
        <v>0.25837687640993939</v>
      </c>
      <c r="S21">
        <v>0.25987503890480718</v>
      </c>
      <c r="T21">
        <v>0.26137320139967496</v>
      </c>
      <c r="U21">
        <v>0.26287136389454274</v>
      </c>
      <c r="V21">
        <v>0.26436952638941053</v>
      </c>
      <c r="W21">
        <v>0.26586768888427831</v>
      </c>
      <c r="X21">
        <v>0.26736585137914609</v>
      </c>
      <c r="Y21">
        <v>0.26886401387401387</v>
      </c>
      <c r="Z21">
        <v>0.27036217636888166</v>
      </c>
      <c r="AA21">
        <v>0.27186033886374944</v>
      </c>
      <c r="AB21">
        <v>0.27335850135861722</v>
      </c>
      <c r="AC21">
        <v>0.27485666385348501</v>
      </c>
      <c r="AD21">
        <v>0.27635482634835279</v>
      </c>
      <c r="AE21">
        <v>0.27785298884322057</v>
      </c>
      <c r="AF21">
        <v>0.27935115133808835</v>
      </c>
      <c r="AG21">
        <v>0.28084931383295614</v>
      </c>
      <c r="AH21">
        <v>0.28234747632782392</v>
      </c>
    </row>
    <row r="22" spans="1:34" x14ac:dyDescent="0.3">
      <c r="A22" s="18" t="s">
        <v>120</v>
      </c>
      <c r="C22">
        <v>0.27015160192343068</v>
      </c>
      <c r="D22">
        <v>0.27505791740843821</v>
      </c>
      <c r="E22">
        <v>0.27996423289344574</v>
      </c>
      <c r="F22">
        <v>0.28487054837845327</v>
      </c>
      <c r="G22">
        <v>0.2897768638634608</v>
      </c>
      <c r="H22">
        <v>0.29468317934846833</v>
      </c>
      <c r="I22">
        <v>0.29958949483347586</v>
      </c>
      <c r="J22">
        <v>0.30449581031848338</v>
      </c>
      <c r="K22">
        <v>0.30940212580349091</v>
      </c>
      <c r="L22">
        <v>0.31430844128849844</v>
      </c>
      <c r="M22">
        <v>0.31921475677350597</v>
      </c>
      <c r="N22">
        <v>0.32412107225851328</v>
      </c>
      <c r="O22">
        <v>0.3248256832851622</v>
      </c>
      <c r="P22">
        <v>0.32553029431181113</v>
      </c>
      <c r="Q22">
        <v>0.32623490533846006</v>
      </c>
      <c r="R22">
        <v>0.32693951636510898</v>
      </c>
      <c r="S22">
        <v>0.32764412739175791</v>
      </c>
      <c r="T22">
        <v>0.32834873841840684</v>
      </c>
      <c r="U22">
        <v>0.32905334944505576</v>
      </c>
      <c r="V22">
        <v>0.32975796047170469</v>
      </c>
      <c r="W22">
        <v>0.33046257149835362</v>
      </c>
      <c r="X22">
        <v>0.33116718252500255</v>
      </c>
      <c r="Y22">
        <v>0.33187179355165147</v>
      </c>
      <c r="Z22">
        <v>0.3325764045783004</v>
      </c>
      <c r="AA22">
        <v>0.33328101560494933</v>
      </c>
      <c r="AB22">
        <v>0.33398562663159825</v>
      </c>
      <c r="AC22">
        <v>0.33469023765824718</v>
      </c>
      <c r="AD22">
        <v>0.33539484868489611</v>
      </c>
      <c r="AE22">
        <v>0.33609945971154503</v>
      </c>
      <c r="AF22">
        <v>0.33680407073819396</v>
      </c>
      <c r="AG22">
        <v>0.33750868176484289</v>
      </c>
      <c r="AH22">
        <v>0.33821329279149209</v>
      </c>
    </row>
    <row r="23" spans="1:34" x14ac:dyDescent="0.3">
      <c r="A23" s="20" t="s">
        <v>121</v>
      </c>
      <c r="C23">
        <v>0.27015160192343068</v>
      </c>
      <c r="D23">
        <v>0.27306729341532304</v>
      </c>
      <c r="E23">
        <v>0.2759829849072154</v>
      </c>
      <c r="F23">
        <v>0.27889867639910776</v>
      </c>
      <c r="G23">
        <v>0.28181436789100012</v>
      </c>
      <c r="H23">
        <v>0.28473005938289248</v>
      </c>
      <c r="I23">
        <v>0.28764575087478483</v>
      </c>
      <c r="J23">
        <v>0.29056144236667719</v>
      </c>
      <c r="K23">
        <v>0.29347713385856955</v>
      </c>
      <c r="L23">
        <v>0.29639282535046191</v>
      </c>
      <c r="M23">
        <v>0.29930851684235427</v>
      </c>
      <c r="N23">
        <v>0.30222420833424679</v>
      </c>
      <c r="O23">
        <v>0.30331905153046013</v>
      </c>
      <c r="P23">
        <v>0.30441389472667346</v>
      </c>
      <c r="Q23">
        <v>0.3055087379228868</v>
      </c>
      <c r="R23">
        <v>0.30660358111910013</v>
      </c>
      <c r="S23">
        <v>0.30769842431531347</v>
      </c>
      <c r="T23">
        <v>0.3087932675115268</v>
      </c>
      <c r="U23">
        <v>0.30988811070774014</v>
      </c>
      <c r="V23">
        <v>0.31098295390395347</v>
      </c>
      <c r="W23">
        <v>0.31207779710016681</v>
      </c>
      <c r="X23">
        <v>0.31317264029638014</v>
      </c>
      <c r="Y23">
        <v>0.31426748349259348</v>
      </c>
      <c r="Z23">
        <v>0.31536232668880682</v>
      </c>
      <c r="AA23">
        <v>0.31645716988502015</v>
      </c>
      <c r="AB23">
        <v>0.31755201308123349</v>
      </c>
      <c r="AC23">
        <v>0.31864685627744682</v>
      </c>
      <c r="AD23">
        <v>0.31974169947366016</v>
      </c>
      <c r="AE23">
        <v>0.32083654266987349</v>
      </c>
      <c r="AF23">
        <v>0.32193138586608683</v>
      </c>
      <c r="AG23">
        <v>0.32302622906230016</v>
      </c>
      <c r="AH23">
        <v>0.32412107225851328</v>
      </c>
    </row>
    <row r="24" spans="1:34" x14ac:dyDescent="0.3">
      <c r="A24" s="22" t="s">
        <v>122</v>
      </c>
      <c r="C24">
        <v>0.27015160192343068</v>
      </c>
      <c r="D24">
        <v>0.27015160192343068</v>
      </c>
      <c r="E24">
        <v>0.27015160192343068</v>
      </c>
      <c r="F24">
        <v>0.27015160192343068</v>
      </c>
      <c r="G24">
        <v>0.27015160192343068</v>
      </c>
      <c r="H24">
        <v>0.27015160192343068</v>
      </c>
      <c r="I24">
        <v>0.27015160192343068</v>
      </c>
      <c r="J24">
        <v>0.27015160192343068</v>
      </c>
      <c r="K24">
        <v>0.27015160192343068</v>
      </c>
      <c r="L24">
        <v>0.27015160192343068</v>
      </c>
      <c r="M24">
        <v>0.27015160192343068</v>
      </c>
      <c r="N24">
        <v>0.27015160192343068</v>
      </c>
      <c r="O24">
        <v>0.27175523224397147</v>
      </c>
      <c r="P24">
        <v>0.27335886256451225</v>
      </c>
      <c r="Q24">
        <v>0.27496249288505303</v>
      </c>
      <c r="R24">
        <v>0.27656612320559382</v>
      </c>
      <c r="S24">
        <v>0.2781697535261346</v>
      </c>
      <c r="T24">
        <v>0.27977338384667538</v>
      </c>
      <c r="U24">
        <v>0.28137701416721617</v>
      </c>
      <c r="V24">
        <v>0.28298064448775695</v>
      </c>
      <c r="W24">
        <v>0.28458427480829773</v>
      </c>
      <c r="X24">
        <v>0.28618790512883852</v>
      </c>
      <c r="Y24">
        <v>0.2877915354493793</v>
      </c>
      <c r="Z24">
        <v>0.28939516576992008</v>
      </c>
      <c r="AA24">
        <v>0.29099879609046087</v>
      </c>
      <c r="AB24">
        <v>0.29260242641100165</v>
      </c>
      <c r="AC24">
        <v>0.29420605673154243</v>
      </c>
      <c r="AD24">
        <v>0.29580968705208321</v>
      </c>
      <c r="AE24">
        <v>0.297413317372624</v>
      </c>
      <c r="AF24">
        <v>0.29901694769316478</v>
      </c>
      <c r="AG24">
        <v>0.30062057801370556</v>
      </c>
      <c r="AH24">
        <v>0.30222420833424679</v>
      </c>
    </row>
    <row r="25" spans="1:34" x14ac:dyDescent="0.3">
      <c r="A25" s="18" t="s">
        <v>123</v>
      </c>
      <c r="C25">
        <v>0.28585676509877955</v>
      </c>
      <c r="D25">
        <v>0.29104830741469673</v>
      </c>
      <c r="E25">
        <v>0.2962398497306139</v>
      </c>
      <c r="F25">
        <v>0.30143139204653108</v>
      </c>
      <c r="G25">
        <v>0.30662293436244825</v>
      </c>
      <c r="H25">
        <v>0.31181447667836543</v>
      </c>
      <c r="I25">
        <v>0.3170060189942826</v>
      </c>
      <c r="J25">
        <v>0.32219756131019978</v>
      </c>
      <c r="K25">
        <v>0.32738910362611695</v>
      </c>
      <c r="L25">
        <v>0.33258064594203413</v>
      </c>
      <c r="M25">
        <v>0.3377721882579513</v>
      </c>
      <c r="N25">
        <v>0.34296373057386825</v>
      </c>
      <c r="O25">
        <v>0.34370930390120275</v>
      </c>
      <c r="P25">
        <v>0.34445487722853724</v>
      </c>
      <c r="Q25">
        <v>0.34520045055587173</v>
      </c>
      <c r="R25">
        <v>0.34594602388320622</v>
      </c>
      <c r="S25">
        <v>0.34669159721054071</v>
      </c>
      <c r="T25">
        <v>0.34743717053787521</v>
      </c>
      <c r="U25">
        <v>0.3481827438652097</v>
      </c>
      <c r="V25">
        <v>0.34892831719254419</v>
      </c>
      <c r="W25">
        <v>0.34967389051987868</v>
      </c>
      <c r="X25">
        <v>0.35041946384721318</v>
      </c>
      <c r="Y25">
        <v>0.35116503717454767</v>
      </c>
      <c r="Z25">
        <v>0.35191061050188216</v>
      </c>
      <c r="AA25">
        <v>0.35265618382921665</v>
      </c>
      <c r="AB25">
        <v>0.35340175715655114</v>
      </c>
      <c r="AC25">
        <v>0.35414733048388564</v>
      </c>
      <c r="AD25">
        <v>0.35489290381122013</v>
      </c>
      <c r="AE25">
        <v>0.35563847713855462</v>
      </c>
      <c r="AF25">
        <v>0.35638405046588911</v>
      </c>
      <c r="AG25">
        <v>0.35712962379322361</v>
      </c>
      <c r="AH25">
        <v>0.35787519712055821</v>
      </c>
    </row>
    <row r="26" spans="1:34" x14ac:dyDescent="0.3">
      <c r="A26" s="20" t="s">
        <v>124</v>
      </c>
      <c r="C26">
        <v>0.28585676509877955</v>
      </c>
      <c r="D26">
        <v>0.28894195923408816</v>
      </c>
      <c r="E26">
        <v>0.29202715336939677</v>
      </c>
      <c r="F26">
        <v>0.29511234750470539</v>
      </c>
      <c r="G26">
        <v>0.298197541640014</v>
      </c>
      <c r="H26">
        <v>0.30128273577532261</v>
      </c>
      <c r="I26">
        <v>0.30436792991063122</v>
      </c>
      <c r="J26">
        <v>0.30745312404593983</v>
      </c>
      <c r="K26">
        <v>0.31053831818124844</v>
      </c>
      <c r="L26">
        <v>0.31362351231655705</v>
      </c>
      <c r="M26">
        <v>0.31670870645186566</v>
      </c>
      <c r="N26">
        <v>0.319793900587174</v>
      </c>
      <c r="O26">
        <v>0.32095239208650872</v>
      </c>
      <c r="P26">
        <v>0.32211088358584344</v>
      </c>
      <c r="Q26">
        <v>0.32326937508517817</v>
      </c>
      <c r="R26">
        <v>0.32442786658451289</v>
      </c>
      <c r="S26">
        <v>0.32558635808384762</v>
      </c>
      <c r="T26">
        <v>0.32674484958318234</v>
      </c>
      <c r="U26">
        <v>0.32790334108251706</v>
      </c>
      <c r="V26">
        <v>0.32906183258185179</v>
      </c>
      <c r="W26">
        <v>0.33022032408118651</v>
      </c>
      <c r="X26">
        <v>0.33137881558052124</v>
      </c>
      <c r="Y26">
        <v>0.33253730707985596</v>
      </c>
      <c r="Z26">
        <v>0.33369579857919068</v>
      </c>
      <c r="AA26">
        <v>0.33485429007852541</v>
      </c>
      <c r="AB26">
        <v>0.33601278157786013</v>
      </c>
      <c r="AC26">
        <v>0.33717127307719486</v>
      </c>
      <c r="AD26">
        <v>0.33832976457652958</v>
      </c>
      <c r="AE26">
        <v>0.3394882560758643</v>
      </c>
      <c r="AF26">
        <v>0.34064674757519903</v>
      </c>
      <c r="AG26">
        <v>0.34180523907453375</v>
      </c>
      <c r="AH26">
        <v>0.34296373057386825</v>
      </c>
    </row>
    <row r="27" spans="1:34" x14ac:dyDescent="0.3">
      <c r="A27" s="22" t="s">
        <v>125</v>
      </c>
      <c r="C27">
        <v>0.28585676509877955</v>
      </c>
      <c r="D27">
        <v>0.28585676509877955</v>
      </c>
      <c r="E27">
        <v>0.28585676509877955</v>
      </c>
      <c r="F27">
        <v>0.28585676509877955</v>
      </c>
      <c r="G27">
        <v>0.28585676509877955</v>
      </c>
      <c r="H27">
        <v>0.28585676509877955</v>
      </c>
      <c r="I27">
        <v>0.28585676509877955</v>
      </c>
      <c r="J27">
        <v>0.28585676509877955</v>
      </c>
      <c r="K27">
        <v>0.28585676509877955</v>
      </c>
      <c r="L27">
        <v>0.28585676509877955</v>
      </c>
      <c r="M27">
        <v>0.28585676509877955</v>
      </c>
      <c r="N27">
        <v>0.28585676509877955</v>
      </c>
      <c r="O27">
        <v>0.28755362187319927</v>
      </c>
      <c r="P27">
        <v>0.28925047864761899</v>
      </c>
      <c r="Q27">
        <v>0.29094733542203871</v>
      </c>
      <c r="R27">
        <v>0.29264419219645843</v>
      </c>
      <c r="S27">
        <v>0.29434104897087815</v>
      </c>
      <c r="T27">
        <v>0.29603790574529787</v>
      </c>
      <c r="U27">
        <v>0.29773476251971759</v>
      </c>
      <c r="V27">
        <v>0.29943161929413731</v>
      </c>
      <c r="W27">
        <v>0.30112847606855703</v>
      </c>
      <c r="X27">
        <v>0.30282533284297675</v>
      </c>
      <c r="Y27">
        <v>0.30452218961739647</v>
      </c>
      <c r="Z27">
        <v>0.30621904639181619</v>
      </c>
      <c r="AA27">
        <v>0.3079159031662359</v>
      </c>
      <c r="AB27">
        <v>0.30961275994065562</v>
      </c>
      <c r="AC27">
        <v>0.31130961671507534</v>
      </c>
      <c r="AD27">
        <v>0.31300647348949506</v>
      </c>
      <c r="AE27">
        <v>0.31470333026391478</v>
      </c>
      <c r="AF27">
        <v>0.3164001870383345</v>
      </c>
      <c r="AG27">
        <v>0.31809704381275422</v>
      </c>
      <c r="AH27">
        <v>0.319793900587174</v>
      </c>
    </row>
    <row r="28" spans="1:34" x14ac:dyDescent="0.3">
      <c r="A28" s="18" t="s">
        <v>126</v>
      </c>
      <c r="C28">
        <v>0.299727738110796</v>
      </c>
      <c r="D28">
        <v>0.30517119590378766</v>
      </c>
      <c r="E28">
        <v>0.31061465369677932</v>
      </c>
      <c r="F28">
        <v>0.31605811148977098</v>
      </c>
      <c r="G28">
        <v>0.32150156928276263</v>
      </c>
      <c r="H28">
        <v>0.32694502707575429</v>
      </c>
      <c r="I28">
        <v>0.33238848486874595</v>
      </c>
      <c r="J28">
        <v>0.33783194266173761</v>
      </c>
      <c r="K28">
        <v>0.34327540045472926</v>
      </c>
      <c r="L28">
        <v>0.34871885824772092</v>
      </c>
      <c r="M28">
        <v>0.35416231604071258</v>
      </c>
      <c r="N28">
        <v>0.35960577383370412</v>
      </c>
      <c r="O28">
        <v>0.36038752551595132</v>
      </c>
      <c r="P28">
        <v>0.36116927719819852</v>
      </c>
      <c r="Q28">
        <v>0.36195102888044572</v>
      </c>
      <c r="R28">
        <v>0.36273278056269292</v>
      </c>
      <c r="S28">
        <v>0.36351453224494013</v>
      </c>
      <c r="T28">
        <v>0.36429628392718733</v>
      </c>
      <c r="U28">
        <v>0.36507803560943453</v>
      </c>
      <c r="V28">
        <v>0.36585978729168173</v>
      </c>
      <c r="W28">
        <v>0.36664153897392893</v>
      </c>
      <c r="X28">
        <v>0.36742329065617613</v>
      </c>
      <c r="Y28">
        <v>0.36820504233842333</v>
      </c>
      <c r="Z28">
        <v>0.36898679402067053</v>
      </c>
      <c r="AA28">
        <v>0.36976854570291773</v>
      </c>
      <c r="AB28">
        <v>0.37055029738516493</v>
      </c>
      <c r="AC28">
        <v>0.37133204906741213</v>
      </c>
      <c r="AD28">
        <v>0.37211380074965933</v>
      </c>
      <c r="AE28">
        <v>0.37289555243190653</v>
      </c>
      <c r="AF28">
        <v>0.37367730411415373</v>
      </c>
      <c r="AG28">
        <v>0.37445905579640093</v>
      </c>
      <c r="AH28">
        <v>0.3752408074786478</v>
      </c>
    </row>
    <row r="29" spans="1:34" x14ac:dyDescent="0.3">
      <c r="A29" s="20" t="s">
        <v>127</v>
      </c>
      <c r="C29">
        <v>0.299727738110796</v>
      </c>
      <c r="D29">
        <v>0.30296263884679642</v>
      </c>
      <c r="E29">
        <v>0.30619753958279683</v>
      </c>
      <c r="F29">
        <v>0.30943244031879724</v>
      </c>
      <c r="G29">
        <v>0.31266734105479765</v>
      </c>
      <c r="H29">
        <v>0.31590224179079807</v>
      </c>
      <c r="I29">
        <v>0.31913714252679848</v>
      </c>
      <c r="J29">
        <v>0.32237204326279889</v>
      </c>
      <c r="K29">
        <v>0.3256069439987993</v>
      </c>
      <c r="L29">
        <v>0.32884184473479972</v>
      </c>
      <c r="M29">
        <v>0.33207674547080013</v>
      </c>
      <c r="N29">
        <v>0.33531164620680043</v>
      </c>
      <c r="O29">
        <v>0.33652635258814562</v>
      </c>
      <c r="P29">
        <v>0.3377410589694908</v>
      </c>
      <c r="Q29">
        <v>0.33895576535083599</v>
      </c>
      <c r="R29">
        <v>0.34017047173218118</v>
      </c>
      <c r="S29">
        <v>0.34138517811352637</v>
      </c>
      <c r="T29">
        <v>0.34259988449487155</v>
      </c>
      <c r="U29">
        <v>0.34381459087621674</v>
      </c>
      <c r="V29">
        <v>0.34502929725756193</v>
      </c>
      <c r="W29">
        <v>0.34624400363890712</v>
      </c>
      <c r="X29">
        <v>0.3474587100202523</v>
      </c>
      <c r="Y29">
        <v>0.34867341640159749</v>
      </c>
      <c r="Z29">
        <v>0.34988812278294268</v>
      </c>
      <c r="AA29">
        <v>0.35110282916428787</v>
      </c>
      <c r="AB29">
        <v>0.35231753554563305</v>
      </c>
      <c r="AC29">
        <v>0.35353224192697824</v>
      </c>
      <c r="AD29">
        <v>0.35474694830832343</v>
      </c>
      <c r="AE29">
        <v>0.35596165468966862</v>
      </c>
      <c r="AF29">
        <v>0.3571763610710138</v>
      </c>
      <c r="AG29">
        <v>0.35839106745235899</v>
      </c>
      <c r="AH29">
        <v>0.35960577383370412</v>
      </c>
    </row>
    <row r="30" spans="1:34" x14ac:dyDescent="0.3">
      <c r="A30" s="22" t="s">
        <v>128</v>
      </c>
      <c r="C30">
        <v>0.299727738110796</v>
      </c>
      <c r="D30">
        <v>0.299727738110796</v>
      </c>
      <c r="E30">
        <v>0.299727738110796</v>
      </c>
      <c r="F30">
        <v>0.299727738110796</v>
      </c>
      <c r="G30">
        <v>0.299727738110796</v>
      </c>
      <c r="H30">
        <v>0.299727738110796</v>
      </c>
      <c r="I30">
        <v>0.299727738110796</v>
      </c>
      <c r="J30">
        <v>0.299727738110796</v>
      </c>
      <c r="K30">
        <v>0.299727738110796</v>
      </c>
      <c r="L30">
        <v>0.299727738110796</v>
      </c>
      <c r="M30">
        <v>0.299727738110796</v>
      </c>
      <c r="N30">
        <v>0.299727738110796</v>
      </c>
      <c r="O30">
        <v>0.30150693351559621</v>
      </c>
      <c r="P30">
        <v>0.30328612892039641</v>
      </c>
      <c r="Q30">
        <v>0.30506532432519662</v>
      </c>
      <c r="R30">
        <v>0.30684451972999682</v>
      </c>
      <c r="S30">
        <v>0.30862371513479703</v>
      </c>
      <c r="T30">
        <v>0.31040291053959723</v>
      </c>
      <c r="U30">
        <v>0.31218210594439744</v>
      </c>
      <c r="V30">
        <v>0.31396130134919764</v>
      </c>
      <c r="W30">
        <v>0.31574049675399785</v>
      </c>
      <c r="X30">
        <v>0.31751969215879805</v>
      </c>
      <c r="Y30">
        <v>0.31929888756359825</v>
      </c>
      <c r="Z30">
        <v>0.32107808296839846</v>
      </c>
      <c r="AA30">
        <v>0.32285727837319866</v>
      </c>
      <c r="AB30">
        <v>0.32463647377799887</v>
      </c>
      <c r="AC30">
        <v>0.32641566918279907</v>
      </c>
      <c r="AD30">
        <v>0.32819486458759928</v>
      </c>
      <c r="AE30">
        <v>0.32997405999239948</v>
      </c>
      <c r="AF30">
        <v>0.33175325539719969</v>
      </c>
      <c r="AG30">
        <v>0.33353245080199989</v>
      </c>
      <c r="AH30">
        <v>0.33531164620680043</v>
      </c>
    </row>
    <row r="31" spans="1:34" x14ac:dyDescent="0.3">
      <c r="A31" s="18" t="s">
        <v>129</v>
      </c>
      <c r="C31">
        <v>0.30900312471459246</v>
      </c>
      <c r="D31">
        <v>0.31461503597074936</v>
      </c>
      <c r="E31">
        <v>0.32022694722690626</v>
      </c>
      <c r="F31">
        <v>0.32583885848306315</v>
      </c>
      <c r="G31">
        <v>0.33145076973922005</v>
      </c>
      <c r="H31">
        <v>0.33706268099537695</v>
      </c>
      <c r="I31">
        <v>0.34267459225153385</v>
      </c>
      <c r="J31">
        <v>0.34828650350769075</v>
      </c>
      <c r="K31">
        <v>0.35389841476384765</v>
      </c>
      <c r="L31">
        <v>0.35951032602000454</v>
      </c>
      <c r="M31">
        <v>0.36512223727616144</v>
      </c>
      <c r="N31">
        <v>0.37073414853231812</v>
      </c>
      <c r="O31">
        <v>0.37154009233347535</v>
      </c>
      <c r="P31">
        <v>0.37234603613463257</v>
      </c>
      <c r="Q31">
        <v>0.3731519799357898</v>
      </c>
      <c r="R31">
        <v>0.37395792373694703</v>
      </c>
      <c r="S31">
        <v>0.37476386753810426</v>
      </c>
      <c r="T31">
        <v>0.37556981133926148</v>
      </c>
      <c r="U31">
        <v>0.37637575514041871</v>
      </c>
      <c r="V31">
        <v>0.37718169894157594</v>
      </c>
      <c r="W31">
        <v>0.37798764274273317</v>
      </c>
      <c r="X31">
        <v>0.37879358654389039</v>
      </c>
      <c r="Y31">
        <v>0.37959953034504762</v>
      </c>
      <c r="Z31">
        <v>0.38040547414620485</v>
      </c>
      <c r="AA31">
        <v>0.38121141794736207</v>
      </c>
      <c r="AB31">
        <v>0.3820173617485193</v>
      </c>
      <c r="AC31">
        <v>0.38282330554967653</v>
      </c>
      <c r="AD31">
        <v>0.38362924935083376</v>
      </c>
      <c r="AE31">
        <v>0.38443519315199098</v>
      </c>
      <c r="AF31">
        <v>0.38524113695314821</v>
      </c>
      <c r="AG31">
        <v>0.38604708075430544</v>
      </c>
      <c r="AH31">
        <v>0.38685302455546244</v>
      </c>
    </row>
    <row r="32" spans="1:34" x14ac:dyDescent="0.3">
      <c r="A32" s="20" t="s">
        <v>130</v>
      </c>
      <c r="C32">
        <v>0.30900312471459246</v>
      </c>
      <c r="D32">
        <v>0.31233813281850092</v>
      </c>
      <c r="E32">
        <v>0.31567314092240939</v>
      </c>
      <c r="F32">
        <v>0.31900814902631786</v>
      </c>
      <c r="G32">
        <v>0.32234315713022632</v>
      </c>
      <c r="H32">
        <v>0.32567816523413479</v>
      </c>
      <c r="I32">
        <v>0.32901317333804325</v>
      </c>
      <c r="J32">
        <v>0.33234818144195172</v>
      </c>
      <c r="K32">
        <v>0.33568318954586018</v>
      </c>
      <c r="L32">
        <v>0.33901819764976865</v>
      </c>
      <c r="M32">
        <v>0.34235320575367711</v>
      </c>
      <c r="N32">
        <v>0.34568821385758558</v>
      </c>
      <c r="O32">
        <v>0.34694051059132219</v>
      </c>
      <c r="P32">
        <v>0.34819280732505881</v>
      </c>
      <c r="Q32">
        <v>0.34944510405879542</v>
      </c>
      <c r="R32">
        <v>0.35069740079253203</v>
      </c>
      <c r="S32">
        <v>0.35194969752626865</v>
      </c>
      <c r="T32">
        <v>0.35320199426000526</v>
      </c>
      <c r="U32">
        <v>0.35445429099374187</v>
      </c>
      <c r="V32">
        <v>0.35570658772747848</v>
      </c>
      <c r="W32">
        <v>0.3569588844612151</v>
      </c>
      <c r="X32">
        <v>0.35821118119495171</v>
      </c>
      <c r="Y32">
        <v>0.35946347792868832</v>
      </c>
      <c r="Z32">
        <v>0.36071577466242494</v>
      </c>
      <c r="AA32">
        <v>0.36196807139616155</v>
      </c>
      <c r="AB32">
        <v>0.36322036812989816</v>
      </c>
      <c r="AC32">
        <v>0.36447266486363478</v>
      </c>
      <c r="AD32">
        <v>0.36572496159737139</v>
      </c>
      <c r="AE32">
        <v>0.366977258331108</v>
      </c>
      <c r="AF32">
        <v>0.36822955506484462</v>
      </c>
      <c r="AG32">
        <v>0.36948185179858123</v>
      </c>
      <c r="AH32">
        <v>0.37073414853231812</v>
      </c>
    </row>
    <row r="33" spans="1:34" x14ac:dyDescent="0.3">
      <c r="A33" s="22" t="s">
        <v>131</v>
      </c>
      <c r="C33">
        <v>0.30900312471459246</v>
      </c>
      <c r="D33">
        <v>0.30900312471459246</v>
      </c>
      <c r="E33">
        <v>0.30900312471459246</v>
      </c>
      <c r="F33">
        <v>0.30900312471459246</v>
      </c>
      <c r="G33">
        <v>0.30900312471459246</v>
      </c>
      <c r="H33">
        <v>0.30900312471459246</v>
      </c>
      <c r="I33">
        <v>0.30900312471459246</v>
      </c>
      <c r="J33">
        <v>0.30900312471459246</v>
      </c>
      <c r="K33">
        <v>0.30900312471459246</v>
      </c>
      <c r="L33">
        <v>0.30900312471459246</v>
      </c>
      <c r="M33">
        <v>0.30900312471459246</v>
      </c>
      <c r="N33">
        <v>0.30900312471459246</v>
      </c>
      <c r="O33">
        <v>0.31083737917174209</v>
      </c>
      <c r="P33">
        <v>0.31267163362889172</v>
      </c>
      <c r="Q33">
        <v>0.31450588808604135</v>
      </c>
      <c r="R33">
        <v>0.31634014254319098</v>
      </c>
      <c r="S33">
        <v>0.31817439700034061</v>
      </c>
      <c r="T33">
        <v>0.32000865145749025</v>
      </c>
      <c r="U33">
        <v>0.32184290591463988</v>
      </c>
      <c r="V33">
        <v>0.32367716037178951</v>
      </c>
      <c r="W33">
        <v>0.32551141482893914</v>
      </c>
      <c r="X33">
        <v>0.32734566928608877</v>
      </c>
      <c r="Y33">
        <v>0.3291799237432384</v>
      </c>
      <c r="Z33">
        <v>0.33101417820038803</v>
      </c>
      <c r="AA33">
        <v>0.33284843265753766</v>
      </c>
      <c r="AB33">
        <v>0.33468268711468729</v>
      </c>
      <c r="AC33">
        <v>0.33651694157183693</v>
      </c>
      <c r="AD33">
        <v>0.33835119602898656</v>
      </c>
      <c r="AE33">
        <v>0.34018545048613619</v>
      </c>
      <c r="AF33">
        <v>0.34201970494328582</v>
      </c>
      <c r="AG33">
        <v>0.34385395940043545</v>
      </c>
      <c r="AH33">
        <v>0.34568821385758558</v>
      </c>
    </row>
    <row r="36" spans="1:34" x14ac:dyDescent="0.3">
      <c r="A36" s="20" t="s">
        <v>132</v>
      </c>
      <c r="B36" s="24"/>
      <c r="C36" s="24">
        <f>AVERAGE(C4:C33)</f>
        <v>0.2514666287530456</v>
      </c>
      <c r="D36" s="24">
        <f t="shared" ref="D36:AH36" si="0">AVERAGE(D4:D33)</f>
        <v>0.25389362864318055</v>
      </c>
      <c r="E36" s="24">
        <f t="shared" si="0"/>
        <v>0.25632062853331544</v>
      </c>
      <c r="F36" s="24">
        <f t="shared" si="0"/>
        <v>0.25874762842345039</v>
      </c>
      <c r="G36" s="24">
        <f t="shared" si="0"/>
        <v>0.26117462831358523</v>
      </c>
      <c r="H36" s="24">
        <f t="shared" si="0"/>
        <v>0.26360162820372018</v>
      </c>
      <c r="I36" s="24">
        <f t="shared" si="0"/>
        <v>0.26602862809385514</v>
      </c>
      <c r="J36" s="24">
        <f t="shared" si="0"/>
        <v>0.26845562798399009</v>
      </c>
      <c r="K36" s="24">
        <f t="shared" si="0"/>
        <v>0.27088262787412493</v>
      </c>
      <c r="L36" s="24">
        <f t="shared" si="0"/>
        <v>0.27330962776425988</v>
      </c>
      <c r="M36" s="24">
        <f t="shared" si="0"/>
        <v>0.27573662765439483</v>
      </c>
      <c r="N36" s="24">
        <f t="shared" si="0"/>
        <v>0.27816362754452967</v>
      </c>
      <c r="O36" s="24">
        <f t="shared" si="0"/>
        <v>0.27921953120676762</v>
      </c>
      <c r="P36" s="24">
        <f t="shared" si="0"/>
        <v>0.28027543486900547</v>
      </c>
      <c r="Q36" s="24">
        <f t="shared" si="0"/>
        <v>0.28133133853124342</v>
      </c>
      <c r="R36" s="24">
        <f t="shared" si="0"/>
        <v>0.28238724219348138</v>
      </c>
      <c r="S36" s="24">
        <f t="shared" si="0"/>
        <v>0.28344314585571928</v>
      </c>
      <c r="T36" s="24">
        <f t="shared" si="0"/>
        <v>0.28449904951795713</v>
      </c>
      <c r="U36" s="24">
        <f t="shared" si="0"/>
        <v>0.28555495318019503</v>
      </c>
      <c r="V36" s="24">
        <f t="shared" si="0"/>
        <v>0.28661085684243293</v>
      </c>
      <c r="W36" s="24">
        <f t="shared" si="0"/>
        <v>0.28766676050467088</v>
      </c>
      <c r="X36" s="24">
        <f t="shared" si="0"/>
        <v>0.28872266416690878</v>
      </c>
      <c r="Y36" s="24">
        <f t="shared" si="0"/>
        <v>0.28977856782914674</v>
      </c>
      <c r="Z36" s="24">
        <f t="shared" si="0"/>
        <v>0.29083447149138464</v>
      </c>
      <c r="AA36" s="24">
        <f t="shared" si="0"/>
        <v>0.29189037515362254</v>
      </c>
      <c r="AB36" s="24">
        <f t="shared" si="0"/>
        <v>0.29294627881586049</v>
      </c>
      <c r="AC36" s="24">
        <f t="shared" si="0"/>
        <v>0.2940021824780984</v>
      </c>
      <c r="AD36" s="24">
        <f t="shared" si="0"/>
        <v>0.2950580861403363</v>
      </c>
      <c r="AE36" s="24">
        <f t="shared" si="0"/>
        <v>0.29611398980257414</v>
      </c>
      <c r="AF36" s="24">
        <f t="shared" si="0"/>
        <v>0.29716989346481221</v>
      </c>
      <c r="AG36" s="24">
        <f t="shared" si="0"/>
        <v>0.29822579712705</v>
      </c>
      <c r="AH36" s="24">
        <f t="shared" si="0"/>
        <v>0.2992817007892879</v>
      </c>
    </row>
    <row r="38" spans="1:34" x14ac:dyDescent="0.3">
      <c r="A38" s="15" t="s">
        <v>133</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s="16" customFormat="1" ht="13.95" customHeight="1" x14ac:dyDescent="0.25">
      <c r="B39" s="17"/>
      <c r="C39" s="17">
        <v>2019</v>
      </c>
      <c r="D39" s="17">
        <v>2020</v>
      </c>
      <c r="E39" s="17">
        <v>2021</v>
      </c>
      <c r="F39" s="17">
        <v>2022</v>
      </c>
      <c r="G39" s="17">
        <v>2023</v>
      </c>
      <c r="H39" s="17">
        <v>2024</v>
      </c>
      <c r="I39" s="17">
        <v>2025</v>
      </c>
      <c r="J39" s="17">
        <v>2026</v>
      </c>
      <c r="K39" s="17">
        <v>2027</v>
      </c>
      <c r="L39" s="17">
        <v>2028</v>
      </c>
      <c r="M39" s="17">
        <v>2029</v>
      </c>
      <c r="N39" s="17">
        <v>2030</v>
      </c>
      <c r="O39" s="17">
        <v>2031</v>
      </c>
      <c r="P39" s="17">
        <v>2032</v>
      </c>
      <c r="Q39" s="17">
        <v>2033</v>
      </c>
      <c r="R39" s="17">
        <v>2034</v>
      </c>
      <c r="S39" s="17">
        <v>2035</v>
      </c>
      <c r="T39" s="17">
        <v>2036</v>
      </c>
      <c r="U39" s="17">
        <v>2037</v>
      </c>
      <c r="V39" s="17">
        <v>2038</v>
      </c>
      <c r="W39" s="17">
        <v>2039</v>
      </c>
      <c r="X39" s="17">
        <v>2040</v>
      </c>
      <c r="Y39" s="17">
        <v>2041</v>
      </c>
      <c r="Z39" s="17">
        <v>2042</v>
      </c>
      <c r="AA39" s="17">
        <v>2043</v>
      </c>
      <c r="AB39" s="17">
        <v>2044</v>
      </c>
      <c r="AC39" s="17">
        <v>2045</v>
      </c>
      <c r="AD39" s="17">
        <v>2046</v>
      </c>
      <c r="AE39" s="17">
        <v>2047</v>
      </c>
      <c r="AF39" s="17">
        <v>2048</v>
      </c>
      <c r="AG39" s="17">
        <v>2049</v>
      </c>
      <c r="AH39" s="17">
        <v>2050</v>
      </c>
    </row>
    <row r="40" spans="1:34" s="16" customFormat="1" ht="13.95" customHeight="1" x14ac:dyDescent="0.25">
      <c r="A40" s="25" t="s">
        <v>134</v>
      </c>
      <c r="B40" s="19"/>
      <c r="C40" s="19">
        <v>0.51</v>
      </c>
      <c r="D40" s="19">
        <v>0.51</v>
      </c>
      <c r="E40" s="19">
        <v>0.51</v>
      </c>
      <c r="F40" s="19">
        <v>0.51</v>
      </c>
      <c r="G40" s="19">
        <v>0.51</v>
      </c>
      <c r="H40" s="19">
        <v>0.51</v>
      </c>
      <c r="I40" s="19">
        <v>0.51</v>
      </c>
      <c r="J40" s="19">
        <v>0.51</v>
      </c>
      <c r="K40" s="19">
        <v>0.51</v>
      </c>
      <c r="L40" s="19">
        <v>0.51</v>
      </c>
      <c r="M40" s="19">
        <v>0.51</v>
      </c>
      <c r="N40" s="19">
        <v>0.51</v>
      </c>
      <c r="O40" s="19">
        <v>0.51</v>
      </c>
      <c r="P40" s="19">
        <v>0.51</v>
      </c>
      <c r="Q40" s="19">
        <v>0.51</v>
      </c>
      <c r="R40" s="19">
        <v>0.51</v>
      </c>
      <c r="S40" s="19">
        <v>0.51</v>
      </c>
      <c r="T40" s="19">
        <v>0.51</v>
      </c>
      <c r="U40" s="19">
        <v>0.51</v>
      </c>
      <c r="V40" s="19">
        <v>0.51</v>
      </c>
      <c r="W40" s="19">
        <v>0.51</v>
      </c>
      <c r="X40" s="19">
        <v>0.51</v>
      </c>
      <c r="Y40" s="19">
        <v>0.51</v>
      </c>
      <c r="Z40" s="19">
        <v>0.51</v>
      </c>
      <c r="AA40" s="19">
        <v>0.51</v>
      </c>
      <c r="AB40" s="19">
        <v>0.51</v>
      </c>
      <c r="AC40" s="19">
        <v>0.51</v>
      </c>
      <c r="AD40" s="19">
        <v>0.51</v>
      </c>
      <c r="AE40" s="19">
        <v>0.51</v>
      </c>
      <c r="AF40" s="19">
        <v>0.51</v>
      </c>
      <c r="AG40" s="19">
        <v>0.51</v>
      </c>
      <c r="AH40" s="19">
        <v>0.51</v>
      </c>
    </row>
    <row r="41" spans="1:34" s="16" customFormat="1" ht="13.95" customHeight="1" x14ac:dyDescent="0.25">
      <c r="A41" s="16" t="s">
        <v>135</v>
      </c>
      <c r="B41" s="21"/>
      <c r="C41" s="21">
        <v>0.51</v>
      </c>
      <c r="D41" s="21">
        <v>0.51</v>
      </c>
      <c r="E41" s="21">
        <v>0.51</v>
      </c>
      <c r="F41" s="21">
        <v>0.51</v>
      </c>
      <c r="G41" s="21">
        <v>0.51</v>
      </c>
      <c r="H41" s="21">
        <v>0.51</v>
      </c>
      <c r="I41" s="21">
        <v>0.51</v>
      </c>
      <c r="J41" s="21">
        <v>0.51</v>
      </c>
      <c r="K41" s="21">
        <v>0.51</v>
      </c>
      <c r="L41" s="21">
        <v>0.51</v>
      </c>
      <c r="M41" s="21">
        <v>0.51</v>
      </c>
      <c r="N41" s="21">
        <v>0.51</v>
      </c>
      <c r="O41" s="21">
        <v>0.51</v>
      </c>
      <c r="P41" s="21">
        <v>0.51</v>
      </c>
      <c r="Q41" s="21">
        <v>0.51</v>
      </c>
      <c r="R41" s="21">
        <v>0.51</v>
      </c>
      <c r="S41" s="21">
        <v>0.51</v>
      </c>
      <c r="T41" s="21">
        <v>0.51</v>
      </c>
      <c r="U41" s="21">
        <v>0.51</v>
      </c>
      <c r="V41" s="21">
        <v>0.51</v>
      </c>
      <c r="W41" s="21">
        <v>0.51</v>
      </c>
      <c r="X41" s="21">
        <v>0.51</v>
      </c>
      <c r="Y41" s="21">
        <v>0.51</v>
      </c>
      <c r="Z41" s="21">
        <v>0.51</v>
      </c>
      <c r="AA41" s="21">
        <v>0.51</v>
      </c>
      <c r="AB41" s="21">
        <v>0.51</v>
      </c>
      <c r="AC41" s="21">
        <v>0.51</v>
      </c>
      <c r="AD41" s="21">
        <v>0.51</v>
      </c>
      <c r="AE41" s="21">
        <v>0.51</v>
      </c>
      <c r="AF41" s="21">
        <v>0.51</v>
      </c>
      <c r="AG41" s="21">
        <v>0.51</v>
      </c>
      <c r="AH41" s="21">
        <v>0.51</v>
      </c>
    </row>
    <row r="42" spans="1:34" s="16" customFormat="1" ht="13.95" customHeight="1" thickBot="1" x14ac:dyDescent="0.3">
      <c r="A42" s="26" t="s">
        <v>136</v>
      </c>
      <c r="B42" s="23"/>
      <c r="C42" s="23">
        <v>0.51</v>
      </c>
      <c r="D42" s="23">
        <v>0.51</v>
      </c>
      <c r="E42" s="23">
        <v>0.51</v>
      </c>
      <c r="F42" s="23">
        <v>0.51</v>
      </c>
      <c r="G42" s="23">
        <v>0.51</v>
      </c>
      <c r="H42" s="23">
        <v>0.51</v>
      </c>
      <c r="I42" s="23">
        <v>0.51</v>
      </c>
      <c r="J42" s="23">
        <v>0.51</v>
      </c>
      <c r="K42" s="23">
        <v>0.51</v>
      </c>
      <c r="L42" s="23">
        <v>0.51</v>
      </c>
      <c r="M42" s="23">
        <v>0.51</v>
      </c>
      <c r="N42" s="23">
        <v>0.51</v>
      </c>
      <c r="O42" s="23">
        <v>0.51</v>
      </c>
      <c r="P42" s="23">
        <v>0.51</v>
      </c>
      <c r="Q42" s="23">
        <v>0.51</v>
      </c>
      <c r="R42" s="23">
        <v>0.51</v>
      </c>
      <c r="S42" s="23">
        <v>0.51</v>
      </c>
      <c r="T42" s="23">
        <v>0.51</v>
      </c>
      <c r="U42" s="23">
        <v>0.51</v>
      </c>
      <c r="V42" s="23">
        <v>0.51</v>
      </c>
      <c r="W42" s="23">
        <v>0.51</v>
      </c>
      <c r="X42" s="23">
        <v>0.51</v>
      </c>
      <c r="Y42" s="23">
        <v>0.51</v>
      </c>
      <c r="Z42" s="23">
        <v>0.51</v>
      </c>
      <c r="AA42" s="23">
        <v>0.51</v>
      </c>
      <c r="AB42" s="23">
        <v>0.51</v>
      </c>
      <c r="AC42" s="23">
        <v>0.51</v>
      </c>
      <c r="AD42" s="23">
        <v>0.51</v>
      </c>
      <c r="AE42" s="23">
        <v>0.51</v>
      </c>
      <c r="AF42" s="23">
        <v>0.51</v>
      </c>
      <c r="AG42" s="23">
        <v>0.51</v>
      </c>
      <c r="AH42" s="23">
        <v>0.51</v>
      </c>
    </row>
    <row r="43" spans="1:34" s="16" customFormat="1" ht="13.95" customHeight="1" thickTop="1" x14ac:dyDescent="0.25">
      <c r="A43" s="25" t="s">
        <v>137</v>
      </c>
      <c r="B43" s="19"/>
      <c r="C43" s="19">
        <v>0.62</v>
      </c>
      <c r="D43" s="19">
        <v>0.62</v>
      </c>
      <c r="E43" s="19">
        <v>0.62</v>
      </c>
      <c r="F43" s="19">
        <v>0.62</v>
      </c>
      <c r="G43" s="19">
        <v>0.62</v>
      </c>
      <c r="H43" s="19">
        <v>0.62</v>
      </c>
      <c r="I43" s="19">
        <v>0.62</v>
      </c>
      <c r="J43" s="19">
        <v>0.62</v>
      </c>
      <c r="K43" s="19">
        <v>0.62</v>
      </c>
      <c r="L43" s="19">
        <v>0.62</v>
      </c>
      <c r="M43" s="19">
        <v>0.62</v>
      </c>
      <c r="N43" s="19">
        <v>0.62</v>
      </c>
      <c r="O43" s="19">
        <v>0.62</v>
      </c>
      <c r="P43" s="19">
        <v>0.62</v>
      </c>
      <c r="Q43" s="19">
        <v>0.62</v>
      </c>
      <c r="R43" s="19">
        <v>0.62</v>
      </c>
      <c r="S43" s="19">
        <v>0.62</v>
      </c>
      <c r="T43" s="19">
        <v>0.62</v>
      </c>
      <c r="U43" s="19">
        <v>0.62</v>
      </c>
      <c r="V43" s="19">
        <v>0.62</v>
      </c>
      <c r="W43" s="19">
        <v>0.62</v>
      </c>
      <c r="X43" s="19">
        <v>0.62</v>
      </c>
      <c r="Y43" s="19">
        <v>0.62</v>
      </c>
      <c r="Z43" s="19">
        <v>0.62</v>
      </c>
      <c r="AA43" s="19">
        <v>0.62</v>
      </c>
      <c r="AB43" s="19">
        <v>0.62</v>
      </c>
      <c r="AC43" s="19">
        <v>0.62</v>
      </c>
      <c r="AD43" s="19">
        <v>0.62</v>
      </c>
      <c r="AE43" s="19">
        <v>0.62</v>
      </c>
      <c r="AF43" s="19">
        <v>0.62</v>
      </c>
      <c r="AG43" s="19">
        <v>0.62</v>
      </c>
      <c r="AH43" s="19">
        <v>0.62</v>
      </c>
    </row>
    <row r="44" spans="1:34" s="16" customFormat="1" ht="13.95" customHeight="1" x14ac:dyDescent="0.25">
      <c r="A44" s="16" t="s">
        <v>138</v>
      </c>
      <c r="B44" s="21"/>
      <c r="C44" s="21">
        <v>0.62</v>
      </c>
      <c r="D44" s="21">
        <v>0.62</v>
      </c>
      <c r="E44" s="21">
        <v>0.62</v>
      </c>
      <c r="F44" s="21">
        <v>0.62</v>
      </c>
      <c r="G44" s="21">
        <v>0.62</v>
      </c>
      <c r="H44" s="21">
        <v>0.62</v>
      </c>
      <c r="I44" s="21">
        <v>0.62</v>
      </c>
      <c r="J44" s="21">
        <v>0.62</v>
      </c>
      <c r="K44" s="21">
        <v>0.62</v>
      </c>
      <c r="L44" s="21">
        <v>0.62</v>
      </c>
      <c r="M44" s="21">
        <v>0.62</v>
      </c>
      <c r="N44" s="21">
        <v>0.62</v>
      </c>
      <c r="O44" s="21">
        <v>0.62</v>
      </c>
      <c r="P44" s="21">
        <v>0.62</v>
      </c>
      <c r="Q44" s="21">
        <v>0.62</v>
      </c>
      <c r="R44" s="21">
        <v>0.62</v>
      </c>
      <c r="S44" s="21">
        <v>0.62</v>
      </c>
      <c r="T44" s="21">
        <v>0.62</v>
      </c>
      <c r="U44" s="21">
        <v>0.62</v>
      </c>
      <c r="V44" s="21">
        <v>0.62</v>
      </c>
      <c r="W44" s="21">
        <v>0.62</v>
      </c>
      <c r="X44" s="21">
        <v>0.62</v>
      </c>
      <c r="Y44" s="21">
        <v>0.62</v>
      </c>
      <c r="Z44" s="21">
        <v>0.62</v>
      </c>
      <c r="AA44" s="21">
        <v>0.62</v>
      </c>
      <c r="AB44" s="21">
        <v>0.62</v>
      </c>
      <c r="AC44" s="21">
        <v>0.62</v>
      </c>
      <c r="AD44" s="21">
        <v>0.62</v>
      </c>
      <c r="AE44" s="21">
        <v>0.62</v>
      </c>
      <c r="AF44" s="21">
        <v>0.62</v>
      </c>
      <c r="AG44" s="21">
        <v>0.62</v>
      </c>
      <c r="AH44" s="21">
        <v>0.62</v>
      </c>
    </row>
    <row r="45" spans="1:34" s="16" customFormat="1" ht="13.95" customHeight="1" thickBot="1" x14ac:dyDescent="0.3">
      <c r="A45" s="26" t="s">
        <v>139</v>
      </c>
      <c r="B45" s="23"/>
      <c r="C45" s="23">
        <v>0.62</v>
      </c>
      <c r="D45" s="23">
        <v>0.62</v>
      </c>
      <c r="E45" s="23">
        <v>0.62</v>
      </c>
      <c r="F45" s="23">
        <v>0.62</v>
      </c>
      <c r="G45" s="23">
        <v>0.62</v>
      </c>
      <c r="H45" s="23">
        <v>0.62</v>
      </c>
      <c r="I45" s="23">
        <v>0.62</v>
      </c>
      <c r="J45" s="23">
        <v>0.62</v>
      </c>
      <c r="K45" s="23">
        <v>0.62</v>
      </c>
      <c r="L45" s="23">
        <v>0.62</v>
      </c>
      <c r="M45" s="23">
        <v>0.62</v>
      </c>
      <c r="N45" s="23">
        <v>0.62</v>
      </c>
      <c r="O45" s="23">
        <v>0.62</v>
      </c>
      <c r="P45" s="23">
        <v>0.62</v>
      </c>
      <c r="Q45" s="23">
        <v>0.62</v>
      </c>
      <c r="R45" s="23">
        <v>0.62</v>
      </c>
      <c r="S45" s="23">
        <v>0.62</v>
      </c>
      <c r="T45" s="23">
        <v>0.62</v>
      </c>
      <c r="U45" s="23">
        <v>0.62</v>
      </c>
      <c r="V45" s="23">
        <v>0.62</v>
      </c>
      <c r="W45" s="23">
        <v>0.62</v>
      </c>
      <c r="X45" s="23">
        <v>0.62</v>
      </c>
      <c r="Y45" s="23">
        <v>0.62</v>
      </c>
      <c r="Z45" s="23">
        <v>0.62</v>
      </c>
      <c r="AA45" s="23">
        <v>0.62</v>
      </c>
      <c r="AB45" s="23">
        <v>0.62</v>
      </c>
      <c r="AC45" s="23">
        <v>0.62</v>
      </c>
      <c r="AD45" s="23">
        <v>0.62</v>
      </c>
      <c r="AE45" s="23">
        <v>0.62</v>
      </c>
      <c r="AF45" s="23">
        <v>0.62</v>
      </c>
      <c r="AG45" s="23">
        <v>0.62</v>
      </c>
      <c r="AH45" s="23">
        <v>0.62</v>
      </c>
    </row>
    <row r="46" spans="1:34" s="16" customFormat="1" ht="13.95" customHeight="1" thickTop="1" x14ac:dyDescent="0.25">
      <c r="A46" s="25" t="s">
        <v>140</v>
      </c>
      <c r="B46" s="19"/>
      <c r="C46" s="19">
        <v>0.63800000000000001</v>
      </c>
      <c r="D46" s="19">
        <v>0.63800000000000001</v>
      </c>
      <c r="E46" s="19">
        <v>0.63800000000000001</v>
      </c>
      <c r="F46" s="19">
        <v>0.63800000000000001</v>
      </c>
      <c r="G46" s="19">
        <v>0.63800000000000001</v>
      </c>
      <c r="H46" s="19">
        <v>0.63800000000000001</v>
      </c>
      <c r="I46" s="19">
        <v>0.63800000000000001</v>
      </c>
      <c r="J46" s="19">
        <v>0.63800000000000001</v>
      </c>
      <c r="K46" s="19">
        <v>0.63800000000000001</v>
      </c>
      <c r="L46" s="19">
        <v>0.63800000000000001</v>
      </c>
      <c r="M46" s="19">
        <v>0.63800000000000001</v>
      </c>
      <c r="N46" s="19">
        <v>0.63800000000000001</v>
      </c>
      <c r="O46" s="19">
        <v>0.63800000000000001</v>
      </c>
      <c r="P46" s="19">
        <v>0.63800000000000001</v>
      </c>
      <c r="Q46" s="19">
        <v>0.63800000000000001</v>
      </c>
      <c r="R46" s="19">
        <v>0.63800000000000001</v>
      </c>
      <c r="S46" s="19">
        <v>0.63800000000000001</v>
      </c>
      <c r="T46" s="19">
        <v>0.63800000000000001</v>
      </c>
      <c r="U46" s="19">
        <v>0.63800000000000001</v>
      </c>
      <c r="V46" s="19">
        <v>0.63800000000000001</v>
      </c>
      <c r="W46" s="19">
        <v>0.63800000000000001</v>
      </c>
      <c r="X46" s="19">
        <v>0.63800000000000001</v>
      </c>
      <c r="Y46" s="19">
        <v>0.63800000000000001</v>
      </c>
      <c r="Z46" s="19">
        <v>0.63800000000000001</v>
      </c>
      <c r="AA46" s="19">
        <v>0.63800000000000001</v>
      </c>
      <c r="AB46" s="19">
        <v>0.63800000000000001</v>
      </c>
      <c r="AC46" s="19">
        <v>0.63800000000000001</v>
      </c>
      <c r="AD46" s="19">
        <v>0.63800000000000001</v>
      </c>
      <c r="AE46" s="19">
        <v>0.63800000000000001</v>
      </c>
      <c r="AF46" s="19">
        <v>0.63800000000000001</v>
      </c>
      <c r="AG46" s="19">
        <v>0.63800000000000001</v>
      </c>
      <c r="AH46" s="19">
        <v>0.63800000000000001</v>
      </c>
    </row>
    <row r="47" spans="1:34" s="16" customFormat="1" ht="13.95" customHeight="1" x14ac:dyDescent="0.25">
      <c r="A47" s="16" t="s">
        <v>141</v>
      </c>
      <c r="B47" s="21"/>
      <c r="C47" s="21">
        <v>0.63800000000000001</v>
      </c>
      <c r="D47" s="21">
        <v>0.63800000000000001</v>
      </c>
      <c r="E47" s="21">
        <v>0.63800000000000001</v>
      </c>
      <c r="F47" s="21">
        <v>0.63800000000000001</v>
      </c>
      <c r="G47" s="21">
        <v>0.63800000000000001</v>
      </c>
      <c r="H47" s="21">
        <v>0.63800000000000001</v>
      </c>
      <c r="I47" s="21">
        <v>0.63800000000000001</v>
      </c>
      <c r="J47" s="21">
        <v>0.63800000000000001</v>
      </c>
      <c r="K47" s="21">
        <v>0.63800000000000001</v>
      </c>
      <c r="L47" s="21">
        <v>0.63800000000000001</v>
      </c>
      <c r="M47" s="21">
        <v>0.63800000000000001</v>
      </c>
      <c r="N47" s="21">
        <v>0.63800000000000001</v>
      </c>
      <c r="O47" s="21">
        <v>0.63800000000000001</v>
      </c>
      <c r="P47" s="21">
        <v>0.63800000000000001</v>
      </c>
      <c r="Q47" s="21">
        <v>0.63800000000000001</v>
      </c>
      <c r="R47" s="21">
        <v>0.63800000000000001</v>
      </c>
      <c r="S47" s="21">
        <v>0.63800000000000001</v>
      </c>
      <c r="T47" s="21">
        <v>0.63800000000000001</v>
      </c>
      <c r="U47" s="21">
        <v>0.63800000000000001</v>
      </c>
      <c r="V47" s="21">
        <v>0.63800000000000001</v>
      </c>
      <c r="W47" s="21">
        <v>0.63800000000000001</v>
      </c>
      <c r="X47" s="21">
        <v>0.63800000000000001</v>
      </c>
      <c r="Y47" s="21">
        <v>0.63800000000000001</v>
      </c>
      <c r="Z47" s="21">
        <v>0.63800000000000001</v>
      </c>
      <c r="AA47" s="21">
        <v>0.63800000000000001</v>
      </c>
      <c r="AB47" s="21">
        <v>0.63800000000000001</v>
      </c>
      <c r="AC47" s="21">
        <v>0.63800000000000001</v>
      </c>
      <c r="AD47" s="21">
        <v>0.63800000000000001</v>
      </c>
      <c r="AE47" s="21">
        <v>0.63800000000000001</v>
      </c>
      <c r="AF47" s="21">
        <v>0.63800000000000001</v>
      </c>
      <c r="AG47" s="21">
        <v>0.63800000000000001</v>
      </c>
      <c r="AH47" s="21">
        <v>0.63800000000000001</v>
      </c>
    </row>
    <row r="48" spans="1:34" s="16" customFormat="1" ht="13.95" customHeight="1" thickBot="1" x14ac:dyDescent="0.3">
      <c r="A48" s="26" t="s">
        <v>142</v>
      </c>
      <c r="B48" s="23"/>
      <c r="C48" s="23">
        <v>0.63800000000000001</v>
      </c>
      <c r="D48" s="23">
        <v>0.63800000000000001</v>
      </c>
      <c r="E48" s="23">
        <v>0.63800000000000001</v>
      </c>
      <c r="F48" s="23">
        <v>0.63800000000000001</v>
      </c>
      <c r="G48" s="23">
        <v>0.63800000000000001</v>
      </c>
      <c r="H48" s="23">
        <v>0.63800000000000001</v>
      </c>
      <c r="I48" s="23">
        <v>0.63800000000000001</v>
      </c>
      <c r="J48" s="23">
        <v>0.63800000000000001</v>
      </c>
      <c r="K48" s="23">
        <v>0.63800000000000001</v>
      </c>
      <c r="L48" s="23">
        <v>0.63800000000000001</v>
      </c>
      <c r="M48" s="23">
        <v>0.63800000000000001</v>
      </c>
      <c r="N48" s="23">
        <v>0.63800000000000001</v>
      </c>
      <c r="O48" s="23">
        <v>0.63800000000000001</v>
      </c>
      <c r="P48" s="23">
        <v>0.63800000000000001</v>
      </c>
      <c r="Q48" s="23">
        <v>0.63800000000000001</v>
      </c>
      <c r="R48" s="23">
        <v>0.63800000000000001</v>
      </c>
      <c r="S48" s="23">
        <v>0.63800000000000001</v>
      </c>
      <c r="T48" s="23">
        <v>0.63800000000000001</v>
      </c>
      <c r="U48" s="23">
        <v>0.63800000000000001</v>
      </c>
      <c r="V48" s="23">
        <v>0.63800000000000001</v>
      </c>
      <c r="W48" s="23">
        <v>0.63800000000000001</v>
      </c>
      <c r="X48" s="23">
        <v>0.63800000000000001</v>
      </c>
      <c r="Y48" s="23">
        <v>0.63800000000000001</v>
      </c>
      <c r="Z48" s="23">
        <v>0.63800000000000001</v>
      </c>
      <c r="AA48" s="23">
        <v>0.63800000000000001</v>
      </c>
      <c r="AB48" s="23">
        <v>0.63800000000000001</v>
      </c>
      <c r="AC48" s="23">
        <v>0.63800000000000001</v>
      </c>
      <c r="AD48" s="23">
        <v>0.63800000000000001</v>
      </c>
      <c r="AE48" s="23">
        <v>0.63800000000000001</v>
      </c>
      <c r="AF48" s="23">
        <v>0.63800000000000001</v>
      </c>
      <c r="AG48" s="23">
        <v>0.63800000000000001</v>
      </c>
      <c r="AH48" s="23">
        <v>0.63800000000000001</v>
      </c>
    </row>
    <row r="49" spans="1:34" ht="15" thickTop="1" x14ac:dyDescent="0.3"/>
    <row r="50" spans="1:34" x14ac:dyDescent="0.3">
      <c r="A50" s="20" t="s">
        <v>132</v>
      </c>
      <c r="C50" s="27">
        <f>AVERAGE(C41,C44,C47)</f>
        <v>0.58933333333333326</v>
      </c>
      <c r="D50" s="27">
        <f t="shared" ref="D50:AH50" si="1">AVERAGE(D41,D44,D47)</f>
        <v>0.58933333333333326</v>
      </c>
      <c r="E50" s="27">
        <f t="shared" si="1"/>
        <v>0.58933333333333326</v>
      </c>
      <c r="F50" s="27">
        <f t="shared" si="1"/>
        <v>0.58933333333333326</v>
      </c>
      <c r="G50" s="27">
        <f t="shared" si="1"/>
        <v>0.58933333333333326</v>
      </c>
      <c r="H50" s="27">
        <f t="shared" si="1"/>
        <v>0.58933333333333326</v>
      </c>
      <c r="I50" s="27">
        <f t="shared" si="1"/>
        <v>0.58933333333333326</v>
      </c>
      <c r="J50" s="27">
        <f t="shared" si="1"/>
        <v>0.58933333333333326</v>
      </c>
      <c r="K50" s="27">
        <f t="shared" si="1"/>
        <v>0.58933333333333326</v>
      </c>
      <c r="L50" s="27">
        <f t="shared" si="1"/>
        <v>0.58933333333333326</v>
      </c>
      <c r="M50" s="27">
        <f t="shared" si="1"/>
        <v>0.58933333333333326</v>
      </c>
      <c r="N50" s="27">
        <f t="shared" si="1"/>
        <v>0.58933333333333326</v>
      </c>
      <c r="O50" s="27">
        <f t="shared" si="1"/>
        <v>0.58933333333333326</v>
      </c>
      <c r="P50" s="27">
        <f t="shared" si="1"/>
        <v>0.58933333333333326</v>
      </c>
      <c r="Q50" s="27">
        <f t="shared" si="1"/>
        <v>0.58933333333333326</v>
      </c>
      <c r="R50" s="27">
        <f t="shared" si="1"/>
        <v>0.58933333333333326</v>
      </c>
      <c r="S50" s="27">
        <f t="shared" si="1"/>
        <v>0.58933333333333326</v>
      </c>
      <c r="T50" s="27">
        <f t="shared" si="1"/>
        <v>0.58933333333333326</v>
      </c>
      <c r="U50" s="27">
        <f t="shared" si="1"/>
        <v>0.58933333333333326</v>
      </c>
      <c r="V50" s="27">
        <f t="shared" si="1"/>
        <v>0.58933333333333326</v>
      </c>
      <c r="W50" s="27">
        <f t="shared" si="1"/>
        <v>0.58933333333333326</v>
      </c>
      <c r="X50" s="27">
        <f t="shared" si="1"/>
        <v>0.58933333333333326</v>
      </c>
      <c r="Y50" s="27">
        <f t="shared" si="1"/>
        <v>0.58933333333333326</v>
      </c>
      <c r="Z50" s="27">
        <f t="shared" si="1"/>
        <v>0.58933333333333326</v>
      </c>
      <c r="AA50" s="27">
        <f t="shared" si="1"/>
        <v>0.58933333333333326</v>
      </c>
      <c r="AB50" s="27">
        <f t="shared" si="1"/>
        <v>0.58933333333333326</v>
      </c>
      <c r="AC50" s="27">
        <f t="shared" si="1"/>
        <v>0.58933333333333326</v>
      </c>
      <c r="AD50" s="27">
        <f t="shared" si="1"/>
        <v>0.58933333333333326</v>
      </c>
      <c r="AE50" s="27">
        <f t="shared" si="1"/>
        <v>0.58933333333333326</v>
      </c>
      <c r="AF50" s="27">
        <f t="shared" si="1"/>
        <v>0.58933333333333326</v>
      </c>
      <c r="AG50" s="27">
        <f t="shared" si="1"/>
        <v>0.58933333333333326</v>
      </c>
      <c r="AH50" s="27">
        <f t="shared" si="1"/>
        <v>0.58933333333333326</v>
      </c>
    </row>
    <row r="52" spans="1:34" x14ac:dyDescent="0.3">
      <c r="A52" s="28" t="s">
        <v>143</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spans="1:34" s="16" customFormat="1" ht="13.95" customHeight="1" thickBot="1" x14ac:dyDescent="0.3">
      <c r="B53" s="17"/>
      <c r="C53" s="17">
        <v>2019</v>
      </c>
      <c r="D53" s="17">
        <v>2020</v>
      </c>
      <c r="E53" s="17">
        <v>2021</v>
      </c>
      <c r="F53" s="17">
        <v>2022</v>
      </c>
      <c r="G53" s="17">
        <v>2023</v>
      </c>
      <c r="H53" s="17">
        <v>2024</v>
      </c>
      <c r="I53" s="17">
        <v>2025</v>
      </c>
      <c r="J53" s="17">
        <v>2026</v>
      </c>
      <c r="K53" s="17">
        <v>2027</v>
      </c>
      <c r="L53" s="17">
        <v>2028</v>
      </c>
      <c r="M53" s="17">
        <v>2029</v>
      </c>
      <c r="N53" s="17">
        <v>2030</v>
      </c>
      <c r="O53" s="17">
        <v>2031</v>
      </c>
      <c r="P53" s="17">
        <v>2032</v>
      </c>
      <c r="Q53" s="17">
        <v>2033</v>
      </c>
      <c r="R53" s="17">
        <v>2034</v>
      </c>
      <c r="S53" s="17">
        <v>2035</v>
      </c>
      <c r="T53" s="17">
        <v>2036</v>
      </c>
      <c r="U53" s="17">
        <v>2037</v>
      </c>
      <c r="V53" s="17">
        <v>2038</v>
      </c>
      <c r="W53" s="17">
        <v>2039</v>
      </c>
      <c r="X53" s="17">
        <v>2040</v>
      </c>
      <c r="Y53" s="17">
        <v>2041</v>
      </c>
      <c r="Z53" s="17">
        <v>2042</v>
      </c>
      <c r="AA53" s="17">
        <v>2043</v>
      </c>
      <c r="AB53" s="17">
        <v>2044</v>
      </c>
      <c r="AC53" s="17">
        <v>2045</v>
      </c>
      <c r="AD53" s="17">
        <v>2046</v>
      </c>
      <c r="AE53" s="17">
        <v>2047</v>
      </c>
      <c r="AF53" s="17">
        <v>2048</v>
      </c>
      <c r="AG53" s="17">
        <v>2049</v>
      </c>
      <c r="AH53" s="17">
        <v>2050</v>
      </c>
    </row>
    <row r="54" spans="1:34" s="16" customFormat="1" ht="13.95" customHeight="1" thickTop="1" x14ac:dyDescent="0.25">
      <c r="A54" s="25" t="s">
        <v>144</v>
      </c>
      <c r="B54" s="29"/>
      <c r="C54" s="29">
        <v>0.50136800000000004</v>
      </c>
      <c r="D54" s="29">
        <v>0.50747636363636373</v>
      </c>
      <c r="E54" s="29">
        <v>0.5135847272727273</v>
      </c>
      <c r="F54" s="29">
        <v>0.51969309090909099</v>
      </c>
      <c r="G54" s="29">
        <v>0.52580145454545457</v>
      </c>
      <c r="H54" s="29">
        <v>0.53190981818181815</v>
      </c>
      <c r="I54" s="29">
        <v>0.53801818181818184</v>
      </c>
      <c r="J54" s="29">
        <v>0.54412654545454542</v>
      </c>
      <c r="K54" s="29">
        <v>0.550234909090909</v>
      </c>
      <c r="L54" s="29">
        <v>0.55634327272727269</v>
      </c>
      <c r="M54" s="29">
        <v>0.56245163636363626</v>
      </c>
      <c r="N54" s="29">
        <v>0.56855999999999995</v>
      </c>
      <c r="O54" s="29">
        <v>0.56912856000000001</v>
      </c>
      <c r="P54" s="29">
        <v>0.56969711999999995</v>
      </c>
      <c r="Q54" s="29">
        <v>0.57026568</v>
      </c>
      <c r="R54" s="29">
        <v>0.57083423999999994</v>
      </c>
      <c r="S54" s="29">
        <v>0.57140279999999999</v>
      </c>
      <c r="T54" s="29">
        <v>0.57197136000000004</v>
      </c>
      <c r="U54" s="29">
        <v>0.57253991999999998</v>
      </c>
      <c r="V54" s="29">
        <v>0.57310847999999992</v>
      </c>
      <c r="W54" s="29">
        <v>0.57367703999999997</v>
      </c>
      <c r="X54" s="29">
        <v>0.57424559999999991</v>
      </c>
      <c r="Y54" s="29">
        <v>0.57481415999999996</v>
      </c>
      <c r="Z54" s="29">
        <v>0.57538272000000001</v>
      </c>
      <c r="AA54" s="29">
        <v>0.57595127999999995</v>
      </c>
      <c r="AB54" s="29">
        <v>0.57651984000000001</v>
      </c>
      <c r="AC54" s="29">
        <v>0.57708839999999983</v>
      </c>
      <c r="AD54" s="29">
        <v>0.57765696</v>
      </c>
      <c r="AE54" s="29">
        <v>0.57822551999999994</v>
      </c>
      <c r="AF54" s="29">
        <v>0.57879407999999999</v>
      </c>
      <c r="AG54" s="29">
        <v>0.57936264000000004</v>
      </c>
      <c r="AH54" s="29">
        <v>0.57993119999999998</v>
      </c>
    </row>
    <row r="55" spans="1:34" s="16" customFormat="1" ht="13.95" customHeight="1" x14ac:dyDescent="0.25">
      <c r="A55" s="16" t="s">
        <v>145</v>
      </c>
      <c r="B55" s="30"/>
      <c r="C55" s="30">
        <v>0.50136800000000004</v>
      </c>
      <c r="D55" s="30">
        <v>0.50509190909090917</v>
      </c>
      <c r="E55" s="30">
        <v>0.5088158181818182</v>
      </c>
      <c r="F55" s="30">
        <v>0.51253972727272734</v>
      </c>
      <c r="G55" s="30">
        <v>0.51626363636363637</v>
      </c>
      <c r="H55" s="30">
        <v>0.51998754545454551</v>
      </c>
      <c r="I55" s="30">
        <v>0.52371145454545465</v>
      </c>
      <c r="J55" s="30">
        <v>0.52743536363636367</v>
      </c>
      <c r="K55" s="30">
        <v>0.5311592727272727</v>
      </c>
      <c r="L55" s="30">
        <v>0.53488318181818184</v>
      </c>
      <c r="M55" s="30">
        <v>0.53860709090909087</v>
      </c>
      <c r="N55" s="30">
        <v>0.54233100000000001</v>
      </c>
      <c r="O55" s="30">
        <v>0.54260216550000007</v>
      </c>
      <c r="P55" s="30">
        <v>0.54287333100000001</v>
      </c>
      <c r="Q55" s="30">
        <v>0.54314449650000007</v>
      </c>
      <c r="R55" s="30">
        <v>0.54341566199999991</v>
      </c>
      <c r="S55" s="30">
        <v>0.54368682749999997</v>
      </c>
      <c r="T55" s="30">
        <v>0.54395799300000003</v>
      </c>
      <c r="U55" s="30">
        <v>0.54422915849999998</v>
      </c>
      <c r="V55" s="30">
        <v>0.54450032400000004</v>
      </c>
      <c r="W55" s="30">
        <v>0.54477148949999998</v>
      </c>
      <c r="X55" s="30">
        <v>0.54504265499999993</v>
      </c>
      <c r="Y55" s="30">
        <v>0.54531382049999999</v>
      </c>
      <c r="Z55" s="30">
        <v>0.54558498599999994</v>
      </c>
      <c r="AA55" s="30">
        <v>0.5458561515</v>
      </c>
      <c r="AB55" s="30">
        <v>0.54612731700000006</v>
      </c>
      <c r="AC55" s="30">
        <v>0.5463984825</v>
      </c>
      <c r="AD55" s="30">
        <v>0.54666964799999995</v>
      </c>
      <c r="AE55" s="30">
        <v>0.54694081350000001</v>
      </c>
      <c r="AF55" s="30">
        <v>0.54721197899999996</v>
      </c>
      <c r="AG55" s="30">
        <v>0.54748314450000002</v>
      </c>
      <c r="AH55" s="30">
        <v>0.54775430999999997</v>
      </c>
    </row>
    <row r="56" spans="1:34" s="16" customFormat="1" ht="13.95" customHeight="1" thickBot="1" x14ac:dyDescent="0.3">
      <c r="A56" s="26" t="s">
        <v>146</v>
      </c>
      <c r="B56" s="31"/>
      <c r="C56" s="31">
        <v>0.50136800000000004</v>
      </c>
      <c r="D56" s="31">
        <v>0.50206136363636367</v>
      </c>
      <c r="E56" s="31">
        <v>0.5027547272727273</v>
      </c>
      <c r="F56" s="31">
        <v>0.50344809090909093</v>
      </c>
      <c r="G56" s="31">
        <v>0.50414145454545445</v>
      </c>
      <c r="H56" s="31">
        <v>0.50483481818181819</v>
      </c>
      <c r="I56" s="31">
        <v>0.50552818181818182</v>
      </c>
      <c r="J56" s="31">
        <v>0.50622154545454545</v>
      </c>
      <c r="K56" s="31">
        <v>0.50691490909090908</v>
      </c>
      <c r="L56" s="31">
        <v>0.50760827272727271</v>
      </c>
      <c r="M56" s="31">
        <v>0.50830163636363634</v>
      </c>
      <c r="N56" s="31">
        <v>0.50899499999999998</v>
      </c>
      <c r="O56" s="31">
        <v>0.50912224875000001</v>
      </c>
      <c r="P56" s="31">
        <v>0.50924949749999993</v>
      </c>
      <c r="Q56" s="31">
        <v>0.50937674624999996</v>
      </c>
      <c r="R56" s="31">
        <v>0.50950399499999999</v>
      </c>
      <c r="S56" s="31">
        <v>0.50963124375000002</v>
      </c>
      <c r="T56" s="31">
        <v>0.50975849249999994</v>
      </c>
      <c r="U56" s="31">
        <v>0.50988574124999997</v>
      </c>
      <c r="V56" s="31">
        <v>0.51001298999999989</v>
      </c>
      <c r="W56" s="31">
        <v>0.51014023874999992</v>
      </c>
      <c r="X56" s="31">
        <v>0.51026748749999995</v>
      </c>
      <c r="Y56" s="31">
        <v>0.51039473624999998</v>
      </c>
      <c r="Z56" s="31">
        <v>0.5105219849999999</v>
      </c>
      <c r="AA56" s="31">
        <v>0.51064923374999993</v>
      </c>
      <c r="AB56" s="31">
        <v>0.51077648249999996</v>
      </c>
      <c r="AC56" s="31">
        <v>0.51090373124999999</v>
      </c>
      <c r="AD56" s="31">
        <v>0.51103097999999991</v>
      </c>
      <c r="AE56" s="31">
        <v>0.51115822874999994</v>
      </c>
      <c r="AF56" s="31">
        <v>0.51128547749999986</v>
      </c>
      <c r="AG56" s="31">
        <v>0.51141272624999989</v>
      </c>
      <c r="AH56" s="31">
        <v>0.51153997499999992</v>
      </c>
    </row>
    <row r="57" spans="1:34" s="16" customFormat="1" ht="13.95" customHeight="1" thickTop="1" x14ac:dyDescent="0.25">
      <c r="A57" s="25" t="s">
        <v>147</v>
      </c>
      <c r="B57" s="29"/>
      <c r="C57" s="29">
        <v>0.45713399999999998</v>
      </c>
      <c r="D57" s="29">
        <v>0.46333909090909092</v>
      </c>
      <c r="E57" s="29">
        <v>0.46954418181818186</v>
      </c>
      <c r="F57" s="29">
        <v>0.47574927272727269</v>
      </c>
      <c r="G57" s="29">
        <v>0.48195436363636368</v>
      </c>
      <c r="H57" s="29">
        <v>0.48815945454545456</v>
      </c>
      <c r="I57" s="29">
        <v>0.4943645454545455</v>
      </c>
      <c r="J57" s="29">
        <v>0.50056963636363638</v>
      </c>
      <c r="K57" s="29">
        <v>0.50677472727272732</v>
      </c>
      <c r="L57" s="29">
        <v>0.51297981818181815</v>
      </c>
      <c r="M57" s="29">
        <v>0.51918490909090909</v>
      </c>
      <c r="N57" s="29">
        <v>0.52539000000000002</v>
      </c>
      <c r="O57" s="29">
        <v>0.52617808499999996</v>
      </c>
      <c r="P57" s="29">
        <v>0.52696617000000001</v>
      </c>
      <c r="Q57" s="29">
        <v>0.52775425499999995</v>
      </c>
      <c r="R57" s="29">
        <v>0.52854234</v>
      </c>
      <c r="S57" s="29">
        <v>0.52933042500000005</v>
      </c>
      <c r="T57" s="29">
        <v>0.5301185100000001</v>
      </c>
      <c r="U57" s="29">
        <v>0.53090659500000004</v>
      </c>
      <c r="V57" s="29">
        <v>0.53169467999999998</v>
      </c>
      <c r="W57" s="29">
        <v>0.53248276500000002</v>
      </c>
      <c r="X57" s="29">
        <v>0.53327084999999996</v>
      </c>
      <c r="Y57" s="29">
        <v>0.53405893500000001</v>
      </c>
      <c r="Z57" s="29">
        <v>0.53484702000000006</v>
      </c>
      <c r="AA57" s="29">
        <v>0.53563510500000011</v>
      </c>
      <c r="AB57" s="29">
        <v>0.53642319000000005</v>
      </c>
      <c r="AC57" s="29">
        <v>0.53721127499999999</v>
      </c>
      <c r="AD57" s="29">
        <v>0.53799936000000004</v>
      </c>
      <c r="AE57" s="29">
        <v>0.53878744499999998</v>
      </c>
      <c r="AF57" s="29">
        <v>0.53957553000000003</v>
      </c>
      <c r="AG57" s="29">
        <v>0.54036361499999996</v>
      </c>
      <c r="AH57" s="29">
        <v>0.54115170000000001</v>
      </c>
    </row>
    <row r="58" spans="1:34" s="16" customFormat="1" ht="13.95" customHeight="1" x14ac:dyDescent="0.25">
      <c r="A58" s="16" t="s">
        <v>148</v>
      </c>
      <c r="B58" s="30"/>
      <c r="C58" s="30">
        <v>0.45713399999999998</v>
      </c>
      <c r="D58" s="30">
        <v>0.46089218181818181</v>
      </c>
      <c r="E58" s="30">
        <v>0.46465036363636364</v>
      </c>
      <c r="F58" s="30">
        <v>0.46840854545454547</v>
      </c>
      <c r="G58" s="30">
        <v>0.47216672727272724</v>
      </c>
      <c r="H58" s="30">
        <v>0.47592490909090907</v>
      </c>
      <c r="I58" s="30">
        <v>0.47968309090909095</v>
      </c>
      <c r="J58" s="30">
        <v>0.48344127272727272</v>
      </c>
      <c r="K58" s="30">
        <v>0.48719945454545449</v>
      </c>
      <c r="L58" s="30">
        <v>0.49095763636363632</v>
      </c>
      <c r="M58" s="30">
        <v>0.49471581818181815</v>
      </c>
      <c r="N58" s="30">
        <v>0.49847399999999997</v>
      </c>
      <c r="O58" s="30">
        <v>0.49884785549999994</v>
      </c>
      <c r="P58" s="30">
        <v>0.49922171099999996</v>
      </c>
      <c r="Q58" s="30">
        <v>0.49959556649999992</v>
      </c>
      <c r="R58" s="30">
        <v>0.49996942199999994</v>
      </c>
      <c r="S58" s="30">
        <v>0.50034327749999996</v>
      </c>
      <c r="T58" s="30">
        <v>0.50071713299999998</v>
      </c>
      <c r="U58" s="30">
        <v>0.5010909885</v>
      </c>
      <c r="V58" s="30">
        <v>0.50146484400000002</v>
      </c>
      <c r="W58" s="30">
        <v>0.50183869949999993</v>
      </c>
      <c r="X58" s="30">
        <v>0.50221255499999995</v>
      </c>
      <c r="Y58" s="30">
        <v>0.50258641049999997</v>
      </c>
      <c r="Z58" s="30">
        <v>0.50296026599999999</v>
      </c>
      <c r="AA58" s="30">
        <v>0.50333412150000001</v>
      </c>
      <c r="AB58" s="30">
        <v>0.50370797700000003</v>
      </c>
      <c r="AC58" s="30">
        <v>0.50408183249999994</v>
      </c>
      <c r="AD58" s="30">
        <v>0.50445568799999996</v>
      </c>
      <c r="AE58" s="30">
        <v>0.50482954349999987</v>
      </c>
      <c r="AF58" s="30">
        <v>0.50520339899999989</v>
      </c>
      <c r="AG58" s="30">
        <v>0.50557725449999991</v>
      </c>
      <c r="AH58" s="30">
        <v>0.50595110999999993</v>
      </c>
    </row>
    <row r="59" spans="1:34" s="16" customFormat="1" ht="13.95" customHeight="1" thickBot="1" x14ac:dyDescent="0.3">
      <c r="A59" s="26" t="s">
        <v>149</v>
      </c>
      <c r="B59" s="31"/>
      <c r="C59" s="31">
        <v>0.45713399999999998</v>
      </c>
      <c r="D59" s="31">
        <v>0.45800054545454549</v>
      </c>
      <c r="E59" s="31">
        <v>0.45886709090909095</v>
      </c>
      <c r="F59" s="31">
        <v>0.45973363636363634</v>
      </c>
      <c r="G59" s="31">
        <v>0.4606001818181818</v>
      </c>
      <c r="H59" s="31">
        <v>0.46146672727272725</v>
      </c>
      <c r="I59" s="31">
        <v>0.4623332727272727</v>
      </c>
      <c r="J59" s="31">
        <v>0.46319981818181816</v>
      </c>
      <c r="K59" s="31">
        <v>0.46406636363636361</v>
      </c>
      <c r="L59" s="31">
        <v>0.46493290909090912</v>
      </c>
      <c r="M59" s="31">
        <v>0.46579945454545457</v>
      </c>
      <c r="N59" s="31">
        <v>0.46666600000000003</v>
      </c>
      <c r="O59" s="31">
        <v>0.46684099975000004</v>
      </c>
      <c r="P59" s="31">
        <v>0.46701599950000006</v>
      </c>
      <c r="Q59" s="31">
        <v>0.46719099924999996</v>
      </c>
      <c r="R59" s="31">
        <v>0.46736599899999998</v>
      </c>
      <c r="S59" s="31">
        <v>0.46754099874999999</v>
      </c>
      <c r="T59" s="31">
        <v>0.46771599850000001</v>
      </c>
      <c r="U59" s="31">
        <v>0.46789099825000002</v>
      </c>
      <c r="V59" s="31">
        <v>0.46806599800000004</v>
      </c>
      <c r="W59" s="31">
        <v>0.46824099775000005</v>
      </c>
      <c r="X59" s="31">
        <v>0.46841599750000001</v>
      </c>
      <c r="Y59" s="31">
        <v>0.46859099725000009</v>
      </c>
      <c r="Z59" s="31">
        <v>0.46876599700000005</v>
      </c>
      <c r="AA59" s="31">
        <v>0.46894099675000006</v>
      </c>
      <c r="AB59" s="31">
        <v>0.46911599650000008</v>
      </c>
      <c r="AC59" s="31">
        <v>0.46929099624999998</v>
      </c>
      <c r="AD59" s="31">
        <v>0.46946599600000011</v>
      </c>
      <c r="AE59" s="31">
        <v>0.46964099575000001</v>
      </c>
      <c r="AF59" s="31">
        <v>0.46981599550000003</v>
      </c>
      <c r="AG59" s="31">
        <v>0.46999099525000004</v>
      </c>
      <c r="AH59" s="31">
        <v>0.47016599500000006</v>
      </c>
    </row>
    <row r="60" spans="1:34" s="16" customFormat="1" ht="13.95" customHeight="1" thickTop="1" x14ac:dyDescent="0.25">
      <c r="A60" s="25" t="s">
        <v>150</v>
      </c>
      <c r="B60" s="29"/>
      <c r="C60" s="29">
        <v>0.44326700000000002</v>
      </c>
      <c r="D60" s="29">
        <v>0.44946854545454545</v>
      </c>
      <c r="E60" s="29">
        <v>0.45567009090909089</v>
      </c>
      <c r="F60" s="29">
        <v>0.46187163636363643</v>
      </c>
      <c r="G60" s="29">
        <v>0.46807318181818186</v>
      </c>
      <c r="H60" s="29">
        <v>0.47427472727272729</v>
      </c>
      <c r="I60" s="29">
        <v>0.48047627272727278</v>
      </c>
      <c r="J60" s="29">
        <v>0.48667781818181821</v>
      </c>
      <c r="K60" s="29">
        <v>0.49287936363636364</v>
      </c>
      <c r="L60" s="29">
        <v>0.49908090909090919</v>
      </c>
      <c r="M60" s="29">
        <v>0.50528245454545462</v>
      </c>
      <c r="N60" s="29">
        <v>0.51148400000000005</v>
      </c>
      <c r="O60" s="29">
        <v>0.51250696800000006</v>
      </c>
      <c r="P60" s="29">
        <v>0.51352993600000008</v>
      </c>
      <c r="Q60" s="29">
        <v>0.51455290400000009</v>
      </c>
      <c r="R60" s="29">
        <v>0.5155758720000001</v>
      </c>
      <c r="S60" s="29">
        <v>0.51659884000000011</v>
      </c>
      <c r="T60" s="29">
        <v>0.51762180800000002</v>
      </c>
      <c r="U60" s="29">
        <v>0.51864477600000014</v>
      </c>
      <c r="V60" s="29">
        <v>0.51966774400000004</v>
      </c>
      <c r="W60" s="29">
        <v>0.52069071200000006</v>
      </c>
      <c r="X60" s="29">
        <v>0.52171368000000007</v>
      </c>
      <c r="Y60" s="29">
        <v>0.52273664800000008</v>
      </c>
      <c r="Z60" s="29">
        <v>0.52375961600000009</v>
      </c>
      <c r="AA60" s="29">
        <v>0.52478258400000011</v>
      </c>
      <c r="AB60" s="29">
        <v>0.52580555200000012</v>
      </c>
      <c r="AC60" s="29">
        <v>0.52682852000000013</v>
      </c>
      <c r="AD60" s="29">
        <v>0.52785148800000015</v>
      </c>
      <c r="AE60" s="29">
        <v>0.52887445600000005</v>
      </c>
      <c r="AF60" s="29">
        <v>0.52989742400000006</v>
      </c>
      <c r="AG60" s="29">
        <v>0.53092039200000007</v>
      </c>
      <c r="AH60" s="29">
        <v>0.53194336000000009</v>
      </c>
    </row>
    <row r="61" spans="1:34" s="16" customFormat="1" ht="13.95" customHeight="1" x14ac:dyDescent="0.25">
      <c r="A61" s="16" t="s">
        <v>151</v>
      </c>
      <c r="B61" s="30"/>
      <c r="C61" s="30">
        <v>0.44326700000000002</v>
      </c>
      <c r="D61" s="30">
        <v>0.4470305454545454</v>
      </c>
      <c r="E61" s="30">
        <v>0.45079409090909089</v>
      </c>
      <c r="F61" s="30">
        <v>0.45455763636363639</v>
      </c>
      <c r="G61" s="30">
        <v>0.45832118181818182</v>
      </c>
      <c r="H61" s="30">
        <v>0.46208472727272726</v>
      </c>
      <c r="I61" s="30">
        <v>0.46584827272727269</v>
      </c>
      <c r="J61" s="30">
        <v>0.46961181818181819</v>
      </c>
      <c r="K61" s="30">
        <v>0.47337536363636362</v>
      </c>
      <c r="L61" s="30">
        <v>0.47713890909090911</v>
      </c>
      <c r="M61" s="30">
        <v>0.48090245454545449</v>
      </c>
      <c r="N61" s="30">
        <v>0.48466599999999999</v>
      </c>
      <c r="O61" s="30">
        <v>0.4851506659999999</v>
      </c>
      <c r="P61" s="30">
        <v>0.48563533200000003</v>
      </c>
      <c r="Q61" s="30">
        <v>0.48611999799999994</v>
      </c>
      <c r="R61" s="30">
        <v>0.48660466399999996</v>
      </c>
      <c r="S61" s="30">
        <v>0.48708932999999999</v>
      </c>
      <c r="T61" s="30">
        <v>0.48757399599999995</v>
      </c>
      <c r="U61" s="30">
        <v>0.48805866199999998</v>
      </c>
      <c r="V61" s="30">
        <v>0.488543328</v>
      </c>
      <c r="W61" s="30">
        <v>0.48902799399999991</v>
      </c>
      <c r="X61" s="30">
        <v>0.48951265999999993</v>
      </c>
      <c r="Y61" s="30">
        <v>0.48999732599999996</v>
      </c>
      <c r="Z61" s="30">
        <v>0.49048199199999998</v>
      </c>
      <c r="AA61" s="30">
        <v>0.49096665799999994</v>
      </c>
      <c r="AB61" s="30">
        <v>0.49145132399999997</v>
      </c>
      <c r="AC61" s="30">
        <v>0.49193598999999999</v>
      </c>
      <c r="AD61" s="30">
        <v>0.49242065600000001</v>
      </c>
      <c r="AE61" s="30">
        <v>0.49290532200000003</v>
      </c>
      <c r="AF61" s="30">
        <v>0.49338998799999995</v>
      </c>
      <c r="AG61" s="30">
        <v>0.49387465400000002</v>
      </c>
      <c r="AH61" s="30">
        <v>0.49435931999999999</v>
      </c>
    </row>
    <row r="62" spans="1:34" s="16" customFormat="1" ht="13.95" customHeight="1" thickBot="1" x14ac:dyDescent="0.3">
      <c r="A62" s="26" t="s">
        <v>152</v>
      </c>
      <c r="B62" s="32"/>
      <c r="C62" s="32">
        <v>0.44326700000000002</v>
      </c>
      <c r="D62" s="32">
        <v>0.44418454545454544</v>
      </c>
      <c r="E62" s="32">
        <v>0.44510209090909092</v>
      </c>
      <c r="F62" s="32">
        <v>0.4460196363636364</v>
      </c>
      <c r="G62" s="32">
        <v>0.44693718181818182</v>
      </c>
      <c r="H62" s="32">
        <v>0.44785472727272724</v>
      </c>
      <c r="I62" s="32">
        <v>0.44877227272727271</v>
      </c>
      <c r="J62" s="32">
        <v>0.44968981818181819</v>
      </c>
      <c r="K62" s="32">
        <v>0.45060736363636361</v>
      </c>
      <c r="L62" s="32">
        <v>0.45152490909090909</v>
      </c>
      <c r="M62" s="32">
        <v>0.45244245454545451</v>
      </c>
      <c r="N62" s="32">
        <v>0.45335999999999999</v>
      </c>
      <c r="O62" s="32">
        <v>0.45358668000000002</v>
      </c>
      <c r="P62" s="32">
        <v>0.45381336</v>
      </c>
      <c r="Q62" s="32">
        <v>0.45404004000000003</v>
      </c>
      <c r="R62" s="32">
        <v>0.45426672000000001</v>
      </c>
      <c r="S62" s="32">
        <v>0.45449339999999994</v>
      </c>
      <c r="T62" s="32">
        <v>0.45472007999999997</v>
      </c>
      <c r="U62" s="32">
        <v>0.45494676000000001</v>
      </c>
      <c r="V62" s="32">
        <v>0.45517343999999998</v>
      </c>
      <c r="W62" s="32">
        <v>0.45540012000000002</v>
      </c>
      <c r="X62" s="32">
        <v>0.4556268</v>
      </c>
      <c r="Y62" s="32">
        <v>0.45585348000000003</v>
      </c>
      <c r="Z62" s="32">
        <v>0.45608015999999996</v>
      </c>
      <c r="AA62" s="32">
        <v>0.45630684000000005</v>
      </c>
      <c r="AB62" s="32">
        <v>0.45653351999999997</v>
      </c>
      <c r="AC62" s="32">
        <v>0.45676020000000001</v>
      </c>
      <c r="AD62" s="32">
        <v>0.45698687999999998</v>
      </c>
      <c r="AE62" s="32">
        <v>0.45721356000000002</v>
      </c>
      <c r="AF62" s="32">
        <v>0.45744024000000005</v>
      </c>
      <c r="AG62" s="32">
        <v>0.45766692000000003</v>
      </c>
      <c r="AH62" s="32">
        <v>0.45789360000000001</v>
      </c>
    </row>
    <row r="63" spans="1:34" s="16" customFormat="1" ht="13.95" customHeight="1" thickTop="1" x14ac:dyDescent="0.25">
      <c r="A63" s="25" t="s">
        <v>153</v>
      </c>
      <c r="B63" s="29"/>
      <c r="C63" s="29">
        <v>0.42975000000000002</v>
      </c>
      <c r="D63" s="29">
        <v>0.43590863636363636</v>
      </c>
      <c r="E63" s="29">
        <v>0.44206727272727275</v>
      </c>
      <c r="F63" s="29">
        <v>0.44822590909090909</v>
      </c>
      <c r="G63" s="29">
        <v>0.45438454545454549</v>
      </c>
      <c r="H63" s="29">
        <v>0.46054318181818182</v>
      </c>
      <c r="I63" s="29">
        <v>0.46670181818181822</v>
      </c>
      <c r="J63" s="29">
        <v>0.47286045454545461</v>
      </c>
      <c r="K63" s="29">
        <v>0.47901909090909095</v>
      </c>
      <c r="L63" s="29">
        <v>0.48517772727272723</v>
      </c>
      <c r="M63" s="29">
        <v>0.49133636363636363</v>
      </c>
      <c r="N63" s="29">
        <v>0.49749500000000002</v>
      </c>
      <c r="O63" s="29">
        <v>0.49873873749999997</v>
      </c>
      <c r="P63" s="29">
        <v>0.49998247500000004</v>
      </c>
      <c r="Q63" s="29">
        <v>0.50122621249999999</v>
      </c>
      <c r="R63" s="29">
        <v>0.50246995000000005</v>
      </c>
      <c r="S63" s="29">
        <v>0.50371368750000012</v>
      </c>
      <c r="T63" s="29">
        <v>0.50495742500000007</v>
      </c>
      <c r="U63" s="29">
        <v>0.50620116250000002</v>
      </c>
      <c r="V63" s="29">
        <v>0.50744490000000009</v>
      </c>
      <c r="W63" s="29">
        <v>0.50868863750000004</v>
      </c>
      <c r="X63" s="29">
        <v>0.50993237499999999</v>
      </c>
      <c r="Y63" s="29">
        <v>0.51117611250000006</v>
      </c>
      <c r="Z63" s="29">
        <v>0.51241985000000001</v>
      </c>
      <c r="AA63" s="29">
        <v>0.51366358750000007</v>
      </c>
      <c r="AB63" s="29">
        <v>0.51490732500000003</v>
      </c>
      <c r="AC63" s="29">
        <v>0.51615106249999998</v>
      </c>
      <c r="AD63" s="29">
        <v>0.51739480000000015</v>
      </c>
      <c r="AE63" s="29">
        <v>0.5186385375</v>
      </c>
      <c r="AF63" s="29">
        <v>0.51988227500000006</v>
      </c>
      <c r="AG63" s="29">
        <v>0.52112601250000012</v>
      </c>
      <c r="AH63" s="29">
        <v>0.52236975000000008</v>
      </c>
    </row>
    <row r="64" spans="1:34" s="16" customFormat="1" ht="13.95" customHeight="1" x14ac:dyDescent="0.25">
      <c r="A64" s="16" t="s">
        <v>154</v>
      </c>
      <c r="B64" s="30"/>
      <c r="C64" s="30">
        <v>0.42975000000000002</v>
      </c>
      <c r="D64" s="30">
        <v>0.4334643636363637</v>
      </c>
      <c r="E64" s="30">
        <v>0.43717872727272727</v>
      </c>
      <c r="F64" s="30">
        <v>0.4408930909090909</v>
      </c>
      <c r="G64" s="30">
        <v>0.44460745454545453</v>
      </c>
      <c r="H64" s="30">
        <v>0.44832181818181821</v>
      </c>
      <c r="I64" s="30">
        <v>0.45203618181818184</v>
      </c>
      <c r="J64" s="30">
        <v>0.45575054545454546</v>
      </c>
      <c r="K64" s="30">
        <v>0.45946490909090909</v>
      </c>
      <c r="L64" s="30">
        <v>0.46317927272727277</v>
      </c>
      <c r="M64" s="30">
        <v>0.4668936363636364</v>
      </c>
      <c r="N64" s="30">
        <v>0.47060800000000003</v>
      </c>
      <c r="O64" s="30">
        <v>0.47119625999999998</v>
      </c>
      <c r="P64" s="30">
        <v>0.47178452000000004</v>
      </c>
      <c r="Q64" s="30">
        <v>0.47237278000000005</v>
      </c>
      <c r="R64" s="30">
        <v>0.47296104000000005</v>
      </c>
      <c r="S64" s="30">
        <v>0.47354930000000001</v>
      </c>
      <c r="T64" s="30">
        <v>0.47413756000000007</v>
      </c>
      <c r="U64" s="30">
        <v>0.47472582000000002</v>
      </c>
      <c r="V64" s="30">
        <v>0.47531408000000008</v>
      </c>
      <c r="W64" s="30">
        <v>0.47590234000000003</v>
      </c>
      <c r="X64" s="30">
        <v>0.47649059999999999</v>
      </c>
      <c r="Y64" s="30">
        <v>0.47707886000000005</v>
      </c>
      <c r="Z64" s="30">
        <v>0.47766712</v>
      </c>
      <c r="AA64" s="30">
        <v>0.47825538000000006</v>
      </c>
      <c r="AB64" s="30">
        <v>0.47884364000000001</v>
      </c>
      <c r="AC64" s="30">
        <v>0.47943189999999997</v>
      </c>
      <c r="AD64" s="30">
        <v>0.48002016000000003</v>
      </c>
      <c r="AE64" s="30">
        <v>0.48060842000000009</v>
      </c>
      <c r="AF64" s="30">
        <v>0.48119668000000004</v>
      </c>
      <c r="AG64" s="30">
        <v>0.48178493999999999</v>
      </c>
      <c r="AH64" s="30">
        <v>0.4823732</v>
      </c>
    </row>
    <row r="65" spans="1:62" s="16" customFormat="1" ht="13.95" customHeight="1" thickBot="1" x14ac:dyDescent="0.3">
      <c r="A65" s="26" t="s">
        <v>155</v>
      </c>
      <c r="B65" s="32"/>
      <c r="C65" s="32">
        <v>0.42975000000000002</v>
      </c>
      <c r="D65" s="32">
        <v>0.4306817272727273</v>
      </c>
      <c r="E65" s="32">
        <v>0.43161345454545452</v>
      </c>
      <c r="F65" s="32">
        <v>0.4325451818181818</v>
      </c>
      <c r="G65" s="32">
        <v>0.43347690909090913</v>
      </c>
      <c r="H65" s="32">
        <v>0.4344086363636363</v>
      </c>
      <c r="I65" s="32">
        <v>0.43534036363636358</v>
      </c>
      <c r="J65" s="32">
        <v>0.43627209090909091</v>
      </c>
      <c r="K65" s="32">
        <v>0.43720381818181814</v>
      </c>
      <c r="L65" s="32">
        <v>0.43813554545454542</v>
      </c>
      <c r="M65" s="32">
        <v>0.43906727272727275</v>
      </c>
      <c r="N65" s="32">
        <v>0.43999899999999997</v>
      </c>
      <c r="O65" s="32">
        <v>0.440273999375</v>
      </c>
      <c r="P65" s="32">
        <v>0.44054899874999992</v>
      </c>
      <c r="Q65" s="32">
        <v>0.44082399812499995</v>
      </c>
      <c r="R65" s="32">
        <v>0.44109899749999998</v>
      </c>
      <c r="S65" s="32">
        <v>0.4413739968749999</v>
      </c>
      <c r="T65" s="32">
        <v>0.44164899624999998</v>
      </c>
      <c r="U65" s="32">
        <v>0.44192399562499995</v>
      </c>
      <c r="V65" s="32">
        <v>0.44219899499999993</v>
      </c>
      <c r="W65" s="32">
        <v>0.44247399437499996</v>
      </c>
      <c r="X65" s="32">
        <v>0.44274899374999988</v>
      </c>
      <c r="Y65" s="32">
        <v>0.44302399312500002</v>
      </c>
      <c r="Z65" s="32">
        <v>0.44329899249999993</v>
      </c>
      <c r="AA65" s="32">
        <v>0.44357399187499996</v>
      </c>
      <c r="AB65" s="32">
        <v>0.44384899124999999</v>
      </c>
      <c r="AC65" s="32">
        <v>0.44412399062499996</v>
      </c>
      <c r="AD65" s="32">
        <v>0.44439898999999994</v>
      </c>
      <c r="AE65" s="32">
        <v>0.44467398937499991</v>
      </c>
      <c r="AF65" s="32">
        <v>0.44494898874999994</v>
      </c>
      <c r="AG65" s="32">
        <v>0.44522398812499997</v>
      </c>
      <c r="AH65" s="32">
        <v>0.44549898749999994</v>
      </c>
    </row>
    <row r="66" spans="1:62" s="16" customFormat="1" ht="13.95" customHeight="1" thickTop="1" x14ac:dyDescent="0.25">
      <c r="A66" s="25" t="s">
        <v>156</v>
      </c>
      <c r="B66" s="29"/>
      <c r="C66" s="29">
        <v>0.41290900000000003</v>
      </c>
      <c r="D66" s="29">
        <v>0.4189967272727273</v>
      </c>
      <c r="E66" s="29">
        <v>0.42508445454545457</v>
      </c>
      <c r="F66" s="29">
        <v>0.43117218181818179</v>
      </c>
      <c r="G66" s="29">
        <v>0.43725990909090912</v>
      </c>
      <c r="H66" s="29">
        <v>0.44334763636363644</v>
      </c>
      <c r="I66" s="29">
        <v>0.44943536363636372</v>
      </c>
      <c r="J66" s="29">
        <v>0.45552309090909093</v>
      </c>
      <c r="K66" s="29">
        <v>0.46161081818181821</v>
      </c>
      <c r="L66" s="29">
        <v>0.46769854545454542</v>
      </c>
      <c r="M66" s="29">
        <v>0.47378627272727275</v>
      </c>
      <c r="N66" s="29">
        <v>0.47987400000000002</v>
      </c>
      <c r="O66" s="29">
        <v>0.48131362200000005</v>
      </c>
      <c r="P66" s="29">
        <v>0.48275324399999997</v>
      </c>
      <c r="Q66" s="29">
        <v>0.48419286600000006</v>
      </c>
      <c r="R66" s="29">
        <v>0.48563248800000008</v>
      </c>
      <c r="S66" s="29">
        <v>0.48707211000000006</v>
      </c>
      <c r="T66" s="29">
        <v>0.48851173199999998</v>
      </c>
      <c r="U66" s="29">
        <v>0.48995135400000012</v>
      </c>
      <c r="V66" s="29">
        <v>0.49139097600000003</v>
      </c>
      <c r="W66" s="29">
        <v>0.49283059800000001</v>
      </c>
      <c r="X66" s="29">
        <v>0.49427022000000004</v>
      </c>
      <c r="Y66" s="29">
        <v>0.49570984200000001</v>
      </c>
      <c r="Z66" s="29">
        <v>0.49714946400000004</v>
      </c>
      <c r="AA66" s="29">
        <v>0.49858908600000007</v>
      </c>
      <c r="AB66" s="29">
        <v>0.5000287080000001</v>
      </c>
      <c r="AC66" s="29">
        <v>0.50146833000000002</v>
      </c>
      <c r="AD66" s="29">
        <v>0.50290795200000005</v>
      </c>
      <c r="AE66" s="29">
        <v>0.50434757400000008</v>
      </c>
      <c r="AF66" s="29">
        <v>0.50578719599999999</v>
      </c>
      <c r="AG66" s="29">
        <v>0.50722681800000013</v>
      </c>
      <c r="AH66" s="29">
        <v>0.50866644000000005</v>
      </c>
    </row>
    <row r="67" spans="1:62" s="16" customFormat="1" ht="13.95" customHeight="1" x14ac:dyDescent="0.25">
      <c r="A67" s="16" t="s">
        <v>157</v>
      </c>
      <c r="B67" s="30"/>
      <c r="C67" s="30">
        <v>0.41290900000000003</v>
      </c>
      <c r="D67" s="30">
        <v>0.41655954545454549</v>
      </c>
      <c r="E67" s="30">
        <v>0.42021009090909089</v>
      </c>
      <c r="F67" s="30">
        <v>0.42386063636363641</v>
      </c>
      <c r="G67" s="30">
        <v>0.42751118181818182</v>
      </c>
      <c r="H67" s="30">
        <v>0.43116172727272734</v>
      </c>
      <c r="I67" s="30">
        <v>0.43481227272727274</v>
      </c>
      <c r="J67" s="30">
        <v>0.43846281818181815</v>
      </c>
      <c r="K67" s="30">
        <v>0.44211336363636367</v>
      </c>
      <c r="L67" s="30">
        <v>0.44576390909090907</v>
      </c>
      <c r="M67" s="30">
        <v>0.44941445454545453</v>
      </c>
      <c r="N67" s="30">
        <v>0.453065</v>
      </c>
      <c r="O67" s="30">
        <v>0.45374459750000007</v>
      </c>
      <c r="P67" s="30">
        <v>0.45442419499999998</v>
      </c>
      <c r="Q67" s="30">
        <v>0.45510379249999999</v>
      </c>
      <c r="R67" s="30">
        <v>0.45578339000000001</v>
      </c>
      <c r="S67" s="30">
        <v>0.45646298750000003</v>
      </c>
      <c r="T67" s="30">
        <v>0.45714258499999999</v>
      </c>
      <c r="U67" s="30">
        <v>0.45782218250000001</v>
      </c>
      <c r="V67" s="30">
        <v>0.45850178000000003</v>
      </c>
      <c r="W67" s="30">
        <v>0.45918137750000004</v>
      </c>
      <c r="X67" s="30">
        <v>0.45986097499999995</v>
      </c>
      <c r="Y67" s="30">
        <v>0.46054057250000008</v>
      </c>
      <c r="Z67" s="30">
        <v>0.46122016999999998</v>
      </c>
      <c r="AA67" s="30">
        <v>0.4618997675</v>
      </c>
      <c r="AB67" s="30">
        <v>0.46257936500000002</v>
      </c>
      <c r="AC67" s="30">
        <v>0.46325896249999998</v>
      </c>
      <c r="AD67" s="30">
        <v>0.46393856</v>
      </c>
      <c r="AE67" s="30">
        <v>0.46461815750000002</v>
      </c>
      <c r="AF67" s="30">
        <v>0.46529775500000004</v>
      </c>
      <c r="AG67" s="30">
        <v>0.46597735250000005</v>
      </c>
      <c r="AH67" s="30">
        <v>0.46665695000000001</v>
      </c>
    </row>
    <row r="68" spans="1:62" s="16" customFormat="1" ht="13.95" customHeight="1" thickBot="1" x14ac:dyDescent="0.3">
      <c r="A68" s="26" t="s">
        <v>158</v>
      </c>
      <c r="B68" s="32"/>
      <c r="C68" s="32">
        <v>0.41290900000000003</v>
      </c>
      <c r="D68" s="32">
        <v>0.41385700000000009</v>
      </c>
      <c r="E68" s="32">
        <v>0.41480499999999998</v>
      </c>
      <c r="F68" s="32">
        <v>0.41575299999999998</v>
      </c>
      <c r="G68" s="32">
        <v>0.41670099999999999</v>
      </c>
      <c r="H68" s="32">
        <v>0.41764899999999999</v>
      </c>
      <c r="I68" s="32">
        <v>0.41859700000000005</v>
      </c>
      <c r="J68" s="32">
        <v>0.41954500000000006</v>
      </c>
      <c r="K68" s="32">
        <v>0.42049300000000006</v>
      </c>
      <c r="L68" s="32">
        <v>0.42144100000000007</v>
      </c>
      <c r="M68" s="32">
        <v>0.42238899999999996</v>
      </c>
      <c r="N68" s="32">
        <v>0.42333700000000002</v>
      </c>
      <c r="O68" s="32">
        <v>0.42365450274999999</v>
      </c>
      <c r="P68" s="32">
        <v>0.42397200550000003</v>
      </c>
      <c r="Q68" s="32">
        <v>0.42428950825000006</v>
      </c>
      <c r="R68" s="32">
        <v>0.42460701099999998</v>
      </c>
      <c r="S68" s="32">
        <v>0.42492451375000001</v>
      </c>
      <c r="T68" s="32">
        <v>0.42524201650000004</v>
      </c>
      <c r="U68" s="32">
        <v>0.42555951924999996</v>
      </c>
      <c r="V68" s="32">
        <v>0.42587702199999999</v>
      </c>
      <c r="W68" s="32">
        <v>0.42619452474999997</v>
      </c>
      <c r="X68" s="32">
        <v>0.42651202749999995</v>
      </c>
      <c r="Y68" s="32">
        <v>0.42682953025000003</v>
      </c>
      <c r="Z68" s="32">
        <v>0.42714703299999995</v>
      </c>
      <c r="AA68" s="32">
        <v>0.42746453574999999</v>
      </c>
      <c r="AB68" s="32">
        <v>0.42778203850000002</v>
      </c>
      <c r="AC68" s="32">
        <v>0.42809954125000005</v>
      </c>
      <c r="AD68" s="32">
        <v>0.42841704399999997</v>
      </c>
      <c r="AE68" s="32">
        <v>0.42873454675</v>
      </c>
      <c r="AF68" s="32">
        <v>0.42905204949999998</v>
      </c>
      <c r="AG68" s="32">
        <v>0.42936955225000001</v>
      </c>
      <c r="AH68" s="32">
        <v>0.42968705499999998</v>
      </c>
    </row>
    <row r="69" spans="1:62" s="16" customFormat="1" ht="13.95" customHeight="1" thickTop="1" x14ac:dyDescent="0.25">
      <c r="A69" s="25" t="s">
        <v>159</v>
      </c>
      <c r="B69" s="29"/>
      <c r="C69" s="29">
        <v>0.38662000000000002</v>
      </c>
      <c r="D69" s="29">
        <v>0.39258609090909091</v>
      </c>
      <c r="E69" s="29">
        <v>0.39855218181818181</v>
      </c>
      <c r="F69" s="29">
        <v>0.40451827272727275</v>
      </c>
      <c r="G69" s="29">
        <v>0.41048436363636365</v>
      </c>
      <c r="H69" s="29">
        <v>0.4164504545454546</v>
      </c>
      <c r="I69" s="29">
        <v>0.42241654545454549</v>
      </c>
      <c r="J69" s="29">
        <v>0.42838263636363644</v>
      </c>
      <c r="K69" s="29">
        <v>0.43434872727272733</v>
      </c>
      <c r="L69" s="29">
        <v>0.44031481818181822</v>
      </c>
      <c r="M69" s="29">
        <v>0.44628090909090906</v>
      </c>
      <c r="N69" s="29">
        <v>0.45224700000000001</v>
      </c>
      <c r="O69" s="29">
        <v>0.45382986450000001</v>
      </c>
      <c r="P69" s="29">
        <v>0.45541272900000002</v>
      </c>
      <c r="Q69" s="29">
        <v>0.45699559350000002</v>
      </c>
      <c r="R69" s="29">
        <v>0.45857845800000002</v>
      </c>
      <c r="S69" s="29">
        <v>0.46016132250000003</v>
      </c>
      <c r="T69" s="29">
        <v>0.46174418700000003</v>
      </c>
      <c r="U69" s="29">
        <v>0.46332705149999998</v>
      </c>
      <c r="V69" s="29">
        <v>0.46490991600000003</v>
      </c>
      <c r="W69" s="29">
        <v>0.46649278049999998</v>
      </c>
      <c r="X69" s="29">
        <v>0.46807564500000004</v>
      </c>
      <c r="Y69" s="29">
        <v>0.46965850949999999</v>
      </c>
      <c r="Z69" s="29">
        <v>0.47124137400000005</v>
      </c>
      <c r="AA69" s="29">
        <v>0.47282423850000005</v>
      </c>
      <c r="AB69" s="29">
        <v>0.47440710300000005</v>
      </c>
      <c r="AC69" s="29">
        <v>0.4759899675</v>
      </c>
      <c r="AD69" s="29">
        <v>0.477572832</v>
      </c>
      <c r="AE69" s="29">
        <v>0.47915569650000001</v>
      </c>
      <c r="AF69" s="29">
        <v>0.48073856100000001</v>
      </c>
      <c r="AG69" s="29">
        <v>0.48232142550000001</v>
      </c>
      <c r="AH69" s="29">
        <v>0.48390429000000001</v>
      </c>
    </row>
    <row r="70" spans="1:62" s="16" customFormat="1" ht="13.95" customHeight="1" x14ac:dyDescent="0.25">
      <c r="A70" s="16" t="s">
        <v>160</v>
      </c>
      <c r="B70" s="30"/>
      <c r="C70" s="30">
        <v>0.38662000000000002</v>
      </c>
      <c r="D70" s="30">
        <v>0.39054527272727274</v>
      </c>
      <c r="E70" s="30">
        <v>0.39447054545454546</v>
      </c>
      <c r="F70" s="30">
        <v>0.39839581818181818</v>
      </c>
      <c r="G70" s="30">
        <v>0.40232109090909096</v>
      </c>
      <c r="H70" s="30">
        <v>0.40624636363636363</v>
      </c>
      <c r="I70" s="30">
        <v>0.41017163636363646</v>
      </c>
      <c r="J70" s="30">
        <v>0.41409690909090907</v>
      </c>
      <c r="K70" s="30">
        <v>0.41802218181818185</v>
      </c>
      <c r="L70" s="30">
        <v>0.42194745454545457</v>
      </c>
      <c r="M70" s="30">
        <v>0.42587272727272724</v>
      </c>
      <c r="N70" s="30">
        <v>0.42979800000000001</v>
      </c>
      <c r="O70" s="30">
        <v>0.43055014650000001</v>
      </c>
      <c r="P70" s="30">
        <v>0.431302293</v>
      </c>
      <c r="Q70" s="30">
        <v>0.4320544395</v>
      </c>
      <c r="R70" s="30">
        <v>0.43280658599999999</v>
      </c>
      <c r="S70" s="30">
        <v>0.43355873250000004</v>
      </c>
      <c r="T70" s="30">
        <v>0.43431087900000004</v>
      </c>
      <c r="U70" s="30">
        <v>0.43506302550000003</v>
      </c>
      <c r="V70" s="30">
        <v>0.43581517200000003</v>
      </c>
      <c r="W70" s="30">
        <v>0.43656731850000002</v>
      </c>
      <c r="X70" s="30">
        <v>0.43731946500000002</v>
      </c>
      <c r="Y70" s="30">
        <v>0.43807161150000001</v>
      </c>
      <c r="Z70" s="30">
        <v>0.43882375800000001</v>
      </c>
      <c r="AA70" s="30">
        <v>0.4395759045</v>
      </c>
      <c r="AB70" s="30">
        <v>0.440328051</v>
      </c>
      <c r="AC70" s="30">
        <v>0.44108019749999999</v>
      </c>
      <c r="AD70" s="30">
        <v>0.44183234399999999</v>
      </c>
      <c r="AE70" s="30">
        <v>0.44258449049999998</v>
      </c>
      <c r="AF70" s="30">
        <v>0.44333663699999998</v>
      </c>
      <c r="AG70" s="30">
        <v>0.44408878349999997</v>
      </c>
      <c r="AH70" s="30">
        <v>0.44484092999999997</v>
      </c>
    </row>
    <row r="71" spans="1:62" s="16" customFormat="1" ht="13.95" customHeight="1" thickBot="1" x14ac:dyDescent="0.3">
      <c r="A71" s="26" t="s">
        <v>161</v>
      </c>
      <c r="B71" s="32"/>
      <c r="C71" s="32">
        <v>0.38662000000000002</v>
      </c>
      <c r="D71" s="32">
        <v>0.3876024545454545</v>
      </c>
      <c r="E71" s="32">
        <v>0.38858490909090909</v>
      </c>
      <c r="F71" s="32">
        <v>0.38956736363636363</v>
      </c>
      <c r="G71" s="32">
        <v>0.39054981818181816</v>
      </c>
      <c r="H71" s="32">
        <v>0.39153227272727276</v>
      </c>
      <c r="I71" s="32">
        <v>0.39251472727272729</v>
      </c>
      <c r="J71" s="32">
        <v>0.39349718181818183</v>
      </c>
      <c r="K71" s="32">
        <v>0.39447963636363637</v>
      </c>
      <c r="L71" s="32">
        <v>0.3954620909090909</v>
      </c>
      <c r="M71" s="32">
        <v>0.39644454545454538</v>
      </c>
      <c r="N71" s="32">
        <v>0.39742699999999997</v>
      </c>
      <c r="O71" s="32">
        <v>0.39777474862499995</v>
      </c>
      <c r="P71" s="32">
        <v>0.39812249724999998</v>
      </c>
      <c r="Q71" s="32">
        <v>0.39847024587500002</v>
      </c>
      <c r="R71" s="32">
        <v>0.39881799449999999</v>
      </c>
      <c r="S71" s="32">
        <v>0.39916574312499997</v>
      </c>
      <c r="T71" s="32">
        <v>0.39951349174999995</v>
      </c>
      <c r="U71" s="32">
        <v>0.39986124037500004</v>
      </c>
      <c r="V71" s="32">
        <v>0.40020898899999996</v>
      </c>
      <c r="W71" s="32">
        <v>0.40055673762499994</v>
      </c>
      <c r="X71" s="32">
        <v>0.40090448624999997</v>
      </c>
      <c r="Y71" s="32">
        <v>0.401252234875</v>
      </c>
      <c r="Z71" s="32">
        <v>0.40159998350000004</v>
      </c>
      <c r="AA71" s="32">
        <v>0.40194773212500001</v>
      </c>
      <c r="AB71" s="32">
        <v>0.40229548074999999</v>
      </c>
      <c r="AC71" s="32">
        <v>0.40264322937500002</v>
      </c>
      <c r="AD71" s="32">
        <v>0.40299097800000006</v>
      </c>
      <c r="AE71" s="32">
        <v>0.40333872662500003</v>
      </c>
      <c r="AF71" s="32">
        <v>0.40368647524999995</v>
      </c>
      <c r="AG71" s="32">
        <v>0.40403422387499999</v>
      </c>
      <c r="AH71" s="32">
        <v>0.40438197250000002</v>
      </c>
    </row>
    <row r="72" spans="1:62" s="16" customFormat="1" ht="13.95" customHeight="1" thickTop="1" x14ac:dyDescent="0.25">
      <c r="A72" s="25" t="s">
        <v>162</v>
      </c>
      <c r="B72" s="29"/>
      <c r="C72" s="29">
        <v>0.35230400000000001</v>
      </c>
      <c r="D72" s="29">
        <v>0.35804654545454545</v>
      </c>
      <c r="E72" s="29">
        <v>0.36378909090909095</v>
      </c>
      <c r="F72" s="29">
        <v>0.36953163636363634</v>
      </c>
      <c r="G72" s="29">
        <v>0.37527418181818178</v>
      </c>
      <c r="H72" s="29">
        <v>0.38101672727272723</v>
      </c>
      <c r="I72" s="29">
        <v>0.38675927272727273</v>
      </c>
      <c r="J72" s="29">
        <v>0.39250181818181817</v>
      </c>
      <c r="K72" s="29">
        <v>0.39824436363636367</v>
      </c>
      <c r="L72" s="29">
        <v>0.40398690909090912</v>
      </c>
      <c r="M72" s="29">
        <v>0.40972945454545456</v>
      </c>
      <c r="N72" s="29">
        <v>0.41547200000000001</v>
      </c>
      <c r="O72" s="29">
        <v>0.41713388800000006</v>
      </c>
      <c r="P72" s="29">
        <v>0.41879577599999995</v>
      </c>
      <c r="Q72" s="29">
        <v>0.42045766400000001</v>
      </c>
      <c r="R72" s="29">
        <v>0.42211955200000001</v>
      </c>
      <c r="S72" s="29">
        <v>0.42378143999999995</v>
      </c>
      <c r="T72" s="29">
        <v>0.42544332800000007</v>
      </c>
      <c r="U72" s="29">
        <v>0.42710521600000001</v>
      </c>
      <c r="V72" s="29">
        <v>0.42876710400000001</v>
      </c>
      <c r="W72" s="29">
        <v>0.43042899200000007</v>
      </c>
      <c r="X72" s="29">
        <v>0.43209087999999995</v>
      </c>
      <c r="Y72" s="29">
        <v>0.43375276800000001</v>
      </c>
      <c r="Z72" s="29">
        <v>0.43541465600000001</v>
      </c>
      <c r="AA72" s="29">
        <v>0.43707654399999996</v>
      </c>
      <c r="AB72" s="29">
        <v>0.43873843200000007</v>
      </c>
      <c r="AC72" s="29">
        <v>0.44040032000000001</v>
      </c>
      <c r="AD72" s="29">
        <v>0.44206220800000001</v>
      </c>
      <c r="AE72" s="29">
        <v>0.44372409600000007</v>
      </c>
      <c r="AF72" s="29">
        <v>0.44538598400000007</v>
      </c>
      <c r="AG72" s="29">
        <v>0.44704787200000001</v>
      </c>
      <c r="AH72" s="29">
        <v>0.44870976000000001</v>
      </c>
    </row>
    <row r="73" spans="1:62" s="16" customFormat="1" ht="13.95" customHeight="1" x14ac:dyDescent="0.25">
      <c r="A73" s="16" t="s">
        <v>163</v>
      </c>
      <c r="B73" s="30"/>
      <c r="C73" s="30">
        <v>0.35230400000000001</v>
      </c>
      <c r="D73" s="30">
        <v>0.35570545454545455</v>
      </c>
      <c r="E73" s="30">
        <v>0.35910690909090914</v>
      </c>
      <c r="F73" s="30">
        <v>0.36250836363636368</v>
      </c>
      <c r="G73" s="30">
        <v>0.36590981818181817</v>
      </c>
      <c r="H73" s="30">
        <v>0.36931127272727271</v>
      </c>
      <c r="I73" s="30">
        <v>0.37271272727272731</v>
      </c>
      <c r="J73" s="30">
        <v>0.37611418181818179</v>
      </c>
      <c r="K73" s="30">
        <v>0.37951563636363639</v>
      </c>
      <c r="L73" s="30">
        <v>0.38291709090909093</v>
      </c>
      <c r="M73" s="30">
        <v>0.38631854545454547</v>
      </c>
      <c r="N73" s="30">
        <v>0.38972000000000001</v>
      </c>
      <c r="O73" s="30">
        <v>0.39049944000000003</v>
      </c>
      <c r="P73" s="30">
        <v>0.39127888000000005</v>
      </c>
      <c r="Q73" s="30">
        <v>0.39205831999999996</v>
      </c>
      <c r="R73" s="30">
        <v>0.39283776000000004</v>
      </c>
      <c r="S73" s="30">
        <v>0.39361720000000006</v>
      </c>
      <c r="T73" s="30">
        <v>0.39439663999999997</v>
      </c>
      <c r="U73" s="30">
        <v>0.39517608000000004</v>
      </c>
      <c r="V73" s="30">
        <v>0.39595552000000001</v>
      </c>
      <c r="W73" s="30">
        <v>0.39673496000000003</v>
      </c>
      <c r="X73" s="30">
        <v>0.39751440000000005</v>
      </c>
      <c r="Y73" s="30">
        <v>0.39829384000000001</v>
      </c>
      <c r="Z73" s="30">
        <v>0.39907327999999997</v>
      </c>
      <c r="AA73" s="30">
        <v>0.39985272000000005</v>
      </c>
      <c r="AB73" s="30">
        <v>0.40063215999999996</v>
      </c>
      <c r="AC73" s="30">
        <v>0.40141160000000004</v>
      </c>
      <c r="AD73" s="30">
        <v>0.40219104000000006</v>
      </c>
      <c r="AE73" s="30">
        <v>0.40297048000000002</v>
      </c>
      <c r="AF73" s="30">
        <v>0.40374991999999998</v>
      </c>
      <c r="AG73" s="30">
        <v>0.40452936</v>
      </c>
      <c r="AH73" s="30">
        <v>0.40530880000000002</v>
      </c>
    </row>
    <row r="74" spans="1:62" s="16" customFormat="1" ht="13.95" customHeight="1" thickBot="1" x14ac:dyDescent="0.3">
      <c r="A74" s="26" t="s">
        <v>164</v>
      </c>
      <c r="B74" s="32"/>
      <c r="C74" s="32">
        <v>0.35230400000000001</v>
      </c>
      <c r="D74" s="32">
        <v>0.35330572727272724</v>
      </c>
      <c r="E74" s="32">
        <v>0.35430745454545459</v>
      </c>
      <c r="F74" s="32">
        <v>0.35530918181818183</v>
      </c>
      <c r="G74" s="32">
        <v>0.35631090909090907</v>
      </c>
      <c r="H74" s="32">
        <v>0.35731263636363636</v>
      </c>
      <c r="I74" s="32">
        <v>0.35831436363636365</v>
      </c>
      <c r="J74" s="32">
        <v>0.35931609090909089</v>
      </c>
      <c r="K74" s="32">
        <v>0.36031781818181818</v>
      </c>
      <c r="L74" s="32">
        <v>0.36131954545454542</v>
      </c>
      <c r="M74" s="32">
        <v>0.36232127272727277</v>
      </c>
      <c r="N74" s="32">
        <v>0.36332300000000001</v>
      </c>
      <c r="O74" s="32">
        <v>0.36368632299999998</v>
      </c>
      <c r="P74" s="32">
        <v>0.364049646</v>
      </c>
      <c r="Q74" s="32">
        <v>0.36441296900000003</v>
      </c>
      <c r="R74" s="32">
        <v>0.364776292</v>
      </c>
      <c r="S74" s="32">
        <v>0.36513961500000003</v>
      </c>
      <c r="T74" s="32">
        <v>0.365502938</v>
      </c>
      <c r="U74" s="32">
        <v>0.36586626100000003</v>
      </c>
      <c r="V74" s="32">
        <v>0.366229584</v>
      </c>
      <c r="W74" s="32">
        <v>0.36659290700000002</v>
      </c>
      <c r="X74" s="32">
        <v>0.36695623000000005</v>
      </c>
      <c r="Y74" s="32">
        <v>0.36731955300000002</v>
      </c>
      <c r="Z74" s="32">
        <v>0.36768287600000005</v>
      </c>
      <c r="AA74" s="32">
        <v>0.36804619900000002</v>
      </c>
      <c r="AB74" s="32">
        <v>0.36840952199999999</v>
      </c>
      <c r="AC74" s="32">
        <v>0.36877284500000007</v>
      </c>
      <c r="AD74" s="32">
        <v>0.36913616800000004</v>
      </c>
      <c r="AE74" s="32">
        <v>0.36949949100000001</v>
      </c>
      <c r="AF74" s="32">
        <v>0.36986281400000004</v>
      </c>
      <c r="AG74" s="32">
        <v>0.37022613700000007</v>
      </c>
      <c r="AH74" s="32">
        <v>0.37058946000000004</v>
      </c>
    </row>
    <row r="75" spans="1:62" s="16" customFormat="1" ht="13.95" customHeight="1" thickTop="1" x14ac:dyDescent="0.25">
      <c r="A75" s="25" t="s">
        <v>165</v>
      </c>
      <c r="B75" s="29"/>
      <c r="C75" s="29">
        <v>0.31103599999999998</v>
      </c>
      <c r="D75" s="29">
        <v>0.31645118181818183</v>
      </c>
      <c r="E75" s="29">
        <v>0.32186636363636362</v>
      </c>
      <c r="F75" s="29">
        <v>0.32728154545454546</v>
      </c>
      <c r="G75" s="29">
        <v>0.33269672727272726</v>
      </c>
      <c r="H75" s="29">
        <v>0.33811190909090905</v>
      </c>
      <c r="I75" s="29">
        <v>0.34352709090909089</v>
      </c>
      <c r="J75" s="29">
        <v>0.34894227272727274</v>
      </c>
      <c r="K75" s="29">
        <v>0.35435745454545453</v>
      </c>
      <c r="L75" s="29">
        <v>0.35977263636363638</v>
      </c>
      <c r="M75" s="29">
        <v>0.36518781818181817</v>
      </c>
      <c r="N75" s="29">
        <v>0.37060300000000002</v>
      </c>
      <c r="O75" s="29">
        <v>0.37227071350000002</v>
      </c>
      <c r="P75" s="29">
        <v>0.37393842700000002</v>
      </c>
      <c r="Q75" s="29">
        <v>0.37560614050000002</v>
      </c>
      <c r="R75" s="29">
        <v>0.37727385400000002</v>
      </c>
      <c r="S75" s="29">
        <v>0.37894156750000002</v>
      </c>
      <c r="T75" s="29">
        <v>0.38060928100000002</v>
      </c>
      <c r="U75" s="29">
        <v>0.38227699450000002</v>
      </c>
      <c r="V75" s="29">
        <v>0.38394470800000002</v>
      </c>
      <c r="W75" s="29">
        <v>0.38561242150000002</v>
      </c>
      <c r="X75" s="29">
        <v>0.38728013500000003</v>
      </c>
      <c r="Y75" s="29">
        <v>0.38894784850000003</v>
      </c>
      <c r="Z75" s="29">
        <v>0.39061556200000003</v>
      </c>
      <c r="AA75" s="29">
        <v>0.39228327550000003</v>
      </c>
      <c r="AB75" s="29">
        <v>0.39395098900000003</v>
      </c>
      <c r="AC75" s="29">
        <v>0.39561870250000003</v>
      </c>
      <c r="AD75" s="29">
        <v>0.39728641600000003</v>
      </c>
      <c r="AE75" s="29">
        <v>0.39895412950000003</v>
      </c>
      <c r="AF75" s="29">
        <v>0.40062184300000003</v>
      </c>
      <c r="AG75" s="29">
        <v>0.40228955650000009</v>
      </c>
      <c r="AH75" s="29">
        <v>0.40395727000000003</v>
      </c>
    </row>
    <row r="76" spans="1:62" s="16" customFormat="1" ht="13.95" customHeight="1" x14ac:dyDescent="0.25">
      <c r="A76" s="16" t="s">
        <v>166</v>
      </c>
      <c r="B76" s="30"/>
      <c r="C76" s="30">
        <v>0.31103599999999998</v>
      </c>
      <c r="D76" s="30">
        <v>0.31421363636363636</v>
      </c>
      <c r="E76" s="30">
        <v>0.31739127272727274</v>
      </c>
      <c r="F76" s="30">
        <v>0.32056890909090907</v>
      </c>
      <c r="G76" s="30">
        <v>0.32374654545454545</v>
      </c>
      <c r="H76" s="30">
        <v>0.32692418181818184</v>
      </c>
      <c r="I76" s="30">
        <v>0.33010181818181822</v>
      </c>
      <c r="J76" s="30">
        <v>0.33327945454545455</v>
      </c>
      <c r="K76" s="30">
        <v>0.33645709090909093</v>
      </c>
      <c r="L76" s="30">
        <v>0.33963472727272725</v>
      </c>
      <c r="M76" s="30">
        <v>0.34281236363636364</v>
      </c>
      <c r="N76" s="30">
        <v>0.34599000000000002</v>
      </c>
      <c r="O76" s="30">
        <v>0.34676847750000001</v>
      </c>
      <c r="P76" s="30">
        <v>0.34754695499999999</v>
      </c>
      <c r="Q76" s="30">
        <v>0.34832543250000003</v>
      </c>
      <c r="R76" s="30">
        <v>0.34910391000000002</v>
      </c>
      <c r="S76" s="30">
        <v>0.3498823875</v>
      </c>
      <c r="T76" s="30">
        <v>0.35066086500000004</v>
      </c>
      <c r="U76" s="30">
        <v>0.35143934250000008</v>
      </c>
      <c r="V76" s="30">
        <v>0.35221782000000001</v>
      </c>
      <c r="W76" s="30">
        <v>0.3529962975</v>
      </c>
      <c r="X76" s="30">
        <v>0.35377477500000004</v>
      </c>
      <c r="Y76" s="30">
        <v>0.35455325250000003</v>
      </c>
      <c r="Z76" s="30">
        <v>0.35533173000000001</v>
      </c>
      <c r="AA76" s="30">
        <v>0.3561102075</v>
      </c>
      <c r="AB76" s="30">
        <v>0.35688868500000004</v>
      </c>
      <c r="AC76" s="30">
        <v>0.35766716250000002</v>
      </c>
      <c r="AD76" s="30">
        <v>0.35844564000000001</v>
      </c>
      <c r="AE76" s="30">
        <v>0.3592241175</v>
      </c>
      <c r="AF76" s="30">
        <v>0.36000259499999998</v>
      </c>
      <c r="AG76" s="30">
        <v>0.36078107250000002</v>
      </c>
      <c r="AH76" s="30">
        <v>0.36155955000000001</v>
      </c>
    </row>
    <row r="77" spans="1:62" s="16" customFormat="1" ht="13.95" customHeight="1" thickBot="1" x14ac:dyDescent="0.3">
      <c r="A77" s="26" t="s">
        <v>167</v>
      </c>
      <c r="B77" s="32"/>
      <c r="C77" s="32">
        <v>0.31103599999999998</v>
      </c>
      <c r="D77" s="32">
        <v>0.31203327272727271</v>
      </c>
      <c r="E77" s="32">
        <v>0.31303054545454545</v>
      </c>
      <c r="F77" s="32">
        <v>0.31402781818181819</v>
      </c>
      <c r="G77" s="32">
        <v>0.31502509090909087</v>
      </c>
      <c r="H77" s="32">
        <v>0.3160223636363636</v>
      </c>
      <c r="I77" s="32">
        <v>0.31701963636363639</v>
      </c>
      <c r="J77" s="32">
        <v>0.31801690909090907</v>
      </c>
      <c r="K77" s="32">
        <v>0.31901418181818181</v>
      </c>
      <c r="L77" s="32">
        <v>0.3200114545454546</v>
      </c>
      <c r="M77" s="32">
        <v>0.32100872727272728</v>
      </c>
      <c r="N77" s="32">
        <v>0.32200600000000001</v>
      </c>
      <c r="O77" s="32">
        <v>0.32236825675000003</v>
      </c>
      <c r="P77" s="32">
        <v>0.32273051349999998</v>
      </c>
      <c r="Q77" s="32">
        <v>0.32309277025000005</v>
      </c>
      <c r="R77" s="32">
        <v>0.32345502700000001</v>
      </c>
      <c r="S77" s="32">
        <v>0.32381728375000002</v>
      </c>
      <c r="T77" s="32">
        <v>0.32417954050000003</v>
      </c>
      <c r="U77" s="32">
        <v>0.32454179725000004</v>
      </c>
      <c r="V77" s="32">
        <v>0.324904054</v>
      </c>
      <c r="W77" s="32">
        <v>0.32526631075000001</v>
      </c>
      <c r="X77" s="32">
        <v>0.32562856750000002</v>
      </c>
      <c r="Y77" s="32">
        <v>0.32599082425000003</v>
      </c>
      <c r="Z77" s="32">
        <v>0.32635308100000004</v>
      </c>
      <c r="AA77" s="32">
        <v>0.32671533775</v>
      </c>
      <c r="AB77" s="32">
        <v>0.32707759450000007</v>
      </c>
      <c r="AC77" s="32">
        <v>0.32743985125000002</v>
      </c>
      <c r="AD77" s="32">
        <v>0.32780210800000004</v>
      </c>
      <c r="AE77" s="32">
        <v>0.32816436474999999</v>
      </c>
      <c r="AF77" s="32">
        <v>0.3285266215</v>
      </c>
      <c r="AG77" s="32">
        <v>0.32888887825000002</v>
      </c>
      <c r="AH77" s="32">
        <v>0.32925113500000003</v>
      </c>
    </row>
    <row r="78" spans="1:62" s="16" customFormat="1" ht="13.95" customHeight="1" thickTop="1" x14ac:dyDescent="0.25">
      <c r="A78" s="25" t="s">
        <v>168</v>
      </c>
      <c r="B78" s="29"/>
      <c r="C78" s="29">
        <v>0.26575900000000002</v>
      </c>
      <c r="D78" s="29">
        <v>0.27073790909090911</v>
      </c>
      <c r="E78" s="29">
        <v>0.2757168181818182</v>
      </c>
      <c r="F78" s="29">
        <v>0.28069572727272729</v>
      </c>
      <c r="G78" s="29">
        <v>0.28567463636363638</v>
      </c>
      <c r="H78" s="29">
        <v>0.29065354545454541</v>
      </c>
      <c r="I78" s="29">
        <v>0.29563245454545456</v>
      </c>
      <c r="J78" s="29">
        <v>0.30061136363636365</v>
      </c>
      <c r="K78" s="29">
        <v>0.30559027272727274</v>
      </c>
      <c r="L78" s="29">
        <v>0.31056918181818188</v>
      </c>
      <c r="M78" s="29">
        <v>0.31554809090909092</v>
      </c>
      <c r="N78" s="29">
        <v>0.32052700000000001</v>
      </c>
      <c r="O78" s="29">
        <v>0.32212963499999997</v>
      </c>
      <c r="P78" s="29">
        <v>0.32373227000000004</v>
      </c>
      <c r="Q78" s="29">
        <v>0.32533490500000001</v>
      </c>
      <c r="R78" s="29">
        <v>0.32693754000000003</v>
      </c>
      <c r="S78" s="29">
        <v>0.32854017499999999</v>
      </c>
      <c r="T78" s="29">
        <v>0.33014281000000001</v>
      </c>
      <c r="U78" s="29">
        <v>0.33174544500000003</v>
      </c>
      <c r="V78" s="29">
        <v>0.33334808000000005</v>
      </c>
      <c r="W78" s="29">
        <v>0.33495071500000001</v>
      </c>
      <c r="X78" s="29">
        <v>0.33655335000000008</v>
      </c>
      <c r="Y78" s="29">
        <v>0.33815598500000005</v>
      </c>
      <c r="Z78" s="29">
        <v>0.33975862000000001</v>
      </c>
      <c r="AA78" s="29">
        <v>0.34136125500000003</v>
      </c>
      <c r="AB78" s="29">
        <v>0.34296389000000005</v>
      </c>
      <c r="AC78" s="29">
        <v>0.34456652500000007</v>
      </c>
      <c r="AD78" s="29">
        <v>0.34616916000000003</v>
      </c>
      <c r="AE78" s="29">
        <v>0.34777179499999999</v>
      </c>
      <c r="AF78" s="29">
        <v>0.34937443000000001</v>
      </c>
      <c r="AG78" s="29">
        <v>0.35097706500000003</v>
      </c>
      <c r="AH78" s="29">
        <v>0.35257970000000005</v>
      </c>
    </row>
    <row r="79" spans="1:62" s="16" customFormat="1" ht="13.95" customHeight="1" thickBot="1" x14ac:dyDescent="0.3">
      <c r="A79" s="16" t="s">
        <v>169</v>
      </c>
      <c r="B79" s="30"/>
      <c r="C79" s="30">
        <v>0.26575900000000002</v>
      </c>
      <c r="D79" s="30">
        <v>0.26865036363636369</v>
      </c>
      <c r="E79" s="30">
        <v>0.2715417272727273</v>
      </c>
      <c r="F79" s="30">
        <v>0.2744330909090909</v>
      </c>
      <c r="G79" s="30">
        <v>0.27732445454545457</v>
      </c>
      <c r="H79" s="30">
        <v>0.28021581818181818</v>
      </c>
      <c r="I79" s="30">
        <v>0.28310718181818184</v>
      </c>
      <c r="J79" s="30">
        <v>0.28599854545454551</v>
      </c>
      <c r="K79" s="30">
        <v>0.28888990909090906</v>
      </c>
      <c r="L79" s="30">
        <v>0.29178127272727272</v>
      </c>
      <c r="M79" s="30">
        <v>0.29467263636363633</v>
      </c>
      <c r="N79" s="30">
        <v>0.297564</v>
      </c>
      <c r="O79" s="30">
        <v>0.29830791000000001</v>
      </c>
      <c r="P79" s="30">
        <v>0.29905181999999997</v>
      </c>
      <c r="Q79" s="30">
        <v>0.29979573000000004</v>
      </c>
      <c r="R79" s="30">
        <v>0.30053964</v>
      </c>
      <c r="S79" s="30">
        <v>0.30128354999999996</v>
      </c>
      <c r="T79" s="30">
        <v>0.30202746000000003</v>
      </c>
      <c r="U79" s="30">
        <v>0.30277136999999998</v>
      </c>
      <c r="V79" s="30">
        <v>0.30351528</v>
      </c>
      <c r="W79" s="30">
        <v>0.30425918999999996</v>
      </c>
      <c r="X79" s="30">
        <v>0.30500309999999997</v>
      </c>
      <c r="Y79" s="30">
        <v>0.30574700999999999</v>
      </c>
      <c r="Z79" s="30">
        <v>0.30649092</v>
      </c>
      <c r="AA79" s="30">
        <v>0.30723482999999996</v>
      </c>
      <c r="AB79" s="30">
        <v>0.30797873999999997</v>
      </c>
      <c r="AC79" s="30">
        <v>0.30872265000000004</v>
      </c>
      <c r="AD79" s="30">
        <v>0.30946656</v>
      </c>
      <c r="AE79" s="30">
        <v>0.31021047000000002</v>
      </c>
      <c r="AF79" s="30">
        <v>0.31095437999999997</v>
      </c>
      <c r="AG79" s="30">
        <v>0.31169829000000004</v>
      </c>
      <c r="AH79" s="30">
        <v>0.3124422</v>
      </c>
      <c r="AS79" s="33"/>
      <c r="AT79" s="33"/>
      <c r="AU79" s="33"/>
      <c r="AV79" s="33"/>
      <c r="AW79" s="33"/>
      <c r="AX79" s="33"/>
      <c r="AY79" s="33"/>
      <c r="AZ79" s="33"/>
      <c r="BA79" s="33"/>
      <c r="BB79" s="33"/>
      <c r="BC79" s="33"/>
      <c r="BD79" s="33"/>
      <c r="BE79" s="33"/>
      <c r="BF79" s="33"/>
      <c r="BG79" s="33"/>
      <c r="BH79" s="33"/>
      <c r="BI79" s="33"/>
      <c r="BJ79" s="33"/>
    </row>
    <row r="80" spans="1:62" s="16" customFormat="1" ht="13.95" customHeight="1" thickTop="1" thickBot="1" x14ac:dyDescent="0.3">
      <c r="A80" s="26" t="s">
        <v>170</v>
      </c>
      <c r="B80" s="31"/>
      <c r="C80" s="31">
        <v>0.26575900000000002</v>
      </c>
      <c r="D80" s="31">
        <v>0.26672400000000002</v>
      </c>
      <c r="E80" s="31">
        <v>0.26768900000000001</v>
      </c>
      <c r="F80" s="31">
        <v>0.268654</v>
      </c>
      <c r="G80" s="31">
        <v>0.269619</v>
      </c>
      <c r="H80" s="31">
        <v>0.27058399999999999</v>
      </c>
      <c r="I80" s="31">
        <v>0.27154900000000004</v>
      </c>
      <c r="J80" s="31">
        <v>0.27251399999999998</v>
      </c>
      <c r="K80" s="31">
        <v>0.27347900000000003</v>
      </c>
      <c r="L80" s="31">
        <v>0.27444400000000002</v>
      </c>
      <c r="M80" s="31">
        <v>0.27540900000000001</v>
      </c>
      <c r="N80" s="31">
        <v>0.27637400000000001</v>
      </c>
      <c r="O80" s="31">
        <v>0.27671946749999998</v>
      </c>
      <c r="P80" s="31">
        <v>0.27706493500000001</v>
      </c>
      <c r="Q80" s="31">
        <v>0.27741040249999999</v>
      </c>
      <c r="R80" s="31">
        <v>0.27775587000000002</v>
      </c>
      <c r="S80" s="31">
        <v>0.27810133749999999</v>
      </c>
      <c r="T80" s="31">
        <v>0.27844680500000002</v>
      </c>
      <c r="U80" s="31">
        <v>0.27879227249999999</v>
      </c>
      <c r="V80" s="31">
        <v>0.27913774000000002</v>
      </c>
      <c r="W80" s="31">
        <v>0.2794832075</v>
      </c>
      <c r="X80" s="31">
        <v>0.27982867499999997</v>
      </c>
      <c r="Y80" s="31">
        <v>0.28017414250000006</v>
      </c>
      <c r="Z80" s="31">
        <v>0.28051960999999997</v>
      </c>
      <c r="AA80" s="31">
        <v>0.2808650775</v>
      </c>
      <c r="AB80" s="31">
        <v>0.28121054499999998</v>
      </c>
      <c r="AC80" s="31">
        <v>0.28155601250000001</v>
      </c>
      <c r="AD80" s="31">
        <v>0.28190147999999998</v>
      </c>
      <c r="AE80" s="31">
        <v>0.28224694749999996</v>
      </c>
      <c r="AF80" s="31">
        <v>0.28259241499999999</v>
      </c>
      <c r="AG80" s="31">
        <v>0.28293788249999996</v>
      </c>
      <c r="AH80" s="31">
        <v>0.28328334999999999</v>
      </c>
      <c r="AS80" s="34"/>
      <c r="AT80" s="34"/>
      <c r="AU80" s="34"/>
      <c r="AV80" s="34"/>
      <c r="AW80" s="34"/>
      <c r="AX80" s="34"/>
      <c r="AY80" s="34"/>
      <c r="AZ80" s="34"/>
      <c r="BA80" s="34"/>
      <c r="BB80" s="34"/>
      <c r="BC80" s="34"/>
      <c r="BD80" s="34"/>
      <c r="BE80" s="34"/>
      <c r="BF80" s="34"/>
      <c r="BG80" s="34"/>
      <c r="BH80" s="34"/>
      <c r="BI80" s="34"/>
      <c r="BJ80" s="34"/>
    </row>
    <row r="81" spans="1:39" s="16" customFormat="1" ht="13.95" customHeight="1" thickTop="1" x14ac:dyDescent="0.25">
      <c r="A81" s="25" t="s">
        <v>171</v>
      </c>
      <c r="B81" s="29"/>
      <c r="C81" s="29">
        <v>0.16484099999999999</v>
      </c>
      <c r="D81" s="29">
        <v>0.16851627272727271</v>
      </c>
      <c r="E81" s="29">
        <v>0.17219154545454546</v>
      </c>
      <c r="F81" s="29">
        <v>0.17586681818181818</v>
      </c>
      <c r="G81" s="29">
        <v>0.1795420909090909</v>
      </c>
      <c r="H81" s="29">
        <v>0.18321736363636365</v>
      </c>
      <c r="I81" s="29">
        <v>0.18689263636363637</v>
      </c>
      <c r="J81" s="29">
        <v>0.19056790909090909</v>
      </c>
      <c r="K81" s="29">
        <v>0.19424318181818181</v>
      </c>
      <c r="L81" s="29">
        <v>0.19791845454545454</v>
      </c>
      <c r="M81" s="29">
        <v>0.20159372727272729</v>
      </c>
      <c r="N81" s="29">
        <v>0.20526900000000001</v>
      </c>
      <c r="O81" s="29">
        <v>0.20639797950000002</v>
      </c>
      <c r="P81" s="29">
        <v>0.20752695900000001</v>
      </c>
      <c r="Q81" s="29">
        <v>0.20865593850000003</v>
      </c>
      <c r="R81" s="29">
        <v>0.20978491799999999</v>
      </c>
      <c r="S81" s="29">
        <v>0.2109138975</v>
      </c>
      <c r="T81" s="29">
        <v>0.21204287700000002</v>
      </c>
      <c r="U81" s="29">
        <v>0.21317185649999998</v>
      </c>
      <c r="V81" s="29">
        <v>0.21430083599999999</v>
      </c>
      <c r="W81" s="29">
        <v>0.21542981550000001</v>
      </c>
      <c r="X81" s="29">
        <v>0.216558795</v>
      </c>
      <c r="Y81" s="29">
        <v>0.21768777450000001</v>
      </c>
      <c r="Z81" s="29">
        <v>0.21881675400000003</v>
      </c>
      <c r="AA81" s="29">
        <v>0.21994573349999999</v>
      </c>
      <c r="AB81" s="29">
        <v>0.22107471300000001</v>
      </c>
      <c r="AC81" s="29">
        <v>0.22220369250000002</v>
      </c>
      <c r="AD81" s="29">
        <v>0.22333267200000001</v>
      </c>
      <c r="AE81" s="29">
        <v>0.22446165150000003</v>
      </c>
      <c r="AF81" s="29">
        <v>0.22559063099999999</v>
      </c>
      <c r="AG81" s="29">
        <v>0.22671961050000006</v>
      </c>
      <c r="AH81" s="29">
        <v>0.22784859000000002</v>
      </c>
    </row>
    <row r="82" spans="1:39" s="16" customFormat="1" ht="13.95" customHeight="1" x14ac:dyDescent="0.25">
      <c r="A82" s="16" t="s">
        <v>172</v>
      </c>
      <c r="B82" s="30"/>
      <c r="C82" s="30">
        <v>0.16484099999999999</v>
      </c>
      <c r="D82" s="30">
        <v>0.16693290909090908</v>
      </c>
      <c r="E82" s="30">
        <v>0.16902481818181816</v>
      </c>
      <c r="F82" s="30">
        <v>0.17111672727272725</v>
      </c>
      <c r="G82" s="30">
        <v>0.17320863636363634</v>
      </c>
      <c r="H82" s="30">
        <v>0.17530054545454543</v>
      </c>
      <c r="I82" s="30">
        <v>0.17739245454545455</v>
      </c>
      <c r="J82" s="30">
        <v>0.17948436363636364</v>
      </c>
      <c r="K82" s="30">
        <v>0.1815762727272727</v>
      </c>
      <c r="L82" s="30">
        <v>0.18366818181818179</v>
      </c>
      <c r="M82" s="30">
        <v>0.1857600909090909</v>
      </c>
      <c r="N82" s="30">
        <v>0.18785199999999999</v>
      </c>
      <c r="O82" s="30">
        <v>0.188368593</v>
      </c>
      <c r="P82" s="30">
        <v>0.18888518599999998</v>
      </c>
      <c r="Q82" s="30">
        <v>0.18940177899999999</v>
      </c>
      <c r="R82" s="30">
        <v>0.189918372</v>
      </c>
      <c r="S82" s="30">
        <v>0.19043496499999998</v>
      </c>
      <c r="T82" s="30">
        <v>0.19095155799999999</v>
      </c>
      <c r="U82" s="30">
        <v>0.19146815099999998</v>
      </c>
      <c r="V82" s="30">
        <v>0.19198474399999998</v>
      </c>
      <c r="W82" s="30">
        <v>0.19250133699999999</v>
      </c>
      <c r="X82" s="30">
        <v>0.19301792999999998</v>
      </c>
      <c r="Y82" s="30">
        <v>0.19353452299999999</v>
      </c>
      <c r="Z82" s="30">
        <v>0.19405111599999997</v>
      </c>
      <c r="AA82" s="30">
        <v>0.19456770899999998</v>
      </c>
      <c r="AB82" s="30">
        <v>0.19508430199999999</v>
      </c>
      <c r="AC82" s="30">
        <v>0.195600895</v>
      </c>
      <c r="AD82" s="30">
        <v>0.19611748800000001</v>
      </c>
      <c r="AE82" s="30">
        <v>0.19663408099999996</v>
      </c>
      <c r="AF82" s="30">
        <v>0.19715067399999997</v>
      </c>
      <c r="AG82" s="30">
        <v>0.19766726699999998</v>
      </c>
      <c r="AH82" s="30">
        <v>0.19818385999999999</v>
      </c>
    </row>
    <row r="83" spans="1:39" s="16" customFormat="1" ht="13.95" customHeight="1" x14ac:dyDescent="0.25">
      <c r="A83" s="26" t="s">
        <v>173</v>
      </c>
      <c r="B83" s="30"/>
      <c r="C83" s="30">
        <v>0.16484099999999999</v>
      </c>
      <c r="D83" s="30">
        <v>0.16563036363636363</v>
      </c>
      <c r="E83" s="30">
        <v>0.16641972727272727</v>
      </c>
      <c r="F83" s="30">
        <v>0.16720909090909089</v>
      </c>
      <c r="G83" s="30">
        <v>0.16799845454545453</v>
      </c>
      <c r="H83" s="30">
        <v>0.16878781818181818</v>
      </c>
      <c r="I83" s="30">
        <v>0.16957718181818182</v>
      </c>
      <c r="J83" s="30">
        <v>0.17036654545454546</v>
      </c>
      <c r="K83" s="30">
        <v>0.17115590909090911</v>
      </c>
      <c r="L83" s="30">
        <v>0.17194527272727275</v>
      </c>
      <c r="M83" s="30">
        <v>0.17273463636363637</v>
      </c>
      <c r="N83" s="30">
        <v>0.17352400000000001</v>
      </c>
      <c r="O83" s="30">
        <v>0.17376259550000001</v>
      </c>
      <c r="P83" s="30">
        <v>0.17400119100000003</v>
      </c>
      <c r="Q83" s="30">
        <v>0.17423978649999999</v>
      </c>
      <c r="R83" s="30">
        <v>0.17447838200000002</v>
      </c>
      <c r="S83" s="30">
        <v>0.17471697750000001</v>
      </c>
      <c r="T83" s="30">
        <v>0.17495557300000003</v>
      </c>
      <c r="U83" s="30">
        <v>0.17519416850000002</v>
      </c>
      <c r="V83" s="30">
        <v>0.17543276400000002</v>
      </c>
      <c r="W83" s="30">
        <v>0.17567135950000004</v>
      </c>
      <c r="X83" s="30">
        <v>0.17590995500000001</v>
      </c>
      <c r="Y83" s="30">
        <v>0.17614855050000003</v>
      </c>
      <c r="Z83" s="30">
        <v>0.17638714600000002</v>
      </c>
      <c r="AA83" s="30">
        <v>0.17662574150000004</v>
      </c>
      <c r="AB83" s="30">
        <v>0.17686433700000001</v>
      </c>
      <c r="AC83" s="30">
        <v>0.17710293250000003</v>
      </c>
      <c r="AD83" s="30">
        <v>0.17734152800000003</v>
      </c>
      <c r="AE83" s="30">
        <v>0.17758012350000002</v>
      </c>
      <c r="AF83" s="30">
        <v>0.17781871900000004</v>
      </c>
      <c r="AG83" s="30">
        <v>0.17805731450000001</v>
      </c>
      <c r="AH83" s="30">
        <v>0.17829591000000003</v>
      </c>
    </row>
    <row r="85" spans="1:39" ht="15" thickBot="1" x14ac:dyDescent="0.35">
      <c r="A85" s="35" t="s">
        <v>174</v>
      </c>
      <c r="B85" s="36"/>
      <c r="C85" s="36"/>
      <c r="D85" s="36"/>
    </row>
    <row r="86" spans="1:39" x14ac:dyDescent="0.3">
      <c r="A86" s="93" t="s">
        <v>175</v>
      </c>
      <c r="B86" s="93" t="s">
        <v>176</v>
      </c>
      <c r="C86" s="93" t="s">
        <v>177</v>
      </c>
      <c r="D86" s="93" t="s">
        <v>178</v>
      </c>
    </row>
    <row r="87" spans="1:39" ht="50.7" customHeight="1" thickBot="1" x14ac:dyDescent="0.35">
      <c r="A87" s="94"/>
      <c r="B87" s="94"/>
      <c r="C87" s="94"/>
      <c r="D87" s="94"/>
      <c r="G87">
        <f t="shared" ref="G87:AM87" si="2">B53</f>
        <v>0</v>
      </c>
      <c r="H87">
        <f t="shared" si="2"/>
        <v>2019</v>
      </c>
      <c r="I87">
        <f t="shared" si="2"/>
        <v>2020</v>
      </c>
      <c r="J87">
        <f t="shared" si="2"/>
        <v>2021</v>
      </c>
      <c r="K87">
        <f t="shared" si="2"/>
        <v>2022</v>
      </c>
      <c r="L87">
        <f t="shared" si="2"/>
        <v>2023</v>
      </c>
      <c r="M87">
        <f t="shared" si="2"/>
        <v>2024</v>
      </c>
      <c r="N87">
        <f t="shared" si="2"/>
        <v>2025</v>
      </c>
      <c r="O87">
        <f t="shared" si="2"/>
        <v>2026</v>
      </c>
      <c r="P87">
        <f t="shared" si="2"/>
        <v>2027</v>
      </c>
      <c r="Q87">
        <f t="shared" si="2"/>
        <v>2028</v>
      </c>
      <c r="R87">
        <f t="shared" si="2"/>
        <v>2029</v>
      </c>
      <c r="S87">
        <f t="shared" si="2"/>
        <v>2030</v>
      </c>
      <c r="T87">
        <f t="shared" si="2"/>
        <v>2031</v>
      </c>
      <c r="U87">
        <f t="shared" si="2"/>
        <v>2032</v>
      </c>
      <c r="V87">
        <f t="shared" si="2"/>
        <v>2033</v>
      </c>
      <c r="W87">
        <f t="shared" si="2"/>
        <v>2034</v>
      </c>
      <c r="X87">
        <f t="shared" si="2"/>
        <v>2035</v>
      </c>
      <c r="Y87">
        <f t="shared" si="2"/>
        <v>2036</v>
      </c>
      <c r="Z87">
        <f t="shared" si="2"/>
        <v>2037</v>
      </c>
      <c r="AA87">
        <f t="shared" si="2"/>
        <v>2038</v>
      </c>
      <c r="AB87">
        <f t="shared" si="2"/>
        <v>2039</v>
      </c>
      <c r="AC87">
        <f t="shared" si="2"/>
        <v>2040</v>
      </c>
      <c r="AD87">
        <f t="shared" si="2"/>
        <v>2041</v>
      </c>
      <c r="AE87">
        <f t="shared" si="2"/>
        <v>2042</v>
      </c>
      <c r="AF87">
        <f t="shared" si="2"/>
        <v>2043</v>
      </c>
      <c r="AG87">
        <f t="shared" si="2"/>
        <v>2044</v>
      </c>
      <c r="AH87">
        <f t="shared" si="2"/>
        <v>2045</v>
      </c>
      <c r="AI87">
        <f t="shared" si="2"/>
        <v>2046</v>
      </c>
      <c r="AJ87">
        <f t="shared" si="2"/>
        <v>2047</v>
      </c>
      <c r="AK87">
        <f t="shared" si="2"/>
        <v>2048</v>
      </c>
      <c r="AL87">
        <f t="shared" si="2"/>
        <v>2049</v>
      </c>
      <c r="AM87">
        <f t="shared" si="2"/>
        <v>2050</v>
      </c>
    </row>
    <row r="88" spans="1:39" x14ac:dyDescent="0.3">
      <c r="A88" s="37" t="s">
        <v>179</v>
      </c>
      <c r="B88" s="38" t="s">
        <v>180</v>
      </c>
      <c r="C88" s="39">
        <v>9.5</v>
      </c>
      <c r="D88" s="40">
        <v>153</v>
      </c>
      <c r="F88" s="27" t="str">
        <f>A55</f>
        <v>Class 1 - Moderate</v>
      </c>
      <c r="G88" s="27">
        <f>B55</f>
        <v>0</v>
      </c>
      <c r="H88" s="27">
        <f t="shared" ref="H88:AM88" si="3">C55</f>
        <v>0.50136800000000004</v>
      </c>
      <c r="I88" s="27">
        <f t="shared" si="3"/>
        <v>0.50509190909090917</v>
      </c>
      <c r="J88" s="27">
        <f t="shared" si="3"/>
        <v>0.5088158181818182</v>
      </c>
      <c r="K88" s="27">
        <f t="shared" si="3"/>
        <v>0.51253972727272734</v>
      </c>
      <c r="L88" s="27">
        <f t="shared" si="3"/>
        <v>0.51626363636363637</v>
      </c>
      <c r="M88" s="27">
        <f t="shared" si="3"/>
        <v>0.51998754545454551</v>
      </c>
      <c r="N88" s="27">
        <f t="shared" si="3"/>
        <v>0.52371145454545465</v>
      </c>
      <c r="O88" s="27">
        <f t="shared" si="3"/>
        <v>0.52743536363636367</v>
      </c>
      <c r="P88" s="27">
        <f t="shared" si="3"/>
        <v>0.5311592727272727</v>
      </c>
      <c r="Q88" s="27">
        <f t="shared" si="3"/>
        <v>0.53488318181818184</v>
      </c>
      <c r="R88" s="27">
        <f t="shared" si="3"/>
        <v>0.53860709090909087</v>
      </c>
      <c r="S88" s="27">
        <f t="shared" si="3"/>
        <v>0.54233100000000001</v>
      </c>
      <c r="T88" s="27">
        <f t="shared" si="3"/>
        <v>0.54260216550000007</v>
      </c>
      <c r="U88" s="27">
        <f t="shared" si="3"/>
        <v>0.54287333100000001</v>
      </c>
      <c r="V88" s="27">
        <f t="shared" si="3"/>
        <v>0.54314449650000007</v>
      </c>
      <c r="W88" s="27">
        <f t="shared" si="3"/>
        <v>0.54341566199999991</v>
      </c>
      <c r="X88" s="27">
        <f t="shared" si="3"/>
        <v>0.54368682749999997</v>
      </c>
      <c r="Y88" s="27">
        <f t="shared" si="3"/>
        <v>0.54395799300000003</v>
      </c>
      <c r="Z88" s="27">
        <f t="shared" si="3"/>
        <v>0.54422915849999998</v>
      </c>
      <c r="AA88" s="27">
        <f t="shared" si="3"/>
        <v>0.54450032400000004</v>
      </c>
      <c r="AB88" s="27">
        <f t="shared" si="3"/>
        <v>0.54477148949999998</v>
      </c>
      <c r="AC88" s="27">
        <f t="shared" si="3"/>
        <v>0.54504265499999993</v>
      </c>
      <c r="AD88" s="27">
        <f t="shared" si="3"/>
        <v>0.54531382049999999</v>
      </c>
      <c r="AE88" s="27">
        <f t="shared" si="3"/>
        <v>0.54558498599999994</v>
      </c>
      <c r="AF88" s="27">
        <f t="shared" si="3"/>
        <v>0.5458561515</v>
      </c>
      <c r="AG88" s="27">
        <f t="shared" si="3"/>
        <v>0.54612731700000006</v>
      </c>
      <c r="AH88" s="27">
        <f t="shared" si="3"/>
        <v>0.5463984825</v>
      </c>
      <c r="AI88" s="27">
        <f t="shared" si="3"/>
        <v>0.54666964799999995</v>
      </c>
      <c r="AJ88" s="27">
        <f t="shared" si="3"/>
        <v>0.54694081350000001</v>
      </c>
      <c r="AK88" s="27">
        <f t="shared" si="3"/>
        <v>0.54721197899999996</v>
      </c>
      <c r="AL88" s="27">
        <f t="shared" si="3"/>
        <v>0.54748314450000002</v>
      </c>
      <c r="AM88" s="27">
        <f t="shared" si="3"/>
        <v>0.54775430999999997</v>
      </c>
    </row>
    <row r="89" spans="1:39" x14ac:dyDescent="0.3">
      <c r="A89" s="41" t="s">
        <v>181</v>
      </c>
      <c r="B89" s="42" t="s">
        <v>182</v>
      </c>
      <c r="C89" s="43">
        <v>8.9</v>
      </c>
      <c r="D89" s="44">
        <v>152</v>
      </c>
      <c r="F89" s="27" t="str">
        <f>A58</f>
        <v>Class 2 - Moderate</v>
      </c>
      <c r="G89" s="27">
        <f>B58</f>
        <v>0</v>
      </c>
      <c r="H89" s="27">
        <f t="shared" ref="H89:AM89" si="4">C58</f>
        <v>0.45713399999999998</v>
      </c>
      <c r="I89" s="27">
        <f t="shared" si="4"/>
        <v>0.46089218181818181</v>
      </c>
      <c r="J89" s="27">
        <f t="shared" si="4"/>
        <v>0.46465036363636364</v>
      </c>
      <c r="K89" s="27">
        <f t="shared" si="4"/>
        <v>0.46840854545454547</v>
      </c>
      <c r="L89" s="27">
        <f t="shared" si="4"/>
        <v>0.47216672727272724</v>
      </c>
      <c r="M89" s="27">
        <f t="shared" si="4"/>
        <v>0.47592490909090907</v>
      </c>
      <c r="N89" s="27">
        <f t="shared" si="4"/>
        <v>0.47968309090909095</v>
      </c>
      <c r="O89" s="27">
        <f t="shared" si="4"/>
        <v>0.48344127272727272</v>
      </c>
      <c r="P89" s="27">
        <f t="shared" si="4"/>
        <v>0.48719945454545449</v>
      </c>
      <c r="Q89" s="27">
        <f t="shared" si="4"/>
        <v>0.49095763636363632</v>
      </c>
      <c r="R89" s="27">
        <f t="shared" si="4"/>
        <v>0.49471581818181815</v>
      </c>
      <c r="S89" s="27">
        <f t="shared" si="4"/>
        <v>0.49847399999999997</v>
      </c>
      <c r="T89" s="27">
        <f t="shared" si="4"/>
        <v>0.49884785549999994</v>
      </c>
      <c r="U89" s="27">
        <f t="shared" si="4"/>
        <v>0.49922171099999996</v>
      </c>
      <c r="V89" s="27">
        <f t="shared" si="4"/>
        <v>0.49959556649999992</v>
      </c>
      <c r="W89" s="27">
        <f t="shared" si="4"/>
        <v>0.49996942199999994</v>
      </c>
      <c r="X89" s="27">
        <f t="shared" si="4"/>
        <v>0.50034327749999996</v>
      </c>
      <c r="Y89" s="27">
        <f t="shared" si="4"/>
        <v>0.50071713299999998</v>
      </c>
      <c r="Z89" s="27">
        <f t="shared" si="4"/>
        <v>0.5010909885</v>
      </c>
      <c r="AA89" s="27">
        <f t="shared" si="4"/>
        <v>0.50146484400000002</v>
      </c>
      <c r="AB89" s="27">
        <f t="shared" si="4"/>
        <v>0.50183869949999993</v>
      </c>
      <c r="AC89" s="27">
        <f t="shared" si="4"/>
        <v>0.50221255499999995</v>
      </c>
      <c r="AD89" s="27">
        <f t="shared" si="4"/>
        <v>0.50258641049999997</v>
      </c>
      <c r="AE89" s="27">
        <f t="shared" si="4"/>
        <v>0.50296026599999999</v>
      </c>
      <c r="AF89" s="27">
        <f t="shared" si="4"/>
        <v>0.50333412150000001</v>
      </c>
      <c r="AG89" s="27">
        <f t="shared" si="4"/>
        <v>0.50370797700000003</v>
      </c>
      <c r="AH89" s="27">
        <f t="shared" si="4"/>
        <v>0.50408183249999994</v>
      </c>
      <c r="AI89" s="27">
        <f t="shared" si="4"/>
        <v>0.50445568799999996</v>
      </c>
      <c r="AJ89" s="27">
        <f t="shared" si="4"/>
        <v>0.50482954349999987</v>
      </c>
      <c r="AK89" s="27">
        <f t="shared" si="4"/>
        <v>0.50520339899999989</v>
      </c>
      <c r="AL89" s="27">
        <f t="shared" si="4"/>
        <v>0.50557725449999991</v>
      </c>
      <c r="AM89" s="27">
        <f t="shared" si="4"/>
        <v>0.50595110999999993</v>
      </c>
    </row>
    <row r="90" spans="1:39" x14ac:dyDescent="0.3">
      <c r="A90" s="45" t="s">
        <v>183</v>
      </c>
      <c r="B90" s="46" t="s">
        <v>184</v>
      </c>
      <c r="C90" s="47">
        <v>8.6999999999999993</v>
      </c>
      <c r="D90" s="48">
        <v>304</v>
      </c>
      <c r="F90" s="27" t="str">
        <f>A61</f>
        <v>Class 3 - Moderate</v>
      </c>
      <c r="G90" s="27">
        <f>B61</f>
        <v>0</v>
      </c>
      <c r="H90" s="27">
        <f t="shared" ref="H90:AM90" si="5">C61</f>
        <v>0.44326700000000002</v>
      </c>
      <c r="I90" s="27">
        <f t="shared" si="5"/>
        <v>0.4470305454545454</v>
      </c>
      <c r="J90" s="27">
        <f t="shared" si="5"/>
        <v>0.45079409090909089</v>
      </c>
      <c r="K90" s="27">
        <f t="shared" si="5"/>
        <v>0.45455763636363639</v>
      </c>
      <c r="L90" s="27">
        <f t="shared" si="5"/>
        <v>0.45832118181818182</v>
      </c>
      <c r="M90" s="27">
        <f t="shared" si="5"/>
        <v>0.46208472727272726</v>
      </c>
      <c r="N90" s="27">
        <f t="shared" si="5"/>
        <v>0.46584827272727269</v>
      </c>
      <c r="O90" s="27">
        <f t="shared" si="5"/>
        <v>0.46961181818181819</v>
      </c>
      <c r="P90" s="27">
        <f t="shared" si="5"/>
        <v>0.47337536363636362</v>
      </c>
      <c r="Q90" s="27">
        <f t="shared" si="5"/>
        <v>0.47713890909090911</v>
      </c>
      <c r="R90" s="27">
        <f t="shared" si="5"/>
        <v>0.48090245454545449</v>
      </c>
      <c r="S90" s="27">
        <f t="shared" si="5"/>
        <v>0.48466599999999999</v>
      </c>
      <c r="T90" s="27">
        <f t="shared" si="5"/>
        <v>0.4851506659999999</v>
      </c>
      <c r="U90" s="27">
        <f t="shared" si="5"/>
        <v>0.48563533200000003</v>
      </c>
      <c r="V90" s="27">
        <f t="shared" si="5"/>
        <v>0.48611999799999994</v>
      </c>
      <c r="W90" s="27">
        <f t="shared" si="5"/>
        <v>0.48660466399999996</v>
      </c>
      <c r="X90" s="27">
        <f t="shared" si="5"/>
        <v>0.48708932999999999</v>
      </c>
      <c r="Y90" s="27">
        <f t="shared" si="5"/>
        <v>0.48757399599999995</v>
      </c>
      <c r="Z90" s="27">
        <f t="shared" si="5"/>
        <v>0.48805866199999998</v>
      </c>
      <c r="AA90" s="27">
        <f t="shared" si="5"/>
        <v>0.488543328</v>
      </c>
      <c r="AB90" s="27">
        <f t="shared" si="5"/>
        <v>0.48902799399999991</v>
      </c>
      <c r="AC90" s="27">
        <f t="shared" si="5"/>
        <v>0.48951265999999993</v>
      </c>
      <c r="AD90" s="27">
        <f t="shared" si="5"/>
        <v>0.48999732599999996</v>
      </c>
      <c r="AE90" s="27">
        <f t="shared" si="5"/>
        <v>0.49048199199999998</v>
      </c>
      <c r="AF90" s="27">
        <f t="shared" si="5"/>
        <v>0.49096665799999994</v>
      </c>
      <c r="AG90" s="27">
        <f t="shared" si="5"/>
        <v>0.49145132399999997</v>
      </c>
      <c r="AH90" s="27">
        <f t="shared" si="5"/>
        <v>0.49193598999999999</v>
      </c>
      <c r="AI90" s="27">
        <f t="shared" si="5"/>
        <v>0.49242065600000001</v>
      </c>
      <c r="AJ90" s="27">
        <f t="shared" si="5"/>
        <v>0.49290532200000003</v>
      </c>
      <c r="AK90" s="27">
        <f t="shared" si="5"/>
        <v>0.49338998799999995</v>
      </c>
      <c r="AL90" s="27">
        <f t="shared" si="5"/>
        <v>0.49387465400000002</v>
      </c>
      <c r="AM90" s="27">
        <f t="shared" si="5"/>
        <v>0.49435931999999999</v>
      </c>
    </row>
    <row r="91" spans="1:39" x14ac:dyDescent="0.3">
      <c r="A91" s="41" t="s">
        <v>185</v>
      </c>
      <c r="B91" s="42" t="s">
        <v>186</v>
      </c>
      <c r="C91" s="43">
        <v>8.5</v>
      </c>
      <c r="D91" s="44">
        <v>606</v>
      </c>
      <c r="F91" s="27" t="str">
        <f>A64</f>
        <v>Class 4 - Moderate</v>
      </c>
      <c r="G91" s="27">
        <f>B64</f>
        <v>0</v>
      </c>
      <c r="H91" s="27">
        <f t="shared" ref="H91:AM91" si="6">C64</f>
        <v>0.42975000000000002</v>
      </c>
      <c r="I91" s="27">
        <f t="shared" si="6"/>
        <v>0.4334643636363637</v>
      </c>
      <c r="J91" s="27">
        <f t="shared" si="6"/>
        <v>0.43717872727272727</v>
      </c>
      <c r="K91" s="27">
        <f t="shared" si="6"/>
        <v>0.4408930909090909</v>
      </c>
      <c r="L91" s="27">
        <f t="shared" si="6"/>
        <v>0.44460745454545453</v>
      </c>
      <c r="M91" s="27">
        <f t="shared" si="6"/>
        <v>0.44832181818181821</v>
      </c>
      <c r="N91" s="27">
        <f t="shared" si="6"/>
        <v>0.45203618181818184</v>
      </c>
      <c r="O91" s="27">
        <f t="shared" si="6"/>
        <v>0.45575054545454546</v>
      </c>
      <c r="P91" s="27">
        <f t="shared" si="6"/>
        <v>0.45946490909090909</v>
      </c>
      <c r="Q91" s="27">
        <f t="shared" si="6"/>
        <v>0.46317927272727277</v>
      </c>
      <c r="R91" s="27">
        <f t="shared" si="6"/>
        <v>0.4668936363636364</v>
      </c>
      <c r="S91" s="27">
        <f t="shared" si="6"/>
        <v>0.47060800000000003</v>
      </c>
      <c r="T91" s="27">
        <f t="shared" si="6"/>
        <v>0.47119625999999998</v>
      </c>
      <c r="U91" s="27">
        <f t="shared" si="6"/>
        <v>0.47178452000000004</v>
      </c>
      <c r="V91" s="27">
        <f t="shared" si="6"/>
        <v>0.47237278000000005</v>
      </c>
      <c r="W91" s="27">
        <f t="shared" si="6"/>
        <v>0.47296104000000005</v>
      </c>
      <c r="X91" s="27">
        <f t="shared" si="6"/>
        <v>0.47354930000000001</v>
      </c>
      <c r="Y91" s="27">
        <f t="shared" si="6"/>
        <v>0.47413756000000007</v>
      </c>
      <c r="Z91" s="27">
        <f t="shared" si="6"/>
        <v>0.47472582000000002</v>
      </c>
      <c r="AA91" s="27">
        <f t="shared" si="6"/>
        <v>0.47531408000000008</v>
      </c>
      <c r="AB91" s="27">
        <f t="shared" si="6"/>
        <v>0.47590234000000003</v>
      </c>
      <c r="AC91" s="27">
        <f t="shared" si="6"/>
        <v>0.47649059999999999</v>
      </c>
      <c r="AD91" s="27">
        <f t="shared" si="6"/>
        <v>0.47707886000000005</v>
      </c>
      <c r="AE91" s="27">
        <f t="shared" si="6"/>
        <v>0.47766712</v>
      </c>
      <c r="AF91" s="27">
        <f t="shared" si="6"/>
        <v>0.47825538000000006</v>
      </c>
      <c r="AG91" s="27">
        <f t="shared" si="6"/>
        <v>0.47884364000000001</v>
      </c>
      <c r="AH91" s="27">
        <f t="shared" si="6"/>
        <v>0.47943189999999997</v>
      </c>
      <c r="AI91" s="27">
        <f t="shared" si="6"/>
        <v>0.48002016000000003</v>
      </c>
      <c r="AJ91" s="27">
        <f t="shared" si="6"/>
        <v>0.48060842000000009</v>
      </c>
      <c r="AK91" s="27">
        <f t="shared" si="6"/>
        <v>0.48119668000000004</v>
      </c>
      <c r="AL91" s="27">
        <f t="shared" si="6"/>
        <v>0.48178493999999999</v>
      </c>
      <c r="AM91" s="27">
        <f t="shared" si="6"/>
        <v>0.4823732</v>
      </c>
    </row>
    <row r="92" spans="1:39" x14ac:dyDescent="0.3">
      <c r="A92" s="45" t="s">
        <v>187</v>
      </c>
      <c r="B92" s="46" t="s">
        <v>188</v>
      </c>
      <c r="C92" s="47">
        <v>8.1999999999999993</v>
      </c>
      <c r="D92" s="48">
        <v>1222</v>
      </c>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row>
    <row r="93" spans="1:39" x14ac:dyDescent="0.3">
      <c r="A93" s="41" t="s">
        <v>189</v>
      </c>
      <c r="B93" s="43" t="s">
        <v>190</v>
      </c>
      <c r="C93" s="43">
        <v>7.8</v>
      </c>
      <c r="D93" s="44">
        <v>2404</v>
      </c>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row>
    <row r="94" spans="1:39" x14ac:dyDescent="0.3">
      <c r="A94" s="45" t="s">
        <v>191</v>
      </c>
      <c r="B94" s="46" t="s">
        <v>192</v>
      </c>
      <c r="C94" s="47">
        <v>7.4</v>
      </c>
      <c r="D94" s="48">
        <v>2444</v>
      </c>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row>
    <row r="95" spans="1:39" x14ac:dyDescent="0.3">
      <c r="A95" s="41" t="s">
        <v>193</v>
      </c>
      <c r="B95" s="42" t="s">
        <v>194</v>
      </c>
      <c r="C95" s="43">
        <v>6.8</v>
      </c>
      <c r="D95" s="44">
        <v>2441</v>
      </c>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row>
    <row r="96" spans="1:39" ht="43.2" x14ac:dyDescent="0.3">
      <c r="A96" s="45" t="s">
        <v>195</v>
      </c>
      <c r="B96" s="46" t="s">
        <v>196</v>
      </c>
      <c r="C96" s="47">
        <v>6.2</v>
      </c>
      <c r="D96" s="48">
        <v>2406</v>
      </c>
      <c r="F96" s="50" t="s">
        <v>197</v>
      </c>
      <c r="G96" s="49">
        <f>SUMPRODUCT(G88:G91,$D$88:$D$91)/SUM($D$88:$D$91)</f>
        <v>0</v>
      </c>
      <c r="H96" s="49">
        <f t="shared" ref="H96:AM96" si="7">SUMPRODUCT(H88:H91,$D$88:$D$91)/SUM($D$88:$D$91)</f>
        <v>0.44557641152263378</v>
      </c>
      <c r="I96" s="49">
        <f t="shared" si="7"/>
        <v>0.44930976453423122</v>
      </c>
      <c r="J96" s="49">
        <f t="shared" si="7"/>
        <v>0.45304311754582866</v>
      </c>
      <c r="K96" s="49">
        <f t="shared" si="7"/>
        <v>0.4567764705574261</v>
      </c>
      <c r="L96" s="49">
        <f t="shared" si="7"/>
        <v>0.46050982356902354</v>
      </c>
      <c r="M96" s="49">
        <f t="shared" si="7"/>
        <v>0.46424317658062109</v>
      </c>
      <c r="N96" s="49">
        <f t="shared" si="7"/>
        <v>0.46797652959221853</v>
      </c>
      <c r="O96" s="49">
        <f t="shared" si="7"/>
        <v>0.47170988260381597</v>
      </c>
      <c r="P96" s="49">
        <f t="shared" si="7"/>
        <v>0.47544323561541335</v>
      </c>
      <c r="Q96" s="49">
        <f t="shared" si="7"/>
        <v>0.47917658862701079</v>
      </c>
      <c r="R96" s="49">
        <f t="shared" si="7"/>
        <v>0.48290994163860834</v>
      </c>
      <c r="S96" s="49">
        <f t="shared" si="7"/>
        <v>0.48664329465020567</v>
      </c>
      <c r="T96" s="49">
        <f t="shared" si="7"/>
        <v>0.48713888179547321</v>
      </c>
      <c r="U96" s="49">
        <f t="shared" si="7"/>
        <v>0.4876344689407407</v>
      </c>
      <c r="V96" s="49">
        <f t="shared" si="7"/>
        <v>0.48813005608600823</v>
      </c>
      <c r="W96" s="49">
        <f t="shared" si="7"/>
        <v>0.48862564323127572</v>
      </c>
      <c r="X96" s="49">
        <f t="shared" si="7"/>
        <v>0.48912123037654326</v>
      </c>
      <c r="Y96" s="49">
        <f t="shared" si="7"/>
        <v>0.48961681752181074</v>
      </c>
      <c r="Z96" s="49">
        <f t="shared" si="7"/>
        <v>0.49011240466707828</v>
      </c>
      <c r="AA96" s="49">
        <f t="shared" si="7"/>
        <v>0.49060799181234577</v>
      </c>
      <c r="AB96" s="49">
        <f t="shared" si="7"/>
        <v>0.49110357895761308</v>
      </c>
      <c r="AC96" s="49">
        <f t="shared" si="7"/>
        <v>0.49159916610288062</v>
      </c>
      <c r="AD96" s="49">
        <f t="shared" si="7"/>
        <v>0.49209475324814811</v>
      </c>
      <c r="AE96" s="49">
        <f t="shared" si="7"/>
        <v>0.49259034039341565</v>
      </c>
      <c r="AF96" s="49">
        <f t="shared" si="7"/>
        <v>0.49308592753868313</v>
      </c>
      <c r="AG96" s="49">
        <f t="shared" si="7"/>
        <v>0.49358151468395067</v>
      </c>
      <c r="AH96" s="49">
        <f t="shared" si="7"/>
        <v>0.4940771018292181</v>
      </c>
      <c r="AI96" s="49">
        <f t="shared" si="7"/>
        <v>0.4945726889744857</v>
      </c>
      <c r="AJ96" s="49">
        <f t="shared" si="7"/>
        <v>0.49506827611975313</v>
      </c>
      <c r="AK96" s="49">
        <f t="shared" si="7"/>
        <v>0.4955638632650205</v>
      </c>
      <c r="AL96" s="49">
        <f t="shared" si="7"/>
        <v>0.49605945041028804</v>
      </c>
      <c r="AM96" s="49">
        <f t="shared" si="7"/>
        <v>0.49655503755555552</v>
      </c>
    </row>
    <row r="97" spans="1:34" ht="15" thickBot="1" x14ac:dyDescent="0.35">
      <c r="A97" s="51" t="s">
        <v>198</v>
      </c>
      <c r="B97" s="52" t="s">
        <v>199</v>
      </c>
      <c r="C97" s="53">
        <v>5.2</v>
      </c>
      <c r="D97" s="54">
        <v>3044</v>
      </c>
    </row>
    <row r="98" spans="1:34" ht="15" thickBot="1" x14ac:dyDescent="0.35">
      <c r="A98" s="55" t="s">
        <v>200</v>
      </c>
      <c r="B98" s="56"/>
      <c r="C98" s="56"/>
      <c r="D98" s="57">
        <v>15176</v>
      </c>
    </row>
    <row r="100" spans="1:34" x14ac:dyDescent="0.3">
      <c r="A100" s="28" t="s">
        <v>201</v>
      </c>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spans="1:34" ht="15" thickBot="1" x14ac:dyDescent="0.35">
      <c r="A101" s="16"/>
      <c r="B101" s="17"/>
      <c r="C101" s="17">
        <v>2019</v>
      </c>
      <c r="D101" s="17">
        <v>2020</v>
      </c>
      <c r="E101" s="17">
        <v>2021</v>
      </c>
      <c r="F101" s="17">
        <v>2022</v>
      </c>
      <c r="G101" s="17">
        <v>2023</v>
      </c>
      <c r="H101" s="17">
        <v>2024</v>
      </c>
      <c r="I101" s="17">
        <v>2025</v>
      </c>
      <c r="J101" s="17">
        <v>2026</v>
      </c>
      <c r="K101" s="17">
        <v>2027</v>
      </c>
      <c r="L101" s="17">
        <v>2028</v>
      </c>
      <c r="M101" s="17">
        <v>2029</v>
      </c>
      <c r="N101" s="17">
        <v>2030</v>
      </c>
      <c r="O101" s="17">
        <v>2031</v>
      </c>
      <c r="P101" s="17">
        <v>2032</v>
      </c>
      <c r="Q101" s="17">
        <v>2033</v>
      </c>
      <c r="R101" s="17">
        <v>2034</v>
      </c>
      <c r="S101" s="17">
        <v>2035</v>
      </c>
      <c r="T101" s="17">
        <v>2036</v>
      </c>
      <c r="U101" s="17">
        <v>2037</v>
      </c>
      <c r="V101" s="17">
        <v>2038</v>
      </c>
      <c r="W101" s="17">
        <v>2039</v>
      </c>
      <c r="X101" s="17">
        <v>2040</v>
      </c>
      <c r="Y101" s="17">
        <v>2041</v>
      </c>
      <c r="Z101" s="17">
        <v>2042</v>
      </c>
      <c r="AA101" s="17">
        <v>2043</v>
      </c>
      <c r="AB101" s="17">
        <v>2044</v>
      </c>
      <c r="AC101" s="17">
        <v>2045</v>
      </c>
      <c r="AD101" s="17">
        <v>2046</v>
      </c>
      <c r="AE101" s="17">
        <v>2047</v>
      </c>
      <c r="AF101" s="17">
        <v>2048</v>
      </c>
      <c r="AG101" s="17">
        <v>2049</v>
      </c>
      <c r="AH101" s="17">
        <v>2050</v>
      </c>
    </row>
    <row r="102" spans="1:34" ht="15" thickTop="1" x14ac:dyDescent="0.3">
      <c r="A102" s="25" t="s">
        <v>144</v>
      </c>
      <c r="B102" s="29"/>
      <c r="C102" s="29">
        <v>0.45186209770770747</v>
      </c>
      <c r="D102" s="29">
        <v>0.45949530225690388</v>
      </c>
      <c r="E102" s="29">
        <v>0.46492618350875636</v>
      </c>
      <c r="F102" s="29">
        <v>0.46914691946458048</v>
      </c>
      <c r="G102" s="29">
        <v>0.47260069055293891</v>
      </c>
      <c r="H102" s="29">
        <v>0.47552437345147086</v>
      </c>
      <c r="I102" s="29">
        <v>0.47805958065912968</v>
      </c>
      <c r="J102" s="29">
        <v>0.48029777012918601</v>
      </c>
      <c r="K102" s="29">
        <v>0.4823014550312244</v>
      </c>
      <c r="L102" s="29">
        <v>0.48411526439044628</v>
      </c>
      <c r="M102" s="29">
        <v>0.48577217724538629</v>
      </c>
      <c r="N102" s="29">
        <v>0.48729725629641746</v>
      </c>
      <c r="O102" s="29">
        <v>0.48870999585380476</v>
      </c>
      <c r="P102" s="29">
        <v>0.49002585888849554</v>
      </c>
      <c r="Q102" s="29">
        <v>0.49125731769051295</v>
      </c>
      <c r="R102" s="29">
        <v>0.49241457891714446</v>
      </c>
      <c r="S102" s="29">
        <v>0.49350610136939949</v>
      </c>
      <c r="T102" s="29">
        <v>0.49453897378187711</v>
      </c>
      <c r="U102" s="29">
        <v>0.49551919572867614</v>
      </c>
      <c r="V102" s="29">
        <v>0.49645189001583612</v>
      </c>
      <c r="W102" s="29">
        <v>0.49734146568681781</v>
      </c>
      <c r="X102" s="29">
        <v>0.49819174481350548</v>
      </c>
      <c r="Y102" s="29">
        <v>0.49900606231971184</v>
      </c>
      <c r="Z102" s="29">
        <v>0.49978734544130526</v>
      </c>
      <c r="AA102" s="29">
        <v>0.50053817761378694</v>
      </c>
      <c r="AB102" s="29">
        <v>0.5012608503124828</v>
      </c>
      <c r="AC102" s="29">
        <v>0.50195740547316914</v>
      </c>
      <c r="AD102" s="29">
        <v>0.50262967047554719</v>
      </c>
      <c r="AE102" s="29">
        <v>0.50327928720161708</v>
      </c>
      <c r="AF102" s="29">
        <v>0.50390773633404118</v>
      </c>
      <c r="AG102" s="29">
        <v>0.50451635780072701</v>
      </c>
      <c r="AH102" s="29">
        <v>0.50510636807672415</v>
      </c>
    </row>
    <row r="103" spans="1:34" x14ac:dyDescent="0.3">
      <c r="A103" s="16" t="s">
        <v>145</v>
      </c>
      <c r="B103" s="30"/>
      <c r="C103" s="30">
        <v>0.44969767365991592</v>
      </c>
      <c r="D103" s="30">
        <v>0.4560282081780016</v>
      </c>
      <c r="E103" s="30">
        <v>0.4605197938988736</v>
      </c>
      <c r="F103" s="30">
        <v>0.46400373845004322</v>
      </c>
      <c r="G103" s="30">
        <v>0.46685032841695934</v>
      </c>
      <c r="H103" s="30">
        <v>0.46925708594089527</v>
      </c>
      <c r="I103" s="30">
        <v>0.47134191413783127</v>
      </c>
      <c r="J103" s="30">
        <v>0.47318086293504497</v>
      </c>
      <c r="K103" s="30">
        <v>0.4748258586890009</v>
      </c>
      <c r="L103" s="30">
        <v>0.47631393835630303</v>
      </c>
      <c r="M103" s="30">
        <v>0.47767244865591696</v>
      </c>
      <c r="N103" s="30">
        <v>0.47892215698769575</v>
      </c>
      <c r="O103" s="30">
        <v>0.48007920617985284</v>
      </c>
      <c r="P103" s="30">
        <v>0.48115639320708647</v>
      </c>
      <c r="Q103" s="30">
        <v>0.4821640343767889</v>
      </c>
      <c r="R103" s="30">
        <v>0.48311056776124089</v>
      </c>
      <c r="S103" s="30">
        <v>0.48400298317400264</v>
      </c>
      <c r="T103" s="30">
        <v>0.48484713573782118</v>
      </c>
      <c r="U103" s="30">
        <v>0.48564797892795847</v>
      </c>
      <c r="V103" s="30">
        <v>0.48640974069793869</v>
      </c>
      <c r="W103" s="30">
        <v>0.48713605859526066</v>
      </c>
      <c r="X103" s="30">
        <v>0.48783008481778167</v>
      </c>
      <c r="Y103" s="30">
        <v>0.48849456889487458</v>
      </c>
      <c r="Z103" s="30">
        <v>0.48913192347912804</v>
      </c>
      <c r="AA103" s="30">
        <v>0.48974427722665331</v>
      </c>
      <c r="AB103" s="30">
        <v>0.49033351769208833</v>
      </c>
      <c r="AC103" s="30">
        <v>0.49090132641881051</v>
      </c>
      <c r="AD103" s="30">
        <v>0.49144920786879998</v>
      </c>
      <c r="AE103" s="30">
        <v>0.49197851344604421</v>
      </c>
      <c r="AF103" s="30">
        <v>0.49249046157936538</v>
      </c>
      <c r="AG103" s="30">
        <v>0.49298615461574652</v>
      </c>
      <c r="AH103" s="30">
        <v>0.4934665931133464</v>
      </c>
    </row>
    <row r="104" spans="1:34" ht="15" thickBot="1" x14ac:dyDescent="0.35">
      <c r="A104" s="26" t="s">
        <v>146</v>
      </c>
      <c r="B104" s="31"/>
      <c r="C104" s="31">
        <v>0.44428661354043714</v>
      </c>
      <c r="D104" s="31">
        <v>0.44741379420834088</v>
      </c>
      <c r="E104" s="31">
        <v>0.4496171638391544</v>
      </c>
      <c r="F104" s="31">
        <v>0.45131789558708629</v>
      </c>
      <c r="G104" s="31">
        <v>0.45270227774503968</v>
      </c>
      <c r="H104" s="31">
        <v>0.45386918772319079</v>
      </c>
      <c r="I104" s="31">
        <v>0.45487741893443456</v>
      </c>
      <c r="J104" s="31">
        <v>0.45576477507372382</v>
      </c>
      <c r="K104" s="31">
        <v>0.45655699975832809</v>
      </c>
      <c r="L104" s="31">
        <v>0.4572724127627722</v>
      </c>
      <c r="M104" s="31">
        <v>0.4579245134388632</v>
      </c>
      <c r="N104" s="31">
        <v>0.45852353488272135</v>
      </c>
      <c r="O104" s="31">
        <v>0.45907741851274381</v>
      </c>
      <c r="P104" s="31">
        <v>0.45959245044221736</v>
      </c>
      <c r="Q104" s="31">
        <v>0.46007369134526688</v>
      </c>
      <c r="R104" s="31">
        <v>0.46052527532615123</v>
      </c>
      <c r="S104" s="31">
        <v>0.46095062293919542</v>
      </c>
      <c r="T104" s="31">
        <v>0.4613525963398511</v>
      </c>
      <c r="U104" s="31">
        <v>0.46173361445648764</v>
      </c>
      <c r="V104" s="31">
        <v>0.46209573993694797</v>
      </c>
      <c r="W104" s="31">
        <v>0.4624407457809005</v>
      </c>
      <c r="X104" s="31">
        <v>0.46277016709787261</v>
      </c>
      <c r="Y104" s="31">
        <v>0.46308534180414868</v>
      </c>
      <c r="Z104" s="31">
        <v>0.46338744297813628</v>
      </c>
      <c r="AA104" s="31">
        <v>0.46367750484451936</v>
      </c>
      <c r="AB104" s="31">
        <v>0.46395644383520401</v>
      </c>
      <c r="AC104" s="31">
        <v>0.46422507580520328</v>
      </c>
      <c r="AD104" s="31">
        <v>0.4644841302159024</v>
      </c>
      <c r="AE104" s="31">
        <v>0.46473426190472011</v>
      </c>
      <c r="AF104" s="31">
        <v>0.46497606091765464</v>
      </c>
      <c r="AG104" s="31">
        <v>0.46521006077497323</v>
      </c>
      <c r="AH104" s="31">
        <v>0.46543674546030817</v>
      </c>
    </row>
    <row r="105" spans="1:34" ht="15" thickTop="1" x14ac:dyDescent="0.3">
      <c r="A105" s="25" t="s">
        <v>147</v>
      </c>
      <c r="B105" s="29"/>
      <c r="C105" s="29">
        <v>0.44034238251764596</v>
      </c>
      <c r="D105" s="29">
        <v>0.44778098711513076</v>
      </c>
      <c r="E105" s="29">
        <v>0.45307341416697455</v>
      </c>
      <c r="F105" s="29">
        <v>0.45718654721396829</v>
      </c>
      <c r="G105" s="29">
        <v>0.46055226829886009</v>
      </c>
      <c r="H105" s="29">
        <v>0.46340141519521794</v>
      </c>
      <c r="I105" s="29">
        <v>0.46587199015085079</v>
      </c>
      <c r="J105" s="29">
        <v>0.46805311950153167</v>
      </c>
      <c r="K105" s="29">
        <v>0.47000572271400326</v>
      </c>
      <c r="L105" s="29">
        <v>0.47177329104674087</v>
      </c>
      <c r="M105" s="29">
        <v>0.47338796277484047</v>
      </c>
      <c r="N105" s="29">
        <v>0.47487416165336033</v>
      </c>
      <c r="O105" s="29">
        <v>0.47625088500708418</v>
      </c>
      <c r="P105" s="29">
        <v>0.47753320159593304</v>
      </c>
      <c r="Q105" s="29">
        <v>0.478733265742945</v>
      </c>
      <c r="R105" s="29">
        <v>0.47986102389817731</v>
      </c>
      <c r="S105" s="29">
        <v>0.48092471921503577</v>
      </c>
      <c r="T105" s="29">
        <v>0.48193125970881562</v>
      </c>
      <c r="U105" s="29">
        <v>0.48288649200123235</v>
      </c>
      <c r="V105" s="29">
        <v>0.48379540829815593</v>
      </c>
      <c r="W105" s="29">
        <v>0.48466230523945059</v>
      </c>
      <c r="X105" s="29">
        <v>0.48549090745758322</v>
      </c>
      <c r="Y105" s="29">
        <v>0.48628446485624049</v>
      </c>
      <c r="Z105" s="29">
        <v>0.48704583004470958</v>
      </c>
      <c r="AA105" s="29">
        <v>0.4877775205967137</v>
      </c>
      <c r="AB105" s="29">
        <v>0.48848176956899642</v>
      </c>
      <c r="AC105" s="29">
        <v>0.48916056684048165</v>
      </c>
      <c r="AD105" s="29">
        <v>0.48981569320388346</v>
      </c>
      <c r="AE105" s="29">
        <v>0.49044874868326988</v>
      </c>
      <c r="AF105" s="29">
        <v>0.4910611762129668</v>
      </c>
      <c r="AG105" s="29">
        <v>0.49165428156092894</v>
      </c>
      <c r="AH105" s="29">
        <v>0.49222925018954478</v>
      </c>
    </row>
    <row r="106" spans="1:34" x14ac:dyDescent="0.3">
      <c r="A106" s="16" t="s">
        <v>148</v>
      </c>
      <c r="B106" s="30"/>
      <c r="C106" s="30">
        <v>0.43823313802288077</v>
      </c>
      <c r="D106" s="30">
        <v>0.44440228269433152</v>
      </c>
      <c r="E106" s="30">
        <v>0.44877936049670653</v>
      </c>
      <c r="F106" s="30">
        <v>0.45217448580596353</v>
      </c>
      <c r="G106" s="30">
        <v>0.45494850516815727</v>
      </c>
      <c r="H106" s="30">
        <v>0.45729390512006418</v>
      </c>
      <c r="I106" s="30">
        <v>0.45932558297053216</v>
      </c>
      <c r="J106" s="30">
        <v>0.4611176498396079</v>
      </c>
      <c r="K106" s="30">
        <v>0.46272070827978917</v>
      </c>
      <c r="L106" s="30">
        <v>0.46417085103219091</v>
      </c>
      <c r="M106" s="30">
        <v>0.46549472764198285</v>
      </c>
      <c r="N106" s="30">
        <v>0.46671257606755184</v>
      </c>
      <c r="O106" s="30">
        <v>0.46784012759388977</v>
      </c>
      <c r="P106" s="30">
        <v>0.46888985295123981</v>
      </c>
      <c r="Q106" s="30">
        <v>0.4698718054443578</v>
      </c>
      <c r="R106" s="30">
        <v>0.47079420802637678</v>
      </c>
      <c r="S106" s="30">
        <v>0.47166387231343365</v>
      </c>
      <c r="T106" s="30">
        <v>0.47248650415851634</v>
      </c>
      <c r="U106" s="30">
        <v>0.47326693075361481</v>
      </c>
      <c r="V106" s="30">
        <v>0.47400927226534062</v>
      </c>
      <c r="W106" s="30">
        <v>0.47471707350601661</v>
      </c>
      <c r="X106" s="30">
        <v>0.47539340631176635</v>
      </c>
      <c r="Y106" s="30">
        <v>0.47604095011580855</v>
      </c>
      <c r="Z106" s="30">
        <v>0.47666205606287171</v>
      </c>
      <c r="AA106" s="30">
        <v>0.47725879854137743</v>
      </c>
      <c r="AB106" s="30">
        <v>0.47783301698488428</v>
      </c>
      <c r="AC106" s="30">
        <v>0.4783863500677154</v>
      </c>
      <c r="AD106" s="30">
        <v>0.47892026389728742</v>
      </c>
      <c r="AE106" s="30">
        <v>0.47943607542506544</v>
      </c>
      <c r="AF106" s="30">
        <v>0.47993497201740132</v>
      </c>
      <c r="AG106" s="30">
        <v>0.48041802791818344</v>
      </c>
      <c r="AH106" s="30">
        <v>0.4808862181774673</v>
      </c>
    </row>
    <row r="107" spans="1:34" ht="15" thickBot="1" x14ac:dyDescent="0.35">
      <c r="A107" s="26" t="s">
        <v>149</v>
      </c>
      <c r="B107" s="31"/>
      <c r="C107" s="31">
        <v>0.43296002678596796</v>
      </c>
      <c r="D107" s="31">
        <v>0.4360074835052935</v>
      </c>
      <c r="E107" s="31">
        <v>0.43815468070931091</v>
      </c>
      <c r="F107" s="31">
        <v>0.43981205421708447</v>
      </c>
      <c r="G107" s="31">
        <v>0.44116114311133031</v>
      </c>
      <c r="H107" s="31">
        <v>0.44229830403403081</v>
      </c>
      <c r="I107" s="31">
        <v>0.4432808315262457</v>
      </c>
      <c r="J107" s="31">
        <v>0.44414556552030832</v>
      </c>
      <c r="K107" s="31">
        <v>0.44491759332896413</v>
      </c>
      <c r="L107" s="31">
        <v>0.44561476768472258</v>
      </c>
      <c r="M107" s="31">
        <v>0.44625024378862238</v>
      </c>
      <c r="N107" s="31">
        <v>0.44683399385552508</v>
      </c>
      <c r="O107" s="31">
        <v>0.4473737568463112</v>
      </c>
      <c r="P107" s="31">
        <v>0.44787565861689027</v>
      </c>
      <c r="Q107" s="31">
        <v>0.4483446308252006</v>
      </c>
      <c r="R107" s="31">
        <v>0.44878470218117011</v>
      </c>
      <c r="S107" s="31">
        <v>0.44919920603594404</v>
      </c>
      <c r="T107" s="31">
        <v>0.44959093157754487</v>
      </c>
      <c r="U107" s="31">
        <v>0.44996223606648794</v>
      </c>
      <c r="V107" s="31">
        <v>0.45031512956573289</v>
      </c>
      <c r="W107" s="31">
        <v>0.45065133987431882</v>
      </c>
      <c r="X107" s="31">
        <v>0.45097236296588472</v>
      </c>
      <c r="Y107" s="31">
        <v>0.4512795026480465</v>
      </c>
      <c r="Z107" s="31">
        <v>0.45157390209289905</v>
      </c>
      <c r="AA107" s="31">
        <v>0.45185656915873307</v>
      </c>
      <c r="AB107" s="31">
        <v>0.45212839691405549</v>
      </c>
      <c r="AC107" s="31">
        <v>0.45239018041457468</v>
      </c>
      <c r="AD107" s="31">
        <v>0.45264263052487963</v>
      </c>
      <c r="AE107" s="31">
        <v>0.45288638538804676</v>
      </c>
      <c r="AF107" s="31">
        <v>0.45312202000751617</v>
      </c>
      <c r="AG107" s="31">
        <v>0.45335005430205694</v>
      </c>
      <c r="AH107" s="31">
        <v>0.45357095991668361</v>
      </c>
    </row>
    <row r="108" spans="1:34" ht="15" thickTop="1" x14ac:dyDescent="0.3">
      <c r="A108" s="25" t="s">
        <v>150</v>
      </c>
      <c r="B108" s="29"/>
      <c r="C108" s="29">
        <v>0.44363387232576323</v>
      </c>
      <c r="D108" s="29">
        <v>0.45112807931854609</v>
      </c>
      <c r="E108" s="29">
        <v>0.4564600664272751</v>
      </c>
      <c r="F108" s="29">
        <v>0.46060394449460096</v>
      </c>
      <c r="G108" s="29">
        <v>0.46399482381337559</v>
      </c>
      <c r="H108" s="29">
        <v>0.46686526763309022</v>
      </c>
      <c r="I108" s="29">
        <v>0.46935430974657455</v>
      </c>
      <c r="J108" s="29">
        <v>0.47155174269489436</v>
      </c>
      <c r="K108" s="29">
        <v>0.47351894130819105</v>
      </c>
      <c r="L108" s="29">
        <v>0.47529972193523273</v>
      </c>
      <c r="M108" s="29">
        <v>0.47692646307964909</v>
      </c>
      <c r="N108" s="58">
        <v>0.47842377106021244</v>
      </c>
      <c r="O108" s="29">
        <v>0.47981078520371101</v>
      </c>
      <c r="P108" s="29">
        <v>0.48110268690666774</v>
      </c>
      <c r="Q108" s="29">
        <v>0.48231172134376715</v>
      </c>
      <c r="R108" s="29">
        <v>0.48344790931321069</v>
      </c>
      <c r="S108" s="29">
        <v>0.48451955558467485</v>
      </c>
      <c r="T108" s="29">
        <v>0.48553361980977899</v>
      </c>
      <c r="U108" s="29">
        <v>0.48649599231281293</v>
      </c>
      <c r="V108" s="29">
        <v>0.48741170261559774</v>
      </c>
      <c r="W108" s="29">
        <v>0.4882850794747024</v>
      </c>
      <c r="X108" s="29">
        <v>0.48911987536363355</v>
      </c>
      <c r="Y108" s="29">
        <v>0.48991936447859508</v>
      </c>
      <c r="Z108" s="29">
        <v>0.49068642075167834</v>
      </c>
      <c r="AA108" s="29">
        <v>0.49142358057507274</v>
      </c>
      <c r="AB108" s="29">
        <v>0.49213309369726849</v>
      </c>
      <c r="AC108" s="29">
        <v>0.49281696487122051</v>
      </c>
      <c r="AD108" s="29">
        <v>0.49347698820078723</v>
      </c>
      <c r="AE108" s="29">
        <v>0.49411477566996415</v>
      </c>
      <c r="AF108" s="29">
        <v>0.49473178099878334</v>
      </c>
      <c r="AG108" s="29">
        <v>0.49532931971560912</v>
      </c>
      <c r="AH108" s="29">
        <v>0.49590858614397398</v>
      </c>
    </row>
    <row r="109" spans="1:34" x14ac:dyDescent="0.3">
      <c r="A109" s="16" t="s">
        <v>151</v>
      </c>
      <c r="B109" s="30"/>
      <c r="C109" s="30">
        <v>0.44150886156131119</v>
      </c>
      <c r="D109" s="30">
        <v>0.44772411961547742</v>
      </c>
      <c r="E109" s="30">
        <v>0.45213391538357145</v>
      </c>
      <c r="F109" s="30">
        <v>0.45555441871864738</v>
      </c>
      <c r="G109" s="30">
        <v>0.45834917343773768</v>
      </c>
      <c r="H109" s="30">
        <v>0.46071210488410019</v>
      </c>
      <c r="I109" s="30">
        <v>0.46275896920583165</v>
      </c>
      <c r="J109" s="30">
        <v>0.4645644314919038</v>
      </c>
      <c r="K109" s="30">
        <v>0.46617947254090758</v>
      </c>
      <c r="L109" s="30">
        <v>0.46764045488150102</v>
      </c>
      <c r="M109" s="30">
        <v>0.46897422725999782</v>
      </c>
      <c r="N109" s="59">
        <v>0.47020117891032948</v>
      </c>
      <c r="O109" s="30">
        <v>0.47133715870636028</v>
      </c>
      <c r="P109" s="30">
        <v>0.47239473059507364</v>
      </c>
      <c r="Q109" s="30">
        <v>0.47338402302809179</v>
      </c>
      <c r="R109" s="30">
        <v>0.47431332042382446</v>
      </c>
      <c r="S109" s="30">
        <v>0.47518948531416405</v>
      </c>
      <c r="T109" s="30">
        <v>0.47601826620244908</v>
      </c>
      <c r="U109" s="30">
        <v>0.47680452636316772</v>
      </c>
      <c r="V109" s="30">
        <v>0.47755241676052662</v>
      </c>
      <c r="W109" s="30">
        <v>0.47826550870376122</v>
      </c>
      <c r="X109" s="30">
        <v>0.47894689699048532</v>
      </c>
      <c r="Y109" s="30">
        <v>0.47959928108225802</v>
      </c>
      <c r="Z109" s="30">
        <v>0.4802250296982436</v>
      </c>
      <c r="AA109" s="30">
        <v>0.48082623273258962</v>
      </c>
      <c r="AB109" s="30">
        <v>0.48140474336833022</v>
      </c>
      <c r="AC109" s="30">
        <v>0.48196221252862048</v>
      </c>
      <c r="AD109" s="30">
        <v>0.48250011727979858</v>
      </c>
      <c r="AE109" s="30">
        <v>0.48301978441733395</v>
      </c>
      <c r="AF109" s="30">
        <v>0.48352241018295444</v>
      </c>
      <c r="AG109" s="30">
        <v>0.48400907685035205</v>
      </c>
      <c r="AH109" s="30">
        <v>0.48448076675792751</v>
      </c>
    </row>
    <row r="110" spans="1:34" ht="15" thickBot="1" x14ac:dyDescent="0.35">
      <c r="A110" s="26" t="s">
        <v>152</v>
      </c>
      <c r="B110" s="31"/>
      <c r="C110" s="31">
        <v>0.43619633465018115</v>
      </c>
      <c r="D110" s="31">
        <v>0.43926657062748992</v>
      </c>
      <c r="E110" s="31">
        <v>0.44142981779170565</v>
      </c>
      <c r="F110" s="31">
        <v>0.44309957990485915</v>
      </c>
      <c r="G110" s="31">
        <v>0.44445875302565679</v>
      </c>
      <c r="H110" s="31">
        <v>0.44560441404677131</v>
      </c>
      <c r="I110" s="31">
        <v>0.44659428577691379</v>
      </c>
      <c r="J110" s="31">
        <v>0.44746548352109722</v>
      </c>
      <c r="K110" s="31">
        <v>0.44824328211577019</v>
      </c>
      <c r="L110" s="31">
        <v>0.44894566773979971</v>
      </c>
      <c r="M110" s="31">
        <v>0.44958589392727621</v>
      </c>
      <c r="N110" s="60">
        <v>0.4501740074337931</v>
      </c>
      <c r="O110" s="31">
        <v>0.45071780506774217</v>
      </c>
      <c r="P110" s="31">
        <v>0.45122345847483886</v>
      </c>
      <c r="Q110" s="31">
        <v>0.45169593617638637</v>
      </c>
      <c r="R110" s="31">
        <v>0.4521392969962833</v>
      </c>
      <c r="S110" s="31">
        <v>0.45255689920194869</v>
      </c>
      <c r="T110" s="31">
        <v>0.45295155283014515</v>
      </c>
      <c r="U110" s="31">
        <v>0.45332563276153848</v>
      </c>
      <c r="V110" s="31">
        <v>0.45368116408399156</v>
      </c>
      <c r="W110" s="31">
        <v>0.45401988751156852</v>
      </c>
      <c r="X110" s="31">
        <v>0.4543433102000754</v>
      </c>
      <c r="Y110" s="31">
        <v>0.45465274570288416</v>
      </c>
      <c r="Z110" s="31">
        <v>0.45494934573712065</v>
      </c>
      <c r="AA110" s="31">
        <v>0.45523412569465715</v>
      </c>
      <c r="AB110" s="31">
        <v>0.45550798531954678</v>
      </c>
      <c r="AC110" s="31">
        <v>0.4557717256104139</v>
      </c>
      <c r="AD110" s="31">
        <v>0.4560260627454481</v>
      </c>
      <c r="AE110" s="31">
        <v>0.45627163963774453</v>
      </c>
      <c r="AF110" s="31">
        <v>0.45650903558880318</v>
      </c>
      <c r="AG110" s="31">
        <v>0.45673877440370397</v>
      </c>
      <c r="AH110" s="31">
        <v>0.45696133125293353</v>
      </c>
    </row>
    <row r="111" spans="1:34" ht="15" thickTop="1" x14ac:dyDescent="0.3">
      <c r="A111" s="25" t="s">
        <v>153</v>
      </c>
      <c r="B111" s="29"/>
      <c r="C111" s="29">
        <v>0.44161576716833228</v>
      </c>
      <c r="D111" s="29">
        <v>0.44907588276565047</v>
      </c>
      <c r="E111" s="29">
        <v>0.45438361448867798</v>
      </c>
      <c r="F111" s="29">
        <v>0.45850864191762586</v>
      </c>
      <c r="G111" s="29">
        <v>0.46188409601423347</v>
      </c>
      <c r="H111" s="29">
        <v>0.46474148209007854</v>
      </c>
      <c r="I111" s="29">
        <v>0.46721920146866897</v>
      </c>
      <c r="J111" s="29">
        <v>0.46940663822183165</v>
      </c>
      <c r="K111" s="29">
        <v>0.47136488798357573</v>
      </c>
      <c r="L111" s="29">
        <v>0.47313756778064958</v>
      </c>
      <c r="M111" s="29">
        <v>0.47475690882579902</v>
      </c>
      <c r="N111" s="29">
        <v>0.47624740550283856</v>
      </c>
      <c r="O111" s="29">
        <v>0.47762811007312589</v>
      </c>
      <c r="P111" s="29">
        <v>0.47891413487250911</v>
      </c>
      <c r="Q111" s="29">
        <v>0.48011766937196798</v>
      </c>
      <c r="R111" s="29">
        <v>0.48124868878476162</v>
      </c>
      <c r="S111" s="29">
        <v>0.48231546010189452</v>
      </c>
      <c r="T111" s="29">
        <v>0.4833249113153007</v>
      </c>
      <c r="U111" s="29">
        <v>0.48428290595398998</v>
      </c>
      <c r="V111" s="29">
        <v>0.4851944506603223</v>
      </c>
      <c r="W111" s="29">
        <v>0.48606385449920986</v>
      </c>
      <c r="X111" s="29">
        <v>0.48689485287403322</v>
      </c>
      <c r="Y111" s="29">
        <v>0.48769070508656942</v>
      </c>
      <c r="Z111" s="29">
        <v>0.48845427199529767</v>
      </c>
      <c r="AA111" s="29">
        <v>0.48918807845427553</v>
      </c>
      <c r="AB111" s="29">
        <v>0.48989436397781289</v>
      </c>
      <c r="AC111" s="29">
        <v>0.49057512419917698</v>
      </c>
      <c r="AD111" s="29">
        <v>0.49123214506078866</v>
      </c>
      <c r="AE111" s="29">
        <v>0.49186703121367487</v>
      </c>
      <c r="AF111" s="29">
        <v>0.49248122976484721</v>
      </c>
      <c r="AG111" s="29">
        <v>0.49307605025828771</v>
      </c>
      <c r="AH111" s="29">
        <v>0.49365268158451198</v>
      </c>
    </row>
    <row r="112" spans="1:34" x14ac:dyDescent="0.3">
      <c r="A112" s="16" t="s">
        <v>154</v>
      </c>
      <c r="B112" s="30"/>
      <c r="C112" s="30">
        <v>0.43950042314812782</v>
      </c>
      <c r="D112" s="30">
        <v>0.44568740778784954</v>
      </c>
      <c r="E112" s="30">
        <v>0.45007714324915016</v>
      </c>
      <c r="F112" s="30">
        <v>0.45348208660142914</v>
      </c>
      <c r="G112" s="30">
        <v>0.45626412788887188</v>
      </c>
      <c r="H112" s="30">
        <v>0.45861631028193611</v>
      </c>
      <c r="I112" s="30">
        <v>0.46065386335017244</v>
      </c>
      <c r="J112" s="30">
        <v>0.46245111252859356</v>
      </c>
      <c r="K112" s="30">
        <v>0.46405880670245148</v>
      </c>
      <c r="L112" s="30">
        <v>0.46551314298605878</v>
      </c>
      <c r="M112" s="30">
        <v>0.46684084798989417</v>
      </c>
      <c r="N112" s="30">
        <v>0.46806221819658972</v>
      </c>
      <c r="O112" s="30">
        <v>0.46919303038295834</v>
      </c>
      <c r="P112" s="30">
        <v>0.47024579134217309</v>
      </c>
      <c r="Q112" s="30">
        <v>0.47123058345119473</v>
      </c>
      <c r="R112" s="30">
        <v>0.47215565344233973</v>
      </c>
      <c r="S112" s="30">
        <v>0.47302783262961595</v>
      </c>
      <c r="T112" s="30">
        <v>0.47385284336623007</v>
      </c>
      <c r="U112" s="30">
        <v>0.47463552680347376</v>
      </c>
      <c r="V112" s="30">
        <v>0.47538001502268024</v>
      </c>
      <c r="W112" s="30">
        <v>0.47608986308708112</v>
      </c>
      <c r="X112" s="30">
        <v>0.47676815171595349</v>
      </c>
      <c r="Y112" s="30">
        <v>0.47741756809091651</v>
      </c>
      <c r="Z112" s="30">
        <v>0.47804047015575268</v>
      </c>
      <c r="AA112" s="30">
        <v>0.478638938297612</v>
      </c>
      <c r="AB112" s="30">
        <v>0.47921481726933768</v>
      </c>
      <c r="AC112" s="30">
        <v>0.47976975048398068</v>
      </c>
      <c r="AD112" s="30">
        <v>0.48030520828865564</v>
      </c>
      <c r="AE112" s="30">
        <v>0.48082251144319549</v>
      </c>
      <c r="AF112" s="30">
        <v>0.48132285074758491</v>
      </c>
      <c r="AG112" s="30">
        <v>0.48180730355221707</v>
      </c>
      <c r="AH112" s="30">
        <v>0.48227684772680285</v>
      </c>
    </row>
    <row r="113" spans="1:34" ht="15" thickBot="1" x14ac:dyDescent="0.35">
      <c r="A113" s="26" t="s">
        <v>155</v>
      </c>
      <c r="B113" s="31"/>
      <c r="C113" s="31">
        <v>0.43421206309761673</v>
      </c>
      <c r="D113" s="31">
        <v>0.43726833246992336</v>
      </c>
      <c r="E113" s="31">
        <v>0.43942173895124442</v>
      </c>
      <c r="F113" s="31">
        <v>0.44108390526132141</v>
      </c>
      <c r="G113" s="31">
        <v>0.44243689545864084</v>
      </c>
      <c r="H113" s="31">
        <v>0.44357734482988009</v>
      </c>
      <c r="I113" s="31">
        <v>0.44456271360078431</v>
      </c>
      <c r="J113" s="31">
        <v>0.4454299482376165</v>
      </c>
      <c r="K113" s="31">
        <v>0.44620420860075832</v>
      </c>
      <c r="L113" s="31">
        <v>0.44690339904935433</v>
      </c>
      <c r="M113" s="31">
        <v>0.44754071282672986</v>
      </c>
      <c r="N113" s="31">
        <v>0.44812615098545505</v>
      </c>
      <c r="O113" s="31">
        <v>0.44866747486598235</v>
      </c>
      <c r="P113" s="31">
        <v>0.44917082803900682</v>
      </c>
      <c r="Q113" s="31">
        <v>0.44964115642386382</v>
      </c>
      <c r="R113" s="31">
        <v>0.45008250038072783</v>
      </c>
      <c r="S113" s="31">
        <v>0.45049820290014836</v>
      </c>
      <c r="T113" s="31">
        <v>0.45089106123593792</v>
      </c>
      <c r="U113" s="31">
        <v>0.45126343946535141</v>
      </c>
      <c r="V113" s="31">
        <v>0.45161735346406023</v>
      </c>
      <c r="W113" s="31">
        <v>0.45195453602756269</v>
      </c>
      <c r="X113" s="31">
        <v>0.45227648745556304</v>
      </c>
      <c r="Y113" s="31">
        <v>0.45258451532603555</v>
      </c>
      <c r="Z113" s="31">
        <v>0.45287976611690689</v>
      </c>
      <c r="AA113" s="31">
        <v>0.4531632506009981</v>
      </c>
      <c r="AB113" s="31">
        <v>0.45343586442939682</v>
      </c>
      <c r="AC113" s="31">
        <v>0.45369840495695818</v>
      </c>
      <c r="AD113" s="31">
        <v>0.45395158510395345</v>
      </c>
      <c r="AE113" s="31">
        <v>0.45419604485884485</v>
      </c>
      <c r="AF113" s="31">
        <v>0.45443236088787081</v>
      </c>
      <c r="AG113" s="31">
        <v>0.45466105461330447</v>
      </c>
      <c r="AH113" s="31">
        <v>0.4548825990440663</v>
      </c>
    </row>
    <row r="114" spans="1:34" ht="15" thickTop="1" x14ac:dyDescent="0.3">
      <c r="A114" s="25" t="s">
        <v>156</v>
      </c>
      <c r="B114" s="29"/>
      <c r="C114" s="29">
        <v>0.43449929185309216</v>
      </c>
      <c r="D114" s="29">
        <v>0.44183919043724174</v>
      </c>
      <c r="E114" s="29">
        <v>0.44706139001989964</v>
      </c>
      <c r="F114" s="29">
        <v>0.45111994415225071</v>
      </c>
      <c r="G114" s="29">
        <v>0.45444100405023119</v>
      </c>
      <c r="H114" s="29">
        <v>0.45725234440265189</v>
      </c>
      <c r="I114" s="29">
        <v>0.45969013624670507</v>
      </c>
      <c r="J114" s="29">
        <v>0.46184232326284552</v>
      </c>
      <c r="K114" s="29">
        <v>0.46376901655145936</v>
      </c>
      <c r="L114" s="29">
        <v>0.46551313026698543</v>
      </c>
      <c r="M114" s="29">
        <v>0.46710637622805612</v>
      </c>
      <c r="N114" s="29">
        <v>0.46857285410051902</v>
      </c>
      <c r="O114" s="29">
        <v>0.4699313091255623</v>
      </c>
      <c r="P114" s="29">
        <v>0.47119661010931208</v>
      </c>
      <c r="Q114" s="29">
        <v>0.47238075009391617</v>
      </c>
      <c r="R114" s="29">
        <v>0.47349354354574874</v>
      </c>
      <c r="S114" s="29">
        <v>0.47454312423630129</v>
      </c>
      <c r="T114" s="29">
        <v>0.47553630851547141</v>
      </c>
      <c r="U114" s="29">
        <v>0.47647886542366003</v>
      </c>
      <c r="V114" s="29">
        <v>0.47737572092303093</v>
      </c>
      <c r="W114" s="29">
        <v>0.47823111463950352</v>
      </c>
      <c r="X114" s="29">
        <v>0.47904872178180968</v>
      </c>
      <c r="Y114" s="29">
        <v>0.47983174912927951</v>
      </c>
      <c r="Z114" s="29">
        <v>0.48058301143871252</v>
      </c>
      <c r="AA114" s="29">
        <v>0.48130499287707351</v>
      </c>
      <c r="AB114" s="29">
        <v>0.48199989686972483</v>
      </c>
      <c r="AC114" s="29">
        <v>0.48266968689103928</v>
      </c>
      <c r="AD114" s="29">
        <v>0.48331612010363373</v>
      </c>
      <c r="AE114" s="29">
        <v>0.48394077530017526</v>
      </c>
      <c r="AF114" s="29">
        <v>0.48454507626807947</v>
      </c>
      <c r="AG114" s="29">
        <v>0.48513031144850977</v>
      </c>
      <c r="AH114" s="29">
        <v>0.48569765057344921</v>
      </c>
    </row>
    <row r="115" spans="1:34" x14ac:dyDescent="0.3">
      <c r="A115" s="16" t="s">
        <v>157</v>
      </c>
      <c r="B115" s="30"/>
      <c r="C115" s="30">
        <v>0.43241803582209049</v>
      </c>
      <c r="D115" s="30">
        <v>0.43850531948476906</v>
      </c>
      <c r="E115" s="30">
        <v>0.44282431597709876</v>
      </c>
      <c r="F115" s="30">
        <v>0.44617438992226471</v>
      </c>
      <c r="G115" s="30">
        <v>0.44891159963977728</v>
      </c>
      <c r="H115" s="30">
        <v>0.45122587748055498</v>
      </c>
      <c r="I115" s="30">
        <v>0.45323059613210698</v>
      </c>
      <c r="J115" s="30">
        <v>0.4549988833024558</v>
      </c>
      <c r="K115" s="30">
        <v>0.45658067007727293</v>
      </c>
      <c r="L115" s="30">
        <v>0.45801157026771555</v>
      </c>
      <c r="M115" s="30">
        <v>0.45931787979478544</v>
      </c>
      <c r="N115" s="30">
        <v>0.4605195680707781</v>
      </c>
      <c r="O115" s="30">
        <v>0.46163215763556309</v>
      </c>
      <c r="P115" s="30">
        <v>0.46266795373995134</v>
      </c>
      <c r="Q115" s="30">
        <v>0.46363687628711509</v>
      </c>
      <c r="R115" s="30">
        <v>0.46454703911631912</v>
      </c>
      <c r="S115" s="30">
        <v>0.46540516345746402</v>
      </c>
      <c r="T115" s="30">
        <v>0.46621687945014367</v>
      </c>
      <c r="U115" s="30">
        <v>0.46698695023228104</v>
      </c>
      <c r="V115" s="30">
        <v>0.46771944129824172</v>
      </c>
      <c r="W115" s="30">
        <v>0.46841785042272371</v>
      </c>
      <c r="X115" s="30">
        <v>0.46908520868034842</v>
      </c>
      <c r="Y115" s="30">
        <v>0.46972415994979366</v>
      </c>
      <c r="Z115" s="30">
        <v>0.47033702417744699</v>
      </c>
      <c r="AA115" s="30">
        <v>0.47092584822578626</v>
      </c>
      <c r="AB115" s="30">
        <v>0.47149244712014254</v>
      </c>
      <c r="AC115" s="30">
        <v>0.47203843779057131</v>
      </c>
      <c r="AD115" s="30">
        <v>0.47256526689008532</v>
      </c>
      <c r="AE115" s="30">
        <v>0.47307423389495962</v>
      </c>
      <c r="AF115" s="30">
        <v>0.47356651041587605</v>
      </c>
      <c r="AG115" s="30">
        <v>0.4740431564421233</v>
      </c>
      <c r="AH115" s="30">
        <v>0.47450513408540229</v>
      </c>
    </row>
    <row r="116" spans="1:34" ht="15" thickBot="1" x14ac:dyDescent="0.35">
      <c r="A116" s="26" t="s">
        <v>158</v>
      </c>
      <c r="B116" s="31"/>
      <c r="C116" s="31">
        <v>0.42721489574458643</v>
      </c>
      <c r="D116" s="31">
        <v>0.4302219144624515</v>
      </c>
      <c r="E116" s="31">
        <v>0.43234061959203807</v>
      </c>
      <c r="F116" s="31">
        <v>0.43397600070467673</v>
      </c>
      <c r="G116" s="31">
        <v>0.43530718796365742</v>
      </c>
      <c r="H116" s="31">
        <v>0.43642925941363098</v>
      </c>
      <c r="I116" s="31">
        <v>0.43739874932998368</v>
      </c>
      <c r="J116" s="31">
        <v>0.43825200880029241</v>
      </c>
      <c r="K116" s="31">
        <v>0.43901379224306247</v>
      </c>
      <c r="L116" s="31">
        <v>0.43970171549529002</v>
      </c>
      <c r="M116" s="31">
        <v>0.44032875919604703</v>
      </c>
      <c r="N116" s="31">
        <v>0.44090476323462768</v>
      </c>
      <c r="O116" s="31">
        <v>0.44143736388034382</v>
      </c>
      <c r="P116" s="31">
        <v>0.44193260570251314</v>
      </c>
      <c r="Q116" s="31">
        <v>0.44239535491880383</v>
      </c>
      <c r="R116" s="31">
        <v>0.44282958678047546</v>
      </c>
      <c r="S116" s="31">
        <v>0.44323859040701702</v>
      </c>
      <c r="T116" s="31">
        <v>0.44362511797552673</v>
      </c>
      <c r="U116" s="31">
        <v>0.44399149546702604</v>
      </c>
      <c r="V116" s="31">
        <v>0.44433970627209285</v>
      </c>
      <c r="W116" s="31">
        <v>0.44467145526286467</v>
      </c>
      <c r="X116" s="31">
        <v>0.44498821856226906</v>
      </c>
      <c r="Y116" s="31">
        <v>0.44529128267714324</v>
      </c>
      <c r="Z116" s="31">
        <v>0.44558177561034451</v>
      </c>
      <c r="AA116" s="31">
        <v>0.44586069184646254</v>
      </c>
      <c r="AB116" s="31">
        <v>0.4461289126034978</v>
      </c>
      <c r="AC116" s="31">
        <v>0.44638722238722583</v>
      </c>
      <c r="AD116" s="31">
        <v>0.44663632262947051</v>
      </c>
      <c r="AE116" s="31">
        <v>0.44687684300551589</v>
      </c>
      <c r="AF116" s="31">
        <v>0.44710935088883647</v>
      </c>
      <c r="AG116" s="31">
        <v>0.4473343592991777</v>
      </c>
      <c r="AH116" s="31">
        <v>0.44755233362309566</v>
      </c>
    </row>
    <row r="117" spans="1:34" ht="15" thickTop="1" x14ac:dyDescent="0.3">
      <c r="A117" s="25" t="s">
        <v>159</v>
      </c>
      <c r="B117" s="29"/>
      <c r="C117" s="29">
        <v>0.37303839357042784</v>
      </c>
      <c r="D117" s="29">
        <v>0.37934004705557728</v>
      </c>
      <c r="E117" s="29">
        <v>0.38382355480747837</v>
      </c>
      <c r="F117" s="29">
        <v>0.387308017365044</v>
      </c>
      <c r="G117" s="29">
        <v>0.39015930589996917</v>
      </c>
      <c r="H117" s="29">
        <v>0.39257297586102702</v>
      </c>
      <c r="I117" s="29">
        <v>0.39466593658712223</v>
      </c>
      <c r="J117" s="29">
        <v>0.3965136919280805</v>
      </c>
      <c r="K117" s="29">
        <v>0.39816785013446587</v>
      </c>
      <c r="L117" s="29">
        <v>0.39966525505742717</v>
      </c>
      <c r="M117" s="29">
        <v>0.40103313280780412</v>
      </c>
      <c r="N117" s="29">
        <v>0.4022921740997174</v>
      </c>
      <c r="O117" s="29">
        <v>0.4034584726179925</v>
      </c>
      <c r="P117" s="29">
        <v>0.40454479394281689</v>
      </c>
      <c r="Q117" s="29">
        <v>0.40556143467365741</v>
      </c>
      <c r="R117" s="29">
        <v>0.40651682099863135</v>
      </c>
      <c r="S117" s="29">
        <v>0.40741793614902994</v>
      </c>
      <c r="T117" s="29">
        <v>0.40827063228678634</v>
      </c>
      <c r="U117" s="29">
        <v>0.40907986240861194</v>
      </c>
      <c r="V117" s="29">
        <v>0.40984985568828619</v>
      </c>
      <c r="W117" s="29">
        <v>0.41058425204714394</v>
      </c>
      <c r="X117" s="29">
        <v>0.41128620682740791</v>
      </c>
      <c r="Y117" s="29">
        <v>0.41195847320228762</v>
      </c>
      <c r="Z117" s="29">
        <v>0.41260346777492696</v>
      </c>
      <c r="AA117" s="29">
        <v>0.41322332332130818</v>
      </c>
      <c r="AB117" s="29">
        <v>0.41381993158733954</v>
      </c>
      <c r="AC117" s="29">
        <v>0.4143949783095448</v>
      </c>
      <c r="AD117" s="29">
        <v>0.41494997209595197</v>
      </c>
      <c r="AE117" s="29">
        <v>0.41548626841546832</v>
      </c>
      <c r="AF117" s="29">
        <v>0.41600508965758959</v>
      </c>
      <c r="AG117" s="29">
        <v>0.41650754201059004</v>
      </c>
      <c r="AH117" s="29">
        <v>0.41699462974524309</v>
      </c>
    </row>
    <row r="118" spans="1:34" x14ac:dyDescent="0.3">
      <c r="A118" s="16" t="s">
        <v>160</v>
      </c>
      <c r="B118" s="30"/>
      <c r="C118" s="30">
        <v>0.37125153586784698</v>
      </c>
      <c r="D118" s="30">
        <v>0.3764777596185197</v>
      </c>
      <c r="E118" s="30">
        <v>0.38018582438075121</v>
      </c>
      <c r="F118" s="30">
        <v>0.38306202286088453</v>
      </c>
      <c r="G118" s="30">
        <v>0.38541204813142399</v>
      </c>
      <c r="H118" s="30">
        <v>0.38739896618672715</v>
      </c>
      <c r="I118" s="30">
        <v>0.38912011289365545</v>
      </c>
      <c r="J118" s="30">
        <v>0.39063827188209665</v>
      </c>
      <c r="K118" s="30">
        <v>0.39199631137378871</v>
      </c>
      <c r="L118" s="30">
        <v>0.39322480752651157</v>
      </c>
      <c r="M118" s="30">
        <v>0.39434633664432811</v>
      </c>
      <c r="N118" s="30">
        <v>0.39537804342142518</v>
      </c>
      <c r="O118" s="30">
        <v>0.39633325469963127</v>
      </c>
      <c r="P118" s="30">
        <v>0.39722253512446137</v>
      </c>
      <c r="Q118" s="30">
        <v>0.39805440140655957</v>
      </c>
      <c r="R118" s="30">
        <v>0.39883581966444842</v>
      </c>
      <c r="S118" s="30">
        <v>0.39957256039500089</v>
      </c>
      <c r="T118" s="30">
        <v>0.40026945734195157</v>
      </c>
      <c r="U118" s="30">
        <v>0.40093059988669288</v>
      </c>
      <c r="V118" s="30">
        <v>0.4015594784503041</v>
      </c>
      <c r="W118" s="30">
        <v>0.4021590960394158</v>
      </c>
      <c r="X118" s="30">
        <v>0.40273205497635339</v>
      </c>
      <c r="Y118" s="30">
        <v>0.40328062515723234</v>
      </c>
      <c r="Z118" s="30">
        <v>0.40380679836682615</v>
      </c>
      <c r="AA118" s="30">
        <v>0.40431233193432936</v>
      </c>
      <c r="AB118" s="30">
        <v>0.40479878414567361</v>
      </c>
      <c r="AC118" s="30">
        <v>0.40526754321253544</v>
      </c>
      <c r="AD118" s="30">
        <v>0.40571985115561787</v>
      </c>
      <c r="AE118" s="30">
        <v>0.40615682363736555</v>
      </c>
      <c r="AF118" s="30">
        <v>0.40657946654150451</v>
      </c>
      <c r="AG118" s="30">
        <v>0.40698868991946369</v>
      </c>
      <c r="AH118" s="30">
        <v>0.40738531979008846</v>
      </c>
    </row>
    <row r="119" spans="1:34" ht="15" thickBot="1" x14ac:dyDescent="0.35">
      <c r="A119" s="26" t="s">
        <v>161</v>
      </c>
      <c r="B119" s="31"/>
      <c r="C119" s="31">
        <v>0.36678439161139492</v>
      </c>
      <c r="D119" s="31">
        <v>0.36936606079470824</v>
      </c>
      <c r="E119" s="31">
        <v>0.3711850703369784</v>
      </c>
      <c r="F119" s="31">
        <v>0.37258912312733472</v>
      </c>
      <c r="G119" s="31">
        <v>0.37373201096614728</v>
      </c>
      <c r="H119" s="31">
        <v>0.37469536289563876</v>
      </c>
      <c r="I119" s="31">
        <v>0.37552771629128301</v>
      </c>
      <c r="J119" s="31">
        <v>0.37626028029787834</v>
      </c>
      <c r="K119" s="31">
        <v>0.37691430776597268</v>
      </c>
      <c r="L119" s="31">
        <v>0.37750492273295283</v>
      </c>
      <c r="M119" s="31">
        <v>0.3780432696974122</v>
      </c>
      <c r="N119" s="31">
        <v>0.37853779667425907</v>
      </c>
      <c r="O119" s="31">
        <v>0.37899505976540288</v>
      </c>
      <c r="P119" s="31">
        <v>0.37942024852228901</v>
      </c>
      <c r="Q119" s="31">
        <v>0.37981754082519437</v>
      </c>
      <c r="R119" s="31">
        <v>0.38019034961718168</v>
      </c>
      <c r="S119" s="31">
        <v>0.38054149876441923</v>
      </c>
      <c r="T119" s="31">
        <v>0.38087335114238885</v>
      </c>
      <c r="U119" s="31">
        <v>0.38118790371688527</v>
      </c>
      <c r="V119" s="31">
        <v>0.38148685932344562</v>
      </c>
      <c r="W119" s="31">
        <v>0.38177168167622394</v>
      </c>
      <c r="X119" s="31">
        <v>0.38204363809725272</v>
      </c>
      <c r="Y119" s="31">
        <v>0.38230383311409455</v>
      </c>
      <c r="Z119" s="31">
        <v>0.38255323517107559</v>
      </c>
      <c r="AA119" s="31">
        <v>0.3827926980807122</v>
      </c>
      <c r="AB119" s="31">
        <v>0.38302297841074434</v>
      </c>
      <c r="AC119" s="31">
        <v>0.38324474969684813</v>
      </c>
      <c r="AD119" s="31">
        <v>0.38345861415174431</v>
      </c>
      <c r="AE119" s="31">
        <v>0.38366511238173739</v>
      </c>
      <c r="AF119" s="31">
        <v>0.38386473150405281</v>
      </c>
      <c r="AG119" s="31">
        <v>0.38405791197064354</v>
      </c>
      <c r="AH119" s="31">
        <v>0.38424505333809467</v>
      </c>
    </row>
    <row r="120" spans="1:34" ht="15" thickTop="1" x14ac:dyDescent="0.3">
      <c r="A120" s="25" t="s">
        <v>162</v>
      </c>
      <c r="B120" s="29"/>
      <c r="C120" s="29">
        <v>0.28818324714342741</v>
      </c>
      <c r="D120" s="29">
        <v>0.29305146176965247</v>
      </c>
      <c r="E120" s="29">
        <v>0.29651510477478366</v>
      </c>
      <c r="F120" s="29">
        <v>0.29920695567189348</v>
      </c>
      <c r="G120" s="29">
        <v>0.30140966081618958</v>
      </c>
      <c r="H120" s="29">
        <v>0.30327429260449612</v>
      </c>
      <c r="I120" s="29">
        <v>0.30489116697610391</v>
      </c>
      <c r="J120" s="29">
        <v>0.30631861289926315</v>
      </c>
      <c r="K120" s="29">
        <v>0.3075964992815266</v>
      </c>
      <c r="L120" s="29">
        <v>0.30875328909304517</v>
      </c>
      <c r="M120" s="29">
        <v>0.3098100153137055</v>
      </c>
      <c r="N120" s="29">
        <v>0.31078266213517197</v>
      </c>
      <c r="O120" s="29">
        <v>0.3116836624073373</v>
      </c>
      <c r="P120" s="29">
        <v>0.31252287792033773</v>
      </c>
      <c r="Q120" s="29">
        <v>0.31330826310331511</v>
      </c>
      <c r="R120" s="29">
        <v>0.31404632743704819</v>
      </c>
      <c r="S120" s="29">
        <v>0.31474246567527747</v>
      </c>
      <c r="T120" s="29">
        <v>0.3154011987870447</v>
      </c>
      <c r="U120" s="29">
        <v>0.31602635310953114</v>
      </c>
      <c r="V120" s="29">
        <v>0.3166211958051886</v>
      </c>
      <c r="W120" s="29">
        <v>0.31718853882144027</v>
      </c>
      <c r="X120" s="29">
        <v>0.31773081975394202</v>
      </c>
      <c r="Y120" s="29">
        <v>0.31825016551083279</v>
      </c>
      <c r="Z120" s="29">
        <v>0.31874844298987198</v>
      </c>
      <c r="AA120" s="29">
        <v>0.31922729982389997</v>
      </c>
      <c r="AB120" s="29">
        <v>0.31968819744286064</v>
      </c>
      <c r="AC120" s="29">
        <v>0.32013243812832515</v>
      </c>
      <c r="AD120" s="29">
        <v>0.32056118732483663</v>
      </c>
      <c r="AE120" s="29">
        <v>0.32097549217241561</v>
      </c>
      <c r="AF120" s="29">
        <v>0.32137629700328152</v>
      </c>
      <c r="AG120" s="29">
        <v>0.3217644563807564</v>
      </c>
      <c r="AH120" s="29">
        <v>0.3221407461338634</v>
      </c>
    </row>
    <row r="121" spans="1:34" x14ac:dyDescent="0.3">
      <c r="A121" s="16" t="s">
        <v>163</v>
      </c>
      <c r="B121" s="30"/>
      <c r="C121" s="30">
        <v>0.28680284645602261</v>
      </c>
      <c r="D121" s="30">
        <v>0.2908402596465301</v>
      </c>
      <c r="E121" s="30">
        <v>0.29370484989304652</v>
      </c>
      <c r="F121" s="30">
        <v>0.29592679871043365</v>
      </c>
      <c r="G121" s="30">
        <v>0.297742263083554</v>
      </c>
      <c r="H121" s="30">
        <v>0.29927721633998622</v>
      </c>
      <c r="I121" s="30">
        <v>0.30060685333007037</v>
      </c>
      <c r="J121" s="30">
        <v>0.30177967627406144</v>
      </c>
      <c r="K121" s="30">
        <v>0.3028288021474575</v>
      </c>
      <c r="L121" s="30">
        <v>0.30377785194098239</v>
      </c>
      <c r="M121" s="30">
        <v>0.3046442665205778</v>
      </c>
      <c r="N121" s="30">
        <v>0.30544129067210818</v>
      </c>
      <c r="O121" s="30">
        <v>0.30617921977701001</v>
      </c>
      <c r="P121" s="30">
        <v>0.30686621533796493</v>
      </c>
      <c r="Q121" s="30">
        <v>0.30750885676709422</v>
      </c>
      <c r="R121" s="30">
        <v>0.30811252559801594</v>
      </c>
      <c r="S121" s="30">
        <v>0.3086816797110854</v>
      </c>
      <c r="T121" s="30">
        <v>0.30922005331701469</v>
      </c>
      <c r="U121" s="30">
        <v>0.30973080558448135</v>
      </c>
      <c r="V121" s="30">
        <v>0.31021663296751761</v>
      </c>
      <c r="W121" s="30">
        <v>0.3106798553780063</v>
      </c>
      <c r="X121" s="30">
        <v>0.31112248318729463</v>
      </c>
      <c r="Y121" s="30">
        <v>0.31154626995760171</v>
      </c>
      <c r="Z121" s="30">
        <v>0.31195275440186843</v>
      </c>
      <c r="AA121" s="30">
        <v>0.31234329410913203</v>
      </c>
      <c r="AB121" s="30">
        <v>0.31271909290159283</v>
      </c>
      <c r="AC121" s="30">
        <v>0.31308122321403392</v>
      </c>
      <c r="AD121" s="30">
        <v>0.31343064454436587</v>
      </c>
      <c r="AE121" s="30">
        <v>0.31376821877498884</v>
      </c>
      <c r="AF121" s="30">
        <v>0.3140947229809799</v>
      </c>
      <c r="AG121" s="30">
        <v>0.31441086020411807</v>
      </c>
      <c r="AH121" s="30">
        <v>0.31471726856851379</v>
      </c>
    </row>
    <row r="122" spans="1:34" ht="15" thickBot="1" x14ac:dyDescent="0.35">
      <c r="A122" s="26" t="s">
        <v>164</v>
      </c>
      <c r="B122" s="31"/>
      <c r="C122" s="31">
        <v>0.28335184473751068</v>
      </c>
      <c r="D122" s="31">
        <v>0.28534626091858106</v>
      </c>
      <c r="E122" s="31">
        <v>0.28675149985782</v>
      </c>
      <c r="F122" s="31">
        <v>0.28783617237212317</v>
      </c>
      <c r="G122" s="31">
        <v>0.28871908719854988</v>
      </c>
      <c r="H122" s="31">
        <v>0.28946330519854069</v>
      </c>
      <c r="I122" s="31">
        <v>0.2901063229373631</v>
      </c>
      <c r="J122" s="31">
        <v>0.2906722504070276</v>
      </c>
      <c r="K122" s="31">
        <v>0.29117750606629761</v>
      </c>
      <c r="L122" s="31">
        <v>0.29163377368359772</v>
      </c>
      <c r="M122" s="31">
        <v>0.29204966271534805</v>
      </c>
      <c r="N122" s="31">
        <v>0.29243169950417219</v>
      </c>
      <c r="O122" s="31">
        <v>0.29278494883366724</v>
      </c>
      <c r="P122" s="31">
        <v>0.29311341978657784</v>
      </c>
      <c r="Q122" s="31">
        <v>0.29342033989960037</v>
      </c>
      <c r="R122" s="31">
        <v>0.29370834577269617</v>
      </c>
      <c r="S122" s="31">
        <v>0.29397961892641639</v>
      </c>
      <c r="T122" s="31">
        <v>0.29423598475230417</v>
      </c>
      <c r="U122" s="31">
        <v>0.29447898596579347</v>
      </c>
      <c r="V122" s="31">
        <v>0.29470993805795132</v>
      </c>
      <c r="W122" s="31">
        <v>0.29492997179146885</v>
      </c>
      <c r="X122" s="31">
        <v>0.29514006621028577</v>
      </c>
      <c r="Y122" s="31">
        <v>0.29534107459477493</v>
      </c>
      <c r="Z122" s="31">
        <v>0.29553374509696406</v>
      </c>
      <c r="AA122" s="31">
        <v>0.29571873731240061</v>
      </c>
      <c r="AB122" s="31">
        <v>0.2958966357121518</v>
      </c>
      <c r="AC122" s="31">
        <v>0.29606796062254737</v>
      </c>
      <c r="AD122" s="31">
        <v>0.29623317727081422</v>
      </c>
      <c r="AE122" s="31">
        <v>0.29639270329139139</v>
      </c>
      <c r="AF122" s="31">
        <v>0.29654691499681446</v>
      </c>
      <c r="AG122" s="31">
        <v>0.29669615264930904</v>
      </c>
      <c r="AH122" s="31">
        <v>0.29684072491821339</v>
      </c>
    </row>
    <row r="123" spans="1:34" ht="15" thickTop="1" x14ac:dyDescent="0.3">
      <c r="A123" s="25" t="s">
        <v>165</v>
      </c>
      <c r="B123" s="29"/>
      <c r="C123" s="29">
        <v>0.51654851215547515</v>
      </c>
      <c r="D123" s="29">
        <v>0.52025002503728057</v>
      </c>
      <c r="E123" s="29">
        <v>0.52287940817654299</v>
      </c>
      <c r="F123" s="29">
        <v>0.52492062695391473</v>
      </c>
      <c r="G123" s="29">
        <v>0.52658950573918406</v>
      </c>
      <c r="H123" s="29">
        <v>0.52800126834508432</v>
      </c>
      <c r="I123" s="29">
        <v>0.52922473795585512</v>
      </c>
      <c r="J123" s="29">
        <v>0.53030433060423943</v>
      </c>
      <c r="K123" s="29">
        <v>0.53127038691900075</v>
      </c>
      <c r="L123" s="29">
        <v>0.53214455608610112</v>
      </c>
      <c r="M123" s="29">
        <v>0.5329428285672223</v>
      </c>
      <c r="N123" s="29">
        <v>0.53367735143310946</v>
      </c>
      <c r="O123" s="29">
        <v>0.53435756942145174</v>
      </c>
      <c r="P123" s="29">
        <v>0.53499097160131104</v>
      </c>
      <c r="Q123" s="29">
        <v>0.53558359671020284</v>
      </c>
      <c r="R123" s="29">
        <v>0.53614038511155937</v>
      </c>
      <c r="S123" s="29">
        <v>0.53666543005753942</v>
      </c>
      <c r="T123" s="29">
        <v>0.53716216096657521</v>
      </c>
      <c r="U123" s="29">
        <v>0.53763347966250863</v>
      </c>
      <c r="V123" s="29">
        <v>0.5380818633586345</v>
      </c>
      <c r="W123" s="29">
        <v>0.53850944367639342</v>
      </c>
      <c r="X123" s="29">
        <v>0.53891806809495202</v>
      </c>
      <c r="Y123" s="29">
        <v>0.53930934832069821</v>
      </c>
      <c r="Z123" s="29">
        <v>0.53968469878195724</v>
      </c>
      <c r="AA123" s="29">
        <v>0.54004536757365673</v>
      </c>
      <c r="AB123" s="29">
        <v>0.54039246156216747</v>
      </c>
      <c r="AC123" s="29">
        <v>0.54072696692495104</v>
      </c>
      <c r="AD123" s="29">
        <v>0.54104976608642097</v>
      </c>
      <c r="AE123" s="29">
        <v>0.54136165178318085</v>
      </c>
      <c r="AF123" s="29">
        <v>0.54166333882347162</v>
      </c>
      <c r="AG123" s="29">
        <v>0.54195547398010557</v>
      </c>
      <c r="AH123" s="29">
        <v>0.54223864436150893</v>
      </c>
    </row>
    <row r="124" spans="1:34" x14ac:dyDescent="0.3">
      <c r="A124" s="16" t="s">
        <v>166</v>
      </c>
      <c r="B124" s="30"/>
      <c r="C124" s="30">
        <v>0.51549603131273936</v>
      </c>
      <c r="D124" s="30">
        <v>0.51857434044137829</v>
      </c>
      <c r="E124" s="30">
        <v>0.52075843552641787</v>
      </c>
      <c r="F124" s="30">
        <v>0.52245255128945478</v>
      </c>
      <c r="G124" s="30">
        <v>0.52383674465505703</v>
      </c>
      <c r="H124" s="30">
        <v>0.52500706347018811</v>
      </c>
      <c r="I124" s="30">
        <v>0.52602083974009661</v>
      </c>
      <c r="J124" s="30">
        <v>0.52691505378369596</v>
      </c>
      <c r="K124" s="30">
        <v>0.52771495550313341</v>
      </c>
      <c r="L124" s="30">
        <v>0.52843855462591072</v>
      </c>
      <c r="M124" s="30">
        <v>0.52909914886873566</v>
      </c>
      <c r="N124" s="30">
        <v>0.52970683666427021</v>
      </c>
      <c r="O124" s="30">
        <v>0.53026946768386674</v>
      </c>
      <c r="P124" s="30">
        <v>0.53079326463177234</v>
      </c>
      <c r="Q124" s="30">
        <v>0.53128324395377513</v>
      </c>
      <c r="R124" s="30">
        <v>0.53174350877811127</v>
      </c>
      <c r="S124" s="30">
        <v>0.53217745799737448</v>
      </c>
      <c r="T124" s="30">
        <v>0.53258793874520749</v>
      </c>
      <c r="U124" s="30">
        <v>0.53297735971681193</v>
      </c>
      <c r="V124" s="30">
        <v>0.53334777681250567</v>
      </c>
      <c r="W124" s="30">
        <v>0.53370095883958923</v>
      </c>
      <c r="X124" s="30">
        <v>0.53403843859745126</v>
      </c>
      <c r="Y124" s="30">
        <v>0.53436155308241406</v>
      </c>
      <c r="Z124" s="30">
        <v>0.53467147547984872</v>
      </c>
      <c r="AA124" s="30">
        <v>0.53496924087794873</v>
      </c>
      <c r="AB124" s="30">
        <v>0.53525576712601353</v>
      </c>
      <c r="AC124" s="30">
        <v>0.53553187189754525</v>
      </c>
      <c r="AD124" s="30">
        <v>0.53579828675779062</v>
      </c>
      <c r="AE124" s="30">
        <v>0.53605566884545097</v>
      </c>
      <c r="AF124" s="30">
        <v>0.53630461063823165</v>
      </c>
      <c r="AG124" s="30">
        <v>0.53654564816745376</v>
      </c>
      <c r="AH124" s="30">
        <v>0.53677926796822828</v>
      </c>
    </row>
    <row r="125" spans="1:34" ht="15" thickBot="1" x14ac:dyDescent="0.35">
      <c r="A125" s="26" t="s">
        <v>167</v>
      </c>
      <c r="B125" s="31"/>
      <c r="C125" s="31">
        <v>0.51286482920590004</v>
      </c>
      <c r="D125" s="31">
        <v>0.51439612759580422</v>
      </c>
      <c r="E125" s="31">
        <v>0.51547937638621788</v>
      </c>
      <c r="F125" s="31">
        <v>0.51631784742910514</v>
      </c>
      <c r="G125" s="31">
        <v>0.51700181742522211</v>
      </c>
      <c r="H125" s="31">
        <v>0.51757934177852805</v>
      </c>
      <c r="I125" s="31">
        <v>0.51807905853569103</v>
      </c>
      <c r="J125" s="31">
        <v>0.51851941520489286</v>
      </c>
      <c r="K125" s="31">
        <v>0.51891299341907149</v>
      </c>
      <c r="L125" s="31">
        <v>0.51926875838548014</v>
      </c>
      <c r="M125" s="31">
        <v>0.51959332398470226</v>
      </c>
      <c r="N125" s="31">
        <v>0.51989170900601811</v>
      </c>
      <c r="O125" s="31">
        <v>0.52016781191999961</v>
      </c>
      <c r="P125" s="31">
        <v>0.52042472121695815</v>
      </c>
      <c r="Q125" s="31">
        <v>0.52066492523709795</v>
      </c>
      <c r="R125" s="31">
        <v>0.52089045818311053</v>
      </c>
      <c r="S125" s="31">
        <v>0.52110300427339529</v>
      </c>
      <c r="T125" s="31">
        <v>0.52130397365651915</v>
      </c>
      <c r="U125" s="31">
        <v>0.5214945588023272</v>
      </c>
      <c r="V125" s="31">
        <v>0.52167577710022472</v>
      </c>
      <c r="W125" s="31">
        <v>0.52184850352418943</v>
      </c>
      <c r="X125" s="31">
        <v>0.52201349602016778</v>
      </c>
      <c r="Y125" s="31">
        <v>0.52217141547850598</v>
      </c>
      <c r="Z125" s="31">
        <v>0.52232284162062215</v>
      </c>
      <c r="AA125" s="31">
        <v>0.52246828576343196</v>
      </c>
      <c r="AB125" s="31">
        <v>0.52260820116997664</v>
      </c>
      <c r="AC125" s="31">
        <v>0.52274299151400161</v>
      </c>
      <c r="AD125" s="31">
        <v>0.52287301785635087</v>
      </c>
      <c r="AE125" s="31">
        <v>0.52299860443645318</v>
      </c>
      <c r="AF125" s="31">
        <v>0.52312004351244568</v>
      </c>
      <c r="AG125" s="31">
        <v>0.52323759943148274</v>
      </c>
      <c r="AH125" s="31">
        <v>0.52335151207261066</v>
      </c>
    </row>
    <row r="126" spans="1:34" ht="15" thickTop="1" x14ac:dyDescent="0.3">
      <c r="A126" s="25" t="s">
        <v>168</v>
      </c>
      <c r="B126" s="29"/>
      <c r="C126" s="29">
        <v>0.50392219727267107</v>
      </c>
      <c r="D126" s="29">
        <v>0.50753323178489729</v>
      </c>
      <c r="E126" s="29">
        <v>0.5100983432852283</v>
      </c>
      <c r="F126" s="29">
        <v>0.51208966728907657</v>
      </c>
      <c r="G126" s="29">
        <v>0.51371775263762465</v>
      </c>
      <c r="H126" s="29">
        <v>0.51509500665665964</v>
      </c>
      <c r="I126" s="29">
        <v>0.5162885702427461</v>
      </c>
      <c r="J126" s="29">
        <v>0.51734177374005774</v>
      </c>
      <c r="K126" s="29">
        <v>0.51828421614259657</v>
      </c>
      <c r="L126" s="29">
        <v>0.51913701745187746</v>
      </c>
      <c r="M126" s="29">
        <v>0.51991577726483351</v>
      </c>
      <c r="N126" s="29">
        <v>0.52063234573384398</v>
      </c>
      <c r="O126" s="29">
        <v>0.52129593673303098</v>
      </c>
      <c r="P126" s="29">
        <v>0.52191385627150788</v>
      </c>
      <c r="Q126" s="29">
        <v>0.52249199547819258</v>
      </c>
      <c r="R126" s="29">
        <v>0.52303517395615728</v>
      </c>
      <c r="S126" s="29">
        <v>0.52354738490366548</v>
      </c>
      <c r="T126" s="29">
        <v>0.52403197391175305</v>
      </c>
      <c r="U126" s="29">
        <v>0.5244917718731863</v>
      </c>
      <c r="V126" s="29">
        <v>0.52492919544920269</v>
      </c>
      <c r="W126" s="29">
        <v>0.52534632415670102</v>
      </c>
      <c r="X126" s="29">
        <v>0.52574496031577178</v>
      </c>
      <c r="Y126" s="29">
        <v>0.52612667623686615</v>
      </c>
      <c r="Z126" s="29">
        <v>0.52649285177456284</v>
      </c>
      <c r="AA126" s="29">
        <v>0.52684470451583287</v>
      </c>
      <c r="AB126" s="29">
        <v>0.52718331427122755</v>
      </c>
      <c r="AC126" s="29">
        <v>0.52750964311246262</v>
      </c>
      <c r="AD126" s="29">
        <v>0.52782455189430577</v>
      </c>
      <c r="AE126" s="29">
        <v>0.52812881397600897</v>
      </c>
      <c r="AF126" s="29">
        <v>0.52842312669331337</v>
      </c>
      <c r="AG126" s="29">
        <v>0.5287081210095631</v>
      </c>
      <c r="AH126" s="29">
        <v>0.52898436968212981</v>
      </c>
    </row>
    <row r="127" spans="1:34" x14ac:dyDescent="0.3">
      <c r="A127" s="16" t="s">
        <v>169</v>
      </c>
      <c r="B127" s="30"/>
      <c r="C127" s="30">
        <v>0.50289544287036791</v>
      </c>
      <c r="D127" s="30">
        <v>0.50589850698435646</v>
      </c>
      <c r="E127" s="30">
        <v>0.50802921488188368</v>
      </c>
      <c r="F127" s="30">
        <v>0.50968192032513704</v>
      </c>
      <c r="G127" s="30">
        <v>0.51103227899587222</v>
      </c>
      <c r="H127" s="30">
        <v>0.51217399098410243</v>
      </c>
      <c r="I127" s="30">
        <v>0.51316298689339934</v>
      </c>
      <c r="J127" s="30">
        <v>0.51403534310986065</v>
      </c>
      <c r="K127" s="30">
        <v>0.5148156923366527</v>
      </c>
      <c r="L127" s="30">
        <v>0.515521604078365</v>
      </c>
      <c r="M127" s="30">
        <v>0.5161660510073881</v>
      </c>
      <c r="N127" s="30">
        <v>0.51675888471414622</v>
      </c>
      <c r="O127" s="30">
        <v>0.51730776299561831</v>
      </c>
      <c r="P127" s="30">
        <v>0.51781875645064135</v>
      </c>
      <c r="Q127" s="30">
        <v>0.51829675890491522</v>
      </c>
      <c r="R127" s="30">
        <v>0.51874577319137394</v>
      </c>
      <c r="S127" s="30">
        <v>0.51916911512137653</v>
      </c>
      <c r="T127" s="30">
        <v>0.5195695622343165</v>
      </c>
      <c r="U127" s="30">
        <v>0.51994946434816847</v>
      </c>
      <c r="V127" s="30">
        <v>0.52031082710960674</v>
      </c>
      <c r="W127" s="30">
        <v>0.52065537608988066</v>
      </c>
      <c r="X127" s="30">
        <v>0.52098460662121504</v>
      </c>
      <c r="Y127" s="30">
        <v>0.52129982301890365</v>
      </c>
      <c r="Z127" s="30">
        <v>0.52160216979142182</v>
      </c>
      <c r="AA127" s="30">
        <v>0.52189265672566187</v>
      </c>
      <c r="AB127" s="30">
        <v>0.52217217923536496</v>
      </c>
      <c r="AC127" s="30">
        <v>0.52244153500713397</v>
      </c>
      <c r="AD127" s="30">
        <v>0.52270143772411348</v>
      </c>
      <c r="AE127" s="30">
        <v>0.52295252846215701</v>
      </c>
      <c r="AF127" s="30">
        <v>0.52319538521667086</v>
      </c>
      <c r="AG127" s="30">
        <v>0.52343053091643088</v>
      </c>
      <c r="AH127" s="30">
        <v>0.5236584402038692</v>
      </c>
    </row>
    <row r="128" spans="1:34" ht="15" thickBot="1" x14ac:dyDescent="0.35">
      <c r="A128" s="26" t="s">
        <v>170</v>
      </c>
      <c r="B128" s="31"/>
      <c r="C128" s="31">
        <v>0.50032855686461009</v>
      </c>
      <c r="D128" s="31">
        <v>0.50182242478052108</v>
      </c>
      <c r="E128" s="31">
        <v>0.50287919505052037</v>
      </c>
      <c r="F128" s="31">
        <v>0.50369717082692533</v>
      </c>
      <c r="G128" s="31">
        <v>0.50436442212123944</v>
      </c>
      <c r="H128" s="31">
        <v>0.50492782968945016</v>
      </c>
      <c r="I128" s="31">
        <v>0.50541533156073182</v>
      </c>
      <c r="J128" s="31">
        <v>0.50584492431940975</v>
      </c>
      <c r="K128" s="31">
        <v>0.50622888205778349</v>
      </c>
      <c r="L128" s="31">
        <v>0.5065759508409986</v>
      </c>
      <c r="M128" s="31">
        <v>0.50689258288246286</v>
      </c>
      <c r="N128" s="31">
        <v>0.50718367429408517</v>
      </c>
      <c r="O128" s="31">
        <v>0.50745302825370919</v>
      </c>
      <c r="P128" s="31">
        <v>0.5077036577577666</v>
      </c>
      <c r="Q128" s="31">
        <v>0.50793799032242248</v>
      </c>
      <c r="R128" s="31">
        <v>0.50815801042709341</v>
      </c>
      <c r="S128" s="31">
        <v>0.50836536112178632</v>
      </c>
      <c r="T128" s="31">
        <v>0.50856141808593402</v>
      </c>
      <c r="U128" s="31">
        <v>0.50874734464110383</v>
      </c>
      <c r="V128" s="31">
        <v>0.508924133308022</v>
      </c>
      <c r="W128" s="31">
        <v>0.50909263767313595</v>
      </c>
      <c r="X128" s="31">
        <v>0.50925359715545071</v>
      </c>
      <c r="Y128" s="31">
        <v>0.50940765649076036</v>
      </c>
      <c r="Z128" s="31">
        <v>0.509555381229994</v>
      </c>
      <c r="AA128" s="31">
        <v>0.50969727019163147</v>
      </c>
      <c r="AB128" s="31">
        <v>0.50983376555932514</v>
      </c>
      <c r="AC128" s="31">
        <v>0.50996526113957341</v>
      </c>
      <c r="AD128" s="31">
        <v>0.51009210916758629</v>
      </c>
      <c r="AE128" s="31">
        <v>0.5102146259572079</v>
      </c>
      <c r="AF128" s="31">
        <v>0.51033309662272885</v>
      </c>
      <c r="AG128" s="31">
        <v>0.5104477790497024</v>
      </c>
      <c r="AH128" s="31">
        <v>0.51055890725366293</v>
      </c>
    </row>
    <row r="129" spans="1:34" ht="15" thickTop="1" x14ac:dyDescent="0.3">
      <c r="A129" s="25" t="s">
        <v>171</v>
      </c>
      <c r="B129" s="29"/>
      <c r="C129" s="29">
        <v>0.49499203731601199</v>
      </c>
      <c r="D129" s="29">
        <v>0.49853907957709759</v>
      </c>
      <c r="E129" s="29">
        <v>0.50105873394906908</v>
      </c>
      <c r="F129" s="29">
        <v>0.50301476908892973</v>
      </c>
      <c r="G129" s="29">
        <v>0.50461400263721123</v>
      </c>
      <c r="H129" s="29">
        <v>0.50596684991497243</v>
      </c>
      <c r="I129" s="29">
        <v>0.50713926199433845</v>
      </c>
      <c r="J129" s="29">
        <v>0.50817380134915191</v>
      </c>
      <c r="K129" s="29">
        <v>0.50909954244055544</v>
      </c>
      <c r="L129" s="29">
        <v>0.5099372309960335</v>
      </c>
      <c r="M129" s="29">
        <v>0.51070219016727303</v>
      </c>
      <c r="N129" s="29">
        <v>0.51140606010646528</v>
      </c>
      <c r="O129" s="29">
        <v>0.51205789140584035</v>
      </c>
      <c r="P129" s="29">
        <v>0.51266486060248107</v>
      </c>
      <c r="Q129" s="29">
        <v>0.51323275442680139</v>
      </c>
      <c r="R129" s="29">
        <v>0.51376630707220805</v>
      </c>
      <c r="S129" s="29">
        <v>0.51426944097227223</v>
      </c>
      <c r="T129" s="29">
        <v>0.51474544242978371</v>
      </c>
      <c r="U129" s="29">
        <v>0.51519709217038923</v>
      </c>
      <c r="V129" s="29">
        <v>0.5156267640289306</v>
      </c>
      <c r="W129" s="29">
        <v>0.51603650067054929</v>
      </c>
      <c r="X129" s="29">
        <v>0.51642807247586808</v>
      </c>
      <c r="Y129" s="29">
        <v>0.51680302389194199</v>
      </c>
      <c r="Z129" s="29">
        <v>0.51716271032052319</v>
      </c>
      <c r="AA129" s="29">
        <v>0.51750832777135003</v>
      </c>
      <c r="AB129" s="29">
        <v>0.51784093691931976</v>
      </c>
      <c r="AC129" s="29">
        <v>0.51816148278697982</v>
      </c>
      <c r="AD129" s="29">
        <v>0.51847081097362624</v>
      </c>
      <c r="AE129" s="29">
        <v>0.51876968113357436</v>
      </c>
      <c r="AF129" s="29">
        <v>0.51905877824486446</v>
      </c>
      <c r="AG129" s="29">
        <v>0.51933872208934584</v>
      </c>
      <c r="AH129" s="29">
        <v>0.51961007527438063</v>
      </c>
    </row>
    <row r="130" spans="1:34" x14ac:dyDescent="0.3">
      <c r="A130" s="16" t="s">
        <v>172</v>
      </c>
      <c r="B130" s="30"/>
      <c r="C130" s="30">
        <v>0.49398347834367479</v>
      </c>
      <c r="D130" s="30">
        <v>0.49693332423659037</v>
      </c>
      <c r="E130" s="30">
        <v>0.49902627320536069</v>
      </c>
      <c r="F130" s="30">
        <v>0.50064969054809105</v>
      </c>
      <c r="G130" s="30">
        <v>0.50197611909827633</v>
      </c>
      <c r="H130" s="30">
        <v>0.50309759845786961</v>
      </c>
      <c r="I130" s="30">
        <v>0.50406906806704654</v>
      </c>
      <c r="J130" s="30">
        <v>0.5049259649911918</v>
      </c>
      <c r="K130" s="30">
        <v>0.50569248540977685</v>
      </c>
      <c r="L130" s="30">
        <v>0.50638588747280677</v>
      </c>
      <c r="M130" s="30">
        <v>0.50701891395996224</v>
      </c>
      <c r="N130" s="30">
        <v>0.50760124187860922</v>
      </c>
      <c r="O130" s="30">
        <v>0.50814039331955552</v>
      </c>
      <c r="P130" s="30">
        <v>0.50864233130269243</v>
      </c>
      <c r="Q130" s="30">
        <v>0.50911186292873245</v>
      </c>
      <c r="R130" s="30">
        <v>0.50955292009517816</v>
      </c>
      <c r="S130" s="30">
        <v>0.50996875985287771</v>
      </c>
      <c r="T130" s="30">
        <v>0.51036211051959623</v>
      </c>
      <c r="U130" s="30">
        <v>0.51073528027146264</v>
      </c>
      <c r="V130" s="30">
        <v>0.51109023921247099</v>
      </c>
      <c r="W130" s="30">
        <v>0.51142868233449257</v>
      </c>
      <c r="X130" s="30">
        <v>0.51175207847051085</v>
      </c>
      <c r="Y130" s="30">
        <v>0.51206170882164792</v>
      </c>
      <c r="Z130" s="30">
        <v>0.51235869761419306</v>
      </c>
      <c r="AA130" s="30">
        <v>0.51264403674029502</v>
      </c>
      <c r="AB130" s="30">
        <v>0.51291860574579329</v>
      </c>
      <c r="AC130" s="30">
        <v>0.51318318818124131</v>
      </c>
      <c r="AD130" s="30">
        <v>0.51343848508238588</v>
      </c>
      <c r="AE130" s="30">
        <v>0.51368512616437834</v>
      </c>
      <c r="AF130" s="30">
        <v>0.51392367917979098</v>
      </c>
      <c r="AG130" s="30">
        <v>0.51415465779041836</v>
      </c>
      <c r="AH130" s="30">
        <v>0.51437852822740826</v>
      </c>
    </row>
    <row r="131" spans="1:34" ht="15" thickBot="1" x14ac:dyDescent="0.35">
      <c r="A131" s="26" t="s">
        <v>173</v>
      </c>
      <c r="B131" s="31"/>
      <c r="C131" s="31">
        <v>0.49146208091283183</v>
      </c>
      <c r="D131" s="31">
        <v>0.49292947553680327</v>
      </c>
      <c r="E131" s="31">
        <v>0.49396751845643061</v>
      </c>
      <c r="F131" s="31">
        <v>0.49477099863299195</v>
      </c>
      <c r="G131" s="31">
        <v>0.49542642536228054</v>
      </c>
      <c r="H131" s="31">
        <v>0.49597984861201483</v>
      </c>
      <c r="I131" s="31">
        <v>0.49645871131297747</v>
      </c>
      <c r="J131" s="31">
        <v>0.49688069112649852</v>
      </c>
      <c r="K131" s="31">
        <v>0.49725784463191958</v>
      </c>
      <c r="L131" s="31">
        <v>0.49759876290268074</v>
      </c>
      <c r="M131" s="31">
        <v>0.49790978381053552</v>
      </c>
      <c r="N131" s="31">
        <v>0.4981957167018905</v>
      </c>
      <c r="O131" s="31">
        <v>0.49846029735730718</v>
      </c>
      <c r="P131" s="31">
        <v>0.49870648537898249</v>
      </c>
      <c r="Q131" s="31">
        <v>0.49893666526432257</v>
      </c>
      <c r="R131" s="31">
        <v>0.49915278632517479</v>
      </c>
      <c r="S131" s="31">
        <v>0.49935646249455251</v>
      </c>
      <c r="T131" s="31">
        <v>0.49954904507305126</v>
      </c>
      <c r="U131" s="31">
        <v>0.49973167676665925</v>
      </c>
      <c r="V131" s="31">
        <v>0.49990533250733882</v>
      </c>
      <c r="W131" s="31">
        <v>0.50007085075486957</v>
      </c>
      <c r="X131" s="31">
        <v>0.50022895782478527</v>
      </c>
      <c r="Y131" s="31">
        <v>0.50038028702731929</v>
      </c>
      <c r="Z131" s="31">
        <v>0.50052539389109907</v>
      </c>
      <c r="AA131" s="31">
        <v>0.50066476839488894</v>
      </c>
      <c r="AB131" s="31">
        <v>0.50079884488626913</v>
      </c>
      <c r="AC131" s="31">
        <v>0.50092801019297206</v>
      </c>
      <c r="AD131" s="31">
        <v>0.50105261030813952</v>
      </c>
      <c r="AE131" s="31">
        <v>0.5011729559401209</v>
      </c>
      <c r="AF131" s="31">
        <v>0.50128932715060892</v>
      </c>
      <c r="AG131" s="31">
        <v>0.50140197725508784</v>
      </c>
      <c r="AH131" s="31">
        <v>0.5015111361220308</v>
      </c>
    </row>
    <row r="132" spans="1:34" ht="15" thickTop="1" x14ac:dyDescent="0.3">
      <c r="A132" s="25" t="s">
        <v>202</v>
      </c>
      <c r="B132" s="29"/>
      <c r="C132" s="29">
        <v>0.48829374353802124</v>
      </c>
      <c r="D132" s="29">
        <v>0.49179278678232158</v>
      </c>
      <c r="E132" s="29">
        <v>0.49427834487813083</v>
      </c>
      <c r="F132" s="29">
        <v>0.49620791070733772</v>
      </c>
      <c r="G132" s="29">
        <v>0.49778550322845427</v>
      </c>
      <c r="H132" s="29">
        <v>0.49912004360868978</v>
      </c>
      <c r="I132" s="29">
        <v>0.50027659046206341</v>
      </c>
      <c r="J132" s="29">
        <v>0.50129713030173106</v>
      </c>
      <c r="K132" s="29">
        <v>0.5022103441496133</v>
      </c>
      <c r="L132" s="29">
        <v>0.50303669699943143</v>
      </c>
      <c r="M132" s="29">
        <v>0.50379130464807897</v>
      </c>
      <c r="N132" s="29">
        <v>0.5044856497317608</v>
      </c>
      <c r="O132" s="29">
        <v>0.50512866036896797</v>
      </c>
      <c r="P132" s="29">
        <v>0.50572741598299165</v>
      </c>
      <c r="Q132" s="29">
        <v>0.50628762499749036</v>
      </c>
      <c r="R132" s="29">
        <v>0.50681395754217706</v>
      </c>
      <c r="S132" s="29">
        <v>0.5073102829717645</v>
      </c>
      <c r="T132" s="29">
        <v>0.50777984311838464</v>
      </c>
      <c r="U132" s="29">
        <v>0.50822538107855886</v>
      </c>
      <c r="V132" s="29">
        <v>0.50864923856410094</v>
      </c>
      <c r="W132" s="29">
        <v>0.50905343059855368</v>
      </c>
      <c r="X132" s="29">
        <v>0.50943970360552926</v>
      </c>
      <c r="Y132" s="29">
        <v>0.50980958113243313</v>
      </c>
      <c r="Z132" s="29">
        <v>0.51016440023955267</v>
      </c>
      <c r="AA132" s="29">
        <v>0.51050534075207366</v>
      </c>
      <c r="AB132" s="29">
        <v>0.51083344899170868</v>
      </c>
      <c r="AC132" s="29">
        <v>0.51114965719284267</v>
      </c>
      <c r="AD132" s="29">
        <v>0.511454799512017</v>
      </c>
      <c r="AE132" s="29">
        <v>0.51174962532381019</v>
      </c>
      <c r="AF132" s="29">
        <v>0.51203481033705478</v>
      </c>
      <c r="AG132" s="29">
        <v>0.51231096594663472</v>
      </c>
      <c r="AH132" s="29">
        <v>0.51257864714663959</v>
      </c>
    </row>
    <row r="133" spans="1:34" x14ac:dyDescent="0.3">
      <c r="A133" s="16" t="s">
        <v>203</v>
      </c>
      <c r="B133" s="30"/>
      <c r="C133" s="30">
        <v>0.48729883251106471</v>
      </c>
      <c r="D133" s="30">
        <v>0.49020876072268244</v>
      </c>
      <c r="E133" s="30">
        <v>0.49227338764584738</v>
      </c>
      <c r="F133" s="30">
        <v>0.49387483670330018</v>
      </c>
      <c r="G133" s="30">
        <v>0.49518331585746522</v>
      </c>
      <c r="H133" s="30">
        <v>0.4962896192189612</v>
      </c>
      <c r="I133" s="30">
        <v>0.49724794278063017</v>
      </c>
      <c r="J133" s="30">
        <v>0.49809324406908295</v>
      </c>
      <c r="K133" s="30">
        <v>0.49884939183808286</v>
      </c>
      <c r="L133" s="30">
        <v>0.49953341069820384</v>
      </c>
      <c r="M133" s="30">
        <v>0.50015787099224795</v>
      </c>
      <c r="N133" s="30">
        <v>0.50073231877711466</v>
      </c>
      <c r="O133" s="30">
        <v>0.50126417435374382</v>
      </c>
      <c r="P133" s="30">
        <v>0.50175932004970059</v>
      </c>
      <c r="Q133" s="30">
        <v>0.50222249791541274</v>
      </c>
      <c r="R133" s="30">
        <v>0.50265758664145732</v>
      </c>
      <c r="S133" s="30">
        <v>0.50306779920386557</v>
      </c>
      <c r="T133" s="30">
        <v>0.50345582700046743</v>
      </c>
      <c r="U133" s="30">
        <v>0.50382394697286548</v>
      </c>
      <c r="V133" s="30">
        <v>0.50417410256536155</v>
      </c>
      <c r="W133" s="30">
        <v>0.5045079658329864</v>
      </c>
      <c r="X133" s="30">
        <v>0.5048269857322929</v>
      </c>
      <c r="Y133" s="30">
        <v>0.50513242612703035</v>
      </c>
      <c r="Z133" s="30">
        <v>0.50542539603031811</v>
      </c>
      <c r="AA133" s="30">
        <v>0.50570687391189717</v>
      </c>
      <c r="AB133" s="30">
        <v>0.50597772741548319</v>
      </c>
      <c r="AC133" s="30">
        <v>0.50623872948852633</v>
      </c>
      <c r="AD133" s="30">
        <v>0.50649057168027045</v>
      </c>
      <c r="AE133" s="30">
        <v>0.50673387518448321</v>
      </c>
      <c r="AF133" s="30">
        <v>0.50696920007083845</v>
      </c>
      <c r="AG133" s="30">
        <v>0.50719705305019547</v>
      </c>
      <c r="AH133" s="30">
        <v>0.50741789404460425</v>
      </c>
    </row>
    <row r="134" spans="1:34" ht="15" thickBot="1" x14ac:dyDescent="0.35">
      <c r="A134" s="26" t="s">
        <v>204</v>
      </c>
      <c r="B134" s="31"/>
      <c r="C134" s="31">
        <v>0.48481155494367334</v>
      </c>
      <c r="D134" s="31">
        <v>0.48625909260119154</v>
      </c>
      <c r="E134" s="31">
        <v>0.48728308859499858</v>
      </c>
      <c r="F134" s="31">
        <v>0.48807569597793565</v>
      </c>
      <c r="G134" s="31">
        <v>0.48872225339125197</v>
      </c>
      <c r="H134" s="31">
        <v>0.48926818764877866</v>
      </c>
      <c r="I134" s="31">
        <v>0.48974057032014789</v>
      </c>
      <c r="J134" s="31">
        <v>0.49015683985037894</v>
      </c>
      <c r="K134" s="31">
        <v>0.49052888966768327</v>
      </c>
      <c r="L134" s="31">
        <v>0.49086519459002731</v>
      </c>
      <c r="M134" s="31">
        <v>0.49117200672429612</v>
      </c>
      <c r="N134" s="31">
        <v>0.49145407033622296</v>
      </c>
      <c r="O134" s="31">
        <v>0.49171507065332226</v>
      </c>
      <c r="P134" s="31">
        <v>0.49195792722808646</v>
      </c>
      <c r="Q134" s="31">
        <v>0.49218499229060592</v>
      </c>
      <c r="R134" s="31">
        <v>0.49239818877439823</v>
      </c>
      <c r="S134" s="31">
        <v>0.49259910877253443</v>
      </c>
      <c r="T134" s="31">
        <v>0.49278908529964233</v>
      </c>
      <c r="U134" s="31">
        <v>0.49296924559847077</v>
      </c>
      <c r="V134" s="31">
        <v>0.49314055140808144</v>
      </c>
      <c r="W134" s="31">
        <v>0.49330382984211218</v>
      </c>
      <c r="X134" s="31">
        <v>0.49345979738750456</v>
      </c>
      <c r="Y134" s="31">
        <v>0.49360907878445925</v>
      </c>
      <c r="Z134" s="31">
        <v>0.49375222204412106</v>
      </c>
      <c r="AA134" s="31">
        <v>0.49388971051480102</v>
      </c>
      <c r="AB134" s="31">
        <v>0.49402197266643366</v>
      </c>
      <c r="AC134" s="31">
        <v>0.49414939009215059</v>
      </c>
      <c r="AD134" s="31">
        <v>0.49427230410307149</v>
      </c>
      <c r="AE134" s="31">
        <v>0.49439102120300166</v>
      </c>
      <c r="AF134" s="31">
        <v>0.49450581766380403</v>
      </c>
      <c r="AG134" s="31">
        <v>0.49461694337306639</v>
      </c>
      <c r="AH134" s="31">
        <v>0.49472462508865306</v>
      </c>
    </row>
    <row r="135" spans="1:34" ht="15" thickTop="1" x14ac:dyDescent="0.3">
      <c r="A135" s="25" t="s">
        <v>205</v>
      </c>
      <c r="B135" s="29"/>
      <c r="C135" s="29">
        <v>0.46006829036433722</v>
      </c>
      <c r="D135" s="29">
        <v>0.46336507404141658</v>
      </c>
      <c r="E135" s="29">
        <v>0.46570695631796305</v>
      </c>
      <c r="F135" s="29">
        <v>0.46752498504337009</v>
      </c>
      <c r="G135" s="29">
        <v>0.46901138601345571</v>
      </c>
      <c r="H135" s="29">
        <v>0.4702687842891502</v>
      </c>
      <c r="I135" s="29">
        <v>0.47135847782014345</v>
      </c>
      <c r="J135" s="29">
        <v>0.47232002612072704</v>
      </c>
      <c r="K135" s="29">
        <v>0.47318045232788669</v>
      </c>
      <c r="L135" s="29">
        <v>0.47395903847174936</v>
      </c>
      <c r="M135" s="29">
        <v>0.47467002659191992</v>
      </c>
      <c r="N135" s="29">
        <v>0.47532423557943998</v>
      </c>
      <c r="O135" s="29">
        <v>0.47593007746961558</v>
      </c>
      <c r="P135" s="29">
        <v>0.47649422246499068</v>
      </c>
      <c r="Q135" s="29">
        <v>0.47702204901808076</v>
      </c>
      <c r="R135" s="29">
        <v>0.4775179573052577</v>
      </c>
      <c r="S135" s="29">
        <v>0.4779855930160905</v>
      </c>
      <c r="T135" s="29">
        <v>0.47842801059103929</v>
      </c>
      <c r="U135" s="29">
        <v>0.47884779456399085</v>
      </c>
      <c r="V135" s="29">
        <v>0.47924715128586592</v>
      </c>
      <c r="W135" s="29">
        <v>0.47962797930328471</v>
      </c>
      <c r="X135" s="29">
        <v>0.47999192408915381</v>
      </c>
      <c r="Y135" s="29">
        <v>0.480340421123365</v>
      </c>
      <c r="Z135" s="29">
        <v>0.48067473017843965</v>
      </c>
      <c r="AA135" s="29">
        <v>0.48099596288065483</v>
      </c>
      <c r="AB135" s="29">
        <v>0.48130510506988206</v>
      </c>
      <c r="AC135" s="29">
        <v>0.48160303509339791</v>
      </c>
      <c r="AD135" s="29">
        <v>0.48189053888995104</v>
      </c>
      <c r="AE135" s="29">
        <v>0.48216832251708536</v>
      </c>
      <c r="AF135" s="29">
        <v>0.4824370226247916</v>
      </c>
      <c r="AG135" s="29">
        <v>0.48269721526673165</v>
      </c>
      <c r="AH135" s="29">
        <v>0.48294942335597846</v>
      </c>
    </row>
    <row r="136" spans="1:34" x14ac:dyDescent="0.3">
      <c r="A136" s="16" t="s">
        <v>206</v>
      </c>
      <c r="B136" s="30"/>
      <c r="C136" s="30">
        <v>0.45913088942219121</v>
      </c>
      <c r="D136" s="30">
        <v>0.46187261141867159</v>
      </c>
      <c r="E136" s="30">
        <v>0.46381789413292107</v>
      </c>
      <c r="F136" s="30">
        <v>0.46532677263017447</v>
      </c>
      <c r="G136" s="30">
        <v>0.4665596161294015</v>
      </c>
      <c r="H136" s="30">
        <v>0.46760197045583601</v>
      </c>
      <c r="I136" s="30">
        <v>0.46850489884365093</v>
      </c>
      <c r="J136" s="30">
        <v>0.46930133812588182</v>
      </c>
      <c r="K136" s="30">
        <v>0.47001377734090427</v>
      </c>
      <c r="L136" s="30">
        <v>0.47065825700446223</v>
      </c>
      <c r="M136" s="30">
        <v>0.47124662084013141</v>
      </c>
      <c r="N136" s="30">
        <v>0.47178786310216059</v>
      </c>
      <c r="O136" s="30">
        <v>0.47228897516656587</v>
      </c>
      <c r="P136" s="30">
        <v>0.47275549933738464</v>
      </c>
      <c r="Q136" s="30">
        <v>0.47319190355438079</v>
      </c>
      <c r="R136" s="30">
        <v>0.47360184230333502</v>
      </c>
      <c r="S136" s="30">
        <v>0.47398834283661173</v>
      </c>
      <c r="T136" s="30">
        <v>0.47435394097781042</v>
      </c>
      <c r="U136" s="30">
        <v>0.47470078205163418</v>
      </c>
      <c r="V136" s="30">
        <v>0.4750306971630463</v>
      </c>
      <c r="W136" s="30">
        <v>0.47534526171519209</v>
      </c>
      <c r="X136" s="30">
        <v>0.47564584090877893</v>
      </c>
      <c r="Y136" s="30">
        <v>0.47593362555086116</v>
      </c>
      <c r="Z136" s="30">
        <v>0.47620966054888753</v>
      </c>
      <c r="AA136" s="30">
        <v>0.47647486781289039</v>
      </c>
      <c r="AB136" s="30">
        <v>0.47673006483309205</v>
      </c>
      <c r="AC136" s="30">
        <v>0.47697597987729573</v>
      </c>
      <c r="AD136" s="30">
        <v>0.47721326452026042</v>
      </c>
      <c r="AE136" s="30">
        <v>0.47744250404811456</v>
      </c>
      <c r="AF136" s="30">
        <v>0.47766422615612514</v>
      </c>
      <c r="AG136" s="30">
        <v>0.4778789082651107</v>
      </c>
      <c r="AH136" s="30">
        <v>0.47808698371167252</v>
      </c>
    </row>
    <row r="137" spans="1:34" ht="15" thickBot="1" x14ac:dyDescent="0.35">
      <c r="A137" s="26" t="s">
        <v>207</v>
      </c>
      <c r="B137" s="31"/>
      <c r="C137" s="31">
        <v>0.45678738706682631</v>
      </c>
      <c r="D137" s="31">
        <v>0.45815125089704256</v>
      </c>
      <c r="E137" s="31">
        <v>0.45911605557137081</v>
      </c>
      <c r="F137" s="31">
        <v>0.45986284687972523</v>
      </c>
      <c r="G137" s="31">
        <v>0.46047203052728031</v>
      </c>
      <c r="H137" s="31">
        <v>0.46098640746500585</v>
      </c>
      <c r="I137" s="31">
        <v>0.46143148441078008</v>
      </c>
      <c r="J137" s="31">
        <v>0.46182369179340294</v>
      </c>
      <c r="K137" s="31">
        <v>0.46217423555039922</v>
      </c>
      <c r="L137" s="31">
        <v>0.46249110061924664</v>
      </c>
      <c r="M137" s="31">
        <v>0.46278017770848667</v>
      </c>
      <c r="N137" s="31">
        <v>0.4630459368451344</v>
      </c>
      <c r="O137" s="31">
        <v>0.46329185023489527</v>
      </c>
      <c r="P137" s="31">
        <v>0.46352066866772201</v>
      </c>
      <c r="Q137" s="31">
        <v>0.46373460840481123</v>
      </c>
      <c r="R137" s="31">
        <v>0.4639354812259523</v>
      </c>
      <c r="S137" s="31">
        <v>0.46412478719447192</v>
      </c>
      <c r="T137" s="31">
        <v>0.46430378227108826</v>
      </c>
      <c r="U137" s="31">
        <v>0.46447352853912971</v>
      </c>
      <c r="V137" s="31">
        <v>0.46463493214505353</v>
      </c>
      <c r="W137" s="31">
        <v>0.46478877239181482</v>
      </c>
      <c r="X137" s="31">
        <v>0.46493572435036562</v>
      </c>
      <c r="Y137" s="31">
        <v>0.46507637664826834</v>
      </c>
      <c r="Z137" s="31">
        <v>0.46521124561929511</v>
      </c>
      <c r="AA137" s="31">
        <v>0.46534078667217077</v>
      </c>
      <c r="AB137" s="31">
        <v>0.46546540350944715</v>
      </c>
      <c r="AC137" s="31">
        <v>0.46558545566655135</v>
      </c>
      <c r="AD137" s="31">
        <v>0.4657012647253701</v>
      </c>
      <c r="AE137" s="31">
        <v>0.46581311947248621</v>
      </c>
      <c r="AF137" s="31">
        <v>0.46592128021007534</v>
      </c>
      <c r="AG137" s="31">
        <v>0.46602598238116072</v>
      </c>
      <c r="AH137" s="31">
        <v>0.46612743963603875</v>
      </c>
    </row>
    <row r="138" spans="1:34" ht="15" thickTop="1" x14ac:dyDescent="0.3">
      <c r="A138" s="25" t="s">
        <v>208</v>
      </c>
      <c r="B138" s="29"/>
      <c r="C138" s="29">
        <v>0.36688134264373129</v>
      </c>
      <c r="D138" s="29">
        <v>0.36951036195930936</v>
      </c>
      <c r="E138" s="29">
        <v>0.37137789539277533</v>
      </c>
      <c r="F138" s="29">
        <v>0.37282768194340671</v>
      </c>
      <c r="G138" s="29">
        <v>0.37401301202381737</v>
      </c>
      <c r="H138" s="29">
        <v>0.37501572396308053</v>
      </c>
      <c r="I138" s="29">
        <v>0.37588469979578659</v>
      </c>
      <c r="J138" s="29">
        <v>0.37665148624667533</v>
      </c>
      <c r="K138" s="29">
        <v>0.37733763290955136</v>
      </c>
      <c r="L138" s="29">
        <v>0.37795851623449844</v>
      </c>
      <c r="M138" s="29">
        <v>0.37852549353242382</v>
      </c>
      <c r="N138" s="58">
        <v>0.37904719232527234</v>
      </c>
      <c r="O138" s="29">
        <v>0.37953032078848681</v>
      </c>
      <c r="P138" s="29">
        <v>0.37998019807341132</v>
      </c>
      <c r="Q138" s="29">
        <v>0.3804011132256539</v>
      </c>
      <c r="R138" s="29">
        <v>0.38079657516475768</v>
      </c>
      <c r="S138" s="29">
        <v>0.38116949114495402</v>
      </c>
      <c r="T138" s="29">
        <v>0.38152229692902107</v>
      </c>
      <c r="U138" s="29">
        <v>0.38185705355285798</v>
      </c>
      <c r="V138" s="29">
        <v>0.3821755204704525</v>
      </c>
      <c r="W138" s="29">
        <v>0.38247921167733029</v>
      </c>
      <c r="X138" s="29">
        <v>0.38276943935544755</v>
      </c>
      <c r="Y138" s="29">
        <v>0.38304734822788367</v>
      </c>
      <c r="Z138" s="29">
        <v>0.38331394289991944</v>
      </c>
      <c r="AA138" s="29">
        <v>0.3835701098376505</v>
      </c>
      <c r="AB138" s="29">
        <v>0.38381663519883474</v>
      </c>
      <c r="AC138" s="29">
        <v>0.38405421942128748</v>
      </c>
      <c r="AD138" s="29">
        <v>0.3842834892516665</v>
      </c>
      <c r="AE138" s="29">
        <v>0.38450500773538282</v>
      </c>
      <c r="AF138" s="29">
        <v>0.38471928256881183</v>
      </c>
      <c r="AG138" s="29">
        <v>0.38492677312580142</v>
      </c>
      <c r="AH138" s="29">
        <v>0.38512789640325057</v>
      </c>
    </row>
    <row r="139" spans="1:34" x14ac:dyDescent="0.3">
      <c r="A139" s="16" t="s">
        <v>209</v>
      </c>
      <c r="B139" s="30"/>
      <c r="C139" s="30">
        <v>0.36613381249776611</v>
      </c>
      <c r="D139" s="30">
        <v>0.36832019801550736</v>
      </c>
      <c r="E139" s="30">
        <v>0.36987146322759207</v>
      </c>
      <c r="F139" s="30">
        <v>0.37107471800639935</v>
      </c>
      <c r="G139" s="30">
        <v>0.37205784874533337</v>
      </c>
      <c r="H139" s="30">
        <v>0.37288907394124932</v>
      </c>
      <c r="I139" s="30">
        <v>0.37360911395741808</v>
      </c>
      <c r="J139" s="30">
        <v>0.37424423426307463</v>
      </c>
      <c r="K139" s="30">
        <v>0.37481236873622531</v>
      </c>
      <c r="L139" s="30">
        <v>0.37532630888212293</v>
      </c>
      <c r="M139" s="30">
        <v>0.37579549947515939</v>
      </c>
      <c r="N139" s="59">
        <v>0.37622711298112727</v>
      </c>
      <c r="O139" s="30">
        <v>0.37662672467107527</v>
      </c>
      <c r="P139" s="30">
        <v>0.37699875425396656</v>
      </c>
      <c r="Q139" s="30">
        <v>0.37734676468724404</v>
      </c>
      <c r="R139" s="30">
        <v>0.37767367023967607</v>
      </c>
      <c r="S139" s="30">
        <v>0.37798188499290059</v>
      </c>
      <c r="T139" s="30">
        <v>0.37827343113881035</v>
      </c>
      <c r="U139" s="30">
        <v>0.37855001946605121</v>
      </c>
      <c r="V139" s="30">
        <v>0.37881311018881647</v>
      </c>
      <c r="W139" s="30">
        <v>0.37906395961194878</v>
      </c>
      <c r="X139" s="30">
        <v>0.3793036564144095</v>
      </c>
      <c r="Y139" s="30">
        <v>0.37953315020498513</v>
      </c>
      <c r="Z139" s="30">
        <v>0.37975327424485839</v>
      </c>
      <c r="AA139" s="30">
        <v>0.37996476371095306</v>
      </c>
      <c r="AB139" s="30">
        <v>0.38016827051064167</v>
      </c>
      <c r="AC139" s="30">
        <v>0.38036437540090107</v>
      </c>
      <c r="AD139" s="30">
        <v>0.38055359797985927</v>
      </c>
      <c r="AE139" s="30">
        <v>0.38073640498379241</v>
      </c>
      <c r="AF139" s="30">
        <v>0.38091321722315863</v>
      </c>
      <c r="AG139" s="30">
        <v>0.38108441541706983</v>
      </c>
      <c r="AH139" s="30">
        <v>0.38125034512968997</v>
      </c>
    </row>
    <row r="140" spans="1:34" ht="15" thickBot="1" x14ac:dyDescent="0.35">
      <c r="A140" s="26" t="s">
        <v>210</v>
      </c>
      <c r="B140" s="31"/>
      <c r="C140" s="31">
        <v>0.3642649871328531</v>
      </c>
      <c r="D140" s="31">
        <v>0.36535260000183983</v>
      </c>
      <c r="E140" s="31">
        <v>0.36612198324715362</v>
      </c>
      <c r="F140" s="31">
        <v>0.36671751178850726</v>
      </c>
      <c r="G140" s="31">
        <v>0.36720330513530497</v>
      </c>
      <c r="H140" s="31">
        <v>0.36761349489515194</v>
      </c>
      <c r="I140" s="31">
        <v>0.36796842139381608</v>
      </c>
      <c r="J140" s="31">
        <v>0.36828118707261892</v>
      </c>
      <c r="K140" s="31">
        <v>0.36856072810362611</v>
      </c>
      <c r="L140" s="31">
        <v>0.36881341207322454</v>
      </c>
      <c r="M140" s="31">
        <v>0.36904393652546169</v>
      </c>
      <c r="N140" s="60">
        <v>0.36925586608225847</v>
      </c>
      <c r="O140" s="31">
        <v>0.36945196965318289</v>
      </c>
      <c r="P140" s="31">
        <v>0.36963444085499214</v>
      </c>
      <c r="Q140" s="31">
        <v>0.36980504704462103</v>
      </c>
      <c r="R140" s="31">
        <v>0.36996523302540774</v>
      </c>
      <c r="S140" s="31">
        <v>0.37011619502247545</v>
      </c>
      <c r="T140" s="31">
        <v>0.37025893460138365</v>
      </c>
      <c r="U140" s="31">
        <v>0.37039429872021579</v>
      </c>
      <c r="V140" s="31">
        <v>0.37052300998523685</v>
      </c>
      <c r="W140" s="31">
        <v>0.37064568985139262</v>
      </c>
      <c r="X140" s="31">
        <v>0.37076287665384433</v>
      </c>
      <c r="Y140" s="31">
        <v>0.3708750397934939</v>
      </c>
      <c r="Z140" s="31">
        <v>0.37098259102057829</v>
      </c>
      <c r="AA140" s="31">
        <v>0.37108589350067067</v>
      </c>
      <c r="AB140" s="31">
        <v>0.3711852691662697</v>
      </c>
      <c r="AC140" s="31">
        <v>0.37128100472881148</v>
      </c>
      <c r="AD140" s="31">
        <v>0.37137335663369081</v>
      </c>
      <c r="AE140" s="31">
        <v>0.3714625551736957</v>
      </c>
      <c r="AF140" s="31">
        <v>0.37154880792673067</v>
      </c>
      <c r="AG140" s="31">
        <v>0.3716323026467756</v>
      </c>
      <c r="AH140" s="31">
        <v>0.37171320970920563</v>
      </c>
    </row>
    <row r="141" spans="1:34" ht="15" thickTop="1" x14ac:dyDescent="0.3">
      <c r="A141" s="25" t="s">
        <v>211</v>
      </c>
      <c r="B141" s="29"/>
      <c r="C141" s="29">
        <v>0.30155124371545733</v>
      </c>
      <c r="D141" s="29">
        <v>0.30371211687039013</v>
      </c>
      <c r="E141" s="29">
        <v>0.30524710097583346</v>
      </c>
      <c r="F141" s="29">
        <v>0.30643872586009313</v>
      </c>
      <c r="G141" s="29">
        <v>0.30741298570493969</v>
      </c>
      <c r="H141" s="29">
        <v>0.30823714599118995</v>
      </c>
      <c r="I141" s="29">
        <v>0.30895138439105768</v>
      </c>
      <c r="J141" s="29">
        <v>0.30958163014371287</v>
      </c>
      <c r="K141" s="29">
        <v>0.31014559553391369</v>
      </c>
      <c r="L141" s="29">
        <v>0.31065591894663025</v>
      </c>
      <c r="M141" s="29">
        <v>0.31112193531071081</v>
      </c>
      <c r="N141" s="29">
        <v>0.31155073585612608</v>
      </c>
      <c r="O141" s="29">
        <v>0.31194783424196071</v>
      </c>
      <c r="P141" s="29">
        <v>0.31231760244497353</v>
      </c>
      <c r="Q141" s="29">
        <v>0.31266356576581944</v>
      </c>
      <c r="R141" s="29">
        <v>0.31298860829515474</v>
      </c>
      <c r="S141" s="29">
        <v>0.31329511959610906</v>
      </c>
      <c r="T141" s="29">
        <v>0.31358510169824816</v>
      </c>
      <c r="U141" s="29">
        <v>0.31386024863140261</v>
      </c>
      <c r="V141" s="29">
        <v>0.31412200654580302</v>
      </c>
      <c r="W141" s="29">
        <v>0.31437161984169737</v>
      </c>
      <c r="X141" s="29">
        <v>0.31461016704245243</v>
      </c>
      <c r="Y141" s="29">
        <v>0.31483858903174955</v>
      </c>
      <c r="Z141" s="29">
        <v>0.31505771152607154</v>
      </c>
      <c r="AA141" s="29">
        <v>0.31526826313961215</v>
      </c>
      <c r="AB141" s="29">
        <v>0.31547089004000683</v>
      </c>
      <c r="AC141" s="29">
        <v>0.31566616793899055</v>
      </c>
      <c r="AD141" s="29">
        <v>0.31585461197923259</v>
      </c>
      <c r="AE141" s="29">
        <v>0.31603668494535642</v>
      </c>
      <c r="AF141" s="29">
        <v>0.31621280412888264</v>
      </c>
      <c r="AG141" s="29">
        <v>0.31638334710353649</v>
      </c>
      <c r="AH141" s="29">
        <v>0.31654865661210374</v>
      </c>
    </row>
    <row r="142" spans="1:34" x14ac:dyDescent="0.3">
      <c r="A142" s="16" t="s">
        <v>212</v>
      </c>
      <c r="B142" s="30"/>
      <c r="C142" s="30">
        <v>0.30093682532174387</v>
      </c>
      <c r="D142" s="30">
        <v>0.30273388392212242</v>
      </c>
      <c r="E142" s="30">
        <v>0.30400891729031121</v>
      </c>
      <c r="F142" s="30">
        <v>0.30499791000507093</v>
      </c>
      <c r="G142" s="30">
        <v>0.30580597589068981</v>
      </c>
      <c r="H142" s="30">
        <v>0.30648918586214774</v>
      </c>
      <c r="I142" s="30">
        <v>0.3070810092588786</v>
      </c>
      <c r="J142" s="30">
        <v>0.30760303449106829</v>
      </c>
      <c r="K142" s="30">
        <v>0.30807000197363821</v>
      </c>
      <c r="L142" s="30">
        <v>0.30849242544460009</v>
      </c>
      <c r="M142" s="30">
        <v>0.30887806785925714</v>
      </c>
      <c r="N142" s="30">
        <v>0.3092328244914454</v>
      </c>
      <c r="O142" s="30">
        <v>0.30956127783071502</v>
      </c>
      <c r="P142" s="30">
        <v>0.3098670605740167</v>
      </c>
      <c r="Q142" s="30">
        <v>0.31015310122744583</v>
      </c>
      <c r="R142" s="30">
        <v>0.31042179511959911</v>
      </c>
      <c r="S142" s="30">
        <v>0.31067512645963558</v>
      </c>
      <c r="T142" s="30">
        <v>0.31091475735028273</v>
      </c>
      <c r="U142" s="30">
        <v>0.31114209394220549</v>
      </c>
      <c r="V142" s="30">
        <v>0.31135833643109351</v>
      </c>
      <c r="W142" s="30">
        <v>0.31156451741316737</v>
      </c>
      <c r="X142" s="30">
        <v>0.31176153170769594</v>
      </c>
      <c r="Y142" s="30">
        <v>0.31195015982782431</v>
      </c>
      <c r="Z142" s="30">
        <v>0.3121310866569651</v>
      </c>
      <c r="AA142" s="30">
        <v>0.31230491646001263</v>
      </c>
      <c r="AB142" s="30">
        <v>0.31247218506001406</v>
      </c>
      <c r="AC142" s="30">
        <v>0.3126333697992823</v>
      </c>
      <c r="AD142" s="30">
        <v>0.31278889775176066</v>
      </c>
      <c r="AE142" s="30">
        <v>0.31293915254258403</v>
      </c>
      <c r="AF142" s="30">
        <v>0.31308448004902195</v>
      </c>
      <c r="AG142" s="30">
        <v>0.31322519319601322</v>
      </c>
      <c r="AH142" s="30">
        <v>0.31336157601354597</v>
      </c>
    </row>
    <row r="143" spans="1:34" x14ac:dyDescent="0.3">
      <c r="A143" s="26" t="s">
        <v>213</v>
      </c>
      <c r="B143" s="31"/>
      <c r="C143" s="31">
        <v>0.29940077933746018</v>
      </c>
      <c r="D143" s="31">
        <v>0.30029472235173438</v>
      </c>
      <c r="E143" s="31">
        <v>0.30092710249089971</v>
      </c>
      <c r="F143" s="31">
        <v>0.30141658601442584</v>
      </c>
      <c r="G143" s="31">
        <v>0.30181587475137805</v>
      </c>
      <c r="H143" s="31">
        <v>0.3021530225369532</v>
      </c>
      <c r="I143" s="31">
        <v>0.30244474772071017</v>
      </c>
      <c r="J143" s="31">
        <v>0.30270181960873499</v>
      </c>
      <c r="K143" s="31">
        <v>0.30293158312018065</v>
      </c>
      <c r="L143" s="31">
        <v>0.30313927197334034</v>
      </c>
      <c r="M143" s="31">
        <v>0.30332874722650532</v>
      </c>
      <c r="N143" s="31">
        <v>0.30350293875385753</v>
      </c>
      <c r="O143" s="31">
        <v>0.30366412240872309</v>
      </c>
      <c r="P143" s="31">
        <v>0.30381410119328411</v>
      </c>
      <c r="Q143" s="31">
        <v>0.30395432775345044</v>
      </c>
      <c r="R143" s="31">
        <v>0.30408598961824829</v>
      </c>
      <c r="S143" s="31">
        <v>0.30421007000249872</v>
      </c>
      <c r="T143" s="31">
        <v>0.30432739212424254</v>
      </c>
      <c r="U143" s="31">
        <v>0.30443865212480337</v>
      </c>
      <c r="V143" s="31">
        <v>0.30454444393685792</v>
      </c>
      <c r="W143" s="31">
        <v>0.30464527835365207</v>
      </c>
      <c r="X143" s="31">
        <v>0.3047415978496823</v>
      </c>
      <c r="Y143" s="31">
        <v>0.30483378824022284</v>
      </c>
      <c r="Z143" s="31">
        <v>0.30492218795566411</v>
      </c>
      <c r="AA143" s="31">
        <v>0.30500709549314281</v>
      </c>
      <c r="AB143" s="31">
        <v>0.30508877545904267</v>
      </c>
      <c r="AC143" s="31">
        <v>0.30516746351045532</v>
      </c>
      <c r="AD143" s="31">
        <v>0.30524337042786676</v>
      </c>
      <c r="AE143" s="31">
        <v>0.30531668549611812</v>
      </c>
      <c r="AF143" s="31">
        <v>0.30538757932997773</v>
      </c>
      <c r="AG143" s="31">
        <v>0.30545620625031061</v>
      </c>
      <c r="AH143" s="31">
        <v>0.30552270629396328</v>
      </c>
    </row>
    <row r="148" spans="1:38" x14ac:dyDescent="0.3">
      <c r="B148" t="s">
        <v>214</v>
      </c>
    </row>
    <row r="149" spans="1:38" x14ac:dyDescent="0.3">
      <c r="A149" t="s">
        <v>215</v>
      </c>
      <c r="B149">
        <v>13.57</v>
      </c>
      <c r="D149" t="str">
        <f>A103</f>
        <v>Class 1 - Moderate</v>
      </c>
      <c r="E149">
        <f t="shared" ref="E149:AJ149" si="8">B103</f>
        <v>0</v>
      </c>
      <c r="F149">
        <f t="shared" si="8"/>
        <v>0.44969767365991592</v>
      </c>
      <c r="G149">
        <f t="shared" si="8"/>
        <v>0.4560282081780016</v>
      </c>
      <c r="H149">
        <f t="shared" si="8"/>
        <v>0.4605197938988736</v>
      </c>
      <c r="I149">
        <f t="shared" si="8"/>
        <v>0.46400373845004322</v>
      </c>
      <c r="J149">
        <f t="shared" si="8"/>
        <v>0.46685032841695934</v>
      </c>
      <c r="K149">
        <f t="shared" si="8"/>
        <v>0.46925708594089527</v>
      </c>
      <c r="L149">
        <f t="shared" si="8"/>
        <v>0.47134191413783127</v>
      </c>
      <c r="M149">
        <f t="shared" si="8"/>
        <v>0.47318086293504497</v>
      </c>
      <c r="N149">
        <f t="shared" si="8"/>
        <v>0.4748258586890009</v>
      </c>
      <c r="O149">
        <f t="shared" si="8"/>
        <v>0.47631393835630303</v>
      </c>
      <c r="P149">
        <f t="shared" si="8"/>
        <v>0.47767244865591696</v>
      </c>
      <c r="Q149">
        <f t="shared" si="8"/>
        <v>0.47892215698769575</v>
      </c>
      <c r="R149">
        <f t="shared" si="8"/>
        <v>0.48007920617985284</v>
      </c>
      <c r="S149">
        <f t="shared" si="8"/>
        <v>0.48115639320708647</v>
      </c>
      <c r="T149">
        <f t="shared" si="8"/>
        <v>0.4821640343767889</v>
      </c>
      <c r="U149">
        <f t="shared" si="8"/>
        <v>0.48311056776124089</v>
      </c>
      <c r="V149">
        <f t="shared" si="8"/>
        <v>0.48400298317400264</v>
      </c>
      <c r="W149">
        <f t="shared" si="8"/>
        <v>0.48484713573782118</v>
      </c>
      <c r="X149">
        <f t="shared" si="8"/>
        <v>0.48564797892795847</v>
      </c>
      <c r="Y149">
        <f t="shared" si="8"/>
        <v>0.48640974069793869</v>
      </c>
      <c r="Z149">
        <f t="shared" si="8"/>
        <v>0.48713605859526066</v>
      </c>
      <c r="AA149">
        <f t="shared" si="8"/>
        <v>0.48783008481778167</v>
      </c>
      <c r="AB149">
        <f t="shared" si="8"/>
        <v>0.48849456889487458</v>
      </c>
      <c r="AC149">
        <f t="shared" si="8"/>
        <v>0.48913192347912804</v>
      </c>
      <c r="AD149">
        <f t="shared" si="8"/>
        <v>0.48974427722665331</v>
      </c>
      <c r="AE149">
        <f t="shared" si="8"/>
        <v>0.49033351769208833</v>
      </c>
      <c r="AF149">
        <f t="shared" si="8"/>
        <v>0.49090132641881051</v>
      </c>
      <c r="AG149">
        <f t="shared" si="8"/>
        <v>0.49144920786879998</v>
      </c>
      <c r="AH149">
        <f t="shared" si="8"/>
        <v>0.49197851344604421</v>
      </c>
      <c r="AI149">
        <f t="shared" si="8"/>
        <v>0.49249046157936538</v>
      </c>
      <c r="AJ149">
        <f t="shared" si="8"/>
        <v>0.49298615461574652</v>
      </c>
      <c r="AK149">
        <f>AH103</f>
        <v>0.4934665931133464</v>
      </c>
    </row>
    <row r="150" spans="1:38" x14ac:dyDescent="0.3">
      <c r="A150" t="s">
        <v>216</v>
      </c>
      <c r="B150">
        <v>13.57</v>
      </c>
      <c r="D150" t="str">
        <f>A106</f>
        <v>Class 2 - Moderate</v>
      </c>
      <c r="E150">
        <f t="shared" ref="E150:AJ150" si="9">B106</f>
        <v>0</v>
      </c>
      <c r="F150">
        <f t="shared" si="9"/>
        <v>0.43823313802288077</v>
      </c>
      <c r="G150">
        <f t="shared" si="9"/>
        <v>0.44440228269433152</v>
      </c>
      <c r="H150">
        <f t="shared" si="9"/>
        <v>0.44877936049670653</v>
      </c>
      <c r="I150">
        <f t="shared" si="9"/>
        <v>0.45217448580596353</v>
      </c>
      <c r="J150">
        <f t="shared" si="9"/>
        <v>0.45494850516815727</v>
      </c>
      <c r="K150">
        <f t="shared" si="9"/>
        <v>0.45729390512006418</v>
      </c>
      <c r="L150">
        <f t="shared" si="9"/>
        <v>0.45932558297053216</v>
      </c>
      <c r="M150">
        <f t="shared" si="9"/>
        <v>0.4611176498396079</v>
      </c>
      <c r="N150">
        <f t="shared" si="9"/>
        <v>0.46272070827978917</v>
      </c>
      <c r="O150">
        <f t="shared" si="9"/>
        <v>0.46417085103219091</v>
      </c>
      <c r="P150">
        <f t="shared" si="9"/>
        <v>0.46549472764198285</v>
      </c>
      <c r="Q150">
        <f t="shared" si="9"/>
        <v>0.46671257606755184</v>
      </c>
      <c r="R150">
        <f t="shared" si="9"/>
        <v>0.46784012759388977</v>
      </c>
      <c r="S150">
        <f t="shared" si="9"/>
        <v>0.46888985295123981</v>
      </c>
      <c r="T150">
        <f t="shared" si="9"/>
        <v>0.4698718054443578</v>
      </c>
      <c r="U150">
        <f t="shared" si="9"/>
        <v>0.47079420802637678</v>
      </c>
      <c r="V150">
        <f t="shared" si="9"/>
        <v>0.47166387231343365</v>
      </c>
      <c r="W150">
        <f t="shared" si="9"/>
        <v>0.47248650415851634</v>
      </c>
      <c r="X150">
        <f t="shared" si="9"/>
        <v>0.47326693075361481</v>
      </c>
      <c r="Y150">
        <f t="shared" si="9"/>
        <v>0.47400927226534062</v>
      </c>
      <c r="Z150">
        <f t="shared" si="9"/>
        <v>0.47471707350601661</v>
      </c>
      <c r="AA150">
        <f t="shared" si="9"/>
        <v>0.47539340631176635</v>
      </c>
      <c r="AB150">
        <f t="shared" si="9"/>
        <v>0.47604095011580855</v>
      </c>
      <c r="AC150">
        <f t="shared" si="9"/>
        <v>0.47666205606287171</v>
      </c>
      <c r="AD150">
        <f t="shared" si="9"/>
        <v>0.47725879854137743</v>
      </c>
      <c r="AE150">
        <f t="shared" si="9"/>
        <v>0.47783301698488428</v>
      </c>
      <c r="AF150">
        <f t="shared" si="9"/>
        <v>0.4783863500677154</v>
      </c>
      <c r="AG150">
        <f t="shared" si="9"/>
        <v>0.47892026389728742</v>
      </c>
      <c r="AH150">
        <f t="shared" si="9"/>
        <v>0.47943607542506544</v>
      </c>
      <c r="AI150">
        <f t="shared" si="9"/>
        <v>0.47993497201740132</v>
      </c>
      <c r="AJ150">
        <f t="shared" si="9"/>
        <v>0.48041802791818344</v>
      </c>
      <c r="AK150">
        <f>AH106</f>
        <v>0.4808862181774673</v>
      </c>
    </row>
    <row r="151" spans="1:38" x14ac:dyDescent="0.3">
      <c r="A151" t="s">
        <v>217</v>
      </c>
      <c r="B151">
        <v>27.6</v>
      </c>
      <c r="D151" t="str">
        <f>A124</f>
        <v>Class 8 - Moderate</v>
      </c>
      <c r="E151">
        <f t="shared" ref="E151:AJ151" si="10">B124</f>
        <v>0</v>
      </c>
      <c r="F151">
        <f t="shared" si="10"/>
        <v>0.51549603131273936</v>
      </c>
      <c r="G151">
        <f t="shared" si="10"/>
        <v>0.51857434044137829</v>
      </c>
      <c r="H151">
        <f t="shared" si="10"/>
        <v>0.52075843552641787</v>
      </c>
      <c r="I151">
        <f t="shared" si="10"/>
        <v>0.52245255128945478</v>
      </c>
      <c r="J151">
        <f t="shared" si="10"/>
        <v>0.52383674465505703</v>
      </c>
      <c r="K151">
        <f t="shared" si="10"/>
        <v>0.52500706347018811</v>
      </c>
      <c r="L151">
        <f t="shared" si="10"/>
        <v>0.52602083974009661</v>
      </c>
      <c r="M151">
        <f t="shared" si="10"/>
        <v>0.52691505378369596</v>
      </c>
      <c r="N151">
        <f t="shared" si="10"/>
        <v>0.52771495550313341</v>
      </c>
      <c r="O151">
        <f t="shared" si="10"/>
        <v>0.52843855462591072</v>
      </c>
      <c r="P151">
        <f t="shared" si="10"/>
        <v>0.52909914886873566</v>
      </c>
      <c r="Q151">
        <f t="shared" si="10"/>
        <v>0.52970683666427021</v>
      </c>
      <c r="R151">
        <f t="shared" si="10"/>
        <v>0.53026946768386674</v>
      </c>
      <c r="S151">
        <f t="shared" si="10"/>
        <v>0.53079326463177234</v>
      </c>
      <c r="T151">
        <f t="shared" si="10"/>
        <v>0.53128324395377513</v>
      </c>
      <c r="U151">
        <f t="shared" si="10"/>
        <v>0.53174350877811127</v>
      </c>
      <c r="V151">
        <f t="shared" si="10"/>
        <v>0.53217745799737448</v>
      </c>
      <c r="W151">
        <f t="shared" si="10"/>
        <v>0.53258793874520749</v>
      </c>
      <c r="X151">
        <f t="shared" si="10"/>
        <v>0.53297735971681193</v>
      </c>
      <c r="Y151">
        <f t="shared" si="10"/>
        <v>0.53334777681250567</v>
      </c>
      <c r="Z151">
        <f t="shared" si="10"/>
        <v>0.53370095883958923</v>
      </c>
      <c r="AA151">
        <f t="shared" si="10"/>
        <v>0.53403843859745126</v>
      </c>
      <c r="AB151">
        <f t="shared" si="10"/>
        <v>0.53436155308241406</v>
      </c>
      <c r="AC151">
        <f t="shared" si="10"/>
        <v>0.53467147547984872</v>
      </c>
      <c r="AD151">
        <f t="shared" si="10"/>
        <v>0.53496924087794873</v>
      </c>
      <c r="AE151">
        <f t="shared" si="10"/>
        <v>0.53525576712601353</v>
      </c>
      <c r="AF151">
        <f t="shared" si="10"/>
        <v>0.53553187189754525</v>
      </c>
      <c r="AG151">
        <f t="shared" si="10"/>
        <v>0.53579828675779062</v>
      </c>
      <c r="AH151">
        <f t="shared" si="10"/>
        <v>0.53605566884545097</v>
      </c>
      <c r="AI151">
        <f t="shared" si="10"/>
        <v>0.53630461063823165</v>
      </c>
      <c r="AJ151">
        <f t="shared" si="10"/>
        <v>0.53654564816745376</v>
      </c>
      <c r="AK151">
        <f>AH124</f>
        <v>0.53677926796822828</v>
      </c>
    </row>
    <row r="152" spans="1:38" x14ac:dyDescent="0.3">
      <c r="A152" t="s">
        <v>218</v>
      </c>
      <c r="B152">
        <v>27.6</v>
      </c>
      <c r="D152" t="str">
        <f>A127</f>
        <v>Class 9 - Moderate</v>
      </c>
      <c r="E152">
        <f t="shared" ref="E152:AJ152" si="11">B127</f>
        <v>0</v>
      </c>
      <c r="F152">
        <f t="shared" si="11"/>
        <v>0.50289544287036791</v>
      </c>
      <c r="G152">
        <f t="shared" si="11"/>
        <v>0.50589850698435646</v>
      </c>
      <c r="H152">
        <f t="shared" si="11"/>
        <v>0.50802921488188368</v>
      </c>
      <c r="I152">
        <f t="shared" si="11"/>
        <v>0.50968192032513704</v>
      </c>
      <c r="J152">
        <f t="shared" si="11"/>
        <v>0.51103227899587222</v>
      </c>
      <c r="K152">
        <f t="shared" si="11"/>
        <v>0.51217399098410243</v>
      </c>
      <c r="L152">
        <f t="shared" si="11"/>
        <v>0.51316298689339934</v>
      </c>
      <c r="M152">
        <f t="shared" si="11"/>
        <v>0.51403534310986065</v>
      </c>
      <c r="N152">
        <f t="shared" si="11"/>
        <v>0.5148156923366527</v>
      </c>
      <c r="O152">
        <f t="shared" si="11"/>
        <v>0.515521604078365</v>
      </c>
      <c r="P152">
        <f t="shared" si="11"/>
        <v>0.5161660510073881</v>
      </c>
      <c r="Q152">
        <f t="shared" si="11"/>
        <v>0.51675888471414622</v>
      </c>
      <c r="R152">
        <f t="shared" si="11"/>
        <v>0.51730776299561831</v>
      </c>
      <c r="S152">
        <f t="shared" si="11"/>
        <v>0.51781875645064135</v>
      </c>
      <c r="T152">
        <f t="shared" si="11"/>
        <v>0.51829675890491522</v>
      </c>
      <c r="U152">
        <f t="shared" si="11"/>
        <v>0.51874577319137394</v>
      </c>
      <c r="V152">
        <f t="shared" si="11"/>
        <v>0.51916911512137653</v>
      </c>
      <c r="W152">
        <f t="shared" si="11"/>
        <v>0.5195695622343165</v>
      </c>
      <c r="X152">
        <f t="shared" si="11"/>
        <v>0.51994946434816847</v>
      </c>
      <c r="Y152">
        <f t="shared" si="11"/>
        <v>0.52031082710960674</v>
      </c>
      <c r="Z152">
        <f t="shared" si="11"/>
        <v>0.52065537608988066</v>
      </c>
      <c r="AA152">
        <f t="shared" si="11"/>
        <v>0.52098460662121504</v>
      </c>
      <c r="AB152">
        <f t="shared" si="11"/>
        <v>0.52129982301890365</v>
      </c>
      <c r="AC152">
        <f t="shared" si="11"/>
        <v>0.52160216979142182</v>
      </c>
      <c r="AD152">
        <f t="shared" si="11"/>
        <v>0.52189265672566187</v>
      </c>
      <c r="AE152">
        <f t="shared" si="11"/>
        <v>0.52217217923536496</v>
      </c>
      <c r="AF152">
        <f t="shared" si="11"/>
        <v>0.52244153500713397</v>
      </c>
      <c r="AG152">
        <f t="shared" si="11"/>
        <v>0.52270143772411348</v>
      </c>
      <c r="AH152">
        <f t="shared" si="11"/>
        <v>0.52295252846215701</v>
      </c>
      <c r="AI152">
        <f t="shared" si="11"/>
        <v>0.52319538521667086</v>
      </c>
      <c r="AJ152">
        <f t="shared" si="11"/>
        <v>0.52343053091643088</v>
      </c>
      <c r="AK152">
        <f>AH127</f>
        <v>0.5236584402038692</v>
      </c>
    </row>
    <row r="154" spans="1:38" ht="66.599999999999994" x14ac:dyDescent="0.3">
      <c r="D154" s="61" t="s">
        <v>219</v>
      </c>
      <c r="E154" s="27">
        <f>SUMPRODUCT(E149:E152,$B$149:$B$152)/SUM($B$149:$B$152)</f>
        <v>0</v>
      </c>
      <c r="F154" s="27">
        <f t="shared" ref="F154:AK154" si="12">SUMPRODUCT(F149:F152,$B$149:$B$152)/SUM($B$149:$B$152)</f>
        <v>0.48769523684708904</v>
      </c>
      <c r="G154" s="27">
        <f t="shared" si="12"/>
        <v>0.49179368897361969</v>
      </c>
      <c r="H154" s="27">
        <f t="shared" si="12"/>
        <v>0.49470158703445649</v>
      </c>
      <c r="I154" s="27">
        <f t="shared" si="12"/>
        <v>0.49695712800238945</v>
      </c>
      <c r="J154" s="27">
        <f t="shared" si="12"/>
        <v>0.49880003916098709</v>
      </c>
      <c r="K154" s="27">
        <f t="shared" si="12"/>
        <v>0.50035819834388673</v>
      </c>
      <c r="L154" s="27">
        <f t="shared" si="12"/>
        <v>0.50170793722182394</v>
      </c>
      <c r="M154" s="27">
        <f t="shared" si="12"/>
        <v>0.50289849128751773</v>
      </c>
      <c r="N154" s="27">
        <f t="shared" si="12"/>
        <v>0.50396347818975684</v>
      </c>
      <c r="O154" s="27">
        <f t="shared" si="12"/>
        <v>0.50492687602914588</v>
      </c>
      <c r="P154" s="27">
        <f t="shared" si="12"/>
        <v>0.50580638934835465</v>
      </c>
      <c r="Q154" s="27">
        <f t="shared" si="12"/>
        <v>0.50661546317226136</v>
      </c>
      <c r="R154" s="27">
        <f t="shared" si="12"/>
        <v>0.50736454853125423</v>
      </c>
      <c r="S154" s="27">
        <f t="shared" si="12"/>
        <v>0.50806193031628744</v>
      </c>
      <c r="T154" s="27">
        <f t="shared" si="12"/>
        <v>0.50871428740919133</v>
      </c>
      <c r="U154" s="27">
        <f t="shared" si="12"/>
        <v>0.50932708270337335</v>
      </c>
      <c r="V154" s="27">
        <f t="shared" si="12"/>
        <v>0.50990484147488513</v>
      </c>
      <c r="W154" s="27">
        <f t="shared" si="12"/>
        <v>0.51045135438946032</v>
      </c>
      <c r="X154" s="27">
        <f t="shared" si="12"/>
        <v>0.51096982837712424</v>
      </c>
      <c r="Y154" s="27">
        <f t="shared" si="12"/>
        <v>0.51146300065778483</v>
      </c>
      <c r="Z154" s="27">
        <f t="shared" si="12"/>
        <v>0.51193322621651327</v>
      </c>
      <c r="AA154" s="27">
        <f t="shared" si="12"/>
        <v>0.51238254581810971</v>
      </c>
      <c r="AB154" s="27">
        <f t="shared" si="12"/>
        <v>0.51281273953572182</v>
      </c>
      <c r="AC154" s="27">
        <f t="shared" si="12"/>
        <v>0.51322536934505714</v>
      </c>
      <c r="AD154" s="27">
        <f t="shared" si="12"/>
        <v>0.51362181335962875</v>
      </c>
      <c r="AE154" s="27">
        <f t="shared" si="12"/>
        <v>0.51400329360141572</v>
      </c>
      <c r="AF154" s="27">
        <f t="shared" si="12"/>
        <v>0.51437089871862152</v>
      </c>
      <c r="AG154" s="27">
        <f t="shared" si="12"/>
        <v>0.51472560271516099</v>
      </c>
      <c r="AH154" s="27">
        <f t="shared" si="12"/>
        <v>0.51506828050365472</v>
      </c>
      <c r="AI154" s="27">
        <f t="shared" si="12"/>
        <v>0.51539972090725572</v>
      </c>
      <c r="AJ154" s="27">
        <f t="shared" si="12"/>
        <v>0.51572063759655873</v>
      </c>
      <c r="AK154" s="27">
        <f t="shared" si="12"/>
        <v>0.51603167834304386</v>
      </c>
      <c r="AL154" s="27"/>
    </row>
  </sheetData>
  <mergeCells count="4">
    <mergeCell ref="A86:A87"/>
    <mergeCell ref="B86:B87"/>
    <mergeCell ref="C86:C87"/>
    <mergeCell ref="D86:D8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EFA5-5AB1-4887-919C-7C7EE1E9CA72}">
  <sheetPr>
    <tabColor theme="5" tint="0.59999389629810485"/>
  </sheetPr>
  <dimension ref="A1:BJ154"/>
  <sheetViews>
    <sheetView topLeftCell="A139" workbookViewId="0">
      <selection activeCell="B7" sqref="B7"/>
    </sheetView>
  </sheetViews>
  <sheetFormatPr defaultRowHeight="14.4" x14ac:dyDescent="0.3"/>
  <cols>
    <col min="1" max="1" width="34.109375" customWidth="1"/>
    <col min="6" max="6" width="15.33203125" customWidth="1"/>
  </cols>
  <sheetData>
    <row r="1" spans="1:34" x14ac:dyDescent="0.3">
      <c r="A1" s="15" t="s">
        <v>100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s="16" customFormat="1" ht="13.95" customHeight="1" x14ac:dyDescent="0.25">
      <c r="B2" s="16" t="s">
        <v>101</v>
      </c>
    </row>
    <row r="3" spans="1:34" s="16" customFormat="1" ht="13.95" customHeight="1" x14ac:dyDescent="0.25">
      <c r="B3" s="17"/>
      <c r="C3" s="17">
        <v>2020</v>
      </c>
      <c r="D3" s="17">
        <v>2021</v>
      </c>
      <c r="E3" s="17">
        <v>2022</v>
      </c>
      <c r="F3" s="17">
        <v>2023</v>
      </c>
      <c r="G3" s="17">
        <v>2024</v>
      </c>
      <c r="H3" s="17">
        <v>2025</v>
      </c>
      <c r="I3" s="17">
        <v>2026</v>
      </c>
      <c r="J3" s="17">
        <v>2027</v>
      </c>
      <c r="K3" s="17">
        <v>2028</v>
      </c>
      <c r="L3" s="17">
        <v>2029</v>
      </c>
      <c r="M3" s="17">
        <v>2030</v>
      </c>
      <c r="N3" s="17">
        <v>2031</v>
      </c>
      <c r="O3" s="17">
        <v>2032</v>
      </c>
      <c r="P3" s="17">
        <v>2033</v>
      </c>
      <c r="Q3" s="17">
        <v>2034</v>
      </c>
      <c r="R3" s="17">
        <v>2035</v>
      </c>
      <c r="S3" s="17">
        <v>2036</v>
      </c>
      <c r="T3" s="17">
        <v>2037</v>
      </c>
      <c r="U3" s="17">
        <v>2038</v>
      </c>
      <c r="V3" s="17">
        <v>2039</v>
      </c>
      <c r="W3" s="17">
        <v>2040</v>
      </c>
      <c r="X3" s="17">
        <v>2041</v>
      </c>
      <c r="Y3" s="17">
        <v>2042</v>
      </c>
      <c r="Z3" s="17">
        <v>2043</v>
      </c>
      <c r="AA3" s="17">
        <v>2044</v>
      </c>
      <c r="AB3" s="17">
        <v>2045</v>
      </c>
      <c r="AC3" s="17">
        <v>2046</v>
      </c>
      <c r="AD3" s="17">
        <v>2047</v>
      </c>
      <c r="AE3" s="17">
        <v>2048</v>
      </c>
      <c r="AF3" s="17">
        <v>2049</v>
      </c>
      <c r="AG3" s="17">
        <v>2050</v>
      </c>
    </row>
    <row r="4" spans="1:34" s="16" customFormat="1" ht="13.95" customHeight="1" x14ac:dyDescent="0.25">
      <c r="A4" s="18" t="s">
        <v>102</v>
      </c>
      <c r="B4" s="19"/>
      <c r="C4" s="19">
        <v>0.18736863525082861</v>
      </c>
      <c r="D4" s="19">
        <v>0.19071080276666419</v>
      </c>
      <c r="E4" s="19">
        <v>0.19405297028249976</v>
      </c>
      <c r="F4" s="19">
        <v>0.19739513779833534</v>
      </c>
      <c r="G4" s="19">
        <v>0.20073730531417092</v>
      </c>
      <c r="H4" s="19">
        <v>0.20407947283000649</v>
      </c>
      <c r="I4" s="19">
        <v>0.20742164034584207</v>
      </c>
      <c r="J4" s="19">
        <v>0.21076380786167764</v>
      </c>
      <c r="K4" s="19">
        <v>0.21410597537751322</v>
      </c>
      <c r="L4" s="19">
        <v>0.21744814289334879</v>
      </c>
      <c r="M4" s="19">
        <v>0.22079031040918431</v>
      </c>
      <c r="N4" s="19">
        <v>0.22127028934485646</v>
      </c>
      <c r="O4" s="19">
        <v>0.2217502682805286</v>
      </c>
      <c r="P4" s="19">
        <v>0.22223024721620074</v>
      </c>
      <c r="Q4" s="19">
        <v>0.22271022615187289</v>
      </c>
      <c r="R4" s="19">
        <v>0.22319020508754503</v>
      </c>
      <c r="S4" s="19">
        <v>0.22367018402321717</v>
      </c>
      <c r="T4" s="19">
        <v>0.22415016295888932</v>
      </c>
      <c r="U4" s="19">
        <v>0.22463014189456146</v>
      </c>
      <c r="V4" s="19">
        <v>0.2251101208302336</v>
      </c>
      <c r="W4" s="19">
        <v>0.22559009976590574</v>
      </c>
      <c r="X4" s="19">
        <v>0.22607007870157789</v>
      </c>
      <c r="Y4" s="19">
        <v>0.22655005763725003</v>
      </c>
      <c r="Z4" s="19">
        <v>0.22703003657292217</v>
      </c>
      <c r="AA4" s="19">
        <v>0.22751001550859432</v>
      </c>
      <c r="AB4" s="19">
        <v>0.22798999444426646</v>
      </c>
      <c r="AC4" s="19">
        <v>0.2284699733799386</v>
      </c>
      <c r="AD4" s="19">
        <v>0.22894995231561074</v>
      </c>
      <c r="AE4" s="19">
        <v>0.22942993125128289</v>
      </c>
      <c r="AF4" s="19">
        <v>0.22990991018695503</v>
      </c>
      <c r="AG4" s="19">
        <v>0.23038988912262712</v>
      </c>
    </row>
    <row r="5" spans="1:34" s="16" customFormat="1" ht="13.95" customHeight="1" x14ac:dyDescent="0.25">
      <c r="A5" s="20" t="s">
        <v>103</v>
      </c>
      <c r="B5" s="21"/>
      <c r="C5" s="21">
        <v>0.18601262810730876</v>
      </c>
      <c r="D5" s="21">
        <v>0.18799878847962448</v>
      </c>
      <c r="E5" s="21">
        <v>0.1899849488519402</v>
      </c>
      <c r="F5" s="21">
        <v>0.19197110922425592</v>
      </c>
      <c r="G5" s="21">
        <v>0.19395726959657164</v>
      </c>
      <c r="H5" s="21">
        <v>0.19594342996888736</v>
      </c>
      <c r="I5" s="21">
        <v>0.19792959034120308</v>
      </c>
      <c r="J5" s="21">
        <v>0.1999157507135188</v>
      </c>
      <c r="K5" s="21">
        <v>0.20190191108583452</v>
      </c>
      <c r="L5" s="21">
        <v>0.20388807145815024</v>
      </c>
      <c r="M5" s="21">
        <v>0.20587423183046583</v>
      </c>
      <c r="N5" s="21">
        <v>0.20662003575940174</v>
      </c>
      <c r="O5" s="21">
        <v>0.20736583968833766</v>
      </c>
      <c r="P5" s="21">
        <v>0.20811164361727358</v>
      </c>
      <c r="Q5" s="21">
        <v>0.2088574475462095</v>
      </c>
      <c r="R5" s="21">
        <v>0.20960325147514541</v>
      </c>
      <c r="S5" s="21">
        <v>0.21034905540408133</v>
      </c>
      <c r="T5" s="21">
        <v>0.21109485933301725</v>
      </c>
      <c r="U5" s="21">
        <v>0.21184066326195317</v>
      </c>
      <c r="V5" s="21">
        <v>0.21258646719088908</v>
      </c>
      <c r="W5" s="21">
        <v>0.213332271119825</v>
      </c>
      <c r="X5" s="21">
        <v>0.21407807504876092</v>
      </c>
      <c r="Y5" s="21">
        <v>0.21482387897769684</v>
      </c>
      <c r="Z5" s="21">
        <v>0.21556968290663275</v>
      </c>
      <c r="AA5" s="21">
        <v>0.21631548683556867</v>
      </c>
      <c r="AB5" s="21">
        <v>0.21706129076450459</v>
      </c>
      <c r="AC5" s="21">
        <v>0.21780709469344051</v>
      </c>
      <c r="AD5" s="21">
        <v>0.21855289862237642</v>
      </c>
      <c r="AE5" s="21">
        <v>0.21929870255131234</v>
      </c>
      <c r="AF5" s="21">
        <v>0.22004450648024826</v>
      </c>
      <c r="AG5" s="21">
        <v>0.22079031040918431</v>
      </c>
    </row>
    <row r="6" spans="1:34" s="16" customFormat="1" ht="13.95" customHeight="1" thickBot="1" x14ac:dyDescent="0.3">
      <c r="A6" s="22" t="s">
        <v>104</v>
      </c>
      <c r="B6" s="23"/>
      <c r="C6" s="23">
        <v>0.18402646773499304</v>
      </c>
      <c r="D6" s="23">
        <v>0.18402646773499304</v>
      </c>
      <c r="E6" s="23">
        <v>0.18402646773499304</v>
      </c>
      <c r="F6" s="23">
        <v>0.18402646773499304</v>
      </c>
      <c r="G6" s="23">
        <v>0.18402646773499304</v>
      </c>
      <c r="H6" s="23">
        <v>0.18402646773499304</v>
      </c>
      <c r="I6" s="23">
        <v>0.18402646773499304</v>
      </c>
      <c r="J6" s="23">
        <v>0.18402646773499304</v>
      </c>
      <c r="K6" s="23">
        <v>0.18402646773499304</v>
      </c>
      <c r="L6" s="23">
        <v>0.18402646773499304</v>
      </c>
      <c r="M6" s="23">
        <v>0.18402646773499304</v>
      </c>
      <c r="N6" s="23">
        <v>0.18511885593976668</v>
      </c>
      <c r="O6" s="23">
        <v>0.18621124414454032</v>
      </c>
      <c r="P6" s="23">
        <v>0.18730363234931396</v>
      </c>
      <c r="Q6" s="23">
        <v>0.18839602055408761</v>
      </c>
      <c r="R6" s="23">
        <v>0.18948840875886125</v>
      </c>
      <c r="S6" s="23">
        <v>0.19058079696363489</v>
      </c>
      <c r="T6" s="23">
        <v>0.19167318516840853</v>
      </c>
      <c r="U6" s="23">
        <v>0.19276557337318218</v>
      </c>
      <c r="V6" s="23">
        <v>0.19385796157795582</v>
      </c>
      <c r="W6" s="23">
        <v>0.19495034978272946</v>
      </c>
      <c r="X6" s="23">
        <v>0.1960427379875031</v>
      </c>
      <c r="Y6" s="23">
        <v>0.19713512619227674</v>
      </c>
      <c r="Z6" s="23">
        <v>0.19822751439705039</v>
      </c>
      <c r="AA6" s="23">
        <v>0.19931990260182403</v>
      </c>
      <c r="AB6" s="23">
        <v>0.20041229080659767</v>
      </c>
      <c r="AC6" s="23">
        <v>0.20150467901137131</v>
      </c>
      <c r="AD6" s="23">
        <v>0.20259706721614495</v>
      </c>
      <c r="AE6" s="23">
        <v>0.2036894554209186</v>
      </c>
      <c r="AF6" s="23">
        <v>0.20478184362569224</v>
      </c>
      <c r="AG6" s="23">
        <v>0.20587423183046583</v>
      </c>
    </row>
    <row r="7" spans="1:34" s="16" customFormat="1" ht="13.95" customHeight="1" thickTop="1" x14ac:dyDescent="0.25">
      <c r="A7" s="18" t="s">
        <v>105</v>
      </c>
      <c r="B7" s="19"/>
      <c r="C7" s="19">
        <v>0.20397884391007837</v>
      </c>
      <c r="D7" s="19">
        <v>0.20761729420418085</v>
      </c>
      <c r="E7" s="19">
        <v>0.21125574449828333</v>
      </c>
      <c r="F7" s="19">
        <v>0.21489419479238581</v>
      </c>
      <c r="G7" s="19">
        <v>0.21853264508648829</v>
      </c>
      <c r="H7" s="19">
        <v>0.22217109538059077</v>
      </c>
      <c r="I7" s="19">
        <v>0.22580954567469325</v>
      </c>
      <c r="J7" s="19">
        <v>0.22944799596879573</v>
      </c>
      <c r="K7" s="19">
        <v>0.23308644626289821</v>
      </c>
      <c r="L7" s="19">
        <v>0.23672489655700069</v>
      </c>
      <c r="M7" s="19">
        <v>0.24036334685110317</v>
      </c>
      <c r="N7" s="19">
        <v>0.24088587586599686</v>
      </c>
      <c r="O7" s="19">
        <v>0.24140840488089055</v>
      </c>
      <c r="P7" s="19">
        <v>0.24193093389578424</v>
      </c>
      <c r="Q7" s="19">
        <v>0.24245346291067793</v>
      </c>
      <c r="R7" s="19">
        <v>0.24297599192557162</v>
      </c>
      <c r="S7" s="19">
        <v>0.24349852094046531</v>
      </c>
      <c r="T7" s="19">
        <v>0.244021049955359</v>
      </c>
      <c r="U7" s="19">
        <v>0.2445435789702527</v>
      </c>
      <c r="V7" s="19">
        <v>0.24506610798514639</v>
      </c>
      <c r="W7" s="19">
        <v>0.24558863700004008</v>
      </c>
      <c r="X7" s="19">
        <v>0.24611116601493377</v>
      </c>
      <c r="Y7" s="19">
        <v>0.24663369502982746</v>
      </c>
      <c r="Z7" s="19">
        <v>0.24715622404472115</v>
      </c>
      <c r="AA7" s="19">
        <v>0.24767875305961484</v>
      </c>
      <c r="AB7" s="19">
        <v>0.24820128207450853</v>
      </c>
      <c r="AC7" s="19">
        <v>0.24872381108940222</v>
      </c>
      <c r="AD7" s="19">
        <v>0.24924634010429592</v>
      </c>
      <c r="AE7" s="19">
        <v>0.24976886911918961</v>
      </c>
      <c r="AF7" s="19">
        <v>0.2502913981340833</v>
      </c>
      <c r="AG7" s="19">
        <v>0.25081392714897721</v>
      </c>
    </row>
    <row r="8" spans="1:34" s="16" customFormat="1" ht="13.95" customHeight="1" x14ac:dyDescent="0.25">
      <c r="A8" s="20" t="s">
        <v>106</v>
      </c>
      <c r="B8" s="21"/>
      <c r="C8" s="21">
        <v>0.20250262688422069</v>
      </c>
      <c r="D8" s="21">
        <v>0.20466486015246549</v>
      </c>
      <c r="E8" s="21">
        <v>0.20682709342071029</v>
      </c>
      <c r="F8" s="21">
        <v>0.20898932668895509</v>
      </c>
      <c r="G8" s="21">
        <v>0.21115155995719989</v>
      </c>
      <c r="H8" s="21">
        <v>0.21331379322544469</v>
      </c>
      <c r="I8" s="21">
        <v>0.21547602649368949</v>
      </c>
      <c r="J8" s="21">
        <v>0.21763825976193429</v>
      </c>
      <c r="K8" s="21">
        <v>0.21980049303017909</v>
      </c>
      <c r="L8" s="21">
        <v>0.2219627262984239</v>
      </c>
      <c r="M8" s="21">
        <v>0.22412495956666878</v>
      </c>
      <c r="N8" s="21">
        <v>0.22493687893089051</v>
      </c>
      <c r="O8" s="21">
        <v>0.22574879829511224</v>
      </c>
      <c r="P8" s="21">
        <v>0.22656071765933397</v>
      </c>
      <c r="Q8" s="21">
        <v>0.2273726370235557</v>
      </c>
      <c r="R8" s="21">
        <v>0.22818455638777743</v>
      </c>
      <c r="S8" s="21">
        <v>0.22899647575199916</v>
      </c>
      <c r="T8" s="21">
        <v>0.22980839511622089</v>
      </c>
      <c r="U8" s="21">
        <v>0.23062031448044262</v>
      </c>
      <c r="V8" s="21">
        <v>0.23143223384466435</v>
      </c>
      <c r="W8" s="21">
        <v>0.23224415320888608</v>
      </c>
      <c r="X8" s="21">
        <v>0.23305607257310781</v>
      </c>
      <c r="Y8" s="21">
        <v>0.23386799193732954</v>
      </c>
      <c r="Z8" s="21">
        <v>0.23467991130155127</v>
      </c>
      <c r="AA8" s="21">
        <v>0.23549183066577301</v>
      </c>
      <c r="AB8" s="21">
        <v>0.23630375002999474</v>
      </c>
      <c r="AC8" s="21">
        <v>0.23711566939421647</v>
      </c>
      <c r="AD8" s="21">
        <v>0.2379275887584382</v>
      </c>
      <c r="AE8" s="21">
        <v>0.23873950812265993</v>
      </c>
      <c r="AF8" s="21">
        <v>0.23955142748688166</v>
      </c>
      <c r="AG8" s="21">
        <v>0.24036334685110317</v>
      </c>
    </row>
    <row r="9" spans="1:34" s="16" customFormat="1" ht="13.95" customHeight="1" thickBot="1" x14ac:dyDescent="0.3">
      <c r="A9" s="22" t="s">
        <v>107</v>
      </c>
      <c r="B9" s="23"/>
      <c r="C9" s="23">
        <v>0.20034039361597589</v>
      </c>
      <c r="D9" s="23">
        <v>0.20034039361597589</v>
      </c>
      <c r="E9" s="23">
        <v>0.20034039361597589</v>
      </c>
      <c r="F9" s="23">
        <v>0.20034039361597589</v>
      </c>
      <c r="G9" s="23">
        <v>0.20034039361597589</v>
      </c>
      <c r="H9" s="23">
        <v>0.20034039361597589</v>
      </c>
      <c r="I9" s="23">
        <v>0.20034039361597589</v>
      </c>
      <c r="J9" s="23">
        <v>0.20034039361597589</v>
      </c>
      <c r="K9" s="23">
        <v>0.20034039361597589</v>
      </c>
      <c r="L9" s="23">
        <v>0.20034039361597589</v>
      </c>
      <c r="M9" s="23">
        <v>0.20034039361597589</v>
      </c>
      <c r="N9" s="23">
        <v>0.20152962191351054</v>
      </c>
      <c r="O9" s="23">
        <v>0.20271885021104519</v>
      </c>
      <c r="P9" s="23">
        <v>0.20390807850857984</v>
      </c>
      <c r="Q9" s="23">
        <v>0.20509730680611449</v>
      </c>
      <c r="R9" s="23">
        <v>0.20628653510364914</v>
      </c>
      <c r="S9" s="23">
        <v>0.20747576340118379</v>
      </c>
      <c r="T9" s="23">
        <v>0.20866499169871844</v>
      </c>
      <c r="U9" s="23">
        <v>0.20985421999625309</v>
      </c>
      <c r="V9" s="23">
        <v>0.21104344829378774</v>
      </c>
      <c r="W9" s="23">
        <v>0.21223267659132239</v>
      </c>
      <c r="X9" s="23">
        <v>0.21342190488885704</v>
      </c>
      <c r="Y9" s="23">
        <v>0.21461113318639169</v>
      </c>
      <c r="Z9" s="23">
        <v>0.21580036148392634</v>
      </c>
      <c r="AA9" s="23">
        <v>0.21698958978146099</v>
      </c>
      <c r="AB9" s="23">
        <v>0.21817881807899564</v>
      </c>
      <c r="AC9" s="23">
        <v>0.21936804637653029</v>
      </c>
      <c r="AD9" s="23">
        <v>0.22055727467406494</v>
      </c>
      <c r="AE9" s="23">
        <v>0.22174650297159959</v>
      </c>
      <c r="AF9" s="23">
        <v>0.22293573126913424</v>
      </c>
      <c r="AG9" s="23">
        <v>0.22412495956666878</v>
      </c>
    </row>
    <row r="10" spans="1:34" s="16" customFormat="1" ht="13.95" customHeight="1" thickTop="1" x14ac:dyDescent="0.25">
      <c r="A10" s="18" t="s">
        <v>108</v>
      </c>
      <c r="B10" s="19"/>
      <c r="C10" s="19">
        <v>0.21444616571559108</v>
      </c>
      <c r="D10" s="19">
        <v>0.21827132571630667</v>
      </c>
      <c r="E10" s="19">
        <v>0.22209648571702226</v>
      </c>
      <c r="F10" s="19">
        <v>0.22592164571773785</v>
      </c>
      <c r="G10" s="19">
        <v>0.22974680571845343</v>
      </c>
      <c r="H10" s="19">
        <v>0.23357196571916902</v>
      </c>
      <c r="I10" s="19">
        <v>0.23739712571988461</v>
      </c>
      <c r="J10" s="19">
        <v>0.2412222857206002</v>
      </c>
      <c r="K10" s="19">
        <v>0.24504744572131579</v>
      </c>
      <c r="L10" s="19">
        <v>0.24887260572203138</v>
      </c>
      <c r="M10" s="19">
        <v>0.25269776572274705</v>
      </c>
      <c r="N10" s="19">
        <v>0.25324710869170952</v>
      </c>
      <c r="O10" s="19">
        <v>0.253796451660672</v>
      </c>
      <c r="P10" s="19">
        <v>0.25434579462963447</v>
      </c>
      <c r="Q10" s="19">
        <v>0.25489513759859694</v>
      </c>
      <c r="R10" s="19">
        <v>0.25544448056755942</v>
      </c>
      <c r="S10" s="19">
        <v>0.25599382353652189</v>
      </c>
      <c r="T10" s="19">
        <v>0.25654316650548437</v>
      </c>
      <c r="U10" s="19">
        <v>0.25709250947444684</v>
      </c>
      <c r="V10" s="19">
        <v>0.25764185244340931</v>
      </c>
      <c r="W10" s="19">
        <v>0.25819119541237179</v>
      </c>
      <c r="X10" s="19">
        <v>0.25874053838133426</v>
      </c>
      <c r="Y10" s="19">
        <v>0.25928988135029674</v>
      </c>
      <c r="Z10" s="19">
        <v>0.25983922431925921</v>
      </c>
      <c r="AA10" s="19">
        <v>0.26038856728822168</v>
      </c>
      <c r="AB10" s="19">
        <v>0.26093791025718416</v>
      </c>
      <c r="AC10" s="19">
        <v>0.26148725322614663</v>
      </c>
      <c r="AD10" s="19">
        <v>0.26203659619510911</v>
      </c>
      <c r="AE10" s="19">
        <v>0.26258593916407158</v>
      </c>
      <c r="AF10" s="19">
        <v>0.26313528213303405</v>
      </c>
      <c r="AG10" s="19">
        <v>0.26368462510199692</v>
      </c>
    </row>
    <row r="11" spans="1:34" s="16" customFormat="1" ht="13.95" customHeight="1" x14ac:dyDescent="0.25">
      <c r="A11" s="20" t="s">
        <v>109</v>
      </c>
      <c r="B11" s="21"/>
      <c r="C11" s="21">
        <v>0.21289419554608269</v>
      </c>
      <c r="D11" s="21">
        <v>0.21516738537728988</v>
      </c>
      <c r="E11" s="21">
        <v>0.21744057520849708</v>
      </c>
      <c r="F11" s="21">
        <v>0.21971376503970427</v>
      </c>
      <c r="G11" s="21">
        <v>0.22198695487091147</v>
      </c>
      <c r="H11" s="21">
        <v>0.22426014470211866</v>
      </c>
      <c r="I11" s="21">
        <v>0.22653333453332586</v>
      </c>
      <c r="J11" s="21">
        <v>0.22880652436453305</v>
      </c>
      <c r="K11" s="21">
        <v>0.23107971419574025</v>
      </c>
      <c r="L11" s="21">
        <v>0.23335290402694744</v>
      </c>
      <c r="M11" s="21">
        <v>0.23562609385815467</v>
      </c>
      <c r="N11" s="21">
        <v>0.23647967745138429</v>
      </c>
      <c r="O11" s="21">
        <v>0.23733326104461391</v>
      </c>
      <c r="P11" s="21">
        <v>0.23818684463784354</v>
      </c>
      <c r="Q11" s="21">
        <v>0.23904042823107316</v>
      </c>
      <c r="R11" s="21">
        <v>0.23989401182430278</v>
      </c>
      <c r="S11" s="21">
        <v>0.24074759541753241</v>
      </c>
      <c r="T11" s="21">
        <v>0.24160117901076203</v>
      </c>
      <c r="U11" s="21">
        <v>0.24245476260399165</v>
      </c>
      <c r="V11" s="21">
        <v>0.24330834619722128</v>
      </c>
      <c r="W11" s="21">
        <v>0.2441619297904509</v>
      </c>
      <c r="X11" s="21">
        <v>0.24501551338368052</v>
      </c>
      <c r="Y11" s="21">
        <v>0.24586909697691015</v>
      </c>
      <c r="Z11" s="21">
        <v>0.24672268057013977</v>
      </c>
      <c r="AA11" s="21">
        <v>0.24757626416336939</v>
      </c>
      <c r="AB11" s="21">
        <v>0.24842984775659901</v>
      </c>
      <c r="AC11" s="21">
        <v>0.24928343134982864</v>
      </c>
      <c r="AD11" s="21">
        <v>0.25013701494305823</v>
      </c>
      <c r="AE11" s="21">
        <v>0.25099059853628786</v>
      </c>
      <c r="AF11" s="21">
        <v>0.25184418212951748</v>
      </c>
      <c r="AG11" s="21">
        <v>0.25269776572274705</v>
      </c>
    </row>
    <row r="12" spans="1:34" s="16" customFormat="1" ht="13.95" customHeight="1" thickBot="1" x14ac:dyDescent="0.3">
      <c r="A12" s="22" t="s">
        <v>110</v>
      </c>
      <c r="B12" s="23"/>
      <c r="C12" s="23">
        <v>0.21062100571487549</v>
      </c>
      <c r="D12" s="23">
        <v>0.21062100571487549</v>
      </c>
      <c r="E12" s="23">
        <v>0.21062100571487549</v>
      </c>
      <c r="F12" s="23">
        <v>0.21062100571487549</v>
      </c>
      <c r="G12" s="23">
        <v>0.21062100571487549</v>
      </c>
      <c r="H12" s="23">
        <v>0.21062100571487549</v>
      </c>
      <c r="I12" s="23">
        <v>0.21062100571487549</v>
      </c>
      <c r="J12" s="23">
        <v>0.21062100571487549</v>
      </c>
      <c r="K12" s="23">
        <v>0.21062100571487549</v>
      </c>
      <c r="L12" s="23">
        <v>0.21062100571487549</v>
      </c>
      <c r="M12" s="23">
        <v>0.21062100571487549</v>
      </c>
      <c r="N12" s="23">
        <v>0.21187126012203944</v>
      </c>
      <c r="O12" s="23">
        <v>0.21312151452920339</v>
      </c>
      <c r="P12" s="23">
        <v>0.21437176893636734</v>
      </c>
      <c r="Q12" s="23">
        <v>0.21562202334353128</v>
      </c>
      <c r="R12" s="23">
        <v>0.21687227775069523</v>
      </c>
      <c r="S12" s="23">
        <v>0.21812253215785918</v>
      </c>
      <c r="T12" s="23">
        <v>0.21937278656502313</v>
      </c>
      <c r="U12" s="23">
        <v>0.22062304097218707</v>
      </c>
      <c r="V12" s="23">
        <v>0.22187329537935102</v>
      </c>
      <c r="W12" s="23">
        <v>0.22312354978651497</v>
      </c>
      <c r="X12" s="23">
        <v>0.22437380419367892</v>
      </c>
      <c r="Y12" s="23">
        <v>0.22562405860084286</v>
      </c>
      <c r="Z12" s="23">
        <v>0.22687431300800681</v>
      </c>
      <c r="AA12" s="23">
        <v>0.22812456741517076</v>
      </c>
      <c r="AB12" s="23">
        <v>0.22937482182233471</v>
      </c>
      <c r="AC12" s="23">
        <v>0.23062507622949865</v>
      </c>
      <c r="AD12" s="23">
        <v>0.2318753306366626</v>
      </c>
      <c r="AE12" s="23">
        <v>0.23312558504382655</v>
      </c>
      <c r="AF12" s="23">
        <v>0.2343758394509905</v>
      </c>
      <c r="AG12" s="23">
        <v>0.23562609385815467</v>
      </c>
    </row>
    <row r="13" spans="1:34" s="16" customFormat="1" ht="13.95" customHeight="1" thickTop="1" x14ac:dyDescent="0.25">
      <c r="A13" s="18" t="s">
        <v>111</v>
      </c>
      <c r="B13" s="19"/>
      <c r="C13" s="19">
        <v>0.22511296256788066</v>
      </c>
      <c r="D13" s="19">
        <v>0.22912839038951524</v>
      </c>
      <c r="E13" s="19">
        <v>0.23314381821114982</v>
      </c>
      <c r="F13" s="19">
        <v>0.2371592460327844</v>
      </c>
      <c r="G13" s="19">
        <v>0.24117467385441899</v>
      </c>
      <c r="H13" s="19">
        <v>0.24519010167605357</v>
      </c>
      <c r="I13" s="19">
        <v>0.24920552949768815</v>
      </c>
      <c r="J13" s="19">
        <v>0.2532209573193227</v>
      </c>
      <c r="K13" s="19">
        <v>0.25723638514095726</v>
      </c>
      <c r="L13" s="19">
        <v>0.26125181296259181</v>
      </c>
      <c r="M13" s="19">
        <v>0.26526724078422648</v>
      </c>
      <c r="N13" s="19">
        <v>0.26584390869897478</v>
      </c>
      <c r="O13" s="19">
        <v>0.26642057661372309</v>
      </c>
      <c r="P13" s="19">
        <v>0.2669972445284714</v>
      </c>
      <c r="Q13" s="19">
        <v>0.26757391244321971</v>
      </c>
      <c r="R13" s="19">
        <v>0.26815058035796802</v>
      </c>
      <c r="S13" s="19">
        <v>0.26872724827271632</v>
      </c>
      <c r="T13" s="19">
        <v>0.26930391618746463</v>
      </c>
      <c r="U13" s="19">
        <v>0.26988058410221294</v>
      </c>
      <c r="V13" s="19">
        <v>0.27045725201696125</v>
      </c>
      <c r="W13" s="19">
        <v>0.27103391993170955</v>
      </c>
      <c r="X13" s="19">
        <v>0.27161058784645786</v>
      </c>
      <c r="Y13" s="19">
        <v>0.27218725576120617</v>
      </c>
      <c r="Z13" s="19">
        <v>0.27276392367595448</v>
      </c>
      <c r="AA13" s="19">
        <v>0.27334059159070279</v>
      </c>
      <c r="AB13" s="19">
        <v>0.27391725950545109</v>
      </c>
      <c r="AC13" s="19">
        <v>0.2744939274201994</v>
      </c>
      <c r="AD13" s="19">
        <v>0.27507059533494771</v>
      </c>
      <c r="AE13" s="19">
        <v>0.27564726324969602</v>
      </c>
      <c r="AF13" s="19">
        <v>0.27622393116444433</v>
      </c>
      <c r="AG13" s="19">
        <v>0.27680059907919286</v>
      </c>
    </row>
    <row r="14" spans="1:34" s="16" customFormat="1" ht="13.95" customHeight="1" x14ac:dyDescent="0.25">
      <c r="A14" s="20" t="s">
        <v>112</v>
      </c>
      <c r="B14" s="21"/>
      <c r="C14" s="21">
        <v>0.22348379563216419</v>
      </c>
      <c r="D14" s="21">
        <v>0.22587005651808231</v>
      </c>
      <c r="E14" s="21">
        <v>0.22825631740400043</v>
      </c>
      <c r="F14" s="21">
        <v>0.23064257828991855</v>
      </c>
      <c r="G14" s="21">
        <v>0.23302883917583667</v>
      </c>
      <c r="H14" s="21">
        <v>0.23541510006175478</v>
      </c>
      <c r="I14" s="21">
        <v>0.2378013609476729</v>
      </c>
      <c r="J14" s="21">
        <v>0.24018762183359102</v>
      </c>
      <c r="K14" s="21">
        <v>0.24257388271950914</v>
      </c>
      <c r="L14" s="21">
        <v>0.24496014360542726</v>
      </c>
      <c r="M14" s="21">
        <v>0.24734640449134551</v>
      </c>
      <c r="N14" s="21">
        <v>0.24824244630598957</v>
      </c>
      <c r="O14" s="21">
        <v>0.24913848812063363</v>
      </c>
      <c r="P14" s="21">
        <v>0.25003452993527769</v>
      </c>
      <c r="Q14" s="21">
        <v>0.25093057174992173</v>
      </c>
      <c r="R14" s="21">
        <v>0.25182661356456576</v>
      </c>
      <c r="S14" s="21">
        <v>0.25272265537920979</v>
      </c>
      <c r="T14" s="21">
        <v>0.25361869719385383</v>
      </c>
      <c r="U14" s="21">
        <v>0.25451473900849786</v>
      </c>
      <c r="V14" s="21">
        <v>0.25541078082314189</v>
      </c>
      <c r="W14" s="21">
        <v>0.25630682263778592</v>
      </c>
      <c r="X14" s="21">
        <v>0.25720286445242996</v>
      </c>
      <c r="Y14" s="21">
        <v>0.25809890626707399</v>
      </c>
      <c r="Z14" s="21">
        <v>0.25899494808171802</v>
      </c>
      <c r="AA14" s="21">
        <v>0.25989098989636206</v>
      </c>
      <c r="AB14" s="21">
        <v>0.26078703171100609</v>
      </c>
      <c r="AC14" s="21">
        <v>0.26168307352565012</v>
      </c>
      <c r="AD14" s="21">
        <v>0.26257911534029416</v>
      </c>
      <c r="AE14" s="21">
        <v>0.26347515715493819</v>
      </c>
      <c r="AF14" s="21">
        <v>0.26437119896958222</v>
      </c>
      <c r="AG14" s="21">
        <v>0.26526724078422648</v>
      </c>
    </row>
    <row r="15" spans="1:34" s="16" customFormat="1" ht="13.95" customHeight="1" thickBot="1" x14ac:dyDescent="0.3">
      <c r="A15" s="22" t="s">
        <v>113</v>
      </c>
      <c r="B15" s="23"/>
      <c r="C15" s="23">
        <v>0.22109753474624608</v>
      </c>
      <c r="D15" s="23">
        <v>0.22109753474624608</v>
      </c>
      <c r="E15" s="23">
        <v>0.22109753474624608</v>
      </c>
      <c r="F15" s="23">
        <v>0.22109753474624608</v>
      </c>
      <c r="G15" s="23">
        <v>0.22109753474624608</v>
      </c>
      <c r="H15" s="23">
        <v>0.22109753474624608</v>
      </c>
      <c r="I15" s="23">
        <v>0.22109753474624608</v>
      </c>
      <c r="J15" s="23">
        <v>0.22109753474624608</v>
      </c>
      <c r="K15" s="23">
        <v>0.22109753474624608</v>
      </c>
      <c r="L15" s="23">
        <v>0.22109753474624608</v>
      </c>
      <c r="M15" s="23">
        <v>0.22109753474624608</v>
      </c>
      <c r="N15" s="23">
        <v>0.22240997823350106</v>
      </c>
      <c r="O15" s="23">
        <v>0.22372242172075604</v>
      </c>
      <c r="P15" s="23">
        <v>0.22503486520801103</v>
      </c>
      <c r="Q15" s="23">
        <v>0.22634730869526601</v>
      </c>
      <c r="R15" s="23">
        <v>0.22765975218252099</v>
      </c>
      <c r="S15" s="23">
        <v>0.22897219566977597</v>
      </c>
      <c r="T15" s="23">
        <v>0.23028463915703096</v>
      </c>
      <c r="U15" s="23">
        <v>0.23159708264428594</v>
      </c>
      <c r="V15" s="23">
        <v>0.23290952613154092</v>
      </c>
      <c r="W15" s="23">
        <v>0.23422196961879591</v>
      </c>
      <c r="X15" s="23">
        <v>0.23553441310605089</v>
      </c>
      <c r="Y15" s="23">
        <v>0.23684685659330587</v>
      </c>
      <c r="Z15" s="23">
        <v>0.23815930008056085</v>
      </c>
      <c r="AA15" s="23">
        <v>0.23947174356781584</v>
      </c>
      <c r="AB15" s="23">
        <v>0.24078418705507082</v>
      </c>
      <c r="AC15" s="23">
        <v>0.2420966305423258</v>
      </c>
      <c r="AD15" s="23">
        <v>0.24340907402958079</v>
      </c>
      <c r="AE15" s="23">
        <v>0.24472151751683577</v>
      </c>
      <c r="AF15" s="23">
        <v>0.24603396100409075</v>
      </c>
      <c r="AG15" s="23">
        <v>0.24734640449134551</v>
      </c>
    </row>
    <row r="16" spans="1:34" s="16" customFormat="1" ht="13.95" customHeight="1" thickTop="1" x14ac:dyDescent="0.25">
      <c r="A16" s="18" t="s">
        <v>114</v>
      </c>
      <c r="B16" s="19"/>
      <c r="C16" s="19">
        <v>0.23653284938051455</v>
      </c>
      <c r="D16" s="19">
        <v>0.2407519781827781</v>
      </c>
      <c r="E16" s="19">
        <v>0.24497110698504165</v>
      </c>
      <c r="F16" s="19">
        <v>0.2491902357873052</v>
      </c>
      <c r="G16" s="19">
        <v>0.25340936458956875</v>
      </c>
      <c r="H16" s="19">
        <v>0.2576284933918323</v>
      </c>
      <c r="I16" s="19">
        <v>0.26184762219409585</v>
      </c>
      <c r="J16" s="19">
        <v>0.2660667509963594</v>
      </c>
      <c r="K16" s="19">
        <v>0.27028587979862295</v>
      </c>
      <c r="L16" s="19">
        <v>0.2745050086008865</v>
      </c>
      <c r="M16" s="19">
        <v>0.27872413740314994</v>
      </c>
      <c r="N16" s="19">
        <v>0.27933005944098288</v>
      </c>
      <c r="O16" s="19">
        <v>0.27993598147881582</v>
      </c>
      <c r="P16" s="19">
        <v>0.28054190351664876</v>
      </c>
      <c r="Q16" s="19">
        <v>0.2811478255544817</v>
      </c>
      <c r="R16" s="19">
        <v>0.28175374759231464</v>
      </c>
      <c r="S16" s="19">
        <v>0.28235966963014758</v>
      </c>
      <c r="T16" s="19">
        <v>0.28296559166798052</v>
      </c>
      <c r="U16" s="19">
        <v>0.28357151370581346</v>
      </c>
      <c r="V16" s="19">
        <v>0.2841774357436464</v>
      </c>
      <c r="W16" s="19">
        <v>0.28478335778147934</v>
      </c>
      <c r="X16" s="19">
        <v>0.28538927981931228</v>
      </c>
      <c r="Y16" s="19">
        <v>0.28599520185714522</v>
      </c>
      <c r="Z16" s="19">
        <v>0.28660112389497816</v>
      </c>
      <c r="AA16" s="19">
        <v>0.2872070459328111</v>
      </c>
      <c r="AB16" s="19">
        <v>0.28781296797064404</v>
      </c>
      <c r="AC16" s="19">
        <v>0.28841889000847698</v>
      </c>
      <c r="AD16" s="19">
        <v>0.28902481204630992</v>
      </c>
      <c r="AE16" s="19">
        <v>0.28963073408414286</v>
      </c>
      <c r="AF16" s="19">
        <v>0.2902366561219758</v>
      </c>
      <c r="AG16" s="19">
        <v>0.29084257815980863</v>
      </c>
    </row>
    <row r="17" spans="1:34" s="16" customFormat="1" ht="13.95" customHeight="1" x14ac:dyDescent="0.25">
      <c r="A17" s="20" t="s">
        <v>115</v>
      </c>
      <c r="B17" s="21"/>
      <c r="C17" s="21">
        <v>0.23482103548483391</v>
      </c>
      <c r="D17" s="21">
        <v>0.23732835039141681</v>
      </c>
      <c r="E17" s="21">
        <v>0.23983566529799971</v>
      </c>
      <c r="F17" s="21">
        <v>0.24234298020458261</v>
      </c>
      <c r="G17" s="21">
        <v>0.24485029511116552</v>
      </c>
      <c r="H17" s="21">
        <v>0.24735761001774842</v>
      </c>
      <c r="I17" s="21">
        <v>0.24986492492433132</v>
      </c>
      <c r="J17" s="21">
        <v>0.25237223983091422</v>
      </c>
      <c r="K17" s="21">
        <v>0.25487955473749713</v>
      </c>
      <c r="L17" s="21">
        <v>0.25738686964408003</v>
      </c>
      <c r="M17" s="21">
        <v>0.25989418455066293</v>
      </c>
      <c r="N17" s="21">
        <v>0.26083568219328729</v>
      </c>
      <c r="O17" s="21">
        <v>0.26177717983591164</v>
      </c>
      <c r="P17" s="21">
        <v>0.262718677478536</v>
      </c>
      <c r="Q17" s="21">
        <v>0.26366017512116036</v>
      </c>
      <c r="R17" s="21">
        <v>0.26460167276378471</v>
      </c>
      <c r="S17" s="21">
        <v>0.26554317040640907</v>
      </c>
      <c r="T17" s="21">
        <v>0.26648466804903342</v>
      </c>
      <c r="U17" s="21">
        <v>0.26742616569165778</v>
      </c>
      <c r="V17" s="21">
        <v>0.26836766333428214</v>
      </c>
      <c r="W17" s="21">
        <v>0.26930916097690649</v>
      </c>
      <c r="X17" s="21">
        <v>0.27025065861953085</v>
      </c>
      <c r="Y17" s="21">
        <v>0.2711921562621552</v>
      </c>
      <c r="Z17" s="21">
        <v>0.27213365390477956</v>
      </c>
      <c r="AA17" s="21">
        <v>0.27307515154740392</v>
      </c>
      <c r="AB17" s="21">
        <v>0.27401664919002827</v>
      </c>
      <c r="AC17" s="21">
        <v>0.27495814683265263</v>
      </c>
      <c r="AD17" s="21">
        <v>0.27589964447527698</v>
      </c>
      <c r="AE17" s="21">
        <v>0.27684114211790134</v>
      </c>
      <c r="AF17" s="21">
        <v>0.2777826397605257</v>
      </c>
      <c r="AG17" s="21">
        <v>0.27872413740314994</v>
      </c>
    </row>
    <row r="18" spans="1:34" s="16" customFormat="1" ht="13.95" customHeight="1" thickBot="1" x14ac:dyDescent="0.3">
      <c r="A18" s="22" t="s">
        <v>116</v>
      </c>
      <c r="B18" s="23"/>
      <c r="C18" s="23">
        <v>0.232313720578251</v>
      </c>
      <c r="D18" s="23">
        <v>0.232313720578251</v>
      </c>
      <c r="E18" s="23">
        <v>0.232313720578251</v>
      </c>
      <c r="F18" s="23">
        <v>0.232313720578251</v>
      </c>
      <c r="G18" s="23">
        <v>0.232313720578251</v>
      </c>
      <c r="H18" s="23">
        <v>0.232313720578251</v>
      </c>
      <c r="I18" s="23">
        <v>0.232313720578251</v>
      </c>
      <c r="J18" s="23">
        <v>0.232313720578251</v>
      </c>
      <c r="K18" s="23">
        <v>0.232313720578251</v>
      </c>
      <c r="L18" s="23">
        <v>0.232313720578251</v>
      </c>
      <c r="M18" s="23">
        <v>0.232313720578251</v>
      </c>
      <c r="N18" s="23">
        <v>0.2336927437768716</v>
      </c>
      <c r="O18" s="23">
        <v>0.2350717669754922</v>
      </c>
      <c r="P18" s="23">
        <v>0.2364507901741128</v>
      </c>
      <c r="Q18" s="23">
        <v>0.2378298133727334</v>
      </c>
      <c r="R18" s="23">
        <v>0.239208836571354</v>
      </c>
      <c r="S18" s="23">
        <v>0.2405878597699746</v>
      </c>
      <c r="T18" s="23">
        <v>0.2419668829685952</v>
      </c>
      <c r="U18" s="23">
        <v>0.2433459061672158</v>
      </c>
      <c r="V18" s="23">
        <v>0.2447249293658364</v>
      </c>
      <c r="W18" s="23">
        <v>0.246103952564457</v>
      </c>
      <c r="X18" s="23">
        <v>0.2474829757630776</v>
      </c>
      <c r="Y18" s="23">
        <v>0.24886199896169819</v>
      </c>
      <c r="Z18" s="23">
        <v>0.25024102216031879</v>
      </c>
      <c r="AA18" s="23">
        <v>0.25162004535893939</v>
      </c>
      <c r="AB18" s="23">
        <v>0.25299906855755999</v>
      </c>
      <c r="AC18" s="23">
        <v>0.25437809175618059</v>
      </c>
      <c r="AD18" s="23">
        <v>0.25575711495480119</v>
      </c>
      <c r="AE18" s="23">
        <v>0.25713613815342179</v>
      </c>
      <c r="AF18" s="23">
        <v>0.25851516135204239</v>
      </c>
      <c r="AG18" s="23">
        <v>0.25989418455066293</v>
      </c>
    </row>
    <row r="19" spans="1:34" ht="15" thickTop="1" x14ac:dyDescent="0.3">
      <c r="A19" s="18" t="s">
        <v>117</v>
      </c>
      <c r="C19">
        <v>0.24546183884659542</v>
      </c>
      <c r="D19">
        <v>0.24984023752080323</v>
      </c>
      <c r="E19">
        <v>0.25421863619501106</v>
      </c>
      <c r="F19">
        <v>0.25859703486921887</v>
      </c>
      <c r="G19">
        <v>0.26297543354342667</v>
      </c>
      <c r="H19">
        <v>0.26735383221763448</v>
      </c>
      <c r="I19">
        <v>0.27173223089184229</v>
      </c>
      <c r="J19">
        <v>0.27611062956605009</v>
      </c>
      <c r="K19">
        <v>0.2804890282402579</v>
      </c>
      <c r="L19">
        <v>0.2848674269144657</v>
      </c>
      <c r="M19">
        <v>0.28924582558867362</v>
      </c>
      <c r="N19">
        <v>0.28987462086169247</v>
      </c>
      <c r="O19">
        <v>0.29050341613471131</v>
      </c>
      <c r="P19">
        <v>0.29113221140773016</v>
      </c>
      <c r="Q19">
        <v>0.291761006680749</v>
      </c>
      <c r="R19">
        <v>0.29238980195376785</v>
      </c>
      <c r="S19">
        <v>0.29301859722678669</v>
      </c>
      <c r="T19">
        <v>0.29364739249980554</v>
      </c>
      <c r="U19">
        <v>0.29427618777282438</v>
      </c>
      <c r="V19">
        <v>0.29490498304584323</v>
      </c>
      <c r="W19">
        <v>0.29553377831886207</v>
      </c>
      <c r="X19">
        <v>0.29616257359188092</v>
      </c>
      <c r="Y19">
        <v>0.29679136886489976</v>
      </c>
      <c r="Z19">
        <v>0.29742016413791861</v>
      </c>
      <c r="AA19">
        <v>0.29804895941093745</v>
      </c>
      <c r="AB19">
        <v>0.2986777546839563</v>
      </c>
      <c r="AC19">
        <v>0.29930654995697514</v>
      </c>
      <c r="AD19">
        <v>0.29993534522999399</v>
      </c>
      <c r="AE19">
        <v>0.30056414050301283</v>
      </c>
      <c r="AF19">
        <v>0.30119293577603168</v>
      </c>
      <c r="AG19">
        <v>0.30182173104905075</v>
      </c>
      <c r="AH19" s="16"/>
    </row>
    <row r="20" spans="1:34" x14ac:dyDescent="0.3">
      <c r="A20" s="20" t="s">
        <v>118</v>
      </c>
      <c r="C20">
        <v>0.24368540488531945</v>
      </c>
      <c r="D20">
        <v>0.24628736959825129</v>
      </c>
      <c r="E20">
        <v>0.24888933431118312</v>
      </c>
      <c r="F20">
        <v>0.25149129902411493</v>
      </c>
      <c r="G20">
        <v>0.25409326373704677</v>
      </c>
      <c r="H20">
        <v>0.25669522844997861</v>
      </c>
      <c r="I20">
        <v>0.25929719316291044</v>
      </c>
      <c r="J20">
        <v>0.26189915787584228</v>
      </c>
      <c r="K20">
        <v>0.26450112258877412</v>
      </c>
      <c r="L20">
        <v>0.26710308730170595</v>
      </c>
      <c r="M20">
        <v>0.26970505201463779</v>
      </c>
      <c r="N20">
        <v>0.27068209069333959</v>
      </c>
      <c r="O20">
        <v>0.2716591293720414</v>
      </c>
      <c r="P20">
        <v>0.2726361680507432</v>
      </c>
      <c r="Q20">
        <v>0.273613206729445</v>
      </c>
      <c r="R20">
        <v>0.2745902454081468</v>
      </c>
      <c r="S20">
        <v>0.27556728408684861</v>
      </c>
      <c r="T20">
        <v>0.27654432276555041</v>
      </c>
      <c r="U20">
        <v>0.27752136144425221</v>
      </c>
      <c r="V20">
        <v>0.27849840012295402</v>
      </c>
      <c r="W20">
        <v>0.27947543880165582</v>
      </c>
      <c r="X20">
        <v>0.28045247748035762</v>
      </c>
      <c r="Y20">
        <v>0.28142951615905942</v>
      </c>
      <c r="Z20">
        <v>0.28240655483776123</v>
      </c>
      <c r="AA20">
        <v>0.28338359351646303</v>
      </c>
      <c r="AB20">
        <v>0.28436063219516483</v>
      </c>
      <c r="AC20">
        <v>0.28533767087386663</v>
      </c>
      <c r="AD20">
        <v>0.28631470955256844</v>
      </c>
      <c r="AE20">
        <v>0.28729174823127024</v>
      </c>
      <c r="AF20">
        <v>0.28826878690997204</v>
      </c>
      <c r="AG20">
        <v>0.28924582558867362</v>
      </c>
      <c r="AH20" s="16"/>
    </row>
    <row r="21" spans="1:34" x14ac:dyDescent="0.3">
      <c r="A21" s="22" t="s">
        <v>119</v>
      </c>
      <c r="C21">
        <v>0.24108344017238761</v>
      </c>
      <c r="D21">
        <v>0.24108344017238761</v>
      </c>
      <c r="E21">
        <v>0.24108344017238761</v>
      </c>
      <c r="F21">
        <v>0.24108344017238761</v>
      </c>
      <c r="G21">
        <v>0.24108344017238761</v>
      </c>
      <c r="H21">
        <v>0.24108344017238761</v>
      </c>
      <c r="I21">
        <v>0.24108344017238761</v>
      </c>
      <c r="J21">
        <v>0.24108344017238761</v>
      </c>
      <c r="K21">
        <v>0.24108344017238761</v>
      </c>
      <c r="L21">
        <v>0.24108344017238761</v>
      </c>
      <c r="M21">
        <v>0.24108344017238761</v>
      </c>
      <c r="N21">
        <v>0.24251452076450011</v>
      </c>
      <c r="O21">
        <v>0.24394560135661261</v>
      </c>
      <c r="P21">
        <v>0.24537668194872511</v>
      </c>
      <c r="Q21">
        <v>0.24680776254083761</v>
      </c>
      <c r="R21">
        <v>0.24823884313295011</v>
      </c>
      <c r="S21">
        <v>0.24966992372506261</v>
      </c>
      <c r="T21">
        <v>0.25110100431717514</v>
      </c>
      <c r="U21">
        <v>0.25253208490928764</v>
      </c>
      <c r="V21">
        <v>0.25396316550140013</v>
      </c>
      <c r="W21">
        <v>0.25539424609351263</v>
      </c>
      <c r="X21">
        <v>0.25682532668562513</v>
      </c>
      <c r="Y21">
        <v>0.25825640727773763</v>
      </c>
      <c r="Z21">
        <v>0.25968748786985013</v>
      </c>
      <c r="AA21">
        <v>0.26111856846196263</v>
      </c>
      <c r="AB21">
        <v>0.26254964905407513</v>
      </c>
      <c r="AC21">
        <v>0.26398072964618763</v>
      </c>
      <c r="AD21">
        <v>0.26541181023830013</v>
      </c>
      <c r="AE21">
        <v>0.26684289083041263</v>
      </c>
      <c r="AF21">
        <v>0.26827397142252513</v>
      </c>
      <c r="AG21">
        <v>0.26970505201463779</v>
      </c>
      <c r="AH21" s="16"/>
    </row>
    <row r="22" spans="1:34" x14ac:dyDescent="0.3">
      <c r="A22" s="18" t="s">
        <v>120</v>
      </c>
      <c r="C22">
        <v>0.26274189125582154</v>
      </c>
      <c r="D22">
        <v>0.26742852097284364</v>
      </c>
      <c r="E22">
        <v>0.27211515068986575</v>
      </c>
      <c r="F22">
        <v>0.27680178040688785</v>
      </c>
      <c r="G22">
        <v>0.28148841012390996</v>
      </c>
      <c r="H22">
        <v>0.28617503984093207</v>
      </c>
      <c r="I22">
        <v>0.29086166955795417</v>
      </c>
      <c r="J22">
        <v>0.29554829927497628</v>
      </c>
      <c r="K22">
        <v>0.30023492899199838</v>
      </c>
      <c r="L22">
        <v>0.30492155870902049</v>
      </c>
      <c r="M22">
        <v>0.30960818842604249</v>
      </c>
      <c r="N22">
        <v>0.31028124970522952</v>
      </c>
      <c r="O22">
        <v>0.31095431098441656</v>
      </c>
      <c r="P22">
        <v>0.3116273722636036</v>
      </c>
      <c r="Q22">
        <v>0.31230043354279063</v>
      </c>
      <c r="R22">
        <v>0.31297349482197767</v>
      </c>
      <c r="S22">
        <v>0.31364655610116471</v>
      </c>
      <c r="T22">
        <v>0.31431961738035175</v>
      </c>
      <c r="U22">
        <v>0.31499267865953878</v>
      </c>
      <c r="V22">
        <v>0.31566573993872582</v>
      </c>
      <c r="W22">
        <v>0.31633880121791286</v>
      </c>
      <c r="X22">
        <v>0.31701186249709989</v>
      </c>
      <c r="Y22">
        <v>0.31768492377628693</v>
      </c>
      <c r="Z22">
        <v>0.31835798505547397</v>
      </c>
      <c r="AA22">
        <v>0.31903104633466101</v>
      </c>
      <c r="AB22">
        <v>0.31970410761384804</v>
      </c>
      <c r="AC22">
        <v>0.32037716889303508</v>
      </c>
      <c r="AD22">
        <v>0.32105023017222212</v>
      </c>
      <c r="AE22">
        <v>0.32172329145140915</v>
      </c>
      <c r="AF22">
        <v>0.32239635273059619</v>
      </c>
      <c r="AG22">
        <v>0.32306941400978351</v>
      </c>
      <c r="AH22" s="16"/>
    </row>
    <row r="23" spans="1:34" x14ac:dyDescent="0.3">
      <c r="A23" s="20" t="s">
        <v>121</v>
      </c>
      <c r="C23">
        <v>0.26084039968030859</v>
      </c>
      <c r="D23">
        <v>0.26362553782181775</v>
      </c>
      <c r="E23">
        <v>0.2664106759633269</v>
      </c>
      <c r="F23">
        <v>0.26919581410483606</v>
      </c>
      <c r="G23">
        <v>0.27198095224634522</v>
      </c>
      <c r="H23">
        <v>0.27476609038785438</v>
      </c>
      <c r="I23">
        <v>0.27755122852936354</v>
      </c>
      <c r="J23">
        <v>0.28033636667087269</v>
      </c>
      <c r="K23">
        <v>0.28312150481238185</v>
      </c>
      <c r="L23">
        <v>0.28590664295389101</v>
      </c>
      <c r="M23">
        <v>0.28869178109539989</v>
      </c>
      <c r="N23">
        <v>0.289737601461932</v>
      </c>
      <c r="O23">
        <v>0.29078342182846412</v>
      </c>
      <c r="P23">
        <v>0.29182924219499623</v>
      </c>
      <c r="Q23">
        <v>0.29287506256152834</v>
      </c>
      <c r="R23">
        <v>0.29392088292806046</v>
      </c>
      <c r="S23">
        <v>0.29496670329459257</v>
      </c>
      <c r="T23">
        <v>0.29601252366112468</v>
      </c>
      <c r="U23">
        <v>0.2970583440276568</v>
      </c>
      <c r="V23">
        <v>0.29810416439418891</v>
      </c>
      <c r="W23">
        <v>0.29914998476072102</v>
      </c>
      <c r="X23">
        <v>0.30019580512725313</v>
      </c>
      <c r="Y23">
        <v>0.30124162549378525</v>
      </c>
      <c r="Z23">
        <v>0.30228744586031736</v>
      </c>
      <c r="AA23">
        <v>0.30333326622684947</v>
      </c>
      <c r="AB23">
        <v>0.30437908659338159</v>
      </c>
      <c r="AC23">
        <v>0.3054249069599137</v>
      </c>
      <c r="AD23">
        <v>0.30647072732644581</v>
      </c>
      <c r="AE23">
        <v>0.30751654769297793</v>
      </c>
      <c r="AF23">
        <v>0.30856236805951004</v>
      </c>
      <c r="AG23">
        <v>0.30960818842604249</v>
      </c>
      <c r="AH23" s="16"/>
    </row>
    <row r="24" spans="1:34" x14ac:dyDescent="0.3">
      <c r="A24" s="22" t="s">
        <v>122</v>
      </c>
      <c r="C24">
        <v>0.25805526153879943</v>
      </c>
      <c r="D24">
        <v>0.25805526153879943</v>
      </c>
      <c r="E24">
        <v>0.25805526153879943</v>
      </c>
      <c r="F24">
        <v>0.25805526153879943</v>
      </c>
      <c r="G24">
        <v>0.25805526153879943</v>
      </c>
      <c r="H24">
        <v>0.25805526153879943</v>
      </c>
      <c r="I24">
        <v>0.25805526153879943</v>
      </c>
      <c r="J24">
        <v>0.25805526153879943</v>
      </c>
      <c r="K24">
        <v>0.25805526153879943</v>
      </c>
      <c r="L24">
        <v>0.25805526153879943</v>
      </c>
      <c r="M24">
        <v>0.25805526153879943</v>
      </c>
      <c r="N24">
        <v>0.25958708751662946</v>
      </c>
      <c r="O24">
        <v>0.26111891349445948</v>
      </c>
      <c r="P24">
        <v>0.26265073947228951</v>
      </c>
      <c r="Q24">
        <v>0.26418256545011953</v>
      </c>
      <c r="R24">
        <v>0.26571439142794956</v>
      </c>
      <c r="S24">
        <v>0.26724621740577958</v>
      </c>
      <c r="T24">
        <v>0.26877804338360961</v>
      </c>
      <c r="U24">
        <v>0.27030986936143964</v>
      </c>
      <c r="V24">
        <v>0.27184169533926966</v>
      </c>
      <c r="W24">
        <v>0.27337352131709969</v>
      </c>
      <c r="X24">
        <v>0.27490534729492971</v>
      </c>
      <c r="Y24">
        <v>0.27643717327275974</v>
      </c>
      <c r="Z24">
        <v>0.27796899925058977</v>
      </c>
      <c r="AA24">
        <v>0.27950082522841979</v>
      </c>
      <c r="AB24">
        <v>0.28103265120624982</v>
      </c>
      <c r="AC24">
        <v>0.28256447718407984</v>
      </c>
      <c r="AD24">
        <v>0.28409630316190987</v>
      </c>
      <c r="AE24">
        <v>0.28562812913973989</v>
      </c>
      <c r="AF24">
        <v>0.28715995511756992</v>
      </c>
      <c r="AG24">
        <v>0.28869178109539989</v>
      </c>
      <c r="AH24" s="16"/>
    </row>
    <row r="25" spans="1:34" x14ac:dyDescent="0.3">
      <c r="A25" s="18" t="s">
        <v>123</v>
      </c>
      <c r="C25">
        <v>0.27801629364985952</v>
      </c>
      <c r="D25">
        <v>0.28297537884715351</v>
      </c>
      <c r="E25">
        <v>0.2879344640444475</v>
      </c>
      <c r="F25">
        <v>0.29289354924174149</v>
      </c>
      <c r="G25">
        <v>0.29785263443903548</v>
      </c>
      <c r="H25">
        <v>0.30281171963632947</v>
      </c>
      <c r="I25">
        <v>0.30777080483362346</v>
      </c>
      <c r="J25">
        <v>0.31272989003091745</v>
      </c>
      <c r="K25">
        <v>0.31768897522821143</v>
      </c>
      <c r="L25">
        <v>0.32264806042550542</v>
      </c>
      <c r="M25">
        <v>0.32760714562279958</v>
      </c>
      <c r="N25">
        <v>0.32831933506980565</v>
      </c>
      <c r="O25">
        <v>0.32903152451681172</v>
      </c>
      <c r="P25">
        <v>0.3297437139638178</v>
      </c>
      <c r="Q25">
        <v>0.33045590341082387</v>
      </c>
      <c r="R25">
        <v>0.33116809285782994</v>
      </c>
      <c r="S25">
        <v>0.33188028230483602</v>
      </c>
      <c r="T25">
        <v>0.33259247175184209</v>
      </c>
      <c r="U25">
        <v>0.33330466119884816</v>
      </c>
      <c r="V25">
        <v>0.33401685064585424</v>
      </c>
      <c r="W25">
        <v>0.33472904009286031</v>
      </c>
      <c r="X25">
        <v>0.33544122953986638</v>
      </c>
      <c r="Y25">
        <v>0.33615341898687245</v>
      </c>
      <c r="Z25">
        <v>0.33686560843387853</v>
      </c>
      <c r="AA25">
        <v>0.3375777978808846</v>
      </c>
      <c r="AB25">
        <v>0.33828998732789067</v>
      </c>
      <c r="AC25">
        <v>0.33900217677489675</v>
      </c>
      <c r="AD25">
        <v>0.33971436622190282</v>
      </c>
      <c r="AE25">
        <v>0.34042655566890889</v>
      </c>
      <c r="AF25">
        <v>0.34113874511591497</v>
      </c>
      <c r="AG25">
        <v>0.34185093456292132</v>
      </c>
    </row>
    <row r="26" spans="1:34" x14ac:dyDescent="0.3">
      <c r="A26" s="20" t="s">
        <v>124</v>
      </c>
      <c r="C26">
        <v>0.27600425956689018</v>
      </c>
      <c r="D26">
        <v>0.27895131068121481</v>
      </c>
      <c r="E26">
        <v>0.28189836179553945</v>
      </c>
      <c r="F26">
        <v>0.28484541290986409</v>
      </c>
      <c r="G26">
        <v>0.28779246402418873</v>
      </c>
      <c r="H26">
        <v>0.29073951513851337</v>
      </c>
      <c r="I26">
        <v>0.29368656625283801</v>
      </c>
      <c r="J26">
        <v>0.29663361736716265</v>
      </c>
      <c r="K26">
        <v>0.29958066848148729</v>
      </c>
      <c r="L26">
        <v>0.30252771959581193</v>
      </c>
      <c r="M26">
        <v>0.3054747707101364</v>
      </c>
      <c r="N26">
        <v>0.30658138945576957</v>
      </c>
      <c r="O26">
        <v>0.30768800820140274</v>
      </c>
      <c r="P26">
        <v>0.30879462694703591</v>
      </c>
      <c r="Q26">
        <v>0.30990124569266908</v>
      </c>
      <c r="R26">
        <v>0.31100786443830225</v>
      </c>
      <c r="S26">
        <v>0.31211448318393542</v>
      </c>
      <c r="T26">
        <v>0.31322110192956859</v>
      </c>
      <c r="U26">
        <v>0.31432772067520176</v>
      </c>
      <c r="V26">
        <v>0.31543433942083493</v>
      </c>
      <c r="W26">
        <v>0.3165409581664681</v>
      </c>
      <c r="X26">
        <v>0.31764757691210127</v>
      </c>
      <c r="Y26">
        <v>0.31875419565773444</v>
      </c>
      <c r="Z26">
        <v>0.31986081440336761</v>
      </c>
      <c r="AA26">
        <v>0.32096743314900078</v>
      </c>
      <c r="AB26">
        <v>0.32207405189463395</v>
      </c>
      <c r="AC26">
        <v>0.32318067064026712</v>
      </c>
      <c r="AD26">
        <v>0.32428728938590029</v>
      </c>
      <c r="AE26">
        <v>0.32539390813153346</v>
      </c>
      <c r="AF26">
        <v>0.32650052687716663</v>
      </c>
      <c r="AG26">
        <v>0.32760714562279958</v>
      </c>
    </row>
    <row r="27" spans="1:34" x14ac:dyDescent="0.3">
      <c r="A27" s="22" t="s">
        <v>125</v>
      </c>
      <c r="C27">
        <v>0.27305720845256554</v>
      </c>
      <c r="D27">
        <v>0.27305720845256554</v>
      </c>
      <c r="E27">
        <v>0.27305720845256554</v>
      </c>
      <c r="F27">
        <v>0.27305720845256554</v>
      </c>
      <c r="G27">
        <v>0.27305720845256554</v>
      </c>
      <c r="H27">
        <v>0.27305720845256554</v>
      </c>
      <c r="I27">
        <v>0.27305720845256554</v>
      </c>
      <c r="J27">
        <v>0.27305720845256554</v>
      </c>
      <c r="K27">
        <v>0.27305720845256554</v>
      </c>
      <c r="L27">
        <v>0.27305720845256554</v>
      </c>
      <c r="M27">
        <v>0.27305720845256554</v>
      </c>
      <c r="N27">
        <v>0.27467808656544407</v>
      </c>
      <c r="O27">
        <v>0.2762989646783226</v>
      </c>
      <c r="P27">
        <v>0.27791984279120113</v>
      </c>
      <c r="Q27">
        <v>0.27954072090407966</v>
      </c>
      <c r="R27">
        <v>0.2811615990169582</v>
      </c>
      <c r="S27">
        <v>0.28278247712983673</v>
      </c>
      <c r="T27">
        <v>0.28440335524271526</v>
      </c>
      <c r="U27">
        <v>0.28602423335559379</v>
      </c>
      <c r="V27">
        <v>0.28764511146847233</v>
      </c>
      <c r="W27">
        <v>0.28926598958135086</v>
      </c>
      <c r="X27">
        <v>0.29088686769422939</v>
      </c>
      <c r="Y27">
        <v>0.29250774580710792</v>
      </c>
      <c r="Z27">
        <v>0.29412862391998645</v>
      </c>
      <c r="AA27">
        <v>0.29574950203286499</v>
      </c>
      <c r="AB27">
        <v>0.29737038014574352</v>
      </c>
      <c r="AC27">
        <v>0.29899125825862205</v>
      </c>
      <c r="AD27">
        <v>0.30061213637150058</v>
      </c>
      <c r="AE27">
        <v>0.30223301448437911</v>
      </c>
      <c r="AF27">
        <v>0.30385389259725765</v>
      </c>
      <c r="AG27">
        <v>0.3054747707101364</v>
      </c>
    </row>
    <row r="28" spans="1:34" x14ac:dyDescent="0.3">
      <c r="A28" s="18" t="s">
        <v>126</v>
      </c>
      <c r="C28">
        <v>0.29150681399764794</v>
      </c>
      <c r="D28">
        <v>0.29670653487453547</v>
      </c>
      <c r="E28">
        <v>0.30190625575142299</v>
      </c>
      <c r="F28">
        <v>0.30710597662831052</v>
      </c>
      <c r="G28">
        <v>0.31230569750519804</v>
      </c>
      <c r="H28">
        <v>0.31750541838208557</v>
      </c>
      <c r="I28">
        <v>0.32270513925897309</v>
      </c>
      <c r="J28">
        <v>0.32790486013586062</v>
      </c>
      <c r="K28">
        <v>0.33310458101274815</v>
      </c>
      <c r="L28">
        <v>0.33830430188963567</v>
      </c>
      <c r="M28">
        <v>0.34350402276652331</v>
      </c>
      <c r="N28">
        <v>0.34425077064210269</v>
      </c>
      <c r="O28">
        <v>0.34499751851768207</v>
      </c>
      <c r="P28">
        <v>0.34574426639326145</v>
      </c>
      <c r="Q28">
        <v>0.34649101426884082</v>
      </c>
      <c r="R28">
        <v>0.3472377621444202</v>
      </c>
      <c r="S28">
        <v>0.34798451001999958</v>
      </c>
      <c r="T28">
        <v>0.34873125789557896</v>
      </c>
      <c r="U28">
        <v>0.34947800577115834</v>
      </c>
      <c r="V28">
        <v>0.35022475364673772</v>
      </c>
      <c r="W28">
        <v>0.3509715015223171</v>
      </c>
      <c r="X28">
        <v>0.35171824939789648</v>
      </c>
      <c r="Y28">
        <v>0.35246499727347586</v>
      </c>
      <c r="Z28">
        <v>0.35321174514905523</v>
      </c>
      <c r="AA28">
        <v>0.35395849302463461</v>
      </c>
      <c r="AB28">
        <v>0.35470524090021399</v>
      </c>
      <c r="AC28">
        <v>0.35545198877579337</v>
      </c>
      <c r="AD28">
        <v>0.35619873665137275</v>
      </c>
      <c r="AE28">
        <v>0.35694548452695213</v>
      </c>
      <c r="AF28">
        <v>0.35769223240253151</v>
      </c>
      <c r="AG28">
        <v>0.35843898027811127</v>
      </c>
    </row>
    <row r="29" spans="1:34" x14ac:dyDescent="0.3">
      <c r="A29" s="20" t="s">
        <v>127</v>
      </c>
      <c r="C29">
        <v>0.28939714755514884</v>
      </c>
      <c r="D29">
        <v>0.29248720198953726</v>
      </c>
      <c r="E29">
        <v>0.29557725642392568</v>
      </c>
      <c r="F29">
        <v>0.29866731085831411</v>
      </c>
      <c r="G29">
        <v>0.30175736529270253</v>
      </c>
      <c r="H29">
        <v>0.30484741972709095</v>
      </c>
      <c r="I29">
        <v>0.30793747416147937</v>
      </c>
      <c r="J29">
        <v>0.3110275285958678</v>
      </c>
      <c r="K29">
        <v>0.31411758303025622</v>
      </c>
      <c r="L29">
        <v>0.31720763746464464</v>
      </c>
      <c r="M29">
        <v>0.32029769189903323</v>
      </c>
      <c r="N29">
        <v>0.32145800844240774</v>
      </c>
      <c r="O29">
        <v>0.32261832498578225</v>
      </c>
      <c r="P29">
        <v>0.32377864152915675</v>
      </c>
      <c r="Q29">
        <v>0.32493895807253126</v>
      </c>
      <c r="R29">
        <v>0.32609927461590577</v>
      </c>
      <c r="S29">
        <v>0.32725959115928027</v>
      </c>
      <c r="T29">
        <v>0.32841990770265478</v>
      </c>
      <c r="U29">
        <v>0.32958022424602929</v>
      </c>
      <c r="V29">
        <v>0.33074054078940379</v>
      </c>
      <c r="W29">
        <v>0.3319008573327783</v>
      </c>
      <c r="X29">
        <v>0.33306117387615281</v>
      </c>
      <c r="Y29">
        <v>0.33422149041952731</v>
      </c>
      <c r="Z29">
        <v>0.33538180696290182</v>
      </c>
      <c r="AA29">
        <v>0.33654212350627632</v>
      </c>
      <c r="AB29">
        <v>0.33770244004965083</v>
      </c>
      <c r="AC29">
        <v>0.33886275659302534</v>
      </c>
      <c r="AD29">
        <v>0.34002307313639984</v>
      </c>
      <c r="AE29">
        <v>0.34118338967977435</v>
      </c>
      <c r="AF29">
        <v>0.34234370622314886</v>
      </c>
      <c r="AG29">
        <v>0.34350402276652331</v>
      </c>
    </row>
    <row r="30" spans="1:34" x14ac:dyDescent="0.3">
      <c r="A30" s="22" t="s">
        <v>128</v>
      </c>
      <c r="C30">
        <v>0.28630709312076041</v>
      </c>
      <c r="D30">
        <v>0.28630709312076041</v>
      </c>
      <c r="E30">
        <v>0.28630709312076041</v>
      </c>
      <c r="F30">
        <v>0.28630709312076041</v>
      </c>
      <c r="G30">
        <v>0.28630709312076041</v>
      </c>
      <c r="H30">
        <v>0.28630709312076041</v>
      </c>
      <c r="I30">
        <v>0.28630709312076041</v>
      </c>
      <c r="J30">
        <v>0.28630709312076041</v>
      </c>
      <c r="K30">
        <v>0.28630709312076041</v>
      </c>
      <c r="L30">
        <v>0.28630709312076041</v>
      </c>
      <c r="M30">
        <v>0.28630709312076041</v>
      </c>
      <c r="N30">
        <v>0.28800662305967406</v>
      </c>
      <c r="O30">
        <v>0.28970615299858771</v>
      </c>
      <c r="P30">
        <v>0.29140568293750135</v>
      </c>
      <c r="Q30">
        <v>0.293105212876415</v>
      </c>
      <c r="R30">
        <v>0.29480474281532865</v>
      </c>
      <c r="S30">
        <v>0.29650427275424229</v>
      </c>
      <c r="T30">
        <v>0.29820380269315594</v>
      </c>
      <c r="U30">
        <v>0.29990333263206959</v>
      </c>
      <c r="V30">
        <v>0.30160286257098323</v>
      </c>
      <c r="W30">
        <v>0.30330239250989688</v>
      </c>
      <c r="X30">
        <v>0.30500192244881053</v>
      </c>
      <c r="Y30">
        <v>0.30670145238772417</v>
      </c>
      <c r="Z30">
        <v>0.30840098232663782</v>
      </c>
      <c r="AA30">
        <v>0.31010051226555146</v>
      </c>
      <c r="AB30">
        <v>0.31180004220446511</v>
      </c>
      <c r="AC30">
        <v>0.31349957214337876</v>
      </c>
      <c r="AD30">
        <v>0.3151991020822924</v>
      </c>
      <c r="AE30">
        <v>0.31689863202120605</v>
      </c>
      <c r="AF30">
        <v>0.3185981619601197</v>
      </c>
      <c r="AG30">
        <v>0.32029769189903323</v>
      </c>
    </row>
    <row r="31" spans="1:34" x14ac:dyDescent="0.3">
      <c r="A31" s="18" t="s">
        <v>129</v>
      </c>
      <c r="C31">
        <v>0.3005277955541486</v>
      </c>
      <c r="D31">
        <v>0.30588842720182086</v>
      </c>
      <c r="E31">
        <v>0.31124905884949311</v>
      </c>
      <c r="F31">
        <v>0.31660969049716536</v>
      </c>
      <c r="G31">
        <v>0.32197032214483762</v>
      </c>
      <c r="H31">
        <v>0.32733095379250987</v>
      </c>
      <c r="I31">
        <v>0.33269158544018212</v>
      </c>
      <c r="J31">
        <v>0.33805221708785438</v>
      </c>
      <c r="K31">
        <v>0.34341284873552663</v>
      </c>
      <c r="L31">
        <v>0.34877348038319889</v>
      </c>
      <c r="M31">
        <v>0.35413411203087103</v>
      </c>
      <c r="N31">
        <v>0.35490396879615554</v>
      </c>
      <c r="O31">
        <v>0.35567382556144006</v>
      </c>
      <c r="P31">
        <v>0.35644368232672458</v>
      </c>
      <c r="Q31">
        <v>0.35721353909200909</v>
      </c>
      <c r="R31">
        <v>0.35798339585729361</v>
      </c>
      <c r="S31">
        <v>0.35875325262257812</v>
      </c>
      <c r="T31">
        <v>0.35952310938786264</v>
      </c>
      <c r="U31">
        <v>0.36029296615314715</v>
      </c>
      <c r="V31">
        <v>0.36106282291843167</v>
      </c>
      <c r="W31">
        <v>0.36183267968371619</v>
      </c>
      <c r="X31">
        <v>0.3626025364490007</v>
      </c>
      <c r="Y31">
        <v>0.36337239321428522</v>
      </c>
      <c r="Z31">
        <v>0.36414224997956973</v>
      </c>
      <c r="AA31">
        <v>0.36491210674485425</v>
      </c>
      <c r="AB31">
        <v>0.36568196351013876</v>
      </c>
      <c r="AC31">
        <v>0.36645182027542328</v>
      </c>
      <c r="AD31">
        <v>0.36722167704070779</v>
      </c>
      <c r="AE31">
        <v>0.36799153380599231</v>
      </c>
      <c r="AF31">
        <v>0.36876139057127683</v>
      </c>
      <c r="AG31">
        <v>0.36953124733656112</v>
      </c>
    </row>
    <row r="32" spans="1:34" x14ac:dyDescent="0.3">
      <c r="A32" s="20" t="s">
        <v>130</v>
      </c>
      <c r="C32">
        <v>0.29835284328931427</v>
      </c>
      <c r="D32">
        <v>0.3015385226721522</v>
      </c>
      <c r="E32">
        <v>0.30472420205499012</v>
      </c>
      <c r="F32">
        <v>0.30790988143782805</v>
      </c>
      <c r="G32">
        <v>0.31109556082066597</v>
      </c>
      <c r="H32">
        <v>0.3142812402035039</v>
      </c>
      <c r="I32">
        <v>0.31746691958634182</v>
      </c>
      <c r="J32">
        <v>0.32065259896917975</v>
      </c>
      <c r="K32">
        <v>0.32383827835201767</v>
      </c>
      <c r="L32">
        <v>0.3270239577348556</v>
      </c>
      <c r="M32">
        <v>0.33020963711769369</v>
      </c>
      <c r="N32">
        <v>0.33140586086335255</v>
      </c>
      <c r="O32">
        <v>0.33260208460901142</v>
      </c>
      <c r="P32">
        <v>0.33379830835467028</v>
      </c>
      <c r="Q32">
        <v>0.33499453210032915</v>
      </c>
      <c r="R32">
        <v>0.33619075584598801</v>
      </c>
      <c r="S32">
        <v>0.33738697959164687</v>
      </c>
      <c r="T32">
        <v>0.33858320333730574</v>
      </c>
      <c r="U32">
        <v>0.3397794270829646</v>
      </c>
      <c r="V32">
        <v>0.34097565082862347</v>
      </c>
      <c r="W32">
        <v>0.34217187457428233</v>
      </c>
      <c r="X32">
        <v>0.3433680983199412</v>
      </c>
      <c r="Y32">
        <v>0.34456432206560006</v>
      </c>
      <c r="Z32">
        <v>0.34576054581125892</v>
      </c>
      <c r="AA32">
        <v>0.34695676955691779</v>
      </c>
      <c r="AB32">
        <v>0.34815299330257665</v>
      </c>
      <c r="AC32">
        <v>0.34934921704823552</v>
      </c>
      <c r="AD32">
        <v>0.35054544079389438</v>
      </c>
      <c r="AE32">
        <v>0.35174166453955324</v>
      </c>
      <c r="AF32">
        <v>0.35293788828521211</v>
      </c>
      <c r="AG32">
        <v>0.35413411203087103</v>
      </c>
    </row>
    <row r="33" spans="1:34" x14ac:dyDescent="0.3">
      <c r="A33" s="22" t="s">
        <v>131</v>
      </c>
      <c r="C33">
        <v>0.29516716390647635</v>
      </c>
      <c r="D33">
        <v>0.29516716390647635</v>
      </c>
      <c r="E33">
        <v>0.29516716390647635</v>
      </c>
      <c r="F33">
        <v>0.29516716390647635</v>
      </c>
      <c r="G33">
        <v>0.29516716390647635</v>
      </c>
      <c r="H33">
        <v>0.29516716390647635</v>
      </c>
      <c r="I33">
        <v>0.29516716390647635</v>
      </c>
      <c r="J33">
        <v>0.29516716390647635</v>
      </c>
      <c r="K33">
        <v>0.29516716390647635</v>
      </c>
      <c r="L33">
        <v>0.29516716390647635</v>
      </c>
      <c r="M33">
        <v>0.29516716390647635</v>
      </c>
      <c r="N33">
        <v>0.29691928756703723</v>
      </c>
      <c r="O33">
        <v>0.2986714112275981</v>
      </c>
      <c r="P33">
        <v>0.30042353488815898</v>
      </c>
      <c r="Q33">
        <v>0.30217565854871986</v>
      </c>
      <c r="R33">
        <v>0.30392778220928074</v>
      </c>
      <c r="S33">
        <v>0.30567990586984162</v>
      </c>
      <c r="T33">
        <v>0.3074320295304025</v>
      </c>
      <c r="U33">
        <v>0.30918415319096337</v>
      </c>
      <c r="V33">
        <v>0.31093627685152425</v>
      </c>
      <c r="W33">
        <v>0.31268840051208513</v>
      </c>
      <c r="X33">
        <v>0.31444052417264601</v>
      </c>
      <c r="Y33">
        <v>0.31619264783320689</v>
      </c>
      <c r="Z33">
        <v>0.31794477149376776</v>
      </c>
      <c r="AA33">
        <v>0.31969689515432864</v>
      </c>
      <c r="AB33">
        <v>0.32144901881488952</v>
      </c>
      <c r="AC33">
        <v>0.3232011424754504</v>
      </c>
      <c r="AD33">
        <v>0.32495326613601128</v>
      </c>
      <c r="AE33">
        <v>0.32670538979657215</v>
      </c>
      <c r="AF33">
        <v>0.32845751345713303</v>
      </c>
      <c r="AG33">
        <v>0.33020963711769369</v>
      </c>
    </row>
    <row r="36" spans="1:34" x14ac:dyDescent="0.3">
      <c r="A36" s="20" t="s">
        <v>132</v>
      </c>
      <c r="B36" s="24"/>
      <c r="C36" s="24">
        <f>AVERAGE(C4:C33)</f>
        <v>0.24252525721139628</v>
      </c>
      <c r="D36" s="24">
        <f t="shared" ref="D36:AG36" si="0">AVERAGE(D4:D33)</f>
        <v>0.24484358546465948</v>
      </c>
      <c r="E36" s="24">
        <f t="shared" si="0"/>
        <v>0.24716191371792268</v>
      </c>
      <c r="F36" s="24">
        <f t="shared" si="0"/>
        <v>0.2494802419711859</v>
      </c>
      <c r="G36" s="24">
        <f t="shared" si="0"/>
        <v>0.25179857022444913</v>
      </c>
      <c r="H36" s="24">
        <f t="shared" si="0"/>
        <v>0.25411689847771224</v>
      </c>
      <c r="I36" s="24">
        <f t="shared" si="0"/>
        <v>0.25643522673097557</v>
      </c>
      <c r="J36" s="24">
        <f t="shared" si="0"/>
        <v>0.25875355498423874</v>
      </c>
      <c r="K36" s="24">
        <f t="shared" si="0"/>
        <v>0.26107188323750197</v>
      </c>
      <c r="L36" s="24">
        <f t="shared" si="0"/>
        <v>0.26339021149076514</v>
      </c>
      <c r="M36" s="24">
        <f t="shared" si="0"/>
        <v>0.26570853974402836</v>
      </c>
      <c r="N36" s="24">
        <f t="shared" si="0"/>
        <v>0.26671716413780783</v>
      </c>
      <c r="O36" s="24">
        <f t="shared" si="0"/>
        <v>0.26772578853158735</v>
      </c>
      <c r="P36" s="24">
        <f t="shared" si="0"/>
        <v>0.26873441292536687</v>
      </c>
      <c r="Q36" s="24">
        <f t="shared" si="0"/>
        <v>0.26974303731914628</v>
      </c>
      <c r="R36" s="24">
        <f t="shared" si="0"/>
        <v>0.27075166171292581</v>
      </c>
      <c r="S36" s="24">
        <f t="shared" si="0"/>
        <v>0.27176028610670533</v>
      </c>
      <c r="T36" s="24">
        <f t="shared" si="0"/>
        <v>0.2727689105004848</v>
      </c>
      <c r="U36" s="24">
        <f t="shared" si="0"/>
        <v>0.27377753489426432</v>
      </c>
      <c r="V36" s="24">
        <f t="shared" si="0"/>
        <v>0.27478615928804384</v>
      </c>
      <c r="W36" s="24">
        <f t="shared" si="0"/>
        <v>0.27579478368182325</v>
      </c>
      <c r="X36" s="24">
        <f t="shared" si="0"/>
        <v>0.27680340807560277</v>
      </c>
      <c r="Y36" s="24">
        <f t="shared" si="0"/>
        <v>0.27781203246938235</v>
      </c>
      <c r="Z36" s="24">
        <f t="shared" si="0"/>
        <v>0.27882065686316176</v>
      </c>
      <c r="AA36" s="24">
        <f t="shared" si="0"/>
        <v>0.27982928125694129</v>
      </c>
      <c r="AB36" s="24">
        <f t="shared" si="0"/>
        <v>0.28083790565072075</v>
      </c>
      <c r="AC36" s="24">
        <f t="shared" si="0"/>
        <v>0.28184653004450033</v>
      </c>
      <c r="AD36" s="24">
        <f t="shared" si="0"/>
        <v>0.28285515443827985</v>
      </c>
      <c r="AE36" s="24">
        <f t="shared" si="0"/>
        <v>0.28386377883205938</v>
      </c>
      <c r="AF36" s="24">
        <f t="shared" si="0"/>
        <v>0.28487240322583879</v>
      </c>
      <c r="AG36" s="24">
        <f t="shared" si="0"/>
        <v>0.28588102761961837</v>
      </c>
      <c r="AH36" s="24"/>
    </row>
    <row r="38" spans="1:34" x14ac:dyDescent="0.3">
      <c r="A38" s="15" t="s">
        <v>220</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s="16" customFormat="1" ht="13.95" customHeight="1" x14ac:dyDescent="0.25">
      <c r="B39" s="17"/>
      <c r="C39" s="17">
        <v>2020</v>
      </c>
      <c r="D39" s="17">
        <v>2021</v>
      </c>
      <c r="E39" s="17">
        <v>2022</v>
      </c>
      <c r="F39" s="17">
        <v>2023</v>
      </c>
      <c r="G39" s="17">
        <v>2024</v>
      </c>
      <c r="H39" s="17">
        <v>2025</v>
      </c>
      <c r="I39" s="17">
        <v>2026</v>
      </c>
      <c r="J39" s="17">
        <v>2027</v>
      </c>
      <c r="K39" s="17">
        <v>2028</v>
      </c>
      <c r="L39" s="17">
        <v>2029</v>
      </c>
      <c r="M39" s="17">
        <v>2030</v>
      </c>
      <c r="N39" s="17">
        <v>2031</v>
      </c>
      <c r="O39" s="17">
        <v>2032</v>
      </c>
      <c r="P39" s="17">
        <v>2033</v>
      </c>
      <c r="Q39" s="17">
        <v>2034</v>
      </c>
      <c r="R39" s="17">
        <v>2035</v>
      </c>
      <c r="S39" s="17">
        <v>2036</v>
      </c>
      <c r="T39" s="17">
        <v>2037</v>
      </c>
      <c r="U39" s="17">
        <v>2038</v>
      </c>
      <c r="V39" s="17">
        <v>2039</v>
      </c>
      <c r="W39" s="17">
        <v>2040</v>
      </c>
      <c r="X39" s="17">
        <v>2041</v>
      </c>
      <c r="Y39" s="17">
        <v>2042</v>
      </c>
      <c r="Z39" s="17">
        <v>2043</v>
      </c>
      <c r="AA39" s="17">
        <v>2044</v>
      </c>
      <c r="AB39" s="17">
        <v>2045</v>
      </c>
      <c r="AC39" s="17">
        <v>2046</v>
      </c>
      <c r="AD39" s="17">
        <v>2047</v>
      </c>
      <c r="AE39" s="17">
        <v>2048</v>
      </c>
      <c r="AF39" s="17">
        <v>2049</v>
      </c>
      <c r="AG39" s="17">
        <v>2050</v>
      </c>
    </row>
    <row r="40" spans="1:34" s="16" customFormat="1" ht="13.95" customHeight="1" x14ac:dyDescent="0.25">
      <c r="A40" s="25" t="s">
        <v>221</v>
      </c>
      <c r="B40" s="19"/>
      <c r="C40" s="19">
        <v>0.49399999999999999</v>
      </c>
      <c r="D40" s="19">
        <v>0.49399999999999999</v>
      </c>
      <c r="E40" s="19">
        <v>0.49399999999999999</v>
      </c>
      <c r="F40" s="19">
        <v>0.49399999999999999</v>
      </c>
      <c r="G40" s="19">
        <v>0.49399999999999999</v>
      </c>
      <c r="H40" s="19">
        <v>0.49399999999999999</v>
      </c>
      <c r="I40" s="19">
        <v>0.49399999999999999</v>
      </c>
      <c r="J40" s="19">
        <v>0.49399999999999999</v>
      </c>
      <c r="K40" s="19">
        <v>0.49399999999999999</v>
      </c>
      <c r="L40" s="19">
        <v>0.49399999999999999</v>
      </c>
      <c r="M40" s="19">
        <v>0.49399999999999999</v>
      </c>
      <c r="N40" s="19">
        <v>0.49399999999999999</v>
      </c>
      <c r="O40" s="19">
        <v>0.49399999999999999</v>
      </c>
      <c r="P40" s="19">
        <v>0.49399999999999999</v>
      </c>
      <c r="Q40" s="19">
        <v>0.49399999999999999</v>
      </c>
      <c r="R40" s="19">
        <v>0.49399999999999999</v>
      </c>
      <c r="S40" s="19">
        <v>0.49399999999999999</v>
      </c>
      <c r="T40" s="19">
        <v>0.49399999999999999</v>
      </c>
      <c r="U40" s="19">
        <v>0.49399999999999999</v>
      </c>
      <c r="V40" s="19">
        <v>0.49399999999999999</v>
      </c>
      <c r="W40" s="19">
        <v>0.49399999999999999</v>
      </c>
      <c r="X40" s="19">
        <v>0.49399999999999999</v>
      </c>
      <c r="Y40" s="19">
        <v>0.49399999999999999</v>
      </c>
      <c r="Z40" s="19">
        <v>0.49399999999999999</v>
      </c>
      <c r="AA40" s="19">
        <v>0.49399999999999999</v>
      </c>
      <c r="AB40" s="19">
        <v>0.49399999999999999</v>
      </c>
      <c r="AC40" s="19">
        <v>0.49399999999999999</v>
      </c>
      <c r="AD40" s="19">
        <v>0.49399999999999999</v>
      </c>
      <c r="AE40" s="19">
        <v>0.49399999999999999</v>
      </c>
      <c r="AF40" s="19">
        <v>0.49399999999999999</v>
      </c>
      <c r="AG40" s="19">
        <v>0.49399999999999999</v>
      </c>
    </row>
    <row r="41" spans="1:34" s="16" customFormat="1" ht="13.95" customHeight="1" x14ac:dyDescent="0.25">
      <c r="A41" s="25" t="s">
        <v>222</v>
      </c>
      <c r="B41" s="21"/>
      <c r="C41" s="21">
        <v>0.49399999999999999</v>
      </c>
      <c r="D41" s="21">
        <v>0.49399999999999999</v>
      </c>
      <c r="E41" s="21">
        <v>0.49399999999999999</v>
      </c>
      <c r="F41" s="21">
        <v>0.49399999999999999</v>
      </c>
      <c r="G41" s="21">
        <v>0.49399999999999999</v>
      </c>
      <c r="H41" s="21">
        <v>0.49399999999999999</v>
      </c>
      <c r="I41" s="21">
        <v>0.49399999999999999</v>
      </c>
      <c r="J41" s="21">
        <v>0.49399999999999999</v>
      </c>
      <c r="K41" s="21">
        <v>0.49399999999999999</v>
      </c>
      <c r="L41" s="21">
        <v>0.49399999999999999</v>
      </c>
      <c r="M41" s="21">
        <v>0.49399999999999999</v>
      </c>
      <c r="N41" s="21">
        <v>0.49399999999999999</v>
      </c>
      <c r="O41" s="21">
        <v>0.49399999999999999</v>
      </c>
      <c r="P41" s="21">
        <v>0.49399999999999999</v>
      </c>
      <c r="Q41" s="21">
        <v>0.49399999999999999</v>
      </c>
      <c r="R41" s="21">
        <v>0.49399999999999999</v>
      </c>
      <c r="S41" s="21">
        <v>0.49399999999999999</v>
      </c>
      <c r="T41" s="21">
        <v>0.49399999999999999</v>
      </c>
      <c r="U41" s="21">
        <v>0.49399999999999999</v>
      </c>
      <c r="V41" s="21">
        <v>0.49399999999999999</v>
      </c>
      <c r="W41" s="21">
        <v>0.49399999999999999</v>
      </c>
      <c r="X41" s="21">
        <v>0.49399999999999999</v>
      </c>
      <c r="Y41" s="21">
        <v>0.49399999999999999</v>
      </c>
      <c r="Z41" s="21">
        <v>0.49399999999999999</v>
      </c>
      <c r="AA41" s="21">
        <v>0.49399999999999999</v>
      </c>
      <c r="AB41" s="21">
        <v>0.49399999999999999</v>
      </c>
      <c r="AC41" s="21">
        <v>0.49399999999999999</v>
      </c>
      <c r="AD41" s="21">
        <v>0.49399999999999999</v>
      </c>
      <c r="AE41" s="21">
        <v>0.49399999999999999</v>
      </c>
      <c r="AF41" s="21">
        <v>0.49399999999999999</v>
      </c>
      <c r="AG41" s="21">
        <v>0.49399999999999999</v>
      </c>
    </row>
    <row r="42" spans="1:34" s="16" customFormat="1" ht="13.95" customHeight="1" thickBot="1" x14ac:dyDescent="0.3">
      <c r="A42" s="25" t="s">
        <v>223</v>
      </c>
      <c r="B42" s="23"/>
      <c r="C42" s="23">
        <v>0.49399999999999999</v>
      </c>
      <c r="D42" s="23">
        <v>0.49399999999999999</v>
      </c>
      <c r="E42" s="23">
        <v>0.49399999999999999</v>
      </c>
      <c r="F42" s="23">
        <v>0.49399999999999999</v>
      </c>
      <c r="G42" s="23">
        <v>0.49399999999999999</v>
      </c>
      <c r="H42" s="23">
        <v>0.49399999999999999</v>
      </c>
      <c r="I42" s="23">
        <v>0.49399999999999999</v>
      </c>
      <c r="J42" s="23">
        <v>0.49399999999999999</v>
      </c>
      <c r="K42" s="23">
        <v>0.49399999999999999</v>
      </c>
      <c r="L42" s="23">
        <v>0.49399999999999999</v>
      </c>
      <c r="M42" s="23">
        <v>0.49399999999999999</v>
      </c>
      <c r="N42" s="23">
        <v>0.49399999999999999</v>
      </c>
      <c r="O42" s="23">
        <v>0.49399999999999999</v>
      </c>
      <c r="P42" s="23">
        <v>0.49399999999999999</v>
      </c>
      <c r="Q42" s="23">
        <v>0.49399999999999999</v>
      </c>
      <c r="R42" s="23">
        <v>0.49399999999999999</v>
      </c>
      <c r="S42" s="23">
        <v>0.49399999999999999</v>
      </c>
      <c r="T42" s="23">
        <v>0.49399999999999999</v>
      </c>
      <c r="U42" s="23">
        <v>0.49399999999999999</v>
      </c>
      <c r="V42" s="23">
        <v>0.49399999999999999</v>
      </c>
      <c r="W42" s="23">
        <v>0.49399999999999999</v>
      </c>
      <c r="X42" s="23">
        <v>0.49399999999999999</v>
      </c>
      <c r="Y42" s="23">
        <v>0.49399999999999999</v>
      </c>
      <c r="Z42" s="23">
        <v>0.49399999999999999</v>
      </c>
      <c r="AA42" s="23">
        <v>0.49399999999999999</v>
      </c>
      <c r="AB42" s="23">
        <v>0.49399999999999999</v>
      </c>
      <c r="AC42" s="23">
        <v>0.49399999999999999</v>
      </c>
      <c r="AD42" s="23">
        <v>0.49399999999999999</v>
      </c>
      <c r="AE42" s="23">
        <v>0.49399999999999999</v>
      </c>
      <c r="AF42" s="23">
        <v>0.49399999999999999</v>
      </c>
      <c r="AG42" s="23">
        <v>0.49399999999999999</v>
      </c>
    </row>
    <row r="43" spans="1:34" s="16" customFormat="1" ht="13.95" customHeight="1" thickTop="1" x14ac:dyDescent="0.25">
      <c r="A43" s="25" t="s">
        <v>224</v>
      </c>
      <c r="B43" s="19"/>
      <c r="C43" s="19">
        <v>0.60399999999999998</v>
      </c>
      <c r="D43" s="19">
        <v>0.60399999999999998</v>
      </c>
      <c r="E43" s="19">
        <v>0.60399999999999998</v>
      </c>
      <c r="F43" s="19">
        <v>0.60399999999999998</v>
      </c>
      <c r="G43" s="19">
        <v>0.60399999999999998</v>
      </c>
      <c r="H43" s="19">
        <v>0.60399999999999998</v>
      </c>
      <c r="I43" s="19">
        <v>0.60399999999999998</v>
      </c>
      <c r="J43" s="19">
        <v>0.60399999999999998</v>
      </c>
      <c r="K43" s="19">
        <v>0.60399999999999998</v>
      </c>
      <c r="L43" s="19">
        <v>0.60399999999999998</v>
      </c>
      <c r="M43" s="19">
        <v>0.60399999999999998</v>
      </c>
      <c r="N43" s="19">
        <v>0.60399999999999998</v>
      </c>
      <c r="O43" s="19">
        <v>0.60399999999999998</v>
      </c>
      <c r="P43" s="19">
        <v>0.60399999999999998</v>
      </c>
      <c r="Q43" s="19">
        <v>0.60399999999999998</v>
      </c>
      <c r="R43" s="19">
        <v>0.60399999999999998</v>
      </c>
      <c r="S43" s="19">
        <v>0.60399999999999998</v>
      </c>
      <c r="T43" s="19">
        <v>0.60399999999999998</v>
      </c>
      <c r="U43" s="19">
        <v>0.60399999999999998</v>
      </c>
      <c r="V43" s="19">
        <v>0.60399999999999998</v>
      </c>
      <c r="W43" s="19">
        <v>0.60399999999999998</v>
      </c>
      <c r="X43" s="19">
        <v>0.60399999999999998</v>
      </c>
      <c r="Y43" s="19">
        <v>0.60399999999999998</v>
      </c>
      <c r="Z43" s="19">
        <v>0.60399999999999998</v>
      </c>
      <c r="AA43" s="19">
        <v>0.60399999999999998</v>
      </c>
      <c r="AB43" s="19">
        <v>0.60399999999999998</v>
      </c>
      <c r="AC43" s="19">
        <v>0.60399999999999998</v>
      </c>
      <c r="AD43" s="19">
        <v>0.60399999999999998</v>
      </c>
      <c r="AE43" s="19">
        <v>0.60399999999999998</v>
      </c>
      <c r="AF43" s="19">
        <v>0.60399999999999998</v>
      </c>
      <c r="AG43" s="19">
        <v>0.60399999999999998</v>
      </c>
    </row>
    <row r="44" spans="1:34" s="16" customFormat="1" ht="13.95" customHeight="1" x14ac:dyDescent="0.25">
      <c r="A44" s="25" t="s">
        <v>225</v>
      </c>
      <c r="B44" s="21"/>
      <c r="C44" s="21">
        <v>0.60399999999999998</v>
      </c>
      <c r="D44" s="21">
        <v>0.60399999999999998</v>
      </c>
      <c r="E44" s="21">
        <v>0.60399999999999998</v>
      </c>
      <c r="F44" s="21">
        <v>0.60399999999999998</v>
      </c>
      <c r="G44" s="21">
        <v>0.60399999999999998</v>
      </c>
      <c r="H44" s="21">
        <v>0.60399999999999998</v>
      </c>
      <c r="I44" s="21">
        <v>0.60399999999999998</v>
      </c>
      <c r="J44" s="21">
        <v>0.60399999999999998</v>
      </c>
      <c r="K44" s="21">
        <v>0.60399999999999998</v>
      </c>
      <c r="L44" s="21">
        <v>0.60399999999999998</v>
      </c>
      <c r="M44" s="21">
        <v>0.60399999999999998</v>
      </c>
      <c r="N44" s="21">
        <v>0.60399999999999998</v>
      </c>
      <c r="O44" s="21">
        <v>0.60399999999999998</v>
      </c>
      <c r="P44" s="21">
        <v>0.60399999999999998</v>
      </c>
      <c r="Q44" s="21">
        <v>0.60399999999999998</v>
      </c>
      <c r="R44" s="21">
        <v>0.60399999999999998</v>
      </c>
      <c r="S44" s="21">
        <v>0.60399999999999998</v>
      </c>
      <c r="T44" s="21">
        <v>0.60399999999999998</v>
      </c>
      <c r="U44" s="21">
        <v>0.60399999999999998</v>
      </c>
      <c r="V44" s="21">
        <v>0.60399999999999998</v>
      </c>
      <c r="W44" s="21">
        <v>0.60399999999999998</v>
      </c>
      <c r="X44" s="21">
        <v>0.60399999999999998</v>
      </c>
      <c r="Y44" s="21">
        <v>0.60399999999999998</v>
      </c>
      <c r="Z44" s="21">
        <v>0.60399999999999998</v>
      </c>
      <c r="AA44" s="21">
        <v>0.60399999999999998</v>
      </c>
      <c r="AB44" s="21">
        <v>0.60399999999999998</v>
      </c>
      <c r="AC44" s="21">
        <v>0.60399999999999998</v>
      </c>
      <c r="AD44" s="21">
        <v>0.60399999999999998</v>
      </c>
      <c r="AE44" s="21">
        <v>0.60399999999999998</v>
      </c>
      <c r="AF44" s="21">
        <v>0.60399999999999998</v>
      </c>
      <c r="AG44" s="21">
        <v>0.60399999999999998</v>
      </c>
    </row>
    <row r="45" spans="1:34" s="16" customFormat="1" ht="13.95" customHeight="1" thickBot="1" x14ac:dyDescent="0.3">
      <c r="A45" s="25" t="s">
        <v>226</v>
      </c>
      <c r="B45" s="23"/>
      <c r="C45" s="23">
        <v>0.60399999999999998</v>
      </c>
      <c r="D45" s="23">
        <v>0.60399999999999998</v>
      </c>
      <c r="E45" s="23">
        <v>0.60399999999999998</v>
      </c>
      <c r="F45" s="23">
        <v>0.60399999999999998</v>
      </c>
      <c r="G45" s="23">
        <v>0.60399999999999998</v>
      </c>
      <c r="H45" s="23">
        <v>0.60399999999999998</v>
      </c>
      <c r="I45" s="23">
        <v>0.60399999999999998</v>
      </c>
      <c r="J45" s="23">
        <v>0.60399999999999998</v>
      </c>
      <c r="K45" s="23">
        <v>0.60399999999999998</v>
      </c>
      <c r="L45" s="23">
        <v>0.60399999999999998</v>
      </c>
      <c r="M45" s="23">
        <v>0.60399999999999998</v>
      </c>
      <c r="N45" s="23">
        <v>0.60399999999999998</v>
      </c>
      <c r="O45" s="23">
        <v>0.60399999999999998</v>
      </c>
      <c r="P45" s="23">
        <v>0.60399999999999998</v>
      </c>
      <c r="Q45" s="23">
        <v>0.60399999999999998</v>
      </c>
      <c r="R45" s="23">
        <v>0.60399999999999998</v>
      </c>
      <c r="S45" s="23">
        <v>0.60399999999999998</v>
      </c>
      <c r="T45" s="23">
        <v>0.60399999999999998</v>
      </c>
      <c r="U45" s="23">
        <v>0.60399999999999998</v>
      </c>
      <c r="V45" s="23">
        <v>0.60399999999999998</v>
      </c>
      <c r="W45" s="23">
        <v>0.60399999999999998</v>
      </c>
      <c r="X45" s="23">
        <v>0.60399999999999998</v>
      </c>
      <c r="Y45" s="23">
        <v>0.60399999999999998</v>
      </c>
      <c r="Z45" s="23">
        <v>0.60399999999999998</v>
      </c>
      <c r="AA45" s="23">
        <v>0.60399999999999998</v>
      </c>
      <c r="AB45" s="23">
        <v>0.60399999999999998</v>
      </c>
      <c r="AC45" s="23">
        <v>0.60399999999999998</v>
      </c>
      <c r="AD45" s="23">
        <v>0.60399999999999998</v>
      </c>
      <c r="AE45" s="23">
        <v>0.60399999999999998</v>
      </c>
      <c r="AF45" s="23">
        <v>0.60399999999999998</v>
      </c>
      <c r="AG45" s="23">
        <v>0.60399999999999998</v>
      </c>
    </row>
    <row r="46" spans="1:34" s="16" customFormat="1" ht="13.95" customHeight="1" thickTop="1" x14ac:dyDescent="0.25">
      <c r="A46" s="25" t="s">
        <v>227</v>
      </c>
      <c r="B46" s="19"/>
      <c r="C46" s="19">
        <v>0.63</v>
      </c>
      <c r="D46" s="19">
        <v>0.63</v>
      </c>
      <c r="E46" s="19">
        <v>0.63</v>
      </c>
      <c r="F46" s="19">
        <v>0.63</v>
      </c>
      <c r="G46" s="19">
        <v>0.63</v>
      </c>
      <c r="H46" s="19">
        <v>0.63</v>
      </c>
      <c r="I46" s="19">
        <v>0.63</v>
      </c>
      <c r="J46" s="19">
        <v>0.63</v>
      </c>
      <c r="K46" s="19">
        <v>0.63</v>
      </c>
      <c r="L46" s="19">
        <v>0.63</v>
      </c>
      <c r="M46" s="19">
        <v>0.63</v>
      </c>
      <c r="N46" s="19">
        <v>0.63</v>
      </c>
      <c r="O46" s="19">
        <v>0.63</v>
      </c>
      <c r="P46" s="19">
        <v>0.63</v>
      </c>
      <c r="Q46" s="19">
        <v>0.63</v>
      </c>
      <c r="R46" s="19">
        <v>0.63</v>
      </c>
      <c r="S46" s="19">
        <v>0.63</v>
      </c>
      <c r="T46" s="19">
        <v>0.63</v>
      </c>
      <c r="U46" s="19">
        <v>0.63</v>
      </c>
      <c r="V46" s="19">
        <v>0.63</v>
      </c>
      <c r="W46" s="19">
        <v>0.63</v>
      </c>
      <c r="X46" s="19">
        <v>0.63</v>
      </c>
      <c r="Y46" s="19">
        <v>0.63</v>
      </c>
      <c r="Z46" s="19">
        <v>0.63</v>
      </c>
      <c r="AA46" s="19">
        <v>0.63</v>
      </c>
      <c r="AB46" s="19">
        <v>0.63</v>
      </c>
      <c r="AC46" s="19">
        <v>0.63</v>
      </c>
      <c r="AD46" s="19">
        <v>0.63</v>
      </c>
      <c r="AE46" s="19">
        <v>0.63</v>
      </c>
      <c r="AF46" s="19">
        <v>0.63</v>
      </c>
      <c r="AG46" s="19">
        <v>0.63</v>
      </c>
    </row>
    <row r="47" spans="1:34" s="16" customFormat="1" ht="13.95" customHeight="1" x14ac:dyDescent="0.25">
      <c r="A47" s="25" t="s">
        <v>228</v>
      </c>
      <c r="B47" s="21"/>
      <c r="C47" s="21">
        <v>0.63</v>
      </c>
      <c r="D47" s="21">
        <v>0.63</v>
      </c>
      <c r="E47" s="21">
        <v>0.63</v>
      </c>
      <c r="F47" s="21">
        <v>0.63</v>
      </c>
      <c r="G47" s="21">
        <v>0.63</v>
      </c>
      <c r="H47" s="21">
        <v>0.63</v>
      </c>
      <c r="I47" s="21">
        <v>0.63</v>
      </c>
      <c r="J47" s="21">
        <v>0.63</v>
      </c>
      <c r="K47" s="21">
        <v>0.63</v>
      </c>
      <c r="L47" s="21">
        <v>0.63</v>
      </c>
      <c r="M47" s="21">
        <v>0.63</v>
      </c>
      <c r="N47" s="21">
        <v>0.63</v>
      </c>
      <c r="O47" s="21">
        <v>0.63</v>
      </c>
      <c r="P47" s="21">
        <v>0.63</v>
      </c>
      <c r="Q47" s="21">
        <v>0.63</v>
      </c>
      <c r="R47" s="21">
        <v>0.63</v>
      </c>
      <c r="S47" s="21">
        <v>0.63</v>
      </c>
      <c r="T47" s="21">
        <v>0.63</v>
      </c>
      <c r="U47" s="21">
        <v>0.63</v>
      </c>
      <c r="V47" s="21">
        <v>0.63</v>
      </c>
      <c r="W47" s="21">
        <v>0.63</v>
      </c>
      <c r="X47" s="21">
        <v>0.63</v>
      </c>
      <c r="Y47" s="21">
        <v>0.63</v>
      </c>
      <c r="Z47" s="21">
        <v>0.63</v>
      </c>
      <c r="AA47" s="21">
        <v>0.63</v>
      </c>
      <c r="AB47" s="21">
        <v>0.63</v>
      </c>
      <c r="AC47" s="21">
        <v>0.63</v>
      </c>
      <c r="AD47" s="21">
        <v>0.63</v>
      </c>
      <c r="AE47" s="21">
        <v>0.63</v>
      </c>
      <c r="AF47" s="21">
        <v>0.63</v>
      </c>
      <c r="AG47" s="21">
        <v>0.63</v>
      </c>
    </row>
    <row r="48" spans="1:34" s="16" customFormat="1" ht="13.95" customHeight="1" thickBot="1" x14ac:dyDescent="0.3">
      <c r="A48" s="25" t="s">
        <v>229</v>
      </c>
      <c r="B48" s="23"/>
      <c r="C48" s="23">
        <v>0.63</v>
      </c>
      <c r="D48" s="23">
        <v>0.63</v>
      </c>
      <c r="E48" s="23">
        <v>0.63</v>
      </c>
      <c r="F48" s="23">
        <v>0.63</v>
      </c>
      <c r="G48" s="23">
        <v>0.63</v>
      </c>
      <c r="H48" s="23">
        <v>0.63</v>
      </c>
      <c r="I48" s="23">
        <v>0.63</v>
      </c>
      <c r="J48" s="23">
        <v>0.63</v>
      </c>
      <c r="K48" s="23">
        <v>0.63</v>
      </c>
      <c r="L48" s="23">
        <v>0.63</v>
      </c>
      <c r="M48" s="23">
        <v>0.63</v>
      </c>
      <c r="N48" s="23">
        <v>0.63</v>
      </c>
      <c r="O48" s="23">
        <v>0.63</v>
      </c>
      <c r="P48" s="23">
        <v>0.63</v>
      </c>
      <c r="Q48" s="23">
        <v>0.63</v>
      </c>
      <c r="R48" s="23">
        <v>0.63</v>
      </c>
      <c r="S48" s="23">
        <v>0.63</v>
      </c>
      <c r="T48" s="23">
        <v>0.63</v>
      </c>
      <c r="U48" s="23">
        <v>0.63</v>
      </c>
      <c r="V48" s="23">
        <v>0.63</v>
      </c>
      <c r="W48" s="23">
        <v>0.63</v>
      </c>
      <c r="X48" s="23">
        <v>0.63</v>
      </c>
      <c r="Y48" s="23">
        <v>0.63</v>
      </c>
      <c r="Z48" s="23">
        <v>0.63</v>
      </c>
      <c r="AA48" s="23">
        <v>0.63</v>
      </c>
      <c r="AB48" s="23">
        <v>0.63</v>
      </c>
      <c r="AC48" s="23">
        <v>0.63</v>
      </c>
      <c r="AD48" s="23">
        <v>0.63</v>
      </c>
      <c r="AE48" s="23">
        <v>0.63</v>
      </c>
      <c r="AF48" s="23">
        <v>0.63</v>
      </c>
      <c r="AG48" s="23">
        <v>0.63</v>
      </c>
    </row>
    <row r="49" spans="1:34" ht="15" thickTop="1" x14ac:dyDescent="0.3">
      <c r="AH49" s="16"/>
    </row>
    <row r="50" spans="1:34" x14ac:dyDescent="0.3">
      <c r="A50" s="20" t="s">
        <v>132</v>
      </c>
      <c r="C50" s="27">
        <f>AVERAGE(C41,C44,C47)</f>
        <v>0.57599999999999996</v>
      </c>
      <c r="D50" s="27">
        <f t="shared" ref="D50:AG50" si="1">AVERAGE(D41,D44,D47)</f>
        <v>0.57599999999999996</v>
      </c>
      <c r="E50" s="27">
        <f t="shared" si="1"/>
        <v>0.57599999999999996</v>
      </c>
      <c r="F50" s="27">
        <f t="shared" si="1"/>
        <v>0.57599999999999996</v>
      </c>
      <c r="G50" s="27">
        <f t="shared" si="1"/>
        <v>0.57599999999999996</v>
      </c>
      <c r="H50" s="27">
        <f t="shared" si="1"/>
        <v>0.57599999999999996</v>
      </c>
      <c r="I50" s="27">
        <f t="shared" si="1"/>
        <v>0.57599999999999996</v>
      </c>
      <c r="J50" s="27">
        <f t="shared" si="1"/>
        <v>0.57599999999999996</v>
      </c>
      <c r="K50" s="27">
        <f t="shared" si="1"/>
        <v>0.57599999999999996</v>
      </c>
      <c r="L50" s="27">
        <f t="shared" si="1"/>
        <v>0.57599999999999996</v>
      </c>
      <c r="M50" s="27">
        <f t="shared" si="1"/>
        <v>0.57599999999999996</v>
      </c>
      <c r="N50" s="27">
        <f t="shared" si="1"/>
        <v>0.57599999999999996</v>
      </c>
      <c r="O50" s="27">
        <f t="shared" si="1"/>
        <v>0.57599999999999996</v>
      </c>
      <c r="P50" s="27">
        <f t="shared" si="1"/>
        <v>0.57599999999999996</v>
      </c>
      <c r="Q50" s="27">
        <f t="shared" si="1"/>
        <v>0.57599999999999996</v>
      </c>
      <c r="R50" s="27">
        <f t="shared" si="1"/>
        <v>0.57599999999999996</v>
      </c>
      <c r="S50" s="27">
        <f t="shared" si="1"/>
        <v>0.57599999999999996</v>
      </c>
      <c r="T50" s="27">
        <f t="shared" si="1"/>
        <v>0.57599999999999996</v>
      </c>
      <c r="U50" s="27">
        <f t="shared" si="1"/>
        <v>0.57599999999999996</v>
      </c>
      <c r="V50" s="27">
        <f t="shared" si="1"/>
        <v>0.57599999999999996</v>
      </c>
      <c r="W50" s="27">
        <f t="shared" si="1"/>
        <v>0.57599999999999996</v>
      </c>
      <c r="X50" s="27">
        <f t="shared" si="1"/>
        <v>0.57599999999999996</v>
      </c>
      <c r="Y50" s="27">
        <f t="shared" si="1"/>
        <v>0.57599999999999996</v>
      </c>
      <c r="Z50" s="27">
        <f t="shared" si="1"/>
        <v>0.57599999999999996</v>
      </c>
      <c r="AA50" s="27">
        <f t="shared" si="1"/>
        <v>0.57599999999999996</v>
      </c>
      <c r="AB50" s="27">
        <f t="shared" si="1"/>
        <v>0.57599999999999996</v>
      </c>
      <c r="AC50" s="27">
        <f t="shared" si="1"/>
        <v>0.57599999999999996</v>
      </c>
      <c r="AD50" s="27">
        <f t="shared" si="1"/>
        <v>0.57599999999999996</v>
      </c>
      <c r="AE50" s="27">
        <f t="shared" si="1"/>
        <v>0.57599999999999996</v>
      </c>
      <c r="AF50" s="27">
        <f t="shared" si="1"/>
        <v>0.57599999999999996</v>
      </c>
      <c r="AG50" s="27">
        <f t="shared" si="1"/>
        <v>0.57599999999999996</v>
      </c>
      <c r="AH50" s="16"/>
    </row>
    <row r="51" spans="1:34" x14ac:dyDescent="0.3">
      <c r="AH51" s="16"/>
    </row>
    <row r="52" spans="1:34" x14ac:dyDescent="0.3">
      <c r="A52" s="28" t="s">
        <v>143</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spans="1:34" s="16" customFormat="1" ht="13.95" customHeight="1" thickBot="1" x14ac:dyDescent="0.3">
      <c r="B53" s="17"/>
      <c r="C53" s="17">
        <v>2020</v>
      </c>
      <c r="D53" s="17">
        <v>2021</v>
      </c>
      <c r="E53" s="17">
        <v>2022</v>
      </c>
      <c r="F53" s="17">
        <v>2023</v>
      </c>
      <c r="G53" s="17">
        <v>2024</v>
      </c>
      <c r="H53" s="17">
        <v>2025</v>
      </c>
      <c r="I53" s="17">
        <v>2026</v>
      </c>
      <c r="J53" s="17">
        <v>2027</v>
      </c>
      <c r="K53" s="17">
        <v>2028</v>
      </c>
      <c r="L53" s="17">
        <v>2029</v>
      </c>
      <c r="M53" s="17">
        <v>2030</v>
      </c>
      <c r="N53" s="17">
        <v>2031</v>
      </c>
      <c r="O53" s="17">
        <v>2032</v>
      </c>
      <c r="P53" s="17">
        <v>2033</v>
      </c>
      <c r="Q53" s="17">
        <v>2034</v>
      </c>
      <c r="R53" s="17">
        <v>2035</v>
      </c>
      <c r="S53" s="17">
        <v>2036</v>
      </c>
      <c r="T53" s="17">
        <v>2037</v>
      </c>
      <c r="U53" s="17">
        <v>2038</v>
      </c>
      <c r="V53" s="17">
        <v>2039</v>
      </c>
      <c r="W53" s="17">
        <v>2040</v>
      </c>
      <c r="X53" s="17">
        <v>2041</v>
      </c>
      <c r="Y53" s="17">
        <v>2042</v>
      </c>
      <c r="Z53" s="17">
        <v>2043</v>
      </c>
      <c r="AA53" s="17">
        <v>2044</v>
      </c>
      <c r="AB53" s="17">
        <v>2045</v>
      </c>
      <c r="AC53" s="17">
        <v>2046</v>
      </c>
      <c r="AD53" s="17">
        <v>2047</v>
      </c>
      <c r="AE53" s="17">
        <v>2048</v>
      </c>
      <c r="AF53" s="17">
        <v>2049</v>
      </c>
      <c r="AG53" s="17">
        <v>2050</v>
      </c>
    </row>
    <row r="54" spans="1:34" s="16" customFormat="1" ht="13.95" customHeight="1" thickTop="1" x14ac:dyDescent="0.25">
      <c r="A54" s="25" t="s">
        <v>144</v>
      </c>
      <c r="B54" s="29"/>
      <c r="C54" s="29">
        <v>0.48099999999999998</v>
      </c>
      <c r="D54" s="29">
        <v>0.48975599999999997</v>
      </c>
      <c r="E54" s="29">
        <v>0.49851200000000001</v>
      </c>
      <c r="F54" s="29">
        <v>0.50726800000000005</v>
      </c>
      <c r="G54" s="29">
        <v>0.51602400000000004</v>
      </c>
      <c r="H54" s="29">
        <v>0.52478000000000002</v>
      </c>
      <c r="I54" s="29">
        <v>0.53353600000000001</v>
      </c>
      <c r="J54" s="29">
        <v>0.542292</v>
      </c>
      <c r="K54" s="29">
        <v>0.55104799999999998</v>
      </c>
      <c r="L54" s="29">
        <v>0.55980399999999997</v>
      </c>
      <c r="M54" s="29">
        <v>0.56855999999999995</v>
      </c>
      <c r="N54" s="29">
        <v>0.56912856000000001</v>
      </c>
      <c r="O54" s="29">
        <v>0.56969711999999995</v>
      </c>
      <c r="P54" s="29">
        <v>0.57026568</v>
      </c>
      <c r="Q54" s="29">
        <v>0.57083423999999994</v>
      </c>
      <c r="R54" s="29">
        <v>0.57140279999999999</v>
      </c>
      <c r="S54" s="29">
        <v>0.57197136000000004</v>
      </c>
      <c r="T54" s="29">
        <v>0.57253991999999998</v>
      </c>
      <c r="U54" s="29">
        <v>0.57310847999999992</v>
      </c>
      <c r="V54" s="29">
        <v>0.57367703999999997</v>
      </c>
      <c r="W54" s="29">
        <v>0.57424559999999991</v>
      </c>
      <c r="X54" s="29">
        <v>0.57481415999999996</v>
      </c>
      <c r="Y54" s="29">
        <v>0.57538272000000001</v>
      </c>
      <c r="Z54" s="29">
        <v>0.57595127999999995</v>
      </c>
      <c r="AA54" s="29">
        <v>0.57651984000000001</v>
      </c>
      <c r="AB54" s="29">
        <v>0.57708839999999983</v>
      </c>
      <c r="AC54" s="29">
        <v>0.57765696</v>
      </c>
      <c r="AD54" s="29">
        <v>0.57822551999999994</v>
      </c>
      <c r="AE54" s="29">
        <v>0.57879407999999999</v>
      </c>
      <c r="AF54" s="29">
        <v>0.57936264000000004</v>
      </c>
      <c r="AG54" s="29">
        <v>0.57993119999999998</v>
      </c>
    </row>
    <row r="55" spans="1:34" s="16" customFormat="1" ht="13.95" customHeight="1" x14ac:dyDescent="0.25">
      <c r="A55" s="16" t="s">
        <v>145</v>
      </c>
      <c r="B55" s="30"/>
      <c r="C55" s="30">
        <v>0.48099999999999998</v>
      </c>
      <c r="D55" s="30">
        <v>0.48713309999999999</v>
      </c>
      <c r="E55" s="30">
        <v>0.49326619999999999</v>
      </c>
      <c r="F55" s="30">
        <v>0.49939929999999999</v>
      </c>
      <c r="G55" s="30">
        <v>0.5055324000000001</v>
      </c>
      <c r="H55" s="30">
        <v>0.5116655</v>
      </c>
      <c r="I55" s="30">
        <v>0.51779860000000011</v>
      </c>
      <c r="J55" s="30">
        <v>0.5239317</v>
      </c>
      <c r="K55" s="30">
        <v>0.5300648</v>
      </c>
      <c r="L55" s="30">
        <v>0.53619790000000001</v>
      </c>
      <c r="M55" s="30">
        <v>0.54233100000000001</v>
      </c>
      <c r="N55" s="30">
        <v>0.54260216550000007</v>
      </c>
      <c r="O55" s="30">
        <v>0.54287333100000001</v>
      </c>
      <c r="P55" s="30">
        <v>0.54314449650000007</v>
      </c>
      <c r="Q55" s="30">
        <v>0.54341566199999991</v>
      </c>
      <c r="R55" s="30">
        <v>0.54368682749999997</v>
      </c>
      <c r="S55" s="30">
        <v>0.54395799300000003</v>
      </c>
      <c r="T55" s="30">
        <v>0.54422915849999998</v>
      </c>
      <c r="U55" s="30">
        <v>0.54450032400000004</v>
      </c>
      <c r="V55" s="30">
        <v>0.54477148949999998</v>
      </c>
      <c r="W55" s="30">
        <v>0.54504265499999993</v>
      </c>
      <c r="X55" s="30">
        <v>0.54531382049999999</v>
      </c>
      <c r="Y55" s="30">
        <v>0.54558498599999994</v>
      </c>
      <c r="Z55" s="30">
        <v>0.5458561515</v>
      </c>
      <c r="AA55" s="30">
        <v>0.54612731700000006</v>
      </c>
      <c r="AB55" s="30">
        <v>0.5463984825</v>
      </c>
      <c r="AC55" s="30">
        <v>0.54666964799999995</v>
      </c>
      <c r="AD55" s="30">
        <v>0.54694081350000001</v>
      </c>
      <c r="AE55" s="30">
        <v>0.54721197899999996</v>
      </c>
      <c r="AF55" s="30">
        <v>0.54748314450000002</v>
      </c>
      <c r="AG55" s="30">
        <v>0.54775430999999997</v>
      </c>
    </row>
    <row r="56" spans="1:34" s="16" customFormat="1" ht="13.95" customHeight="1" thickBot="1" x14ac:dyDescent="0.3">
      <c r="A56" s="26" t="s">
        <v>146</v>
      </c>
      <c r="B56" s="31"/>
      <c r="C56" s="31">
        <v>0.48099999999999998</v>
      </c>
      <c r="D56" s="31">
        <v>0.48379949999999994</v>
      </c>
      <c r="E56" s="31">
        <v>0.486599</v>
      </c>
      <c r="F56" s="31">
        <v>0.48939849999999996</v>
      </c>
      <c r="G56" s="31">
        <v>0.49219799999999997</v>
      </c>
      <c r="H56" s="31">
        <v>0.49499750000000003</v>
      </c>
      <c r="I56" s="31">
        <v>0.49779699999999993</v>
      </c>
      <c r="J56" s="31">
        <v>0.5005965</v>
      </c>
      <c r="K56" s="31">
        <v>0.50339599999999995</v>
      </c>
      <c r="L56" s="31">
        <v>0.50619549999999991</v>
      </c>
      <c r="M56" s="31">
        <v>0.50899499999999998</v>
      </c>
      <c r="N56" s="31">
        <v>0.50912224875000001</v>
      </c>
      <c r="O56" s="31">
        <v>0.50924949749999993</v>
      </c>
      <c r="P56" s="31">
        <v>0.50937674624999996</v>
      </c>
      <c r="Q56" s="31">
        <v>0.50950399499999999</v>
      </c>
      <c r="R56" s="31">
        <v>0.50963124375000002</v>
      </c>
      <c r="S56" s="31">
        <v>0.50975849249999994</v>
      </c>
      <c r="T56" s="31">
        <v>0.50988574124999997</v>
      </c>
      <c r="U56" s="31">
        <v>0.51001298999999989</v>
      </c>
      <c r="V56" s="31">
        <v>0.51014023874999992</v>
      </c>
      <c r="W56" s="31">
        <v>0.51026748749999995</v>
      </c>
      <c r="X56" s="31">
        <v>0.51039473624999998</v>
      </c>
      <c r="Y56" s="31">
        <v>0.5105219849999999</v>
      </c>
      <c r="Z56" s="31">
        <v>0.51064923374999993</v>
      </c>
      <c r="AA56" s="31">
        <v>0.51077648249999996</v>
      </c>
      <c r="AB56" s="31">
        <v>0.51090373124999999</v>
      </c>
      <c r="AC56" s="31">
        <v>0.51103097999999991</v>
      </c>
      <c r="AD56" s="31">
        <v>0.51115822874999994</v>
      </c>
      <c r="AE56" s="31">
        <v>0.51128547749999986</v>
      </c>
      <c r="AF56" s="31">
        <v>0.51141272624999989</v>
      </c>
      <c r="AG56" s="31">
        <v>0.51153997499999992</v>
      </c>
    </row>
    <row r="57" spans="1:34" s="16" customFormat="1" ht="13.95" customHeight="1" thickTop="1" x14ac:dyDescent="0.25">
      <c r="A57" s="25" t="s">
        <v>147</v>
      </c>
      <c r="B57" s="29"/>
      <c r="C57" s="29">
        <v>0.45700000000000002</v>
      </c>
      <c r="D57" s="29">
        <v>0.463839</v>
      </c>
      <c r="E57" s="29">
        <v>0.47067800000000004</v>
      </c>
      <c r="F57" s="29">
        <v>0.47751700000000002</v>
      </c>
      <c r="G57" s="29">
        <v>0.48435600000000001</v>
      </c>
      <c r="H57" s="29">
        <v>0.49119499999999999</v>
      </c>
      <c r="I57" s="29">
        <v>0.49803399999999998</v>
      </c>
      <c r="J57" s="29">
        <v>0.50487300000000013</v>
      </c>
      <c r="K57" s="29">
        <v>0.51171199999999994</v>
      </c>
      <c r="L57" s="29">
        <v>0.51855099999999998</v>
      </c>
      <c r="M57" s="29">
        <v>0.52539000000000002</v>
      </c>
      <c r="N57" s="29">
        <v>0.52617808499999996</v>
      </c>
      <c r="O57" s="29">
        <v>0.52696617000000001</v>
      </c>
      <c r="P57" s="29">
        <v>0.52775425499999995</v>
      </c>
      <c r="Q57" s="29">
        <v>0.52854234</v>
      </c>
      <c r="R57" s="29">
        <v>0.52933042500000005</v>
      </c>
      <c r="S57" s="29">
        <v>0.5301185100000001</v>
      </c>
      <c r="T57" s="29">
        <v>0.53090659500000004</v>
      </c>
      <c r="U57" s="29">
        <v>0.53169467999999998</v>
      </c>
      <c r="V57" s="29">
        <v>0.53248276500000002</v>
      </c>
      <c r="W57" s="29">
        <v>0.53327084999999996</v>
      </c>
      <c r="X57" s="29">
        <v>0.53405893500000001</v>
      </c>
      <c r="Y57" s="29">
        <v>0.53484702000000006</v>
      </c>
      <c r="Z57" s="29">
        <v>0.53563510500000011</v>
      </c>
      <c r="AA57" s="29">
        <v>0.53642319000000005</v>
      </c>
      <c r="AB57" s="29">
        <v>0.53721127499999999</v>
      </c>
      <c r="AC57" s="29">
        <v>0.53799936000000004</v>
      </c>
      <c r="AD57" s="29">
        <v>0.53878744499999998</v>
      </c>
      <c r="AE57" s="29">
        <v>0.53957553000000003</v>
      </c>
      <c r="AF57" s="29">
        <v>0.54036361499999996</v>
      </c>
      <c r="AG57" s="29">
        <v>0.54115170000000001</v>
      </c>
    </row>
    <row r="58" spans="1:34" s="16" customFormat="1" ht="13.95" customHeight="1" x14ac:dyDescent="0.25">
      <c r="A58" s="16" t="s">
        <v>148</v>
      </c>
      <c r="B58" s="30"/>
      <c r="C58" s="30">
        <v>0.45700000000000002</v>
      </c>
      <c r="D58" s="30">
        <v>0.46114740000000004</v>
      </c>
      <c r="E58" s="30">
        <v>0.46529480000000001</v>
      </c>
      <c r="F58" s="30">
        <v>0.46944220000000003</v>
      </c>
      <c r="G58" s="30">
        <v>0.47358960000000005</v>
      </c>
      <c r="H58" s="30">
        <v>0.47773699999999997</v>
      </c>
      <c r="I58" s="30">
        <v>0.48188440000000005</v>
      </c>
      <c r="J58" s="30">
        <v>0.48603179999999996</v>
      </c>
      <c r="K58" s="30">
        <v>0.49017919999999993</v>
      </c>
      <c r="L58" s="30">
        <v>0.49432659999999995</v>
      </c>
      <c r="M58" s="30">
        <v>0.49847399999999997</v>
      </c>
      <c r="N58" s="30">
        <v>0.49884785549999994</v>
      </c>
      <c r="O58" s="30">
        <v>0.49922171099999996</v>
      </c>
      <c r="P58" s="30">
        <v>0.49959556649999992</v>
      </c>
      <c r="Q58" s="30">
        <v>0.49996942199999994</v>
      </c>
      <c r="R58" s="30">
        <v>0.50034327749999996</v>
      </c>
      <c r="S58" s="30">
        <v>0.50071713299999998</v>
      </c>
      <c r="T58" s="30">
        <v>0.5010909885</v>
      </c>
      <c r="U58" s="30">
        <v>0.50146484400000002</v>
      </c>
      <c r="V58" s="30">
        <v>0.50183869949999993</v>
      </c>
      <c r="W58" s="30">
        <v>0.50221255499999995</v>
      </c>
      <c r="X58" s="30">
        <v>0.50258641049999997</v>
      </c>
      <c r="Y58" s="30">
        <v>0.50296026599999999</v>
      </c>
      <c r="Z58" s="30">
        <v>0.50333412150000001</v>
      </c>
      <c r="AA58" s="30">
        <v>0.50370797700000003</v>
      </c>
      <c r="AB58" s="30">
        <v>0.50408183249999994</v>
      </c>
      <c r="AC58" s="30">
        <v>0.50445568799999996</v>
      </c>
      <c r="AD58" s="30">
        <v>0.50482954349999987</v>
      </c>
      <c r="AE58" s="30">
        <v>0.50520339899999989</v>
      </c>
      <c r="AF58" s="30">
        <v>0.50557725449999991</v>
      </c>
      <c r="AG58" s="30">
        <v>0.50595110999999993</v>
      </c>
    </row>
    <row r="59" spans="1:34" s="16" customFormat="1" ht="13.95" customHeight="1" thickBot="1" x14ac:dyDescent="0.3">
      <c r="A59" s="26" t="s">
        <v>149</v>
      </c>
      <c r="B59" s="31"/>
      <c r="C59" s="31">
        <v>0.45700000000000002</v>
      </c>
      <c r="D59" s="31">
        <v>0.45796660000000006</v>
      </c>
      <c r="E59" s="31">
        <v>0.45893320000000004</v>
      </c>
      <c r="F59" s="31">
        <v>0.45989979999999997</v>
      </c>
      <c r="G59" s="31">
        <v>0.46086640000000001</v>
      </c>
      <c r="H59" s="31">
        <v>0.46183300000000005</v>
      </c>
      <c r="I59" s="31">
        <v>0.46279960000000003</v>
      </c>
      <c r="J59" s="31">
        <v>0.46376620000000007</v>
      </c>
      <c r="K59" s="31">
        <v>0.4647328</v>
      </c>
      <c r="L59" s="31">
        <v>0.46569939999999999</v>
      </c>
      <c r="M59" s="31">
        <v>0.46666600000000003</v>
      </c>
      <c r="N59" s="31">
        <v>0.46684099975000004</v>
      </c>
      <c r="O59" s="31">
        <v>0.46701599950000006</v>
      </c>
      <c r="P59" s="31">
        <v>0.46719099924999996</v>
      </c>
      <c r="Q59" s="31">
        <v>0.46736599899999998</v>
      </c>
      <c r="R59" s="31">
        <v>0.46754099874999999</v>
      </c>
      <c r="S59" s="31">
        <v>0.46771599850000001</v>
      </c>
      <c r="T59" s="31">
        <v>0.46789099825000002</v>
      </c>
      <c r="U59" s="31">
        <v>0.46806599800000004</v>
      </c>
      <c r="V59" s="31">
        <v>0.46824099775000005</v>
      </c>
      <c r="W59" s="31">
        <v>0.46841599750000001</v>
      </c>
      <c r="X59" s="31">
        <v>0.46859099725000009</v>
      </c>
      <c r="Y59" s="31">
        <v>0.46876599700000005</v>
      </c>
      <c r="Z59" s="31">
        <v>0.46894099675000006</v>
      </c>
      <c r="AA59" s="31">
        <v>0.46911599650000008</v>
      </c>
      <c r="AB59" s="31">
        <v>0.46929099624999998</v>
      </c>
      <c r="AC59" s="31">
        <v>0.46946599600000011</v>
      </c>
      <c r="AD59" s="31">
        <v>0.46964099575000001</v>
      </c>
      <c r="AE59" s="31">
        <v>0.46981599550000003</v>
      </c>
      <c r="AF59" s="31">
        <v>0.46999099525000004</v>
      </c>
      <c r="AG59" s="31">
        <v>0.47016599500000006</v>
      </c>
    </row>
    <row r="60" spans="1:34" s="16" customFormat="1" ht="13.95" customHeight="1" thickTop="1" x14ac:dyDescent="0.25">
      <c r="A60" s="25" t="s">
        <v>150</v>
      </c>
      <c r="B60" s="29"/>
      <c r="C60" s="29">
        <v>0.44700000000000001</v>
      </c>
      <c r="D60" s="29">
        <v>0.45344839999999997</v>
      </c>
      <c r="E60" s="29">
        <v>0.45989679999999999</v>
      </c>
      <c r="F60" s="29">
        <v>0.46634520000000002</v>
      </c>
      <c r="G60" s="29">
        <v>0.47279359999999998</v>
      </c>
      <c r="H60" s="29">
        <v>0.479242</v>
      </c>
      <c r="I60" s="29">
        <v>0.48569040000000002</v>
      </c>
      <c r="J60" s="29">
        <v>0.49213880000000004</v>
      </c>
      <c r="K60" s="29">
        <v>0.49858720000000006</v>
      </c>
      <c r="L60" s="29">
        <v>0.50503560000000003</v>
      </c>
      <c r="M60" s="29">
        <v>0.51148400000000005</v>
      </c>
      <c r="N60" s="29">
        <v>0.51250696800000006</v>
      </c>
      <c r="O60" s="29">
        <v>0.51352993600000008</v>
      </c>
      <c r="P60" s="29">
        <v>0.51455290400000009</v>
      </c>
      <c r="Q60" s="29">
        <v>0.5155758720000001</v>
      </c>
      <c r="R60" s="29">
        <v>0.51659884000000011</v>
      </c>
      <c r="S60" s="29">
        <v>0.51762180800000002</v>
      </c>
      <c r="T60" s="29">
        <v>0.51864477600000014</v>
      </c>
      <c r="U60" s="29">
        <v>0.51966774400000004</v>
      </c>
      <c r="V60" s="29">
        <v>0.52069071200000006</v>
      </c>
      <c r="W60" s="29">
        <v>0.52171368000000007</v>
      </c>
      <c r="X60" s="29">
        <v>0.52273664800000008</v>
      </c>
      <c r="Y60" s="29">
        <v>0.52375961600000009</v>
      </c>
      <c r="Z60" s="29">
        <v>0.52478258400000011</v>
      </c>
      <c r="AA60" s="29">
        <v>0.52580555200000012</v>
      </c>
      <c r="AB60" s="29">
        <v>0.52682852000000013</v>
      </c>
      <c r="AC60" s="29">
        <v>0.52785148800000015</v>
      </c>
      <c r="AD60" s="29">
        <v>0.52887445600000005</v>
      </c>
      <c r="AE60" s="29">
        <v>0.52989742400000006</v>
      </c>
      <c r="AF60" s="29">
        <v>0.53092039200000007</v>
      </c>
      <c r="AG60" s="29">
        <v>0.53194336000000009</v>
      </c>
    </row>
    <row r="61" spans="1:34" s="16" customFormat="1" ht="13.95" customHeight="1" x14ac:dyDescent="0.25">
      <c r="A61" s="16" t="s">
        <v>151</v>
      </c>
      <c r="B61" s="30"/>
      <c r="C61" s="30">
        <v>0.44700000000000001</v>
      </c>
      <c r="D61" s="30">
        <v>0.45076659999999996</v>
      </c>
      <c r="E61" s="30">
        <v>0.45453320000000003</v>
      </c>
      <c r="F61" s="30">
        <v>0.45829979999999998</v>
      </c>
      <c r="G61" s="30">
        <v>0.46206639999999999</v>
      </c>
      <c r="H61" s="30">
        <v>0.46583299999999994</v>
      </c>
      <c r="I61" s="30">
        <v>0.46959960000000001</v>
      </c>
      <c r="J61" s="30">
        <v>0.47336619999999996</v>
      </c>
      <c r="K61" s="30">
        <v>0.47713279999999997</v>
      </c>
      <c r="L61" s="30">
        <v>0.48089940000000003</v>
      </c>
      <c r="M61" s="30">
        <v>0.48466599999999999</v>
      </c>
      <c r="N61" s="30">
        <v>0.4851506659999999</v>
      </c>
      <c r="O61" s="30">
        <v>0.48563533200000003</v>
      </c>
      <c r="P61" s="30">
        <v>0.48611999799999994</v>
      </c>
      <c r="Q61" s="30">
        <v>0.48660466399999996</v>
      </c>
      <c r="R61" s="30">
        <v>0.48708932999999999</v>
      </c>
      <c r="S61" s="30">
        <v>0.48757399599999995</v>
      </c>
      <c r="T61" s="30">
        <v>0.48805866199999998</v>
      </c>
      <c r="U61" s="30">
        <v>0.488543328</v>
      </c>
      <c r="V61" s="30">
        <v>0.48902799399999991</v>
      </c>
      <c r="W61" s="30">
        <v>0.48951265999999993</v>
      </c>
      <c r="X61" s="30">
        <v>0.48999732599999996</v>
      </c>
      <c r="Y61" s="30">
        <v>0.49048199199999998</v>
      </c>
      <c r="Z61" s="30">
        <v>0.49096665799999994</v>
      </c>
      <c r="AA61" s="30">
        <v>0.49145132399999997</v>
      </c>
      <c r="AB61" s="30">
        <v>0.49193598999999999</v>
      </c>
      <c r="AC61" s="30">
        <v>0.49242065600000001</v>
      </c>
      <c r="AD61" s="30">
        <v>0.49290532200000003</v>
      </c>
      <c r="AE61" s="30">
        <v>0.49338998799999995</v>
      </c>
      <c r="AF61" s="30">
        <v>0.49387465400000002</v>
      </c>
      <c r="AG61" s="30">
        <v>0.49435931999999999</v>
      </c>
    </row>
    <row r="62" spans="1:34" s="16" customFormat="1" ht="13.95" customHeight="1" thickBot="1" x14ac:dyDescent="0.3">
      <c r="A62" s="26" t="s">
        <v>152</v>
      </c>
      <c r="B62" s="32"/>
      <c r="C62" s="32">
        <v>0.44700000000000001</v>
      </c>
      <c r="D62" s="32">
        <v>0.44763599999999998</v>
      </c>
      <c r="E62" s="32">
        <v>0.44827200000000006</v>
      </c>
      <c r="F62" s="32">
        <v>0.44890799999999997</v>
      </c>
      <c r="G62" s="32">
        <v>0.44954400000000005</v>
      </c>
      <c r="H62" s="32">
        <v>0.45017999999999991</v>
      </c>
      <c r="I62" s="32">
        <v>0.45081599999999999</v>
      </c>
      <c r="J62" s="32">
        <v>0.45145200000000002</v>
      </c>
      <c r="K62" s="32">
        <v>0.45208799999999999</v>
      </c>
      <c r="L62" s="32">
        <v>0.45272400000000002</v>
      </c>
      <c r="M62" s="32">
        <v>0.45335999999999999</v>
      </c>
      <c r="N62" s="32">
        <v>0.45358668000000002</v>
      </c>
      <c r="O62" s="32">
        <v>0.45381336</v>
      </c>
      <c r="P62" s="32">
        <v>0.45404004000000003</v>
      </c>
      <c r="Q62" s="32">
        <v>0.45426672000000001</v>
      </c>
      <c r="R62" s="32">
        <v>0.45449339999999994</v>
      </c>
      <c r="S62" s="32">
        <v>0.45472007999999997</v>
      </c>
      <c r="T62" s="32">
        <v>0.45494676000000001</v>
      </c>
      <c r="U62" s="32">
        <v>0.45517343999999998</v>
      </c>
      <c r="V62" s="32">
        <v>0.45540012000000002</v>
      </c>
      <c r="W62" s="32">
        <v>0.4556268</v>
      </c>
      <c r="X62" s="32">
        <v>0.45585348000000003</v>
      </c>
      <c r="Y62" s="32">
        <v>0.45608015999999996</v>
      </c>
      <c r="Z62" s="32">
        <v>0.45630684000000005</v>
      </c>
      <c r="AA62" s="32">
        <v>0.45653351999999997</v>
      </c>
      <c r="AB62" s="32">
        <v>0.45676020000000001</v>
      </c>
      <c r="AC62" s="32">
        <v>0.45698687999999998</v>
      </c>
      <c r="AD62" s="32">
        <v>0.45721356000000002</v>
      </c>
      <c r="AE62" s="32">
        <v>0.45744024000000005</v>
      </c>
      <c r="AF62" s="32">
        <v>0.45766692000000003</v>
      </c>
      <c r="AG62" s="32">
        <v>0.45789360000000001</v>
      </c>
    </row>
    <row r="63" spans="1:34" s="16" customFormat="1" ht="13.95" customHeight="1" thickTop="1" x14ac:dyDescent="0.25">
      <c r="A63" s="25" t="s">
        <v>153</v>
      </c>
      <c r="B63" s="29"/>
      <c r="C63" s="29">
        <v>0.437</v>
      </c>
      <c r="D63" s="29">
        <v>0.44304949999999999</v>
      </c>
      <c r="E63" s="29">
        <v>0.44909900000000003</v>
      </c>
      <c r="F63" s="29">
        <v>0.45514850000000007</v>
      </c>
      <c r="G63" s="29">
        <v>0.461198</v>
      </c>
      <c r="H63" s="29">
        <v>0.46724750000000004</v>
      </c>
      <c r="I63" s="29">
        <v>0.47329699999999997</v>
      </c>
      <c r="J63" s="29">
        <v>0.47934650000000001</v>
      </c>
      <c r="K63" s="29">
        <v>0.48539599999999999</v>
      </c>
      <c r="L63" s="29">
        <v>0.49144550000000004</v>
      </c>
      <c r="M63" s="29">
        <v>0.49749500000000002</v>
      </c>
      <c r="N63" s="29">
        <v>0.49873873749999997</v>
      </c>
      <c r="O63" s="29">
        <v>0.49998247500000004</v>
      </c>
      <c r="P63" s="29">
        <v>0.50122621249999999</v>
      </c>
      <c r="Q63" s="29">
        <v>0.50246995000000005</v>
      </c>
      <c r="R63" s="29">
        <v>0.50371368750000012</v>
      </c>
      <c r="S63" s="29">
        <v>0.50495742500000007</v>
      </c>
      <c r="T63" s="29">
        <v>0.50620116250000002</v>
      </c>
      <c r="U63" s="29">
        <v>0.50744490000000009</v>
      </c>
      <c r="V63" s="29">
        <v>0.50868863750000004</v>
      </c>
      <c r="W63" s="29">
        <v>0.50993237499999999</v>
      </c>
      <c r="X63" s="29">
        <v>0.51117611250000006</v>
      </c>
      <c r="Y63" s="29">
        <v>0.51241985000000001</v>
      </c>
      <c r="Z63" s="29">
        <v>0.51366358750000007</v>
      </c>
      <c r="AA63" s="29">
        <v>0.51490732500000003</v>
      </c>
      <c r="AB63" s="29">
        <v>0.51615106249999998</v>
      </c>
      <c r="AC63" s="29">
        <v>0.51739480000000015</v>
      </c>
      <c r="AD63" s="29">
        <v>0.5186385375</v>
      </c>
      <c r="AE63" s="29">
        <v>0.51988227500000006</v>
      </c>
      <c r="AF63" s="29">
        <v>0.52112601250000012</v>
      </c>
      <c r="AG63" s="29">
        <v>0.52236975000000008</v>
      </c>
    </row>
    <row r="64" spans="1:34" s="16" customFormat="1" ht="13.95" customHeight="1" x14ac:dyDescent="0.25">
      <c r="A64" s="16" t="s">
        <v>154</v>
      </c>
      <c r="B64" s="30"/>
      <c r="C64" s="30">
        <v>0.437</v>
      </c>
      <c r="D64" s="30">
        <v>0.4403608</v>
      </c>
      <c r="E64" s="30">
        <v>0.44372160000000005</v>
      </c>
      <c r="F64" s="30">
        <v>0.44708240000000005</v>
      </c>
      <c r="G64" s="30">
        <v>0.45044319999999993</v>
      </c>
      <c r="H64" s="30">
        <v>0.45380400000000004</v>
      </c>
      <c r="I64" s="30">
        <v>0.45716480000000004</v>
      </c>
      <c r="J64" s="30">
        <v>0.46052560000000009</v>
      </c>
      <c r="K64" s="30">
        <v>0.46388639999999998</v>
      </c>
      <c r="L64" s="30">
        <v>0.46724720000000008</v>
      </c>
      <c r="M64" s="30">
        <v>0.47060800000000003</v>
      </c>
      <c r="N64" s="30">
        <v>0.47119625999999998</v>
      </c>
      <c r="O64" s="30">
        <v>0.47178452000000004</v>
      </c>
      <c r="P64" s="30">
        <v>0.47237278000000005</v>
      </c>
      <c r="Q64" s="30">
        <v>0.47296104000000005</v>
      </c>
      <c r="R64" s="30">
        <v>0.47354930000000001</v>
      </c>
      <c r="S64" s="30">
        <v>0.47413756000000007</v>
      </c>
      <c r="T64" s="30">
        <v>0.47472582000000002</v>
      </c>
      <c r="U64" s="30">
        <v>0.47531408000000008</v>
      </c>
      <c r="V64" s="30">
        <v>0.47590234000000003</v>
      </c>
      <c r="W64" s="30">
        <v>0.47649059999999999</v>
      </c>
      <c r="X64" s="30">
        <v>0.47707886000000005</v>
      </c>
      <c r="Y64" s="30">
        <v>0.47766712</v>
      </c>
      <c r="Z64" s="30">
        <v>0.47825538000000006</v>
      </c>
      <c r="AA64" s="30">
        <v>0.47884364000000001</v>
      </c>
      <c r="AB64" s="30">
        <v>0.47943189999999997</v>
      </c>
      <c r="AC64" s="30">
        <v>0.48002016000000003</v>
      </c>
      <c r="AD64" s="30">
        <v>0.48060842000000009</v>
      </c>
      <c r="AE64" s="30">
        <v>0.48119668000000004</v>
      </c>
      <c r="AF64" s="30">
        <v>0.48178493999999999</v>
      </c>
      <c r="AG64" s="30">
        <v>0.4823732</v>
      </c>
    </row>
    <row r="65" spans="1:62" s="16" customFormat="1" ht="13.95" customHeight="1" thickBot="1" x14ac:dyDescent="0.3">
      <c r="A65" s="26" t="s">
        <v>155</v>
      </c>
      <c r="B65" s="32"/>
      <c r="C65" s="32">
        <v>0.437</v>
      </c>
      <c r="D65" s="32">
        <v>0.43729990000000002</v>
      </c>
      <c r="E65" s="32">
        <v>0.43759979999999998</v>
      </c>
      <c r="F65" s="32">
        <v>0.4378997</v>
      </c>
      <c r="G65" s="32">
        <v>0.43819960000000002</v>
      </c>
      <c r="H65" s="32">
        <v>0.43849949999999999</v>
      </c>
      <c r="I65" s="32">
        <v>0.43879940000000001</v>
      </c>
      <c r="J65" s="32">
        <v>0.43909929999999997</v>
      </c>
      <c r="K65" s="32">
        <v>0.43939919999999999</v>
      </c>
      <c r="L65" s="32">
        <v>0.43969910000000001</v>
      </c>
      <c r="M65" s="32">
        <v>0.43999899999999997</v>
      </c>
      <c r="N65" s="32">
        <v>0.440273999375</v>
      </c>
      <c r="O65" s="32">
        <v>0.44054899874999992</v>
      </c>
      <c r="P65" s="32">
        <v>0.44082399812499995</v>
      </c>
      <c r="Q65" s="32">
        <v>0.44109899749999998</v>
      </c>
      <c r="R65" s="32">
        <v>0.4413739968749999</v>
      </c>
      <c r="S65" s="32">
        <v>0.44164899624999998</v>
      </c>
      <c r="T65" s="32">
        <v>0.44192399562499995</v>
      </c>
      <c r="U65" s="32">
        <v>0.44219899499999993</v>
      </c>
      <c r="V65" s="32">
        <v>0.44247399437499996</v>
      </c>
      <c r="W65" s="32">
        <v>0.44274899374999988</v>
      </c>
      <c r="X65" s="32">
        <v>0.44302399312500002</v>
      </c>
      <c r="Y65" s="32">
        <v>0.44329899249999993</v>
      </c>
      <c r="Z65" s="32">
        <v>0.44357399187499996</v>
      </c>
      <c r="AA65" s="32">
        <v>0.44384899124999999</v>
      </c>
      <c r="AB65" s="32">
        <v>0.44412399062499996</v>
      </c>
      <c r="AC65" s="32">
        <v>0.44439898999999994</v>
      </c>
      <c r="AD65" s="32">
        <v>0.44467398937499991</v>
      </c>
      <c r="AE65" s="32">
        <v>0.44494898874999994</v>
      </c>
      <c r="AF65" s="32">
        <v>0.44522398812499997</v>
      </c>
      <c r="AG65" s="32">
        <v>0.44549898749999994</v>
      </c>
    </row>
    <row r="66" spans="1:62" s="16" customFormat="1" ht="13.95" customHeight="1" thickTop="1" x14ac:dyDescent="0.25">
      <c r="A66" s="25" t="s">
        <v>156</v>
      </c>
      <c r="B66" s="29"/>
      <c r="C66" s="29">
        <v>0.42299999999999999</v>
      </c>
      <c r="D66" s="29">
        <v>0.4286874</v>
      </c>
      <c r="E66" s="29">
        <v>0.43437479999999995</v>
      </c>
      <c r="F66" s="29">
        <v>0.44006220000000001</v>
      </c>
      <c r="G66" s="29">
        <v>0.44574959999999997</v>
      </c>
      <c r="H66" s="29">
        <v>0.45143699999999998</v>
      </c>
      <c r="I66" s="29">
        <v>0.45712439999999999</v>
      </c>
      <c r="J66" s="29">
        <v>0.4628118</v>
      </c>
      <c r="K66" s="29">
        <v>0.4684992</v>
      </c>
      <c r="L66" s="29">
        <v>0.47418660000000001</v>
      </c>
      <c r="M66" s="29">
        <v>0.47987400000000002</v>
      </c>
      <c r="N66" s="29">
        <v>0.48131362200000005</v>
      </c>
      <c r="O66" s="29">
        <v>0.48275324399999997</v>
      </c>
      <c r="P66" s="29">
        <v>0.48419286600000006</v>
      </c>
      <c r="Q66" s="29">
        <v>0.48563248800000008</v>
      </c>
      <c r="R66" s="29">
        <v>0.48707211000000006</v>
      </c>
      <c r="S66" s="29">
        <v>0.48851173199999998</v>
      </c>
      <c r="T66" s="29">
        <v>0.48995135400000012</v>
      </c>
      <c r="U66" s="29">
        <v>0.49139097600000003</v>
      </c>
      <c r="V66" s="29">
        <v>0.49283059800000001</v>
      </c>
      <c r="W66" s="29">
        <v>0.49427022000000004</v>
      </c>
      <c r="X66" s="29">
        <v>0.49570984200000001</v>
      </c>
      <c r="Y66" s="29">
        <v>0.49714946400000004</v>
      </c>
      <c r="Z66" s="29">
        <v>0.49858908600000007</v>
      </c>
      <c r="AA66" s="29">
        <v>0.5000287080000001</v>
      </c>
      <c r="AB66" s="29">
        <v>0.50146833000000002</v>
      </c>
      <c r="AC66" s="29">
        <v>0.50290795200000005</v>
      </c>
      <c r="AD66" s="29">
        <v>0.50434757400000008</v>
      </c>
      <c r="AE66" s="29">
        <v>0.50578719599999999</v>
      </c>
      <c r="AF66" s="29">
        <v>0.50722681800000013</v>
      </c>
      <c r="AG66" s="29">
        <v>0.50866644000000005</v>
      </c>
    </row>
    <row r="67" spans="1:62" s="16" customFormat="1" ht="13.95" customHeight="1" x14ac:dyDescent="0.25">
      <c r="A67" s="16" t="s">
        <v>157</v>
      </c>
      <c r="B67" s="30"/>
      <c r="C67" s="30">
        <v>0.42299999999999999</v>
      </c>
      <c r="D67" s="30">
        <v>0.42600650000000001</v>
      </c>
      <c r="E67" s="30">
        <v>0.42901299999999998</v>
      </c>
      <c r="F67" s="30">
        <v>0.4320195</v>
      </c>
      <c r="G67" s="30">
        <v>0.43502599999999997</v>
      </c>
      <c r="H67" s="30">
        <v>0.43803249999999994</v>
      </c>
      <c r="I67" s="30">
        <v>0.44103899999999996</v>
      </c>
      <c r="J67" s="30">
        <v>0.44404549999999998</v>
      </c>
      <c r="K67" s="30">
        <v>0.44705199999999995</v>
      </c>
      <c r="L67" s="30">
        <v>0.45005850000000003</v>
      </c>
      <c r="M67" s="30">
        <v>0.453065</v>
      </c>
      <c r="N67" s="30">
        <v>0.45374459750000007</v>
      </c>
      <c r="O67" s="30">
        <v>0.45442419499999998</v>
      </c>
      <c r="P67" s="30">
        <v>0.45510379249999999</v>
      </c>
      <c r="Q67" s="30">
        <v>0.45578339000000001</v>
      </c>
      <c r="R67" s="30">
        <v>0.45646298750000003</v>
      </c>
      <c r="S67" s="30">
        <v>0.45714258499999999</v>
      </c>
      <c r="T67" s="30">
        <v>0.45782218250000001</v>
      </c>
      <c r="U67" s="30">
        <v>0.45850178000000003</v>
      </c>
      <c r="V67" s="30">
        <v>0.45918137750000004</v>
      </c>
      <c r="W67" s="30">
        <v>0.45986097499999995</v>
      </c>
      <c r="X67" s="30">
        <v>0.46054057250000008</v>
      </c>
      <c r="Y67" s="30">
        <v>0.46122016999999998</v>
      </c>
      <c r="Z67" s="30">
        <v>0.4618997675</v>
      </c>
      <c r="AA67" s="30">
        <v>0.46257936500000002</v>
      </c>
      <c r="AB67" s="30">
        <v>0.46325896249999998</v>
      </c>
      <c r="AC67" s="30">
        <v>0.46393856</v>
      </c>
      <c r="AD67" s="30">
        <v>0.46461815750000002</v>
      </c>
      <c r="AE67" s="30">
        <v>0.46529775500000004</v>
      </c>
      <c r="AF67" s="30">
        <v>0.46597735250000005</v>
      </c>
      <c r="AG67" s="30">
        <v>0.46665695000000001</v>
      </c>
    </row>
    <row r="68" spans="1:62" s="16" customFormat="1" ht="13.95" customHeight="1" thickBot="1" x14ac:dyDescent="0.3">
      <c r="A68" s="26" t="s">
        <v>158</v>
      </c>
      <c r="B68" s="32"/>
      <c r="C68" s="32">
        <v>0.42299999999999999</v>
      </c>
      <c r="D68" s="32">
        <v>0.42303369999999996</v>
      </c>
      <c r="E68" s="32">
        <v>0.42306739999999998</v>
      </c>
      <c r="F68" s="32">
        <v>0.42310109999999995</v>
      </c>
      <c r="G68" s="32">
        <v>0.42313479999999998</v>
      </c>
      <c r="H68" s="32">
        <v>0.42316849999999995</v>
      </c>
      <c r="I68" s="32">
        <v>0.42320219999999997</v>
      </c>
      <c r="J68" s="32">
        <v>0.4232359</v>
      </c>
      <c r="K68" s="32">
        <v>0.42326959999999997</v>
      </c>
      <c r="L68" s="32">
        <v>0.42330329999999999</v>
      </c>
      <c r="M68" s="32">
        <v>0.42333700000000002</v>
      </c>
      <c r="N68" s="32">
        <v>0.42365450274999999</v>
      </c>
      <c r="O68" s="32">
        <v>0.42397200550000003</v>
      </c>
      <c r="P68" s="32">
        <v>0.42428950825000006</v>
      </c>
      <c r="Q68" s="32">
        <v>0.42460701099999998</v>
      </c>
      <c r="R68" s="32">
        <v>0.42492451375000001</v>
      </c>
      <c r="S68" s="32">
        <v>0.42524201650000004</v>
      </c>
      <c r="T68" s="32">
        <v>0.42555951924999996</v>
      </c>
      <c r="U68" s="32">
        <v>0.42587702199999999</v>
      </c>
      <c r="V68" s="32">
        <v>0.42619452474999997</v>
      </c>
      <c r="W68" s="32">
        <v>0.42651202749999995</v>
      </c>
      <c r="X68" s="32">
        <v>0.42682953025000003</v>
      </c>
      <c r="Y68" s="32">
        <v>0.42714703299999995</v>
      </c>
      <c r="Z68" s="32">
        <v>0.42746453574999999</v>
      </c>
      <c r="AA68" s="32">
        <v>0.42778203850000002</v>
      </c>
      <c r="AB68" s="32">
        <v>0.42809954125000005</v>
      </c>
      <c r="AC68" s="32">
        <v>0.42841704399999997</v>
      </c>
      <c r="AD68" s="32">
        <v>0.42873454675</v>
      </c>
      <c r="AE68" s="32">
        <v>0.42905204949999998</v>
      </c>
      <c r="AF68" s="32">
        <v>0.42936955225000001</v>
      </c>
      <c r="AG68" s="32">
        <v>0.42968705499999998</v>
      </c>
    </row>
    <row r="69" spans="1:62" s="16" customFormat="1" ht="13.95" customHeight="1" thickTop="1" x14ac:dyDescent="0.25">
      <c r="A69" s="25" t="s">
        <v>159</v>
      </c>
      <c r="B69" s="29"/>
      <c r="C69" s="29">
        <v>0.40100000000000002</v>
      </c>
      <c r="D69" s="29">
        <v>0.40612470000000001</v>
      </c>
      <c r="E69" s="29">
        <v>0.41124939999999999</v>
      </c>
      <c r="F69" s="29">
        <v>0.41637409999999997</v>
      </c>
      <c r="G69" s="29">
        <v>0.42149880000000001</v>
      </c>
      <c r="H69" s="29">
        <v>0.42662349999999999</v>
      </c>
      <c r="I69" s="29">
        <v>0.43174820000000003</v>
      </c>
      <c r="J69" s="29">
        <v>0.43687290000000001</v>
      </c>
      <c r="K69" s="29">
        <v>0.44199759999999999</v>
      </c>
      <c r="L69" s="29">
        <v>0.44712230000000003</v>
      </c>
      <c r="M69" s="29">
        <v>0.45224700000000001</v>
      </c>
      <c r="N69" s="29">
        <v>0.45382986450000001</v>
      </c>
      <c r="O69" s="29">
        <v>0.45541272900000002</v>
      </c>
      <c r="P69" s="29">
        <v>0.45699559350000002</v>
      </c>
      <c r="Q69" s="29">
        <v>0.45857845800000002</v>
      </c>
      <c r="R69" s="29">
        <v>0.46016132250000003</v>
      </c>
      <c r="S69" s="29">
        <v>0.46174418700000003</v>
      </c>
      <c r="T69" s="29">
        <v>0.46332705149999998</v>
      </c>
      <c r="U69" s="29">
        <v>0.46490991600000003</v>
      </c>
      <c r="V69" s="29">
        <v>0.46649278049999998</v>
      </c>
      <c r="W69" s="29">
        <v>0.46807564500000004</v>
      </c>
      <c r="X69" s="29">
        <v>0.46965850949999999</v>
      </c>
      <c r="Y69" s="29">
        <v>0.47124137400000005</v>
      </c>
      <c r="Z69" s="29">
        <v>0.47282423850000005</v>
      </c>
      <c r="AA69" s="29">
        <v>0.47440710300000005</v>
      </c>
      <c r="AB69" s="29">
        <v>0.4759899675</v>
      </c>
      <c r="AC69" s="29">
        <v>0.477572832</v>
      </c>
      <c r="AD69" s="29">
        <v>0.47915569650000001</v>
      </c>
      <c r="AE69" s="29">
        <v>0.48073856100000001</v>
      </c>
      <c r="AF69" s="29">
        <v>0.48232142550000001</v>
      </c>
      <c r="AG69" s="29">
        <v>0.48390429000000001</v>
      </c>
    </row>
    <row r="70" spans="1:62" s="16" customFormat="1" ht="13.95" customHeight="1" x14ac:dyDescent="0.25">
      <c r="A70" s="16" t="s">
        <v>160</v>
      </c>
      <c r="B70" s="30"/>
      <c r="C70" s="30">
        <v>0.40100000000000002</v>
      </c>
      <c r="D70" s="30">
        <v>0.40387980000000001</v>
      </c>
      <c r="E70" s="30">
        <v>0.4067596</v>
      </c>
      <c r="F70" s="30">
        <v>0.40963939999999999</v>
      </c>
      <c r="G70" s="30">
        <v>0.41251920000000003</v>
      </c>
      <c r="H70" s="30">
        <v>0.41539900000000002</v>
      </c>
      <c r="I70" s="30">
        <v>0.41827880000000006</v>
      </c>
      <c r="J70" s="30">
        <v>0.42115860000000005</v>
      </c>
      <c r="K70" s="30">
        <v>0.42403840000000004</v>
      </c>
      <c r="L70" s="30">
        <v>0.42691819999999997</v>
      </c>
      <c r="M70" s="30">
        <v>0.42979800000000001</v>
      </c>
      <c r="N70" s="30">
        <v>0.43055014650000001</v>
      </c>
      <c r="O70" s="30">
        <v>0.431302293</v>
      </c>
      <c r="P70" s="30">
        <v>0.4320544395</v>
      </c>
      <c r="Q70" s="30">
        <v>0.43280658599999999</v>
      </c>
      <c r="R70" s="30">
        <v>0.43355873250000004</v>
      </c>
      <c r="S70" s="30">
        <v>0.43431087900000004</v>
      </c>
      <c r="T70" s="30">
        <v>0.43506302550000003</v>
      </c>
      <c r="U70" s="30">
        <v>0.43581517200000003</v>
      </c>
      <c r="V70" s="30">
        <v>0.43656731850000002</v>
      </c>
      <c r="W70" s="30">
        <v>0.43731946500000002</v>
      </c>
      <c r="X70" s="30">
        <v>0.43807161150000001</v>
      </c>
      <c r="Y70" s="30">
        <v>0.43882375800000001</v>
      </c>
      <c r="Z70" s="30">
        <v>0.4395759045</v>
      </c>
      <c r="AA70" s="30">
        <v>0.440328051</v>
      </c>
      <c r="AB70" s="30">
        <v>0.44108019749999999</v>
      </c>
      <c r="AC70" s="30">
        <v>0.44183234399999999</v>
      </c>
      <c r="AD70" s="30">
        <v>0.44258449049999998</v>
      </c>
      <c r="AE70" s="30">
        <v>0.44333663699999998</v>
      </c>
      <c r="AF70" s="30">
        <v>0.44408878349999997</v>
      </c>
      <c r="AG70" s="30">
        <v>0.44484092999999997</v>
      </c>
    </row>
    <row r="71" spans="1:62" s="16" customFormat="1" ht="13.95" customHeight="1" thickBot="1" x14ac:dyDescent="0.3">
      <c r="A71" s="26" t="s">
        <v>161</v>
      </c>
      <c r="B71" s="32"/>
      <c r="C71" s="32">
        <v>0.40100000000000002</v>
      </c>
      <c r="D71" s="32">
        <v>0.40064270000000002</v>
      </c>
      <c r="E71" s="32">
        <v>0.40028540000000001</v>
      </c>
      <c r="F71" s="32">
        <v>0.39992810000000001</v>
      </c>
      <c r="G71" s="32">
        <v>0.3995708</v>
      </c>
      <c r="H71" s="32">
        <v>0.3992135</v>
      </c>
      <c r="I71" s="32">
        <v>0.39885619999999999</v>
      </c>
      <c r="J71" s="32">
        <v>0.39849889999999999</v>
      </c>
      <c r="K71" s="32">
        <v>0.39814159999999998</v>
      </c>
      <c r="L71" s="32">
        <v>0.39778429999999998</v>
      </c>
      <c r="M71" s="32">
        <v>0.39742699999999997</v>
      </c>
      <c r="N71" s="32">
        <v>0.39777474862499995</v>
      </c>
      <c r="O71" s="32">
        <v>0.39812249724999998</v>
      </c>
      <c r="P71" s="32">
        <v>0.39847024587500002</v>
      </c>
      <c r="Q71" s="32">
        <v>0.39881799449999999</v>
      </c>
      <c r="R71" s="32">
        <v>0.39916574312499997</v>
      </c>
      <c r="S71" s="32">
        <v>0.39951349174999995</v>
      </c>
      <c r="T71" s="32">
        <v>0.39986124037500004</v>
      </c>
      <c r="U71" s="32">
        <v>0.40020898899999996</v>
      </c>
      <c r="V71" s="32">
        <v>0.40055673762499994</v>
      </c>
      <c r="W71" s="32">
        <v>0.40090448624999997</v>
      </c>
      <c r="X71" s="32">
        <v>0.401252234875</v>
      </c>
      <c r="Y71" s="32">
        <v>0.40159998350000004</v>
      </c>
      <c r="Z71" s="32">
        <v>0.40194773212500001</v>
      </c>
      <c r="AA71" s="32">
        <v>0.40229548074999999</v>
      </c>
      <c r="AB71" s="32">
        <v>0.40264322937500002</v>
      </c>
      <c r="AC71" s="32">
        <v>0.40299097800000006</v>
      </c>
      <c r="AD71" s="32">
        <v>0.40333872662500003</v>
      </c>
      <c r="AE71" s="32">
        <v>0.40368647524999995</v>
      </c>
      <c r="AF71" s="32">
        <v>0.40403422387499999</v>
      </c>
      <c r="AG71" s="32">
        <v>0.40438197250000002</v>
      </c>
    </row>
    <row r="72" spans="1:62" s="16" customFormat="1" ht="13.95" customHeight="1" thickTop="1" x14ac:dyDescent="0.25">
      <c r="A72" s="25" t="s">
        <v>162</v>
      </c>
      <c r="B72" s="29"/>
      <c r="C72" s="29">
        <v>0.36799999999999999</v>
      </c>
      <c r="D72" s="29">
        <v>0.37274719999999995</v>
      </c>
      <c r="E72" s="29">
        <v>0.37749440000000001</v>
      </c>
      <c r="F72" s="29">
        <v>0.38224160000000001</v>
      </c>
      <c r="G72" s="29">
        <v>0.38698880000000002</v>
      </c>
      <c r="H72" s="29">
        <v>0.39173599999999997</v>
      </c>
      <c r="I72" s="29">
        <v>0.39648319999999998</v>
      </c>
      <c r="J72" s="29">
        <v>0.40123040000000004</v>
      </c>
      <c r="K72" s="29">
        <v>0.40597760000000005</v>
      </c>
      <c r="L72" s="29">
        <v>0.4107248</v>
      </c>
      <c r="M72" s="29">
        <v>0.41547200000000001</v>
      </c>
      <c r="N72" s="29">
        <v>0.41713388800000006</v>
      </c>
      <c r="O72" s="29">
        <v>0.41879577599999995</v>
      </c>
      <c r="P72" s="29">
        <v>0.42045766400000001</v>
      </c>
      <c r="Q72" s="29">
        <v>0.42211955200000001</v>
      </c>
      <c r="R72" s="29">
        <v>0.42378143999999995</v>
      </c>
      <c r="S72" s="29">
        <v>0.42544332800000007</v>
      </c>
      <c r="T72" s="29">
        <v>0.42710521600000001</v>
      </c>
      <c r="U72" s="29">
        <v>0.42876710400000001</v>
      </c>
      <c r="V72" s="29">
        <v>0.43042899200000007</v>
      </c>
      <c r="W72" s="29">
        <v>0.43209087999999995</v>
      </c>
      <c r="X72" s="29">
        <v>0.43375276800000001</v>
      </c>
      <c r="Y72" s="29">
        <v>0.43541465600000001</v>
      </c>
      <c r="Z72" s="29">
        <v>0.43707654399999996</v>
      </c>
      <c r="AA72" s="29">
        <v>0.43873843200000007</v>
      </c>
      <c r="AB72" s="29">
        <v>0.44040032000000001</v>
      </c>
      <c r="AC72" s="29">
        <v>0.44206220800000001</v>
      </c>
      <c r="AD72" s="29">
        <v>0.44372409600000007</v>
      </c>
      <c r="AE72" s="29">
        <v>0.44538598400000007</v>
      </c>
      <c r="AF72" s="29">
        <v>0.44704787200000001</v>
      </c>
      <c r="AG72" s="29">
        <v>0.44870976000000001</v>
      </c>
    </row>
    <row r="73" spans="1:62" s="16" customFormat="1" ht="13.95" customHeight="1" x14ac:dyDescent="0.25">
      <c r="A73" s="16" t="s">
        <v>163</v>
      </c>
      <c r="B73" s="30"/>
      <c r="C73" s="30">
        <v>0.36799999999999999</v>
      </c>
      <c r="D73" s="30">
        <v>0.370172</v>
      </c>
      <c r="E73" s="30">
        <v>0.37234400000000001</v>
      </c>
      <c r="F73" s="30">
        <v>0.37451600000000002</v>
      </c>
      <c r="G73" s="30">
        <v>0.37668800000000002</v>
      </c>
      <c r="H73" s="30">
        <v>0.37885999999999997</v>
      </c>
      <c r="I73" s="30">
        <v>0.38103199999999998</v>
      </c>
      <c r="J73" s="30">
        <v>0.38320399999999999</v>
      </c>
      <c r="K73" s="30">
        <v>0.38537600000000005</v>
      </c>
      <c r="L73" s="30">
        <v>0.387548</v>
      </c>
      <c r="M73" s="30">
        <v>0.38972000000000001</v>
      </c>
      <c r="N73" s="30">
        <v>0.39049944000000003</v>
      </c>
      <c r="O73" s="30">
        <v>0.39127888000000005</v>
      </c>
      <c r="P73" s="30">
        <v>0.39205831999999996</v>
      </c>
      <c r="Q73" s="30">
        <v>0.39283776000000004</v>
      </c>
      <c r="R73" s="30">
        <v>0.39361720000000006</v>
      </c>
      <c r="S73" s="30">
        <v>0.39439663999999997</v>
      </c>
      <c r="T73" s="30">
        <v>0.39517608000000004</v>
      </c>
      <c r="U73" s="30">
        <v>0.39595552000000001</v>
      </c>
      <c r="V73" s="30">
        <v>0.39673496000000003</v>
      </c>
      <c r="W73" s="30">
        <v>0.39751440000000005</v>
      </c>
      <c r="X73" s="30">
        <v>0.39829384000000001</v>
      </c>
      <c r="Y73" s="30">
        <v>0.39907327999999997</v>
      </c>
      <c r="Z73" s="30">
        <v>0.39985272000000005</v>
      </c>
      <c r="AA73" s="30">
        <v>0.40063215999999996</v>
      </c>
      <c r="AB73" s="30">
        <v>0.40141160000000004</v>
      </c>
      <c r="AC73" s="30">
        <v>0.40219104000000006</v>
      </c>
      <c r="AD73" s="30">
        <v>0.40297048000000002</v>
      </c>
      <c r="AE73" s="30">
        <v>0.40374991999999998</v>
      </c>
      <c r="AF73" s="30">
        <v>0.40452936</v>
      </c>
      <c r="AG73" s="30">
        <v>0.40530880000000002</v>
      </c>
    </row>
    <row r="74" spans="1:62" s="16" customFormat="1" ht="13.95" customHeight="1" thickBot="1" x14ac:dyDescent="0.3">
      <c r="A74" s="26" t="s">
        <v>164</v>
      </c>
      <c r="B74" s="32"/>
      <c r="C74" s="32">
        <v>0.36799999999999999</v>
      </c>
      <c r="D74" s="32">
        <v>0.36753229999999998</v>
      </c>
      <c r="E74" s="32">
        <v>0.36706460000000002</v>
      </c>
      <c r="F74" s="32">
        <v>0.3665969</v>
      </c>
      <c r="G74" s="32">
        <v>0.36612920000000004</v>
      </c>
      <c r="H74" s="32">
        <v>0.36566149999999997</v>
      </c>
      <c r="I74" s="32">
        <v>0.36519380000000001</v>
      </c>
      <c r="J74" s="32">
        <v>0.36472610000000005</v>
      </c>
      <c r="K74" s="32">
        <v>0.36425840000000004</v>
      </c>
      <c r="L74" s="32">
        <v>0.36379069999999997</v>
      </c>
      <c r="M74" s="32">
        <v>0.36332300000000001</v>
      </c>
      <c r="N74" s="32">
        <v>0.36368632299999998</v>
      </c>
      <c r="O74" s="32">
        <v>0.364049646</v>
      </c>
      <c r="P74" s="32">
        <v>0.36441296900000003</v>
      </c>
      <c r="Q74" s="32">
        <v>0.364776292</v>
      </c>
      <c r="R74" s="32">
        <v>0.36513961500000003</v>
      </c>
      <c r="S74" s="32">
        <v>0.365502938</v>
      </c>
      <c r="T74" s="32">
        <v>0.36586626100000003</v>
      </c>
      <c r="U74" s="32">
        <v>0.366229584</v>
      </c>
      <c r="V74" s="32">
        <v>0.36659290700000002</v>
      </c>
      <c r="W74" s="32">
        <v>0.36695623000000005</v>
      </c>
      <c r="X74" s="32">
        <v>0.36731955300000002</v>
      </c>
      <c r="Y74" s="32">
        <v>0.36768287600000005</v>
      </c>
      <c r="Z74" s="32">
        <v>0.36804619900000002</v>
      </c>
      <c r="AA74" s="32">
        <v>0.36840952199999999</v>
      </c>
      <c r="AB74" s="32">
        <v>0.36877284500000007</v>
      </c>
      <c r="AC74" s="32">
        <v>0.36913616800000004</v>
      </c>
      <c r="AD74" s="32">
        <v>0.36949949100000001</v>
      </c>
      <c r="AE74" s="32">
        <v>0.36986281400000004</v>
      </c>
      <c r="AF74" s="32">
        <v>0.37022613700000007</v>
      </c>
      <c r="AG74" s="32">
        <v>0.37058946000000004</v>
      </c>
    </row>
    <row r="75" spans="1:62" s="16" customFormat="1" ht="13.95" customHeight="1" thickTop="1" x14ac:dyDescent="0.25">
      <c r="A75" s="25" t="s">
        <v>165</v>
      </c>
      <c r="B75" s="29"/>
      <c r="C75" s="29">
        <v>0.32200000000000001</v>
      </c>
      <c r="D75" s="29">
        <v>0.32686029999999999</v>
      </c>
      <c r="E75" s="29">
        <v>0.33172060000000003</v>
      </c>
      <c r="F75" s="29">
        <v>0.33658090000000002</v>
      </c>
      <c r="G75" s="29">
        <v>0.3414412</v>
      </c>
      <c r="H75" s="29">
        <v>0.34630150000000004</v>
      </c>
      <c r="I75" s="29">
        <v>0.35116180000000002</v>
      </c>
      <c r="J75" s="29">
        <v>0.35602210000000001</v>
      </c>
      <c r="K75" s="29">
        <v>0.36088240000000005</v>
      </c>
      <c r="L75" s="29">
        <v>0.36574270000000003</v>
      </c>
      <c r="M75" s="29">
        <v>0.37060300000000002</v>
      </c>
      <c r="N75" s="29">
        <v>0.37227071350000002</v>
      </c>
      <c r="O75" s="29">
        <v>0.37393842700000002</v>
      </c>
      <c r="P75" s="29">
        <v>0.37560614050000002</v>
      </c>
      <c r="Q75" s="29">
        <v>0.37727385400000002</v>
      </c>
      <c r="R75" s="29">
        <v>0.37894156750000002</v>
      </c>
      <c r="S75" s="29">
        <v>0.38060928100000002</v>
      </c>
      <c r="T75" s="29">
        <v>0.38227699450000002</v>
      </c>
      <c r="U75" s="29">
        <v>0.38394470800000002</v>
      </c>
      <c r="V75" s="29">
        <v>0.38561242150000002</v>
      </c>
      <c r="W75" s="29">
        <v>0.38728013500000003</v>
      </c>
      <c r="X75" s="29">
        <v>0.38894784850000003</v>
      </c>
      <c r="Y75" s="29">
        <v>0.39061556200000003</v>
      </c>
      <c r="Z75" s="29">
        <v>0.39228327550000003</v>
      </c>
      <c r="AA75" s="29">
        <v>0.39395098900000003</v>
      </c>
      <c r="AB75" s="29">
        <v>0.39561870250000003</v>
      </c>
      <c r="AC75" s="29">
        <v>0.39728641600000003</v>
      </c>
      <c r="AD75" s="29">
        <v>0.39895412950000003</v>
      </c>
      <c r="AE75" s="29">
        <v>0.40062184300000003</v>
      </c>
      <c r="AF75" s="29">
        <v>0.40228955650000009</v>
      </c>
      <c r="AG75" s="29">
        <v>0.40395727000000003</v>
      </c>
    </row>
    <row r="76" spans="1:62" s="16" customFormat="1" ht="13.95" customHeight="1" x14ac:dyDescent="0.25">
      <c r="A76" s="16" t="s">
        <v>166</v>
      </c>
      <c r="B76" s="30"/>
      <c r="C76" s="30">
        <v>0.32200000000000001</v>
      </c>
      <c r="D76" s="30">
        <v>0.32439899999999999</v>
      </c>
      <c r="E76" s="30">
        <v>0.32679800000000003</v>
      </c>
      <c r="F76" s="30">
        <v>0.32919700000000002</v>
      </c>
      <c r="G76" s="30">
        <v>0.331596</v>
      </c>
      <c r="H76" s="30">
        <v>0.33399499999999999</v>
      </c>
      <c r="I76" s="30">
        <v>0.33639400000000003</v>
      </c>
      <c r="J76" s="30">
        <v>0.33879300000000001</v>
      </c>
      <c r="K76" s="30">
        <v>0.34119200000000005</v>
      </c>
      <c r="L76" s="30">
        <v>0.34359100000000004</v>
      </c>
      <c r="M76" s="30">
        <v>0.34599000000000002</v>
      </c>
      <c r="N76" s="30">
        <v>0.34676847750000001</v>
      </c>
      <c r="O76" s="30">
        <v>0.34754695499999999</v>
      </c>
      <c r="P76" s="30">
        <v>0.34832543250000003</v>
      </c>
      <c r="Q76" s="30">
        <v>0.34910391000000002</v>
      </c>
      <c r="R76" s="30">
        <v>0.3498823875</v>
      </c>
      <c r="S76" s="30">
        <v>0.35066086500000004</v>
      </c>
      <c r="T76" s="30">
        <v>0.35143934250000008</v>
      </c>
      <c r="U76" s="30">
        <v>0.35221782000000001</v>
      </c>
      <c r="V76" s="30">
        <v>0.3529962975</v>
      </c>
      <c r="W76" s="30">
        <v>0.35377477500000004</v>
      </c>
      <c r="X76" s="30">
        <v>0.35455325250000003</v>
      </c>
      <c r="Y76" s="30">
        <v>0.35533173000000001</v>
      </c>
      <c r="Z76" s="30">
        <v>0.3561102075</v>
      </c>
      <c r="AA76" s="30">
        <v>0.35688868500000004</v>
      </c>
      <c r="AB76" s="30">
        <v>0.35766716250000002</v>
      </c>
      <c r="AC76" s="30">
        <v>0.35844564000000001</v>
      </c>
      <c r="AD76" s="30">
        <v>0.3592241175</v>
      </c>
      <c r="AE76" s="30">
        <v>0.36000259499999998</v>
      </c>
      <c r="AF76" s="30">
        <v>0.36078107250000002</v>
      </c>
      <c r="AG76" s="30">
        <v>0.36155955000000001</v>
      </c>
    </row>
    <row r="77" spans="1:62" s="16" customFormat="1" ht="13.95" customHeight="1" thickBot="1" x14ac:dyDescent="0.3">
      <c r="A77" s="26" t="s">
        <v>167</v>
      </c>
      <c r="B77" s="32"/>
      <c r="C77" s="32">
        <v>0.32200000000000001</v>
      </c>
      <c r="D77" s="32">
        <v>0.32200060000000003</v>
      </c>
      <c r="E77" s="32">
        <v>0.32200119999999999</v>
      </c>
      <c r="F77" s="32">
        <v>0.3220018</v>
      </c>
      <c r="G77" s="32">
        <v>0.32200240000000002</v>
      </c>
      <c r="H77" s="32">
        <v>0.32200300000000004</v>
      </c>
      <c r="I77" s="32">
        <v>0.32200360000000006</v>
      </c>
      <c r="J77" s="32">
        <v>0.32200420000000002</v>
      </c>
      <c r="K77" s="32">
        <v>0.32200480000000004</v>
      </c>
      <c r="L77" s="32">
        <v>0.3220054</v>
      </c>
      <c r="M77" s="32">
        <v>0.32200600000000001</v>
      </c>
      <c r="N77" s="32">
        <v>0.32236825675000003</v>
      </c>
      <c r="O77" s="32">
        <v>0.32273051349999998</v>
      </c>
      <c r="P77" s="32">
        <v>0.32309277025000005</v>
      </c>
      <c r="Q77" s="32">
        <v>0.32345502700000001</v>
      </c>
      <c r="R77" s="32">
        <v>0.32381728375000002</v>
      </c>
      <c r="S77" s="32">
        <v>0.32417954050000003</v>
      </c>
      <c r="T77" s="32">
        <v>0.32454179725000004</v>
      </c>
      <c r="U77" s="32">
        <v>0.324904054</v>
      </c>
      <c r="V77" s="32">
        <v>0.32526631075000001</v>
      </c>
      <c r="W77" s="32">
        <v>0.32562856750000002</v>
      </c>
      <c r="X77" s="32">
        <v>0.32599082425000003</v>
      </c>
      <c r="Y77" s="32">
        <v>0.32635308100000004</v>
      </c>
      <c r="Z77" s="32">
        <v>0.32671533775</v>
      </c>
      <c r="AA77" s="32">
        <v>0.32707759450000007</v>
      </c>
      <c r="AB77" s="32">
        <v>0.32743985125000002</v>
      </c>
      <c r="AC77" s="32">
        <v>0.32780210800000004</v>
      </c>
      <c r="AD77" s="32">
        <v>0.32816436474999999</v>
      </c>
      <c r="AE77" s="32">
        <v>0.3285266215</v>
      </c>
      <c r="AF77" s="32">
        <v>0.32888887825000002</v>
      </c>
      <c r="AG77" s="32">
        <v>0.32925113500000003</v>
      </c>
    </row>
    <row r="78" spans="1:62" s="16" customFormat="1" ht="13.95" customHeight="1" thickTop="1" x14ac:dyDescent="0.25">
      <c r="A78" s="25" t="s">
        <v>168</v>
      </c>
      <c r="B78" s="29"/>
      <c r="C78" s="29">
        <v>0.27100000000000002</v>
      </c>
      <c r="D78" s="29">
        <v>0.27595270000000005</v>
      </c>
      <c r="E78" s="29">
        <v>0.28090540000000003</v>
      </c>
      <c r="F78" s="29">
        <v>0.2858581</v>
      </c>
      <c r="G78" s="29">
        <v>0.29081080000000004</v>
      </c>
      <c r="H78" s="29">
        <v>0.29576349999999996</v>
      </c>
      <c r="I78" s="29">
        <v>0.30071619999999999</v>
      </c>
      <c r="J78" s="29">
        <v>0.30566890000000002</v>
      </c>
      <c r="K78" s="29">
        <v>0.3106216</v>
      </c>
      <c r="L78" s="29">
        <v>0.31557430000000003</v>
      </c>
      <c r="M78" s="29">
        <v>0.32052700000000001</v>
      </c>
      <c r="N78" s="29">
        <v>0.32212963499999997</v>
      </c>
      <c r="O78" s="29">
        <v>0.32373227000000004</v>
      </c>
      <c r="P78" s="29">
        <v>0.32533490500000001</v>
      </c>
      <c r="Q78" s="29">
        <v>0.32693754000000003</v>
      </c>
      <c r="R78" s="29">
        <v>0.32854017499999999</v>
      </c>
      <c r="S78" s="29">
        <v>0.33014281000000001</v>
      </c>
      <c r="T78" s="29">
        <v>0.33174544500000003</v>
      </c>
      <c r="U78" s="29">
        <v>0.33334808000000005</v>
      </c>
      <c r="V78" s="29">
        <v>0.33495071500000001</v>
      </c>
      <c r="W78" s="29">
        <v>0.33655335000000008</v>
      </c>
      <c r="X78" s="29">
        <v>0.33815598500000005</v>
      </c>
      <c r="Y78" s="29">
        <v>0.33975862000000001</v>
      </c>
      <c r="Z78" s="29">
        <v>0.34136125500000003</v>
      </c>
      <c r="AA78" s="29">
        <v>0.34296389000000005</v>
      </c>
      <c r="AB78" s="29">
        <v>0.34456652500000007</v>
      </c>
      <c r="AC78" s="29">
        <v>0.34616916000000003</v>
      </c>
      <c r="AD78" s="29">
        <v>0.34777179499999999</v>
      </c>
      <c r="AE78" s="29">
        <v>0.34937443000000001</v>
      </c>
      <c r="AF78" s="29">
        <v>0.35097706500000003</v>
      </c>
      <c r="AG78" s="29">
        <v>0.35257970000000005</v>
      </c>
    </row>
    <row r="79" spans="1:62" s="16" customFormat="1" ht="13.95" customHeight="1" thickBot="1" x14ac:dyDescent="0.3">
      <c r="A79" s="16" t="s">
        <v>169</v>
      </c>
      <c r="B79" s="30"/>
      <c r="C79" s="30">
        <v>0.27100000000000002</v>
      </c>
      <c r="D79" s="30">
        <v>0.27365640000000002</v>
      </c>
      <c r="E79" s="30">
        <v>0.27631280000000003</v>
      </c>
      <c r="F79" s="30">
        <v>0.27896920000000003</v>
      </c>
      <c r="G79" s="30">
        <v>0.28162560000000003</v>
      </c>
      <c r="H79" s="30">
        <v>0.28428199999999998</v>
      </c>
      <c r="I79" s="30">
        <v>0.28693840000000004</v>
      </c>
      <c r="J79" s="30">
        <v>0.28959480000000004</v>
      </c>
      <c r="K79" s="30">
        <v>0.29225120000000004</v>
      </c>
      <c r="L79" s="30">
        <v>0.29490759999999999</v>
      </c>
      <c r="M79" s="30">
        <v>0.297564</v>
      </c>
      <c r="N79" s="30">
        <v>0.29830791000000001</v>
      </c>
      <c r="O79" s="30">
        <v>0.29905181999999997</v>
      </c>
      <c r="P79" s="30">
        <v>0.29979573000000004</v>
      </c>
      <c r="Q79" s="30">
        <v>0.30053964</v>
      </c>
      <c r="R79" s="30">
        <v>0.30128354999999996</v>
      </c>
      <c r="S79" s="30">
        <v>0.30202746000000003</v>
      </c>
      <c r="T79" s="30">
        <v>0.30277136999999998</v>
      </c>
      <c r="U79" s="30">
        <v>0.30351528</v>
      </c>
      <c r="V79" s="30">
        <v>0.30425918999999996</v>
      </c>
      <c r="W79" s="30">
        <v>0.30500309999999997</v>
      </c>
      <c r="X79" s="30">
        <v>0.30574700999999999</v>
      </c>
      <c r="Y79" s="30">
        <v>0.30649092</v>
      </c>
      <c r="Z79" s="30">
        <v>0.30723482999999996</v>
      </c>
      <c r="AA79" s="30">
        <v>0.30797873999999997</v>
      </c>
      <c r="AB79" s="30">
        <v>0.30872265000000004</v>
      </c>
      <c r="AC79" s="30">
        <v>0.30946656</v>
      </c>
      <c r="AD79" s="30">
        <v>0.31021047000000002</v>
      </c>
      <c r="AE79" s="30">
        <v>0.31095437999999997</v>
      </c>
      <c r="AF79" s="30">
        <v>0.31169829000000004</v>
      </c>
      <c r="AG79" s="30">
        <v>0.3124422</v>
      </c>
      <c r="AS79" s="33"/>
      <c r="AT79" s="33"/>
      <c r="AU79" s="33"/>
      <c r="AV79" s="33"/>
      <c r="AW79" s="33"/>
      <c r="AX79" s="33"/>
      <c r="AY79" s="33"/>
      <c r="AZ79" s="33"/>
      <c r="BA79" s="33"/>
      <c r="BB79" s="33"/>
      <c r="BC79" s="33"/>
      <c r="BD79" s="33"/>
      <c r="BE79" s="33"/>
      <c r="BF79" s="33"/>
      <c r="BG79" s="33"/>
      <c r="BH79" s="33"/>
      <c r="BI79" s="33"/>
      <c r="BJ79" s="33"/>
    </row>
    <row r="80" spans="1:62" s="16" customFormat="1" ht="13.95" customHeight="1" thickTop="1" thickBot="1" x14ac:dyDescent="0.3">
      <c r="A80" s="26" t="s">
        <v>170</v>
      </c>
      <c r="B80" s="31"/>
      <c r="C80" s="31">
        <v>0.27100000000000002</v>
      </c>
      <c r="D80" s="31">
        <v>0.27153740000000004</v>
      </c>
      <c r="E80" s="31">
        <v>0.27207480000000006</v>
      </c>
      <c r="F80" s="31">
        <v>0.27261220000000003</v>
      </c>
      <c r="G80" s="31">
        <v>0.27314959999999999</v>
      </c>
      <c r="H80" s="31">
        <v>0.27368700000000001</v>
      </c>
      <c r="I80" s="31">
        <v>0.27422440000000003</v>
      </c>
      <c r="J80" s="31">
        <v>0.2747618</v>
      </c>
      <c r="K80" s="31">
        <v>0.27529919999999997</v>
      </c>
      <c r="L80" s="31">
        <v>0.27583659999999999</v>
      </c>
      <c r="M80" s="31">
        <v>0.27637400000000001</v>
      </c>
      <c r="N80" s="31">
        <v>0.27671946749999998</v>
      </c>
      <c r="O80" s="31">
        <v>0.27706493500000001</v>
      </c>
      <c r="P80" s="31">
        <v>0.27741040249999999</v>
      </c>
      <c r="Q80" s="31">
        <v>0.27775587000000002</v>
      </c>
      <c r="R80" s="31">
        <v>0.27810133749999999</v>
      </c>
      <c r="S80" s="31">
        <v>0.27844680500000002</v>
      </c>
      <c r="T80" s="31">
        <v>0.27879227249999999</v>
      </c>
      <c r="U80" s="31">
        <v>0.27913774000000002</v>
      </c>
      <c r="V80" s="31">
        <v>0.2794832075</v>
      </c>
      <c r="W80" s="31">
        <v>0.27982867499999997</v>
      </c>
      <c r="X80" s="31">
        <v>0.28017414250000006</v>
      </c>
      <c r="Y80" s="31">
        <v>0.28051960999999997</v>
      </c>
      <c r="Z80" s="31">
        <v>0.2808650775</v>
      </c>
      <c r="AA80" s="31">
        <v>0.28121054499999998</v>
      </c>
      <c r="AB80" s="31">
        <v>0.28155601250000001</v>
      </c>
      <c r="AC80" s="31">
        <v>0.28190147999999998</v>
      </c>
      <c r="AD80" s="31">
        <v>0.28224694749999996</v>
      </c>
      <c r="AE80" s="31">
        <v>0.28259241499999999</v>
      </c>
      <c r="AF80" s="31">
        <v>0.28293788249999996</v>
      </c>
      <c r="AG80" s="31">
        <v>0.28328334999999999</v>
      </c>
      <c r="AS80" s="34"/>
      <c r="AT80" s="34"/>
      <c r="AU80" s="34"/>
      <c r="AV80" s="34"/>
      <c r="AW80" s="34"/>
      <c r="AX80" s="34"/>
      <c r="AY80" s="34"/>
      <c r="AZ80" s="34"/>
      <c r="BA80" s="34"/>
      <c r="BB80" s="34"/>
      <c r="BC80" s="34"/>
      <c r="BD80" s="34"/>
      <c r="BE80" s="34"/>
      <c r="BF80" s="34"/>
      <c r="BG80" s="34"/>
      <c r="BH80" s="34"/>
      <c r="BI80" s="34"/>
      <c r="BJ80" s="34"/>
    </row>
    <row r="81" spans="1:39" s="16" customFormat="1" ht="13.95" customHeight="1" thickTop="1" x14ac:dyDescent="0.25">
      <c r="A81" s="25" t="s">
        <v>171</v>
      </c>
      <c r="B81" s="29"/>
      <c r="C81" s="29">
        <v>0.17499999999999999</v>
      </c>
      <c r="D81" s="29">
        <v>0.17802689999999999</v>
      </c>
      <c r="E81" s="29">
        <v>0.18105379999999999</v>
      </c>
      <c r="F81" s="29">
        <v>0.18408069999999999</v>
      </c>
      <c r="G81" s="29">
        <v>0.18710759999999999</v>
      </c>
      <c r="H81" s="29">
        <v>0.19013450000000001</v>
      </c>
      <c r="I81" s="29">
        <v>0.19316139999999998</v>
      </c>
      <c r="J81" s="29">
        <v>0.19618830000000001</v>
      </c>
      <c r="K81" s="29">
        <v>0.19921519999999998</v>
      </c>
      <c r="L81" s="29">
        <v>0.20224210000000001</v>
      </c>
      <c r="M81" s="29">
        <v>0.20526900000000001</v>
      </c>
      <c r="N81" s="29">
        <v>0.20639797950000002</v>
      </c>
      <c r="O81" s="29">
        <v>0.20752695900000001</v>
      </c>
      <c r="P81" s="29">
        <v>0.20865593850000003</v>
      </c>
      <c r="Q81" s="29">
        <v>0.20978491799999999</v>
      </c>
      <c r="R81" s="29">
        <v>0.2109138975</v>
      </c>
      <c r="S81" s="29">
        <v>0.21204287700000002</v>
      </c>
      <c r="T81" s="29">
        <v>0.21317185649999998</v>
      </c>
      <c r="U81" s="29">
        <v>0.21430083599999999</v>
      </c>
      <c r="V81" s="29">
        <v>0.21542981550000001</v>
      </c>
      <c r="W81" s="29">
        <v>0.216558795</v>
      </c>
      <c r="X81" s="29">
        <v>0.21768777450000001</v>
      </c>
      <c r="Y81" s="29">
        <v>0.21881675400000003</v>
      </c>
      <c r="Z81" s="29">
        <v>0.21994573349999999</v>
      </c>
      <c r="AA81" s="29">
        <v>0.22107471300000001</v>
      </c>
      <c r="AB81" s="29">
        <v>0.22220369250000002</v>
      </c>
      <c r="AC81" s="29">
        <v>0.22333267200000001</v>
      </c>
      <c r="AD81" s="29">
        <v>0.22446165150000003</v>
      </c>
      <c r="AE81" s="29">
        <v>0.22559063099999999</v>
      </c>
      <c r="AF81" s="29">
        <v>0.22671961050000006</v>
      </c>
      <c r="AG81" s="29">
        <v>0.22784859000000002</v>
      </c>
    </row>
    <row r="82" spans="1:39" s="16" customFormat="1" ht="13.95" customHeight="1" x14ac:dyDescent="0.25">
      <c r="A82" s="16" t="s">
        <v>172</v>
      </c>
      <c r="B82" s="30"/>
      <c r="C82" s="30">
        <v>0.17499999999999999</v>
      </c>
      <c r="D82" s="30">
        <v>0.17628519999999998</v>
      </c>
      <c r="E82" s="30">
        <v>0.17757039999999999</v>
      </c>
      <c r="F82" s="30">
        <v>0.17885559999999998</v>
      </c>
      <c r="G82" s="30">
        <v>0.18014079999999999</v>
      </c>
      <c r="H82" s="30">
        <v>0.181426</v>
      </c>
      <c r="I82" s="30">
        <v>0.18271119999999999</v>
      </c>
      <c r="J82" s="30">
        <v>0.1839964</v>
      </c>
      <c r="K82" s="30">
        <v>0.18528159999999999</v>
      </c>
      <c r="L82" s="30">
        <v>0.18656679999999998</v>
      </c>
      <c r="M82" s="30">
        <v>0.18785199999999999</v>
      </c>
      <c r="N82" s="30">
        <v>0.188368593</v>
      </c>
      <c r="O82" s="30">
        <v>0.18888518599999998</v>
      </c>
      <c r="P82" s="30">
        <v>0.18940177899999999</v>
      </c>
      <c r="Q82" s="30">
        <v>0.189918372</v>
      </c>
      <c r="R82" s="30">
        <v>0.19043496499999998</v>
      </c>
      <c r="S82" s="30">
        <v>0.19095155799999999</v>
      </c>
      <c r="T82" s="30">
        <v>0.19146815099999998</v>
      </c>
      <c r="U82" s="30">
        <v>0.19198474399999998</v>
      </c>
      <c r="V82" s="30">
        <v>0.19250133699999999</v>
      </c>
      <c r="W82" s="30">
        <v>0.19301792999999998</v>
      </c>
      <c r="X82" s="30">
        <v>0.19353452299999999</v>
      </c>
      <c r="Y82" s="30">
        <v>0.19405111599999997</v>
      </c>
      <c r="Z82" s="30">
        <v>0.19456770899999998</v>
      </c>
      <c r="AA82" s="30">
        <v>0.19508430199999999</v>
      </c>
      <c r="AB82" s="30">
        <v>0.195600895</v>
      </c>
      <c r="AC82" s="30">
        <v>0.19611748800000001</v>
      </c>
      <c r="AD82" s="30">
        <v>0.19663408099999996</v>
      </c>
      <c r="AE82" s="30">
        <v>0.19715067399999997</v>
      </c>
      <c r="AF82" s="30">
        <v>0.19766726699999998</v>
      </c>
      <c r="AG82" s="30">
        <v>0.19818385999999999</v>
      </c>
    </row>
    <row r="83" spans="1:39" s="16" customFormat="1" ht="13.95" customHeight="1" x14ac:dyDescent="0.25">
      <c r="A83" s="26" t="s">
        <v>173</v>
      </c>
      <c r="B83" s="30"/>
      <c r="C83" s="30">
        <v>0.17499999999999999</v>
      </c>
      <c r="D83" s="30">
        <v>0.17485239999999999</v>
      </c>
      <c r="E83" s="30">
        <v>0.17470479999999999</v>
      </c>
      <c r="F83" s="30">
        <v>0.1745572</v>
      </c>
      <c r="G83" s="30">
        <v>0.1744096</v>
      </c>
      <c r="H83" s="30">
        <v>0.174262</v>
      </c>
      <c r="I83" s="30">
        <v>0.1741144</v>
      </c>
      <c r="J83" s="30">
        <v>0.1739668</v>
      </c>
      <c r="K83" s="30">
        <v>0.17381920000000001</v>
      </c>
      <c r="L83" s="30">
        <v>0.17367160000000001</v>
      </c>
      <c r="M83" s="30">
        <v>0.17352400000000001</v>
      </c>
      <c r="N83" s="30">
        <v>0.17376259550000001</v>
      </c>
      <c r="O83" s="30">
        <v>0.17400119100000003</v>
      </c>
      <c r="P83" s="30">
        <v>0.17423978649999999</v>
      </c>
      <c r="Q83" s="30">
        <v>0.17447838200000002</v>
      </c>
      <c r="R83" s="30">
        <v>0.17471697750000001</v>
      </c>
      <c r="S83" s="30">
        <v>0.17495557300000003</v>
      </c>
      <c r="T83" s="30">
        <v>0.17519416850000002</v>
      </c>
      <c r="U83" s="30">
        <v>0.17543276400000002</v>
      </c>
      <c r="V83" s="30">
        <v>0.17567135950000004</v>
      </c>
      <c r="W83" s="30">
        <v>0.17590995500000001</v>
      </c>
      <c r="X83" s="30">
        <v>0.17614855050000003</v>
      </c>
      <c r="Y83" s="30">
        <v>0.17638714600000002</v>
      </c>
      <c r="Z83" s="30">
        <v>0.17662574150000004</v>
      </c>
      <c r="AA83" s="30">
        <v>0.17686433700000001</v>
      </c>
      <c r="AB83" s="30">
        <v>0.17710293250000003</v>
      </c>
      <c r="AC83" s="30">
        <v>0.17734152800000003</v>
      </c>
      <c r="AD83" s="30">
        <v>0.17758012350000002</v>
      </c>
      <c r="AE83" s="30">
        <v>0.17781871900000004</v>
      </c>
      <c r="AF83" s="30">
        <v>0.17805731450000001</v>
      </c>
      <c r="AG83" s="30">
        <v>0.17829591000000003</v>
      </c>
    </row>
    <row r="84" spans="1:39" x14ac:dyDescent="0.3">
      <c r="AH84" s="16"/>
    </row>
    <row r="85" spans="1:39" ht="15" thickBot="1" x14ac:dyDescent="0.35">
      <c r="A85" s="35" t="s">
        <v>174</v>
      </c>
      <c r="B85" s="36"/>
      <c r="C85" s="36"/>
      <c r="D85" s="36"/>
    </row>
    <row r="86" spans="1:39" x14ac:dyDescent="0.3">
      <c r="A86" s="93" t="s">
        <v>175</v>
      </c>
      <c r="B86" s="93" t="s">
        <v>176</v>
      </c>
      <c r="C86" s="93" t="s">
        <v>177</v>
      </c>
      <c r="D86" s="93" t="s">
        <v>178</v>
      </c>
    </row>
    <row r="87" spans="1:39" ht="50.7" customHeight="1" thickBot="1" x14ac:dyDescent="0.35">
      <c r="A87" s="94"/>
      <c r="B87" s="94"/>
      <c r="C87" s="94"/>
      <c r="D87" s="94"/>
      <c r="G87">
        <f>B53</f>
        <v>0</v>
      </c>
      <c r="H87">
        <f t="shared" ref="H87:AL87" si="2">C53</f>
        <v>2020</v>
      </c>
      <c r="I87">
        <f t="shared" si="2"/>
        <v>2021</v>
      </c>
      <c r="J87">
        <f t="shared" si="2"/>
        <v>2022</v>
      </c>
      <c r="K87">
        <f t="shared" si="2"/>
        <v>2023</v>
      </c>
      <c r="L87">
        <f t="shared" si="2"/>
        <v>2024</v>
      </c>
      <c r="M87">
        <f t="shared" si="2"/>
        <v>2025</v>
      </c>
      <c r="N87">
        <f t="shared" si="2"/>
        <v>2026</v>
      </c>
      <c r="O87">
        <f t="shared" si="2"/>
        <v>2027</v>
      </c>
      <c r="P87">
        <f t="shared" si="2"/>
        <v>2028</v>
      </c>
      <c r="Q87">
        <f t="shared" si="2"/>
        <v>2029</v>
      </c>
      <c r="R87">
        <f t="shared" si="2"/>
        <v>2030</v>
      </c>
      <c r="S87">
        <f t="shared" si="2"/>
        <v>2031</v>
      </c>
      <c r="T87">
        <f t="shared" si="2"/>
        <v>2032</v>
      </c>
      <c r="U87">
        <f t="shared" si="2"/>
        <v>2033</v>
      </c>
      <c r="V87">
        <f t="shared" si="2"/>
        <v>2034</v>
      </c>
      <c r="W87">
        <f t="shared" si="2"/>
        <v>2035</v>
      </c>
      <c r="X87">
        <f t="shared" si="2"/>
        <v>2036</v>
      </c>
      <c r="Y87">
        <f t="shared" si="2"/>
        <v>2037</v>
      </c>
      <c r="Z87">
        <f t="shared" si="2"/>
        <v>2038</v>
      </c>
      <c r="AA87">
        <f t="shared" si="2"/>
        <v>2039</v>
      </c>
      <c r="AB87">
        <f t="shared" si="2"/>
        <v>2040</v>
      </c>
      <c r="AC87">
        <f t="shared" si="2"/>
        <v>2041</v>
      </c>
      <c r="AD87">
        <f t="shared" si="2"/>
        <v>2042</v>
      </c>
      <c r="AE87">
        <f t="shared" si="2"/>
        <v>2043</v>
      </c>
      <c r="AF87">
        <f t="shared" si="2"/>
        <v>2044</v>
      </c>
      <c r="AG87">
        <f t="shared" si="2"/>
        <v>2045</v>
      </c>
      <c r="AH87">
        <f t="shared" si="2"/>
        <v>2046</v>
      </c>
      <c r="AI87">
        <f t="shared" si="2"/>
        <v>2047</v>
      </c>
      <c r="AJ87">
        <f t="shared" si="2"/>
        <v>2048</v>
      </c>
      <c r="AK87">
        <f t="shared" si="2"/>
        <v>2049</v>
      </c>
      <c r="AL87">
        <f t="shared" si="2"/>
        <v>2050</v>
      </c>
    </row>
    <row r="88" spans="1:39" x14ac:dyDescent="0.3">
      <c r="A88" s="37" t="s">
        <v>179</v>
      </c>
      <c r="B88" s="38" t="s">
        <v>180</v>
      </c>
      <c r="C88" s="39">
        <v>9.5</v>
      </c>
      <c r="D88" s="40">
        <v>153</v>
      </c>
      <c r="F88" s="27" t="str">
        <f>A55</f>
        <v>Class 1 - Moderate</v>
      </c>
      <c r="G88" s="27">
        <f>B55</f>
        <v>0</v>
      </c>
      <c r="H88" s="27">
        <f t="shared" ref="H88:AL88" si="3">C55</f>
        <v>0.48099999999999998</v>
      </c>
      <c r="I88" s="27">
        <f t="shared" si="3"/>
        <v>0.48713309999999999</v>
      </c>
      <c r="J88" s="27">
        <f t="shared" si="3"/>
        <v>0.49326619999999999</v>
      </c>
      <c r="K88" s="27">
        <f t="shared" si="3"/>
        <v>0.49939929999999999</v>
      </c>
      <c r="L88" s="27">
        <f t="shared" si="3"/>
        <v>0.5055324000000001</v>
      </c>
      <c r="M88" s="27">
        <f t="shared" si="3"/>
        <v>0.5116655</v>
      </c>
      <c r="N88" s="27">
        <f t="shared" si="3"/>
        <v>0.51779860000000011</v>
      </c>
      <c r="O88" s="27">
        <f t="shared" si="3"/>
        <v>0.5239317</v>
      </c>
      <c r="P88" s="27">
        <f t="shared" si="3"/>
        <v>0.5300648</v>
      </c>
      <c r="Q88" s="27">
        <f t="shared" si="3"/>
        <v>0.53619790000000001</v>
      </c>
      <c r="R88" s="27">
        <f t="shared" si="3"/>
        <v>0.54233100000000001</v>
      </c>
      <c r="S88" s="27">
        <f t="shared" si="3"/>
        <v>0.54260216550000007</v>
      </c>
      <c r="T88" s="27">
        <f t="shared" si="3"/>
        <v>0.54287333100000001</v>
      </c>
      <c r="U88" s="27">
        <f t="shared" si="3"/>
        <v>0.54314449650000007</v>
      </c>
      <c r="V88" s="27">
        <f t="shared" si="3"/>
        <v>0.54341566199999991</v>
      </c>
      <c r="W88" s="27">
        <f t="shared" si="3"/>
        <v>0.54368682749999997</v>
      </c>
      <c r="X88" s="27">
        <f t="shared" si="3"/>
        <v>0.54395799300000003</v>
      </c>
      <c r="Y88" s="27">
        <f t="shared" si="3"/>
        <v>0.54422915849999998</v>
      </c>
      <c r="Z88" s="27">
        <f t="shared" si="3"/>
        <v>0.54450032400000004</v>
      </c>
      <c r="AA88" s="27">
        <f t="shared" si="3"/>
        <v>0.54477148949999998</v>
      </c>
      <c r="AB88" s="27">
        <f t="shared" si="3"/>
        <v>0.54504265499999993</v>
      </c>
      <c r="AC88" s="27">
        <f t="shared" si="3"/>
        <v>0.54531382049999999</v>
      </c>
      <c r="AD88" s="27">
        <f t="shared" si="3"/>
        <v>0.54558498599999994</v>
      </c>
      <c r="AE88" s="27">
        <f t="shared" si="3"/>
        <v>0.5458561515</v>
      </c>
      <c r="AF88" s="27">
        <f t="shared" si="3"/>
        <v>0.54612731700000006</v>
      </c>
      <c r="AG88" s="27">
        <f t="shared" si="3"/>
        <v>0.5463984825</v>
      </c>
      <c r="AH88" s="27">
        <f t="shared" si="3"/>
        <v>0.54666964799999995</v>
      </c>
      <c r="AI88" s="27">
        <f t="shared" si="3"/>
        <v>0.54694081350000001</v>
      </c>
      <c r="AJ88" s="27">
        <f t="shared" si="3"/>
        <v>0.54721197899999996</v>
      </c>
      <c r="AK88" s="27">
        <f t="shared" si="3"/>
        <v>0.54748314450000002</v>
      </c>
      <c r="AL88" s="27">
        <f t="shared" si="3"/>
        <v>0.54775430999999997</v>
      </c>
      <c r="AM88" s="27"/>
    </row>
    <row r="89" spans="1:39" x14ac:dyDescent="0.3">
      <c r="A89" s="41" t="s">
        <v>181</v>
      </c>
      <c r="B89" s="42" t="s">
        <v>182</v>
      </c>
      <c r="C89" s="43">
        <v>8.9</v>
      </c>
      <c r="D89" s="44">
        <v>152</v>
      </c>
      <c r="F89" s="27" t="str">
        <f>A58</f>
        <v>Class 2 - Moderate</v>
      </c>
      <c r="G89" s="27">
        <f>B58</f>
        <v>0</v>
      </c>
      <c r="H89" s="27">
        <f t="shared" ref="H89:AL89" si="4">C58</f>
        <v>0.45700000000000002</v>
      </c>
      <c r="I89" s="27">
        <f t="shared" si="4"/>
        <v>0.46114740000000004</v>
      </c>
      <c r="J89" s="27">
        <f t="shared" si="4"/>
        <v>0.46529480000000001</v>
      </c>
      <c r="K89" s="27">
        <f t="shared" si="4"/>
        <v>0.46944220000000003</v>
      </c>
      <c r="L89" s="27">
        <f t="shared" si="4"/>
        <v>0.47358960000000005</v>
      </c>
      <c r="M89" s="27">
        <f t="shared" si="4"/>
        <v>0.47773699999999997</v>
      </c>
      <c r="N89" s="27">
        <f t="shared" si="4"/>
        <v>0.48188440000000005</v>
      </c>
      <c r="O89" s="27">
        <f t="shared" si="4"/>
        <v>0.48603179999999996</v>
      </c>
      <c r="P89" s="27">
        <f t="shared" si="4"/>
        <v>0.49017919999999993</v>
      </c>
      <c r="Q89" s="27">
        <f t="shared" si="4"/>
        <v>0.49432659999999995</v>
      </c>
      <c r="R89" s="27">
        <f t="shared" si="4"/>
        <v>0.49847399999999997</v>
      </c>
      <c r="S89" s="27">
        <f t="shared" si="4"/>
        <v>0.49884785549999994</v>
      </c>
      <c r="T89" s="27">
        <f t="shared" si="4"/>
        <v>0.49922171099999996</v>
      </c>
      <c r="U89" s="27">
        <f t="shared" si="4"/>
        <v>0.49959556649999992</v>
      </c>
      <c r="V89" s="27">
        <f t="shared" si="4"/>
        <v>0.49996942199999994</v>
      </c>
      <c r="W89" s="27">
        <f t="shared" si="4"/>
        <v>0.50034327749999996</v>
      </c>
      <c r="X89" s="27">
        <f t="shared" si="4"/>
        <v>0.50071713299999998</v>
      </c>
      <c r="Y89" s="27">
        <f t="shared" si="4"/>
        <v>0.5010909885</v>
      </c>
      <c r="Z89" s="27">
        <f t="shared" si="4"/>
        <v>0.50146484400000002</v>
      </c>
      <c r="AA89" s="27">
        <f t="shared" si="4"/>
        <v>0.50183869949999993</v>
      </c>
      <c r="AB89" s="27">
        <f t="shared" si="4"/>
        <v>0.50221255499999995</v>
      </c>
      <c r="AC89" s="27">
        <f t="shared" si="4"/>
        <v>0.50258641049999997</v>
      </c>
      <c r="AD89" s="27">
        <f t="shared" si="4"/>
        <v>0.50296026599999999</v>
      </c>
      <c r="AE89" s="27">
        <f t="shared" si="4"/>
        <v>0.50333412150000001</v>
      </c>
      <c r="AF89" s="27">
        <f t="shared" si="4"/>
        <v>0.50370797700000003</v>
      </c>
      <c r="AG89" s="27">
        <f t="shared" si="4"/>
        <v>0.50408183249999994</v>
      </c>
      <c r="AH89" s="27">
        <f t="shared" si="4"/>
        <v>0.50445568799999996</v>
      </c>
      <c r="AI89" s="27">
        <f t="shared" si="4"/>
        <v>0.50482954349999987</v>
      </c>
      <c r="AJ89" s="27">
        <f t="shared" si="4"/>
        <v>0.50520339899999989</v>
      </c>
      <c r="AK89" s="27">
        <f t="shared" si="4"/>
        <v>0.50557725449999991</v>
      </c>
      <c r="AL89" s="27">
        <f t="shared" si="4"/>
        <v>0.50595110999999993</v>
      </c>
      <c r="AM89" s="27"/>
    </row>
    <row r="90" spans="1:39" x14ac:dyDescent="0.3">
      <c r="A90" s="45" t="s">
        <v>183</v>
      </c>
      <c r="B90" s="46" t="s">
        <v>184</v>
      </c>
      <c r="C90" s="47">
        <v>8.6999999999999993</v>
      </c>
      <c r="D90" s="48">
        <v>304</v>
      </c>
      <c r="F90" s="27" t="str">
        <f>A61</f>
        <v>Class 3 - Moderate</v>
      </c>
      <c r="G90" s="27">
        <f>B61</f>
        <v>0</v>
      </c>
      <c r="H90" s="27">
        <f t="shared" ref="H90:AL90" si="5">C61</f>
        <v>0.44700000000000001</v>
      </c>
      <c r="I90" s="27">
        <f t="shared" si="5"/>
        <v>0.45076659999999996</v>
      </c>
      <c r="J90" s="27">
        <f t="shared" si="5"/>
        <v>0.45453320000000003</v>
      </c>
      <c r="K90" s="27">
        <f t="shared" si="5"/>
        <v>0.45829979999999998</v>
      </c>
      <c r="L90" s="27">
        <f t="shared" si="5"/>
        <v>0.46206639999999999</v>
      </c>
      <c r="M90" s="27">
        <f t="shared" si="5"/>
        <v>0.46583299999999994</v>
      </c>
      <c r="N90" s="27">
        <f t="shared" si="5"/>
        <v>0.46959960000000001</v>
      </c>
      <c r="O90" s="27">
        <f t="shared" si="5"/>
        <v>0.47336619999999996</v>
      </c>
      <c r="P90" s="27">
        <f t="shared" si="5"/>
        <v>0.47713279999999997</v>
      </c>
      <c r="Q90" s="27">
        <f t="shared" si="5"/>
        <v>0.48089940000000003</v>
      </c>
      <c r="R90" s="27">
        <f t="shared" si="5"/>
        <v>0.48466599999999999</v>
      </c>
      <c r="S90" s="27">
        <f t="shared" si="5"/>
        <v>0.4851506659999999</v>
      </c>
      <c r="T90" s="27">
        <f t="shared" si="5"/>
        <v>0.48563533200000003</v>
      </c>
      <c r="U90" s="27">
        <f t="shared" si="5"/>
        <v>0.48611999799999994</v>
      </c>
      <c r="V90" s="27">
        <f t="shared" si="5"/>
        <v>0.48660466399999996</v>
      </c>
      <c r="W90" s="27">
        <f t="shared" si="5"/>
        <v>0.48708932999999999</v>
      </c>
      <c r="X90" s="27">
        <f t="shared" si="5"/>
        <v>0.48757399599999995</v>
      </c>
      <c r="Y90" s="27">
        <f t="shared" si="5"/>
        <v>0.48805866199999998</v>
      </c>
      <c r="Z90" s="27">
        <f t="shared" si="5"/>
        <v>0.488543328</v>
      </c>
      <c r="AA90" s="27">
        <f t="shared" si="5"/>
        <v>0.48902799399999991</v>
      </c>
      <c r="AB90" s="27">
        <f t="shared" si="5"/>
        <v>0.48951265999999993</v>
      </c>
      <c r="AC90" s="27">
        <f t="shared" si="5"/>
        <v>0.48999732599999996</v>
      </c>
      <c r="AD90" s="27">
        <f t="shared" si="5"/>
        <v>0.49048199199999998</v>
      </c>
      <c r="AE90" s="27">
        <f t="shared" si="5"/>
        <v>0.49096665799999994</v>
      </c>
      <c r="AF90" s="27">
        <f t="shared" si="5"/>
        <v>0.49145132399999997</v>
      </c>
      <c r="AG90" s="27">
        <f t="shared" si="5"/>
        <v>0.49193598999999999</v>
      </c>
      <c r="AH90" s="27">
        <f t="shared" si="5"/>
        <v>0.49242065600000001</v>
      </c>
      <c r="AI90" s="27">
        <f t="shared" si="5"/>
        <v>0.49290532200000003</v>
      </c>
      <c r="AJ90" s="27">
        <f t="shared" si="5"/>
        <v>0.49338998799999995</v>
      </c>
      <c r="AK90" s="27">
        <f t="shared" si="5"/>
        <v>0.49387465400000002</v>
      </c>
      <c r="AL90" s="27">
        <f t="shared" si="5"/>
        <v>0.49435931999999999</v>
      </c>
      <c r="AM90" s="27"/>
    </row>
    <row r="91" spans="1:39" x14ac:dyDescent="0.3">
      <c r="A91" s="41" t="s">
        <v>185</v>
      </c>
      <c r="B91" s="42" t="s">
        <v>186</v>
      </c>
      <c r="C91" s="43">
        <v>8.5</v>
      </c>
      <c r="D91" s="44">
        <v>606</v>
      </c>
      <c r="F91" s="27" t="str">
        <f>A64</f>
        <v>Class 4 - Moderate</v>
      </c>
      <c r="G91" s="27">
        <f>B64</f>
        <v>0</v>
      </c>
      <c r="H91" s="27">
        <f t="shared" ref="H91:AL91" si="6">C64</f>
        <v>0.437</v>
      </c>
      <c r="I91" s="27">
        <f t="shared" si="6"/>
        <v>0.4403608</v>
      </c>
      <c r="J91" s="27">
        <f t="shared" si="6"/>
        <v>0.44372160000000005</v>
      </c>
      <c r="K91" s="27">
        <f t="shared" si="6"/>
        <v>0.44708240000000005</v>
      </c>
      <c r="L91" s="27">
        <f t="shared" si="6"/>
        <v>0.45044319999999993</v>
      </c>
      <c r="M91" s="27">
        <f t="shared" si="6"/>
        <v>0.45380400000000004</v>
      </c>
      <c r="N91" s="27">
        <f t="shared" si="6"/>
        <v>0.45716480000000004</v>
      </c>
      <c r="O91" s="27">
        <f t="shared" si="6"/>
        <v>0.46052560000000009</v>
      </c>
      <c r="P91" s="27">
        <f t="shared" si="6"/>
        <v>0.46388639999999998</v>
      </c>
      <c r="Q91" s="27">
        <f t="shared" si="6"/>
        <v>0.46724720000000008</v>
      </c>
      <c r="R91" s="27">
        <f t="shared" si="6"/>
        <v>0.47060800000000003</v>
      </c>
      <c r="S91" s="27">
        <f t="shared" si="6"/>
        <v>0.47119625999999998</v>
      </c>
      <c r="T91" s="27">
        <f t="shared" si="6"/>
        <v>0.47178452000000004</v>
      </c>
      <c r="U91" s="27">
        <f t="shared" si="6"/>
        <v>0.47237278000000005</v>
      </c>
      <c r="V91" s="27">
        <f t="shared" si="6"/>
        <v>0.47296104000000005</v>
      </c>
      <c r="W91" s="27">
        <f t="shared" si="6"/>
        <v>0.47354930000000001</v>
      </c>
      <c r="X91" s="27">
        <f t="shared" si="6"/>
        <v>0.47413756000000007</v>
      </c>
      <c r="Y91" s="27">
        <f t="shared" si="6"/>
        <v>0.47472582000000002</v>
      </c>
      <c r="Z91" s="27">
        <f t="shared" si="6"/>
        <v>0.47531408000000008</v>
      </c>
      <c r="AA91" s="27">
        <f t="shared" si="6"/>
        <v>0.47590234000000003</v>
      </c>
      <c r="AB91" s="27">
        <f t="shared" si="6"/>
        <v>0.47649059999999999</v>
      </c>
      <c r="AC91" s="27">
        <f t="shared" si="6"/>
        <v>0.47707886000000005</v>
      </c>
      <c r="AD91" s="27">
        <f t="shared" si="6"/>
        <v>0.47766712</v>
      </c>
      <c r="AE91" s="27">
        <f t="shared" si="6"/>
        <v>0.47825538000000006</v>
      </c>
      <c r="AF91" s="27">
        <f t="shared" si="6"/>
        <v>0.47884364000000001</v>
      </c>
      <c r="AG91" s="27">
        <f t="shared" si="6"/>
        <v>0.47943189999999997</v>
      </c>
      <c r="AH91" s="27">
        <f t="shared" si="6"/>
        <v>0.48002016000000003</v>
      </c>
      <c r="AI91" s="27">
        <f t="shared" si="6"/>
        <v>0.48060842000000009</v>
      </c>
      <c r="AJ91" s="27">
        <f t="shared" si="6"/>
        <v>0.48119668000000004</v>
      </c>
      <c r="AK91" s="27">
        <f t="shared" si="6"/>
        <v>0.48178493999999999</v>
      </c>
      <c r="AL91" s="27">
        <f t="shared" si="6"/>
        <v>0.4823732</v>
      </c>
      <c r="AM91" s="27"/>
    </row>
    <row r="92" spans="1:39" x14ac:dyDescent="0.3">
      <c r="A92" s="45" t="s">
        <v>187</v>
      </c>
      <c r="B92" s="46" t="s">
        <v>188</v>
      </c>
      <c r="C92" s="47">
        <v>8.1999999999999993</v>
      </c>
      <c r="D92" s="48">
        <v>1222</v>
      </c>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row>
    <row r="93" spans="1:39" x14ac:dyDescent="0.3">
      <c r="A93" s="41" t="s">
        <v>189</v>
      </c>
      <c r="B93" s="43" t="s">
        <v>190</v>
      </c>
      <c r="C93" s="43">
        <v>7.8</v>
      </c>
      <c r="D93" s="44">
        <v>2404</v>
      </c>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row>
    <row r="94" spans="1:39" x14ac:dyDescent="0.3">
      <c r="A94" s="45" t="s">
        <v>191</v>
      </c>
      <c r="B94" s="46" t="s">
        <v>192</v>
      </c>
      <c r="C94" s="47">
        <v>7.4</v>
      </c>
      <c r="D94" s="48">
        <v>2444</v>
      </c>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row>
    <row r="95" spans="1:39" x14ac:dyDescent="0.3">
      <c r="A95" s="41" t="s">
        <v>193</v>
      </c>
      <c r="B95" s="42" t="s">
        <v>194</v>
      </c>
      <c r="C95" s="43">
        <v>6.8</v>
      </c>
      <c r="D95" s="44">
        <v>2441</v>
      </c>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row>
    <row r="96" spans="1:39" ht="43.2" x14ac:dyDescent="0.3">
      <c r="A96" s="45" t="s">
        <v>195</v>
      </c>
      <c r="B96" s="46" t="s">
        <v>196</v>
      </c>
      <c r="C96" s="47">
        <v>6.2</v>
      </c>
      <c r="D96" s="48">
        <v>2406</v>
      </c>
      <c r="F96" s="50" t="s">
        <v>197</v>
      </c>
      <c r="G96" s="49">
        <f>SUMPRODUCT(G88:G91,$D$88:$D$91)/SUM($D$88:$D$91)</f>
        <v>0</v>
      </c>
      <c r="H96" s="49">
        <f t="shared" ref="H96:AM96" si="7">SUMPRODUCT(H88:H91,$D$88:$D$91)/SUM($D$88:$D$91)</f>
        <v>0.44754485596707821</v>
      </c>
      <c r="I96" s="49">
        <f t="shared" si="7"/>
        <v>0.45145469983539099</v>
      </c>
      <c r="J96" s="49">
        <f t="shared" si="7"/>
        <v>0.45536454370370372</v>
      </c>
      <c r="K96" s="49">
        <f t="shared" si="7"/>
        <v>0.4592743875720165</v>
      </c>
      <c r="L96" s="49">
        <f t="shared" si="7"/>
        <v>0.46318423144032922</v>
      </c>
      <c r="M96" s="49">
        <f t="shared" si="7"/>
        <v>0.46709407530864194</v>
      </c>
      <c r="N96" s="49">
        <f t="shared" si="7"/>
        <v>0.47100391917695472</v>
      </c>
      <c r="O96" s="49">
        <f t="shared" si="7"/>
        <v>0.47491376304526756</v>
      </c>
      <c r="P96" s="49">
        <f t="shared" si="7"/>
        <v>0.47882360691358022</v>
      </c>
      <c r="Q96" s="49">
        <f t="shared" si="7"/>
        <v>0.48273345078189311</v>
      </c>
      <c r="R96" s="49">
        <f t="shared" si="7"/>
        <v>0.48664329465020567</v>
      </c>
      <c r="S96" s="49">
        <f t="shared" si="7"/>
        <v>0.48713888179547321</v>
      </c>
      <c r="T96" s="49">
        <f t="shared" si="7"/>
        <v>0.4876344689407407</v>
      </c>
      <c r="U96" s="49">
        <f t="shared" si="7"/>
        <v>0.48813005608600823</v>
      </c>
      <c r="V96" s="49">
        <f t="shared" si="7"/>
        <v>0.48862564323127572</v>
      </c>
      <c r="W96" s="49">
        <f t="shared" si="7"/>
        <v>0.48912123037654326</v>
      </c>
      <c r="X96" s="49">
        <f t="shared" si="7"/>
        <v>0.48961681752181074</v>
      </c>
      <c r="Y96" s="49">
        <f t="shared" si="7"/>
        <v>0.49011240466707828</v>
      </c>
      <c r="Z96" s="49">
        <f t="shared" si="7"/>
        <v>0.49060799181234577</v>
      </c>
      <c r="AA96" s="49">
        <f t="shared" si="7"/>
        <v>0.49110357895761308</v>
      </c>
      <c r="AB96" s="49">
        <f t="shared" si="7"/>
        <v>0.49159916610288062</v>
      </c>
      <c r="AC96" s="49">
        <f t="shared" si="7"/>
        <v>0.49209475324814811</v>
      </c>
      <c r="AD96" s="49">
        <f t="shared" si="7"/>
        <v>0.49259034039341565</v>
      </c>
      <c r="AE96" s="49">
        <f t="shared" si="7"/>
        <v>0.49308592753868313</v>
      </c>
      <c r="AF96" s="49">
        <f t="shared" si="7"/>
        <v>0.49358151468395067</v>
      </c>
      <c r="AG96" s="49">
        <f t="shared" si="7"/>
        <v>0.4940771018292181</v>
      </c>
      <c r="AH96" s="49">
        <f t="shared" si="7"/>
        <v>0.4945726889744857</v>
      </c>
      <c r="AI96" s="49">
        <f t="shared" si="7"/>
        <v>0.49506827611975313</v>
      </c>
      <c r="AJ96" s="49">
        <f t="shared" si="7"/>
        <v>0.4955638632650205</v>
      </c>
      <c r="AK96" s="49">
        <f t="shared" si="7"/>
        <v>0.49605945041028804</v>
      </c>
      <c r="AL96" s="49">
        <f t="shared" si="7"/>
        <v>0.49655503755555552</v>
      </c>
      <c r="AM96" s="49">
        <f t="shared" si="7"/>
        <v>0</v>
      </c>
    </row>
    <row r="97" spans="1:34" ht="15" thickBot="1" x14ac:dyDescent="0.35">
      <c r="A97" s="51" t="s">
        <v>198</v>
      </c>
      <c r="B97" s="52" t="s">
        <v>199</v>
      </c>
      <c r="C97" s="53">
        <v>5.2</v>
      </c>
      <c r="D97" s="54">
        <v>3044</v>
      </c>
    </row>
    <row r="98" spans="1:34" ht="15" thickBot="1" x14ac:dyDescent="0.35">
      <c r="A98" s="55" t="s">
        <v>200</v>
      </c>
      <c r="B98" s="56"/>
      <c r="C98" s="56"/>
      <c r="D98" s="57">
        <v>15176</v>
      </c>
    </row>
    <row r="100" spans="1:34" x14ac:dyDescent="0.3">
      <c r="A100" s="28" t="s">
        <v>201</v>
      </c>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spans="1:34" ht="15" thickBot="1" x14ac:dyDescent="0.35">
      <c r="A101" s="16"/>
      <c r="B101" s="17"/>
      <c r="C101" s="17">
        <v>2020</v>
      </c>
      <c r="D101" s="17">
        <v>2021</v>
      </c>
      <c r="E101" s="17">
        <v>2022</v>
      </c>
      <c r="F101" s="17">
        <v>2023</v>
      </c>
      <c r="G101" s="17">
        <v>2024</v>
      </c>
      <c r="H101" s="17">
        <v>2025</v>
      </c>
      <c r="I101" s="17">
        <v>2026</v>
      </c>
      <c r="J101" s="17">
        <v>2027</v>
      </c>
      <c r="K101" s="17">
        <v>2028</v>
      </c>
      <c r="L101" s="17">
        <v>2029</v>
      </c>
      <c r="M101" s="17">
        <v>2030</v>
      </c>
      <c r="N101" s="17">
        <v>2031</v>
      </c>
      <c r="O101" s="17">
        <v>2032</v>
      </c>
      <c r="P101" s="17">
        <v>2033</v>
      </c>
      <c r="Q101" s="17">
        <v>2034</v>
      </c>
      <c r="R101" s="17">
        <v>2035</v>
      </c>
      <c r="S101" s="17">
        <v>2036</v>
      </c>
      <c r="T101" s="17">
        <v>2037</v>
      </c>
      <c r="U101" s="17">
        <v>2038</v>
      </c>
      <c r="V101" s="17">
        <v>2039</v>
      </c>
      <c r="W101" s="17">
        <v>2040</v>
      </c>
      <c r="X101" s="17">
        <v>2041</v>
      </c>
      <c r="Y101" s="17">
        <v>2042</v>
      </c>
      <c r="Z101" s="17">
        <v>2043</v>
      </c>
      <c r="AA101" s="17">
        <v>2044</v>
      </c>
      <c r="AB101" s="17">
        <v>2045</v>
      </c>
      <c r="AC101" s="17">
        <v>2046</v>
      </c>
      <c r="AD101" s="17">
        <v>2047</v>
      </c>
      <c r="AE101" s="17">
        <v>2048</v>
      </c>
      <c r="AF101" s="17">
        <v>2049</v>
      </c>
      <c r="AG101" s="17">
        <v>2050</v>
      </c>
    </row>
    <row r="102" spans="1:34" ht="15" thickTop="1" x14ac:dyDescent="0.3">
      <c r="A102" s="25" t="s">
        <v>144</v>
      </c>
      <c r="B102" s="29"/>
      <c r="C102" s="29">
        <v>0.45949530225690388</v>
      </c>
      <c r="D102" s="29">
        <v>0.46892618350875592</v>
      </c>
      <c r="E102" s="29">
        <v>0.47714691946458138</v>
      </c>
      <c r="F102" s="29">
        <v>0.48460069055293936</v>
      </c>
      <c r="G102" s="29">
        <v>0.49152437345147088</v>
      </c>
      <c r="H102" s="29">
        <v>0.49805958065912925</v>
      </c>
      <c r="I102" s="29">
        <v>0.50429777012918686</v>
      </c>
      <c r="J102" s="29">
        <v>0.51030145503122482</v>
      </c>
      <c r="K102" s="29">
        <v>0.5161152643904463</v>
      </c>
      <c r="L102" s="29">
        <v>0.52177217724538583</v>
      </c>
      <c r="M102" s="29">
        <v>0.52729725629641844</v>
      </c>
      <c r="N102" s="29">
        <v>0.5299599958538046</v>
      </c>
      <c r="O102" s="29">
        <v>0.53252585888849557</v>
      </c>
      <c r="P102" s="29">
        <v>0.53500731769051313</v>
      </c>
      <c r="Q102" s="29">
        <v>0.53741457891714439</v>
      </c>
      <c r="R102" s="29">
        <v>0.53975610136939967</v>
      </c>
      <c r="S102" s="29">
        <v>0.54203897378187693</v>
      </c>
      <c r="T102" s="29">
        <v>0.54426919572867627</v>
      </c>
      <c r="U102" s="29">
        <v>0.54645189001583594</v>
      </c>
      <c r="V102" s="29">
        <v>0.54859146568681783</v>
      </c>
      <c r="W102" s="29">
        <v>0.55069174481350569</v>
      </c>
      <c r="X102" s="29">
        <v>0.55275606231971186</v>
      </c>
      <c r="Y102" s="29">
        <v>0.55478734544130548</v>
      </c>
      <c r="Z102" s="29">
        <v>0.55678817761378685</v>
      </c>
      <c r="AA102" s="29">
        <v>0.5587608503124829</v>
      </c>
      <c r="AB102" s="29">
        <v>0.560707405473169</v>
      </c>
      <c r="AC102" s="29">
        <v>0.56262967047554724</v>
      </c>
      <c r="AD102" s="29">
        <v>0.56452928720161688</v>
      </c>
      <c r="AE102" s="29">
        <v>0.56640773633404118</v>
      </c>
      <c r="AF102" s="29">
        <v>0.56826635780072721</v>
      </c>
      <c r="AG102" s="29">
        <v>0.5701063680767241</v>
      </c>
    </row>
    <row r="103" spans="1:34" x14ac:dyDescent="0.3">
      <c r="A103" s="16" t="s">
        <v>145</v>
      </c>
      <c r="B103" s="30"/>
      <c r="C103" s="30">
        <v>0.4560282081780016</v>
      </c>
      <c r="D103" s="30">
        <v>0.46351979389887282</v>
      </c>
      <c r="E103" s="30">
        <v>0.47000373845004256</v>
      </c>
      <c r="F103" s="30">
        <v>0.47585032841695879</v>
      </c>
      <c r="G103" s="30">
        <v>0.48125708594089484</v>
      </c>
      <c r="H103" s="30">
        <v>0.48634191413783096</v>
      </c>
      <c r="I103" s="30">
        <v>0.49118086293504476</v>
      </c>
      <c r="J103" s="30">
        <v>0.49582585868900081</v>
      </c>
      <c r="K103" s="30">
        <v>0.50031393835630311</v>
      </c>
      <c r="L103" s="30">
        <v>0.50467244865591621</v>
      </c>
      <c r="M103" s="30">
        <v>0.50892215698769572</v>
      </c>
      <c r="N103" s="30">
        <v>0.51107920617985303</v>
      </c>
      <c r="O103" s="30">
        <v>0.5131563932070865</v>
      </c>
      <c r="P103" s="30">
        <v>0.51516403437678882</v>
      </c>
      <c r="Q103" s="30">
        <v>0.51711056776124109</v>
      </c>
      <c r="R103" s="30">
        <v>0.51900298317400284</v>
      </c>
      <c r="S103" s="30">
        <v>0.52084713573782127</v>
      </c>
      <c r="T103" s="30">
        <v>0.52264797892795833</v>
      </c>
      <c r="U103" s="30">
        <v>0.52440974069793889</v>
      </c>
      <c r="V103" s="30">
        <v>0.5261360585952608</v>
      </c>
      <c r="W103" s="30">
        <v>0.52783008481778171</v>
      </c>
      <c r="X103" s="30">
        <v>0.52949456889487445</v>
      </c>
      <c r="Y103" s="30">
        <v>0.5311319234791283</v>
      </c>
      <c r="Z103" s="30">
        <v>0.53274427722665352</v>
      </c>
      <c r="AA103" s="30">
        <v>0.53433351769208837</v>
      </c>
      <c r="AB103" s="30">
        <v>0.53590132641881039</v>
      </c>
      <c r="AC103" s="30">
        <v>0.53744920786880024</v>
      </c>
      <c r="AD103" s="30">
        <v>0.53897851344604431</v>
      </c>
      <c r="AE103" s="30">
        <v>0.54049046157936542</v>
      </c>
      <c r="AF103" s="30">
        <v>0.54198615461574651</v>
      </c>
      <c r="AG103" s="30">
        <v>0.54346659311334644</v>
      </c>
    </row>
    <row r="104" spans="1:34" ht="15" thickBot="1" x14ac:dyDescent="0.35">
      <c r="A104" s="26" t="s">
        <v>146</v>
      </c>
      <c r="B104" s="31"/>
      <c r="C104" s="31">
        <v>0.44741379420834088</v>
      </c>
      <c r="D104" s="31">
        <v>0.45061716383915429</v>
      </c>
      <c r="E104" s="31">
        <v>0.45331789558708652</v>
      </c>
      <c r="F104" s="31">
        <v>0.4557022777450398</v>
      </c>
      <c r="G104" s="31">
        <v>0.4578691877231908</v>
      </c>
      <c r="H104" s="31">
        <v>0.45987741893443446</v>
      </c>
      <c r="I104" s="31">
        <v>0.46176477507372404</v>
      </c>
      <c r="J104" s="31">
        <v>0.4635569997583282</v>
      </c>
      <c r="K104" s="31">
        <v>0.4652724127627722</v>
      </c>
      <c r="L104" s="31">
        <v>0.4669245134388631</v>
      </c>
      <c r="M104" s="31">
        <v>0.46852353488272158</v>
      </c>
      <c r="N104" s="31">
        <v>0.46957741851274376</v>
      </c>
      <c r="O104" s="31">
        <v>0.47059245044221726</v>
      </c>
      <c r="P104" s="31">
        <v>0.47157369134526672</v>
      </c>
      <c r="Q104" s="31">
        <v>0.47252527532615124</v>
      </c>
      <c r="R104" s="31">
        <v>0.47345062293919538</v>
      </c>
      <c r="S104" s="31">
        <v>0.474352596339851</v>
      </c>
      <c r="T104" s="31">
        <v>0.47523361445648749</v>
      </c>
      <c r="U104" s="31">
        <v>0.47609573993694798</v>
      </c>
      <c r="V104" s="31">
        <v>0.47694074578090045</v>
      </c>
      <c r="W104" s="31">
        <v>0.47777016709787251</v>
      </c>
      <c r="X104" s="31">
        <v>0.47858534180414852</v>
      </c>
      <c r="Y104" s="31">
        <v>0.47938744297813629</v>
      </c>
      <c r="Z104" s="31">
        <v>0.48017750484451932</v>
      </c>
      <c r="AA104" s="31">
        <v>0.48095644383520392</v>
      </c>
      <c r="AB104" s="31">
        <v>0.48172507580520313</v>
      </c>
      <c r="AC104" s="31">
        <v>0.48248413021590242</v>
      </c>
      <c r="AD104" s="31">
        <v>0.48323426190472007</v>
      </c>
      <c r="AE104" s="31">
        <v>0.48397606091765455</v>
      </c>
      <c r="AF104" s="31">
        <v>0.48471006077497308</v>
      </c>
      <c r="AG104" s="31">
        <v>0.48543674546030796</v>
      </c>
    </row>
    <row r="105" spans="1:34" ht="15" thickTop="1" x14ac:dyDescent="0.3">
      <c r="A105" s="25" t="s">
        <v>147</v>
      </c>
      <c r="B105" s="29"/>
      <c r="C105" s="29">
        <v>0.44778098711513076</v>
      </c>
      <c r="D105" s="29">
        <v>0.45707341416697411</v>
      </c>
      <c r="E105" s="29">
        <v>0.46518654721396918</v>
      </c>
      <c r="F105" s="29">
        <v>0.47255226829886054</v>
      </c>
      <c r="G105" s="29">
        <v>0.47940141519521795</v>
      </c>
      <c r="H105" s="29">
        <v>0.48587199015085036</v>
      </c>
      <c r="I105" s="29">
        <v>0.49205311950153258</v>
      </c>
      <c r="J105" s="29">
        <v>0.49800572271400373</v>
      </c>
      <c r="K105" s="29">
        <v>0.50377329104674096</v>
      </c>
      <c r="L105" s="29">
        <v>0.50938796277484011</v>
      </c>
      <c r="M105" s="29">
        <v>0.5148741616533612</v>
      </c>
      <c r="N105" s="29">
        <v>0.51750088500708391</v>
      </c>
      <c r="O105" s="29">
        <v>0.52003320159593303</v>
      </c>
      <c r="P105" s="29">
        <v>0.52248326574294524</v>
      </c>
      <c r="Q105" s="29">
        <v>0.52486102389817724</v>
      </c>
      <c r="R105" s="29">
        <v>0.52717471921503589</v>
      </c>
      <c r="S105" s="29">
        <v>0.52943125970881555</v>
      </c>
      <c r="T105" s="29">
        <v>0.53163649200123242</v>
      </c>
      <c r="U105" s="29">
        <v>0.53379540829815575</v>
      </c>
      <c r="V105" s="29">
        <v>0.53591230523945055</v>
      </c>
      <c r="W105" s="29">
        <v>0.53799090745758349</v>
      </c>
      <c r="X105" s="29">
        <v>0.54003446485624051</v>
      </c>
      <c r="Y105" s="29">
        <v>0.54204583004470974</v>
      </c>
      <c r="Z105" s="29">
        <v>0.54402752059671355</v>
      </c>
      <c r="AA105" s="29">
        <v>0.54598176956899658</v>
      </c>
      <c r="AB105" s="29">
        <v>0.54791056684048156</v>
      </c>
      <c r="AC105" s="29">
        <v>0.54981569320388357</v>
      </c>
      <c r="AD105" s="29">
        <v>0.55169874868326962</v>
      </c>
      <c r="AE105" s="29">
        <v>0.55356117621296685</v>
      </c>
      <c r="AF105" s="29">
        <v>0.55540428156092914</v>
      </c>
      <c r="AG105" s="29">
        <v>0.55722925018954472</v>
      </c>
    </row>
    <row r="106" spans="1:34" x14ac:dyDescent="0.3">
      <c r="A106" s="16" t="s">
        <v>148</v>
      </c>
      <c r="B106" s="30"/>
      <c r="C106" s="30">
        <v>0.44440228269433152</v>
      </c>
      <c r="D106" s="30">
        <v>0.45177936049670575</v>
      </c>
      <c r="E106" s="30">
        <v>0.45817448580596287</v>
      </c>
      <c r="F106" s="30">
        <v>0.46394850516815672</v>
      </c>
      <c r="G106" s="30">
        <v>0.46929390512006375</v>
      </c>
      <c r="H106" s="30">
        <v>0.47432558297053184</v>
      </c>
      <c r="I106" s="30">
        <v>0.4791176498396077</v>
      </c>
      <c r="J106" s="30">
        <v>0.48372070827978908</v>
      </c>
      <c r="K106" s="30">
        <v>0.48817085103219093</v>
      </c>
      <c r="L106" s="30">
        <v>0.4924947276419821</v>
      </c>
      <c r="M106" s="30">
        <v>0.49671257606755181</v>
      </c>
      <c r="N106" s="30">
        <v>0.4988401275938899</v>
      </c>
      <c r="O106" s="30">
        <v>0.50088985295123978</v>
      </c>
      <c r="P106" s="30">
        <v>0.50287180544435772</v>
      </c>
      <c r="Q106" s="30">
        <v>0.50479420802637698</v>
      </c>
      <c r="R106" s="30">
        <v>0.50666387231343379</v>
      </c>
      <c r="S106" s="30">
        <v>0.50848650415851637</v>
      </c>
      <c r="T106" s="30">
        <v>0.51026693075361473</v>
      </c>
      <c r="U106" s="30">
        <v>0.51200927226534088</v>
      </c>
      <c r="V106" s="30">
        <v>0.51371707350601681</v>
      </c>
      <c r="W106" s="30">
        <v>0.51539340631176644</v>
      </c>
      <c r="X106" s="30">
        <v>0.51704095011580842</v>
      </c>
      <c r="Y106" s="30">
        <v>0.51866205606287197</v>
      </c>
      <c r="Z106" s="30">
        <v>0.52025879854137758</v>
      </c>
      <c r="AA106" s="30">
        <v>0.52183301698488438</v>
      </c>
      <c r="AB106" s="30">
        <v>0.52338635006771539</v>
      </c>
      <c r="AC106" s="30">
        <v>0.52492026389728763</v>
      </c>
      <c r="AD106" s="30">
        <v>0.52643607542506565</v>
      </c>
      <c r="AE106" s="30">
        <v>0.52793497201740136</v>
      </c>
      <c r="AF106" s="30">
        <v>0.52941802791818338</v>
      </c>
      <c r="AG106" s="30">
        <v>0.53088621817746728</v>
      </c>
    </row>
    <row r="107" spans="1:34" ht="15" thickBot="1" x14ac:dyDescent="0.35">
      <c r="A107" s="26" t="s">
        <v>149</v>
      </c>
      <c r="B107" s="31"/>
      <c r="C107" s="31">
        <v>0.4360074835052935</v>
      </c>
      <c r="D107" s="31">
        <v>0.4391546807093108</v>
      </c>
      <c r="E107" s="31">
        <v>0.44181205421708469</v>
      </c>
      <c r="F107" s="31">
        <v>0.44416114311133043</v>
      </c>
      <c r="G107" s="31">
        <v>0.44629830403403081</v>
      </c>
      <c r="H107" s="31">
        <v>0.44828083152624559</v>
      </c>
      <c r="I107" s="31">
        <v>0.45014556552030854</v>
      </c>
      <c r="J107" s="31">
        <v>0.45191759332896425</v>
      </c>
      <c r="K107" s="31">
        <v>0.45361476768472259</v>
      </c>
      <c r="L107" s="31">
        <v>0.45525024378862228</v>
      </c>
      <c r="M107" s="31">
        <v>0.45683399385552531</v>
      </c>
      <c r="N107" s="31">
        <v>0.45787375684631115</v>
      </c>
      <c r="O107" s="31">
        <v>0.45887565861689017</v>
      </c>
      <c r="P107" s="31">
        <v>0.45984463082520044</v>
      </c>
      <c r="Q107" s="31">
        <v>0.46078470218117012</v>
      </c>
      <c r="R107" s="31">
        <v>0.461699206035944</v>
      </c>
      <c r="S107" s="31">
        <v>0.46259093157754477</v>
      </c>
      <c r="T107" s="31">
        <v>0.46346223606648779</v>
      </c>
      <c r="U107" s="31">
        <v>0.4643151295657329</v>
      </c>
      <c r="V107" s="31">
        <v>0.46515133987431878</v>
      </c>
      <c r="W107" s="31">
        <v>0.46597236296588462</v>
      </c>
      <c r="X107" s="31">
        <v>0.46677950264804635</v>
      </c>
      <c r="Y107" s="31">
        <v>0.46757390209289906</v>
      </c>
      <c r="Z107" s="31">
        <v>0.46835656915873303</v>
      </c>
      <c r="AA107" s="31">
        <v>0.46912839691405539</v>
      </c>
      <c r="AB107" s="31">
        <v>0.46989018041457453</v>
      </c>
      <c r="AC107" s="31">
        <v>0.47064263052487965</v>
      </c>
      <c r="AD107" s="31">
        <v>0.47138638538804672</v>
      </c>
      <c r="AE107" s="31">
        <v>0.47212202000751607</v>
      </c>
      <c r="AF107" s="31">
        <v>0.47285005430205679</v>
      </c>
      <c r="AG107" s="31">
        <v>0.47357095991668341</v>
      </c>
    </row>
    <row r="108" spans="1:34" ht="15" thickTop="1" x14ac:dyDescent="0.3">
      <c r="A108" s="25" t="s">
        <v>150</v>
      </c>
      <c r="B108" s="29"/>
      <c r="C108" s="29">
        <v>0.45112807931854609</v>
      </c>
      <c r="D108" s="29">
        <v>0.46046006642727466</v>
      </c>
      <c r="E108" s="29">
        <v>0.46860394449460185</v>
      </c>
      <c r="F108" s="29">
        <v>0.47599482381337604</v>
      </c>
      <c r="G108" s="29">
        <v>0.48286526763309023</v>
      </c>
      <c r="H108" s="29">
        <v>0.48935430974657412</v>
      </c>
      <c r="I108" s="29">
        <v>0.49555174269489527</v>
      </c>
      <c r="J108" s="29">
        <v>0.50151894130819152</v>
      </c>
      <c r="K108" s="29">
        <v>0.50729972193523276</v>
      </c>
      <c r="L108" s="29">
        <v>0.51292646307964862</v>
      </c>
      <c r="M108" s="29">
        <v>0.51842377106021331</v>
      </c>
      <c r="N108" s="58">
        <v>0.5210607852037108</v>
      </c>
      <c r="O108" s="29">
        <v>0.52360268690666767</v>
      </c>
      <c r="P108" s="29">
        <v>0.52606172134376727</v>
      </c>
      <c r="Q108" s="29">
        <v>0.52844790931321062</v>
      </c>
      <c r="R108" s="29">
        <v>0.53076955558467498</v>
      </c>
      <c r="S108" s="29">
        <v>0.53303361980977892</v>
      </c>
      <c r="T108" s="29">
        <v>0.535245992312813</v>
      </c>
      <c r="U108" s="29">
        <v>0.53741170261559756</v>
      </c>
      <c r="V108" s="29">
        <v>0.53953507947470247</v>
      </c>
      <c r="W108" s="29">
        <v>0.54161987536363376</v>
      </c>
      <c r="X108" s="29">
        <v>0.54366936447859504</v>
      </c>
      <c r="Y108" s="29">
        <v>0.5456864207516785</v>
      </c>
      <c r="Z108" s="29">
        <v>0.54767358057507265</v>
      </c>
      <c r="AA108" s="29">
        <v>0.54963309369726865</v>
      </c>
      <c r="AB108" s="29">
        <v>0.55156696487122037</v>
      </c>
      <c r="AC108" s="29">
        <v>0.55347698820078728</v>
      </c>
      <c r="AD108" s="29">
        <v>0.55536477566996401</v>
      </c>
      <c r="AE108" s="29">
        <v>0.55723178099878334</v>
      </c>
      <c r="AF108" s="29">
        <v>0.55907931971560931</v>
      </c>
      <c r="AG108" s="29">
        <v>0.56090858614397399</v>
      </c>
    </row>
    <row r="109" spans="1:34" x14ac:dyDescent="0.3">
      <c r="A109" s="16" t="s">
        <v>151</v>
      </c>
      <c r="B109" s="30"/>
      <c r="C109" s="30">
        <v>0.44772411961547742</v>
      </c>
      <c r="D109" s="30">
        <v>0.45513391538357068</v>
      </c>
      <c r="E109" s="30">
        <v>0.46155441871864672</v>
      </c>
      <c r="F109" s="30">
        <v>0.46734917343773713</v>
      </c>
      <c r="G109" s="30">
        <v>0.47271210488409976</v>
      </c>
      <c r="H109" s="30">
        <v>0.47775896920583133</v>
      </c>
      <c r="I109" s="30">
        <v>0.48256443149190359</v>
      </c>
      <c r="J109" s="30">
        <v>0.48717947254090749</v>
      </c>
      <c r="K109" s="30">
        <v>0.49164045488150104</v>
      </c>
      <c r="L109" s="30">
        <v>0.49597422725999707</v>
      </c>
      <c r="M109" s="30">
        <v>0.50020117891032945</v>
      </c>
      <c r="N109" s="59">
        <v>0.50233715870636042</v>
      </c>
      <c r="O109" s="30">
        <v>0.50439473059507367</v>
      </c>
      <c r="P109" s="30">
        <v>0.50638402302809171</v>
      </c>
      <c r="Q109" s="30">
        <v>0.50831332042382471</v>
      </c>
      <c r="R109" s="30">
        <v>0.51018948531416419</v>
      </c>
      <c r="S109" s="30">
        <v>0.51201826620244906</v>
      </c>
      <c r="T109" s="30">
        <v>0.51380452636316765</v>
      </c>
      <c r="U109" s="30">
        <v>0.51555241676052688</v>
      </c>
      <c r="V109" s="30">
        <v>0.51726550870376142</v>
      </c>
      <c r="W109" s="30">
        <v>0.51894689699048535</v>
      </c>
      <c r="X109" s="30">
        <v>0.52059928108225795</v>
      </c>
      <c r="Y109" s="30">
        <v>0.5222250296982438</v>
      </c>
      <c r="Z109" s="30">
        <v>0.52382623273258977</v>
      </c>
      <c r="AA109" s="30">
        <v>0.52540474336833021</v>
      </c>
      <c r="AB109" s="30">
        <v>0.52696221252862041</v>
      </c>
      <c r="AC109" s="30">
        <v>0.52850011727979884</v>
      </c>
      <c r="AD109" s="30">
        <v>0.53001978441733411</v>
      </c>
      <c r="AE109" s="30">
        <v>0.53152241018295454</v>
      </c>
      <c r="AF109" s="30">
        <v>0.53300907685035193</v>
      </c>
      <c r="AG109" s="30">
        <v>0.53448076675792755</v>
      </c>
    </row>
    <row r="110" spans="1:34" ht="15" thickBot="1" x14ac:dyDescent="0.35">
      <c r="A110" s="26" t="s">
        <v>152</v>
      </c>
      <c r="B110" s="31"/>
      <c r="C110" s="31">
        <v>0.43926657062748992</v>
      </c>
      <c r="D110" s="31">
        <v>0.44242981779170554</v>
      </c>
      <c r="E110" s="31">
        <v>0.44509957990485938</v>
      </c>
      <c r="F110" s="31">
        <v>0.44745875302565691</v>
      </c>
      <c r="G110" s="31">
        <v>0.44960441404677132</v>
      </c>
      <c r="H110" s="31">
        <v>0.45159428577691368</v>
      </c>
      <c r="I110" s="31">
        <v>0.45346548352109745</v>
      </c>
      <c r="J110" s="31">
        <v>0.45524328211577031</v>
      </c>
      <c r="K110" s="31">
        <v>0.45694566773979972</v>
      </c>
      <c r="L110" s="31">
        <v>0.45858589392727611</v>
      </c>
      <c r="M110" s="31">
        <v>0.46017400743379333</v>
      </c>
      <c r="N110" s="60">
        <v>0.46121780506774213</v>
      </c>
      <c r="O110" s="31">
        <v>0.46222345847483876</v>
      </c>
      <c r="P110" s="31">
        <v>0.46319593617638621</v>
      </c>
      <c r="Q110" s="31">
        <v>0.46413929699628331</v>
      </c>
      <c r="R110" s="31">
        <v>0.46505689920194865</v>
      </c>
      <c r="S110" s="31">
        <v>0.46595155283014505</v>
      </c>
      <c r="T110" s="31">
        <v>0.46682563276153832</v>
      </c>
      <c r="U110" s="31">
        <v>0.46768116408399157</v>
      </c>
      <c r="V110" s="31">
        <v>0.46851988751156848</v>
      </c>
      <c r="W110" s="31">
        <v>0.4693433102000753</v>
      </c>
      <c r="X110" s="31">
        <v>0.47015274570288401</v>
      </c>
      <c r="Y110" s="31">
        <v>0.47094934573712066</v>
      </c>
      <c r="Z110" s="31">
        <v>0.47173412569465711</v>
      </c>
      <c r="AA110" s="31">
        <v>0.47250798531954669</v>
      </c>
      <c r="AB110" s="31">
        <v>0.47327172561041375</v>
      </c>
      <c r="AC110" s="31">
        <v>0.47402606274544812</v>
      </c>
      <c r="AD110" s="31">
        <v>0.47477163963774449</v>
      </c>
      <c r="AE110" s="31">
        <v>0.47550903558880309</v>
      </c>
      <c r="AF110" s="31">
        <v>0.47623877440370382</v>
      </c>
      <c r="AG110" s="31">
        <v>0.47696133125293333</v>
      </c>
    </row>
    <row r="111" spans="1:34" ht="15" thickTop="1" x14ac:dyDescent="0.3">
      <c r="A111" s="25" t="s">
        <v>153</v>
      </c>
      <c r="B111" s="29"/>
      <c r="C111" s="29">
        <v>0.44907588276565047</v>
      </c>
      <c r="D111" s="29">
        <v>0.45838361448867754</v>
      </c>
      <c r="E111" s="29">
        <v>0.46650864191762675</v>
      </c>
      <c r="F111" s="29">
        <v>0.47388409601423392</v>
      </c>
      <c r="G111" s="29">
        <v>0.48074148209007855</v>
      </c>
      <c r="H111" s="29">
        <v>0.48721920146866854</v>
      </c>
      <c r="I111" s="29">
        <v>0.49340663822183256</v>
      </c>
      <c r="J111" s="29">
        <v>0.4993648879835762</v>
      </c>
      <c r="K111" s="29">
        <v>0.50513756778064955</v>
      </c>
      <c r="L111" s="29">
        <v>0.51075690882579861</v>
      </c>
      <c r="M111" s="29">
        <v>0.51624740550283943</v>
      </c>
      <c r="N111" s="29">
        <v>0.51887811007312568</v>
      </c>
      <c r="O111" s="29">
        <v>0.52141413487250909</v>
      </c>
      <c r="P111" s="29">
        <v>0.52386766937196816</v>
      </c>
      <c r="Q111" s="29">
        <v>0.5262486887847615</v>
      </c>
      <c r="R111" s="29">
        <v>0.52856546010189465</v>
      </c>
      <c r="S111" s="29">
        <v>0.53082491131530052</v>
      </c>
      <c r="T111" s="29">
        <v>0.53303290595399</v>
      </c>
      <c r="U111" s="29">
        <v>0.53519445066032212</v>
      </c>
      <c r="V111" s="29">
        <v>0.53731385449920988</v>
      </c>
      <c r="W111" s="29">
        <v>0.53939485287403344</v>
      </c>
      <c r="X111" s="29">
        <v>0.54144070508656938</v>
      </c>
      <c r="Y111" s="29">
        <v>0.54345427199529783</v>
      </c>
      <c r="Z111" s="29">
        <v>0.54543807845427539</v>
      </c>
      <c r="AA111" s="29">
        <v>0.54739436397781294</v>
      </c>
      <c r="AB111" s="29">
        <v>0.54932512419917678</v>
      </c>
      <c r="AC111" s="29">
        <v>0.55123214506078866</v>
      </c>
      <c r="AD111" s="29">
        <v>0.55311703121367461</v>
      </c>
      <c r="AE111" s="29">
        <v>0.55498122976484721</v>
      </c>
      <c r="AF111" s="29">
        <v>0.55682605025828791</v>
      </c>
      <c r="AG111" s="29">
        <v>0.55865268158451187</v>
      </c>
    </row>
    <row r="112" spans="1:34" x14ac:dyDescent="0.3">
      <c r="A112" s="16" t="s">
        <v>154</v>
      </c>
      <c r="B112" s="30"/>
      <c r="C112" s="30">
        <v>0.44568740778784954</v>
      </c>
      <c r="D112" s="30">
        <v>0.45307714324914938</v>
      </c>
      <c r="E112" s="30">
        <v>0.45948208660142847</v>
      </c>
      <c r="F112" s="30">
        <v>0.46526412788887134</v>
      </c>
      <c r="G112" s="30">
        <v>0.47061631028193568</v>
      </c>
      <c r="H112" s="30">
        <v>0.47565386335017212</v>
      </c>
      <c r="I112" s="30">
        <v>0.48045111252859335</v>
      </c>
      <c r="J112" s="30">
        <v>0.48505880670245138</v>
      </c>
      <c r="K112" s="30">
        <v>0.4895131429860588</v>
      </c>
      <c r="L112" s="30">
        <v>0.49384084798989342</v>
      </c>
      <c r="M112" s="30">
        <v>0.49806221819658969</v>
      </c>
      <c r="N112" s="30">
        <v>0.50019303038295848</v>
      </c>
      <c r="O112" s="30">
        <v>0.50224579134217318</v>
      </c>
      <c r="P112" s="30">
        <v>0.50423058345119465</v>
      </c>
      <c r="Q112" s="30">
        <v>0.50615565344233993</v>
      </c>
      <c r="R112" s="30">
        <v>0.50802783262961615</v>
      </c>
      <c r="S112" s="30">
        <v>0.50985284336623016</v>
      </c>
      <c r="T112" s="30">
        <v>0.51163552680347368</v>
      </c>
      <c r="U112" s="30">
        <v>0.51338001502268049</v>
      </c>
      <c r="V112" s="30">
        <v>0.51508986308708127</v>
      </c>
      <c r="W112" s="30">
        <v>0.51676815171595347</v>
      </c>
      <c r="X112" s="30">
        <v>0.51841756809091644</v>
      </c>
      <c r="Y112" s="30">
        <v>0.52004047015575294</v>
      </c>
      <c r="Z112" s="30">
        <v>0.5216389382976121</v>
      </c>
      <c r="AA112" s="30">
        <v>0.52321481726933772</v>
      </c>
      <c r="AB112" s="30">
        <v>0.52476975048398056</v>
      </c>
      <c r="AC112" s="30">
        <v>0.5263052082886559</v>
      </c>
      <c r="AD112" s="30">
        <v>0.52782251144319559</v>
      </c>
      <c r="AE112" s="30">
        <v>0.52932285074758489</v>
      </c>
      <c r="AF112" s="30">
        <v>0.53080730355221695</v>
      </c>
      <c r="AG112" s="30">
        <v>0.53227684772680284</v>
      </c>
    </row>
    <row r="113" spans="1:33" ht="15" thickBot="1" x14ac:dyDescent="0.35">
      <c r="A113" s="26" t="s">
        <v>155</v>
      </c>
      <c r="B113" s="31"/>
      <c r="C113" s="31">
        <v>0.43726833246992336</v>
      </c>
      <c r="D113" s="31">
        <v>0.44042173895124431</v>
      </c>
      <c r="E113" s="31">
        <v>0.44308390526132163</v>
      </c>
      <c r="F113" s="31">
        <v>0.44543689545864096</v>
      </c>
      <c r="G113" s="31">
        <v>0.4475773448298801</v>
      </c>
      <c r="H113" s="31">
        <v>0.4495627136007842</v>
      </c>
      <c r="I113" s="31">
        <v>0.45142994823761673</v>
      </c>
      <c r="J113" s="31">
        <v>0.45320420860075844</v>
      </c>
      <c r="K113" s="31">
        <v>0.45490339904935434</v>
      </c>
      <c r="L113" s="31">
        <v>0.45654071282672976</v>
      </c>
      <c r="M113" s="31">
        <v>0.45812615098545528</v>
      </c>
      <c r="N113" s="31">
        <v>0.45916747486598231</v>
      </c>
      <c r="O113" s="31">
        <v>0.46017082803900672</v>
      </c>
      <c r="P113" s="31">
        <v>0.46114115642386366</v>
      </c>
      <c r="Q113" s="31">
        <v>0.46208250038072785</v>
      </c>
      <c r="R113" s="31">
        <v>0.46299820290014831</v>
      </c>
      <c r="S113" s="31">
        <v>0.46389106123593782</v>
      </c>
      <c r="T113" s="31">
        <v>0.46476343946535126</v>
      </c>
      <c r="U113" s="31">
        <v>0.46561735346406025</v>
      </c>
      <c r="V113" s="31">
        <v>0.46645453602756265</v>
      </c>
      <c r="W113" s="31">
        <v>0.46727648745556294</v>
      </c>
      <c r="X113" s="31">
        <v>0.4680845153260354</v>
      </c>
      <c r="Y113" s="31">
        <v>0.4688797661169069</v>
      </c>
      <c r="Z113" s="31">
        <v>0.46966325060099806</v>
      </c>
      <c r="AA113" s="31">
        <v>0.47043586442939672</v>
      </c>
      <c r="AB113" s="31">
        <v>0.47119840495695803</v>
      </c>
      <c r="AC113" s="31">
        <v>0.47195158510395346</v>
      </c>
      <c r="AD113" s="31">
        <v>0.47269604485884481</v>
      </c>
      <c r="AE113" s="31">
        <v>0.47343236088787072</v>
      </c>
      <c r="AF113" s="31">
        <v>0.47416105461330432</v>
      </c>
      <c r="AG113" s="31">
        <v>0.4748825990440661</v>
      </c>
    </row>
    <row r="114" spans="1:33" ht="15" thickTop="1" x14ac:dyDescent="0.3">
      <c r="A114" s="25" t="s">
        <v>156</v>
      </c>
      <c r="B114" s="29"/>
      <c r="C114" s="29">
        <v>0.44183919043724174</v>
      </c>
      <c r="D114" s="29">
        <v>0.4510613900198992</v>
      </c>
      <c r="E114" s="29">
        <v>0.4591199441522516</v>
      </c>
      <c r="F114" s="29">
        <v>0.46644100405023164</v>
      </c>
      <c r="G114" s="29">
        <v>0.4732523444026519</v>
      </c>
      <c r="H114" s="29">
        <v>0.47969013624670465</v>
      </c>
      <c r="I114" s="29">
        <v>0.48584232326284643</v>
      </c>
      <c r="J114" s="29">
        <v>0.49176901655145983</v>
      </c>
      <c r="K114" s="29">
        <v>0.49751313026698546</v>
      </c>
      <c r="L114" s="29">
        <v>0.50310637622805565</v>
      </c>
      <c r="M114" s="29">
        <v>0.50857285410051989</v>
      </c>
      <c r="N114" s="29">
        <v>0.51118130912556214</v>
      </c>
      <c r="O114" s="29">
        <v>0.51369661010931211</v>
      </c>
      <c r="P114" s="29">
        <v>0.51613075009391629</v>
      </c>
      <c r="Q114" s="29">
        <v>0.51849354354574873</v>
      </c>
      <c r="R114" s="29">
        <v>0.52079312423630142</v>
      </c>
      <c r="S114" s="29">
        <v>0.52303630851547123</v>
      </c>
      <c r="T114" s="29">
        <v>0.5252288654236601</v>
      </c>
      <c r="U114" s="29">
        <v>0.52737572092303076</v>
      </c>
      <c r="V114" s="29">
        <v>0.52948111463950354</v>
      </c>
      <c r="W114" s="29">
        <v>0.5315487217818099</v>
      </c>
      <c r="X114" s="29">
        <v>0.53358174912927947</v>
      </c>
      <c r="Y114" s="29">
        <v>0.53558301143871268</v>
      </c>
      <c r="Z114" s="29">
        <v>0.53755499287707342</v>
      </c>
      <c r="AA114" s="29">
        <v>0.53949989686972488</v>
      </c>
      <c r="AB114" s="29">
        <v>0.54141968689103914</v>
      </c>
      <c r="AC114" s="29">
        <v>0.54331612010363384</v>
      </c>
      <c r="AD114" s="29">
        <v>0.54519077530017501</v>
      </c>
      <c r="AE114" s="29">
        <v>0.54704507626807941</v>
      </c>
      <c r="AF114" s="29">
        <v>0.54888031144850991</v>
      </c>
      <c r="AG114" s="29">
        <v>0.5506976505734491</v>
      </c>
    </row>
    <row r="115" spans="1:33" x14ac:dyDescent="0.3">
      <c r="A115" s="16" t="s">
        <v>157</v>
      </c>
      <c r="B115" s="30"/>
      <c r="C115" s="30">
        <v>0.43850531948476906</v>
      </c>
      <c r="D115" s="30">
        <v>0.44582431597709798</v>
      </c>
      <c r="E115" s="30">
        <v>0.45217438992226405</v>
      </c>
      <c r="F115" s="30">
        <v>0.45791159963977673</v>
      </c>
      <c r="G115" s="30">
        <v>0.46322587748055455</v>
      </c>
      <c r="H115" s="30">
        <v>0.46823059613210666</v>
      </c>
      <c r="I115" s="30">
        <v>0.4729988833024556</v>
      </c>
      <c r="J115" s="30">
        <v>0.47758067007727284</v>
      </c>
      <c r="K115" s="30">
        <v>0.48201157026771557</v>
      </c>
      <c r="L115" s="30">
        <v>0.48631787979478469</v>
      </c>
      <c r="M115" s="30">
        <v>0.49051956807077812</v>
      </c>
      <c r="N115" s="30">
        <v>0.49263215763556323</v>
      </c>
      <c r="O115" s="30">
        <v>0.49466795373995137</v>
      </c>
      <c r="P115" s="30">
        <v>0.496636876287115</v>
      </c>
      <c r="Q115" s="30">
        <v>0.49854703911631937</v>
      </c>
      <c r="R115" s="30">
        <v>0.50040516345746422</v>
      </c>
      <c r="S115" s="30">
        <v>0.50221687945014371</v>
      </c>
      <c r="T115" s="30">
        <v>0.50398695023228091</v>
      </c>
      <c r="U115" s="30">
        <v>0.50571944129824198</v>
      </c>
      <c r="V115" s="30">
        <v>0.5074178504227238</v>
      </c>
      <c r="W115" s="30">
        <v>0.50908520868034846</v>
      </c>
      <c r="X115" s="30">
        <v>0.51072415994979359</v>
      </c>
      <c r="Y115" s="30">
        <v>0.5123370241774472</v>
      </c>
      <c r="Z115" s="30">
        <v>0.51392584822578646</v>
      </c>
      <c r="AA115" s="30">
        <v>0.51549244712014253</v>
      </c>
      <c r="AB115" s="30">
        <v>0.51703843779057124</v>
      </c>
      <c r="AC115" s="30">
        <v>0.51856526689008553</v>
      </c>
      <c r="AD115" s="30">
        <v>0.52007423389495977</v>
      </c>
      <c r="AE115" s="30">
        <v>0.52156651041587609</v>
      </c>
      <c r="AF115" s="30">
        <v>0.52304315644212318</v>
      </c>
      <c r="AG115" s="30">
        <v>0.52450513408540234</v>
      </c>
    </row>
    <row r="116" spans="1:33" ht="15" thickBot="1" x14ac:dyDescent="0.35">
      <c r="A116" s="26" t="s">
        <v>158</v>
      </c>
      <c r="B116" s="31"/>
      <c r="C116" s="31">
        <v>0.4302219144624515</v>
      </c>
      <c r="D116" s="31">
        <v>0.43334061959203796</v>
      </c>
      <c r="E116" s="31">
        <v>0.43597600070467696</v>
      </c>
      <c r="F116" s="31">
        <v>0.43830718796365753</v>
      </c>
      <c r="G116" s="31">
        <v>0.44042925941363098</v>
      </c>
      <c r="H116" s="31">
        <v>0.44239874932998358</v>
      </c>
      <c r="I116" s="31">
        <v>0.44425200880029264</v>
      </c>
      <c r="J116" s="31">
        <v>0.44601379224306259</v>
      </c>
      <c r="K116" s="31">
        <v>0.44770171549529003</v>
      </c>
      <c r="L116" s="31">
        <v>0.44932875919604692</v>
      </c>
      <c r="M116" s="31">
        <v>0.45090476323462791</v>
      </c>
      <c r="N116" s="31">
        <v>0.45193736388034378</v>
      </c>
      <c r="O116" s="31">
        <v>0.45293260570251304</v>
      </c>
      <c r="P116" s="31">
        <v>0.45389535491880367</v>
      </c>
      <c r="Q116" s="31">
        <v>0.45482958678047547</v>
      </c>
      <c r="R116" s="31">
        <v>0.45573859040701697</v>
      </c>
      <c r="S116" s="31">
        <v>0.45662511797552663</v>
      </c>
      <c r="T116" s="31">
        <v>0.45749149546702589</v>
      </c>
      <c r="U116" s="31">
        <v>0.45833970627209286</v>
      </c>
      <c r="V116" s="31">
        <v>0.45917145526286463</v>
      </c>
      <c r="W116" s="31">
        <v>0.45998821856226896</v>
      </c>
      <c r="X116" s="31">
        <v>0.46079128267714309</v>
      </c>
      <c r="Y116" s="31">
        <v>0.46158177561034452</v>
      </c>
      <c r="Z116" s="31">
        <v>0.4623606918464625</v>
      </c>
      <c r="AA116" s="31">
        <v>0.4631289126034977</v>
      </c>
      <c r="AB116" s="31">
        <v>0.46388722238722568</v>
      </c>
      <c r="AC116" s="31">
        <v>0.46463632262947052</v>
      </c>
      <c r="AD116" s="31">
        <v>0.46537684300551585</v>
      </c>
      <c r="AE116" s="31">
        <v>0.46610935088883637</v>
      </c>
      <c r="AF116" s="31">
        <v>0.46683435929917755</v>
      </c>
      <c r="AG116" s="31">
        <v>0.46755233362309545</v>
      </c>
    </row>
    <row r="117" spans="1:33" ht="15" thickTop="1" x14ac:dyDescent="0.3">
      <c r="A117" s="25" t="s">
        <v>159</v>
      </c>
      <c r="B117" s="29"/>
      <c r="C117" s="29">
        <v>0.37934004705557728</v>
      </c>
      <c r="D117" s="29">
        <v>0.38782355480747793</v>
      </c>
      <c r="E117" s="29">
        <v>0.39530801736504489</v>
      </c>
      <c r="F117" s="29">
        <v>0.40215930589996962</v>
      </c>
      <c r="G117" s="29">
        <v>0.40857297586102703</v>
      </c>
      <c r="H117" s="29">
        <v>0.41466593658712181</v>
      </c>
      <c r="I117" s="29">
        <v>0.42051369192808141</v>
      </c>
      <c r="J117" s="29">
        <v>0.42616785013446634</v>
      </c>
      <c r="K117" s="29">
        <v>0.4316652550574272</v>
      </c>
      <c r="L117" s="29">
        <v>0.4370331328078037</v>
      </c>
      <c r="M117" s="29">
        <v>0.44229217409971833</v>
      </c>
      <c r="N117" s="29">
        <v>0.44470847261799229</v>
      </c>
      <c r="O117" s="29">
        <v>0.44704479394281688</v>
      </c>
      <c r="P117" s="29">
        <v>0.44931143467365758</v>
      </c>
      <c r="Q117" s="29">
        <v>0.45151682099863127</v>
      </c>
      <c r="R117" s="29">
        <v>0.45366793614903006</v>
      </c>
      <c r="S117" s="29">
        <v>0.45577063228678621</v>
      </c>
      <c r="T117" s="29">
        <v>0.45782986240861201</v>
      </c>
      <c r="U117" s="29">
        <v>0.45984985568828601</v>
      </c>
      <c r="V117" s="29">
        <v>0.46183425204714396</v>
      </c>
      <c r="W117" s="29">
        <v>0.46378620682740812</v>
      </c>
      <c r="X117" s="29">
        <v>0.46570847320228759</v>
      </c>
      <c r="Y117" s="29">
        <v>0.46760346777492712</v>
      </c>
      <c r="Z117" s="29">
        <v>0.46947332332130809</v>
      </c>
      <c r="AA117" s="29">
        <v>0.47131993158733965</v>
      </c>
      <c r="AB117" s="29">
        <v>0.47314497830954466</v>
      </c>
      <c r="AC117" s="29">
        <v>0.47494997209595202</v>
      </c>
      <c r="AD117" s="29">
        <v>0.47673626841546812</v>
      </c>
      <c r="AE117" s="29">
        <v>0.47850508965758959</v>
      </c>
      <c r="AF117" s="29">
        <v>0.48025754201059023</v>
      </c>
      <c r="AG117" s="29">
        <v>0.48199462974524304</v>
      </c>
    </row>
    <row r="118" spans="1:33" x14ac:dyDescent="0.3">
      <c r="A118" s="16" t="s">
        <v>160</v>
      </c>
      <c r="B118" s="30"/>
      <c r="C118" s="30">
        <v>0.3764777596185197</v>
      </c>
      <c r="D118" s="30">
        <v>0.38318582438075044</v>
      </c>
      <c r="E118" s="30">
        <v>0.38906202286088387</v>
      </c>
      <c r="F118" s="30">
        <v>0.39441204813142344</v>
      </c>
      <c r="G118" s="30">
        <v>0.39939896618672671</v>
      </c>
      <c r="H118" s="30">
        <v>0.40412011289365513</v>
      </c>
      <c r="I118" s="30">
        <v>0.40863827188209645</v>
      </c>
      <c r="J118" s="30">
        <v>0.41299631137378862</v>
      </c>
      <c r="K118" s="30">
        <v>0.41722480752651159</v>
      </c>
      <c r="L118" s="30">
        <v>0.42134633664432736</v>
      </c>
      <c r="M118" s="30">
        <v>0.42537804342142516</v>
      </c>
      <c r="N118" s="30">
        <v>0.4273332546996314</v>
      </c>
      <c r="O118" s="30">
        <v>0.4292225351244614</v>
      </c>
      <c r="P118" s="30">
        <v>0.43105440140655948</v>
      </c>
      <c r="Q118" s="30">
        <v>0.43283581966444867</v>
      </c>
      <c r="R118" s="30">
        <v>0.43457256039500103</v>
      </c>
      <c r="S118" s="30">
        <v>0.43626945734195161</v>
      </c>
      <c r="T118" s="30">
        <v>0.43793059988669281</v>
      </c>
      <c r="U118" s="30">
        <v>0.43955947845030435</v>
      </c>
      <c r="V118" s="30">
        <v>0.44115909603941594</v>
      </c>
      <c r="W118" s="30">
        <v>0.44273205497635343</v>
      </c>
      <c r="X118" s="30">
        <v>0.44428062515723227</v>
      </c>
      <c r="Y118" s="30">
        <v>0.44580679836682641</v>
      </c>
      <c r="Z118" s="30">
        <v>0.44731233193432951</v>
      </c>
      <c r="AA118" s="30">
        <v>0.44879878414567365</v>
      </c>
      <c r="AB118" s="30">
        <v>0.45026754321253537</v>
      </c>
      <c r="AC118" s="30">
        <v>0.45171985115561814</v>
      </c>
      <c r="AD118" s="30">
        <v>0.4531568236373657</v>
      </c>
      <c r="AE118" s="30">
        <v>0.45457946654150455</v>
      </c>
      <c r="AF118" s="30">
        <v>0.45598868991946362</v>
      </c>
      <c r="AG118" s="30">
        <v>0.45738531979008845</v>
      </c>
    </row>
    <row r="119" spans="1:33" ht="15" thickBot="1" x14ac:dyDescent="0.35">
      <c r="A119" s="26" t="s">
        <v>161</v>
      </c>
      <c r="B119" s="31"/>
      <c r="C119" s="31">
        <v>0.36936606079470824</v>
      </c>
      <c r="D119" s="31">
        <v>0.37218507033697829</v>
      </c>
      <c r="E119" s="31">
        <v>0.37458912312733494</v>
      </c>
      <c r="F119" s="31">
        <v>0.37673201096614739</v>
      </c>
      <c r="G119" s="31">
        <v>0.37869536289563877</v>
      </c>
      <c r="H119" s="31">
        <v>0.3805277162912829</v>
      </c>
      <c r="I119" s="31">
        <v>0.38226028029787856</v>
      </c>
      <c r="J119" s="31">
        <v>0.3839143077659728</v>
      </c>
      <c r="K119" s="31">
        <v>0.38550492273295284</v>
      </c>
      <c r="L119" s="31">
        <v>0.3870432696974121</v>
      </c>
      <c r="M119" s="31">
        <v>0.38853779667425931</v>
      </c>
      <c r="N119" s="31">
        <v>0.38949505976540283</v>
      </c>
      <c r="O119" s="31">
        <v>0.3904202485222889</v>
      </c>
      <c r="P119" s="31">
        <v>0.39131754082519421</v>
      </c>
      <c r="Q119" s="31">
        <v>0.39219034961718169</v>
      </c>
      <c r="R119" s="31">
        <v>0.39304149876441918</v>
      </c>
      <c r="S119" s="31">
        <v>0.39387335114238875</v>
      </c>
      <c r="T119" s="31">
        <v>0.39468790371688511</v>
      </c>
      <c r="U119" s="31">
        <v>0.39548685932344563</v>
      </c>
      <c r="V119" s="31">
        <v>0.3962716816762239</v>
      </c>
      <c r="W119" s="31">
        <v>0.39704363809725263</v>
      </c>
      <c r="X119" s="31">
        <v>0.3978038331140944</v>
      </c>
      <c r="Y119" s="31">
        <v>0.3985532351710756</v>
      </c>
      <c r="Z119" s="31">
        <v>0.39929269808071216</v>
      </c>
      <c r="AA119" s="31">
        <v>0.40002297841074425</v>
      </c>
      <c r="AB119" s="31">
        <v>0.40074474969684798</v>
      </c>
      <c r="AC119" s="31">
        <v>0.40145861415174433</v>
      </c>
      <c r="AD119" s="31">
        <v>0.40216511238173736</v>
      </c>
      <c r="AE119" s="31">
        <v>0.40286473150405272</v>
      </c>
      <c r="AF119" s="31">
        <v>0.40355791197064339</v>
      </c>
      <c r="AG119" s="31">
        <v>0.40424505333809446</v>
      </c>
    </row>
    <row r="120" spans="1:33" ht="15" thickTop="1" x14ac:dyDescent="0.3">
      <c r="A120" s="25" t="s">
        <v>162</v>
      </c>
      <c r="B120" s="29"/>
      <c r="C120" s="29">
        <v>0.29305146176965247</v>
      </c>
      <c r="D120" s="29">
        <v>0.30051510477478321</v>
      </c>
      <c r="E120" s="29">
        <v>0.30720695567189438</v>
      </c>
      <c r="F120" s="29">
        <v>0.31340966081619004</v>
      </c>
      <c r="G120" s="29">
        <v>0.31927429260449613</v>
      </c>
      <c r="H120" s="29">
        <v>0.32489116697610348</v>
      </c>
      <c r="I120" s="29">
        <v>0.33031861289926406</v>
      </c>
      <c r="J120" s="29">
        <v>0.33559649928152707</v>
      </c>
      <c r="K120" s="29">
        <v>0.3407532890930452</v>
      </c>
      <c r="L120" s="29">
        <v>0.34581001531370509</v>
      </c>
      <c r="M120" s="29">
        <v>0.3507826621351729</v>
      </c>
      <c r="N120" s="29">
        <v>0.35293366240733709</v>
      </c>
      <c r="O120" s="29">
        <v>0.35502287792033771</v>
      </c>
      <c r="P120" s="29">
        <v>0.35705826310331529</v>
      </c>
      <c r="Q120" s="29">
        <v>0.35904632743704812</v>
      </c>
      <c r="R120" s="29">
        <v>0.3609924656752776</v>
      </c>
      <c r="S120" s="29">
        <v>0.36290119878704458</v>
      </c>
      <c r="T120" s="29">
        <v>0.36477635310953122</v>
      </c>
      <c r="U120" s="29">
        <v>0.36662119580518843</v>
      </c>
      <c r="V120" s="29">
        <v>0.36843853882144029</v>
      </c>
      <c r="W120" s="29">
        <v>0.37023081975394223</v>
      </c>
      <c r="X120" s="29">
        <v>0.37200016551083276</v>
      </c>
      <c r="Y120" s="29">
        <v>0.37374844298987214</v>
      </c>
      <c r="Z120" s="29">
        <v>0.37547729982389988</v>
      </c>
      <c r="AA120" s="29">
        <v>0.37718819744286075</v>
      </c>
      <c r="AB120" s="29">
        <v>0.37888243812832501</v>
      </c>
      <c r="AC120" s="29">
        <v>0.38056118732483668</v>
      </c>
      <c r="AD120" s="29">
        <v>0.38222549217241542</v>
      </c>
      <c r="AE120" s="29">
        <v>0.38387629700328152</v>
      </c>
      <c r="AF120" s="29">
        <v>0.3855144563807566</v>
      </c>
      <c r="AG120" s="29">
        <v>0.38714074613386334</v>
      </c>
    </row>
    <row r="121" spans="1:33" x14ac:dyDescent="0.3">
      <c r="A121" s="16" t="s">
        <v>163</v>
      </c>
      <c r="B121" s="30"/>
      <c r="C121" s="30">
        <v>0.2908402596465301</v>
      </c>
      <c r="D121" s="30">
        <v>0.29670484989304574</v>
      </c>
      <c r="E121" s="30">
        <v>0.30192679871043299</v>
      </c>
      <c r="F121" s="30">
        <v>0.30674226308355346</v>
      </c>
      <c r="G121" s="30">
        <v>0.31127721633998578</v>
      </c>
      <c r="H121" s="30">
        <v>0.31560685333007005</v>
      </c>
      <c r="I121" s="30">
        <v>0.31977967627406123</v>
      </c>
      <c r="J121" s="30">
        <v>0.32382880214745741</v>
      </c>
      <c r="K121" s="30">
        <v>0.32777785194098241</v>
      </c>
      <c r="L121" s="30">
        <v>0.33164426652057705</v>
      </c>
      <c r="M121" s="30">
        <v>0.33544129067210815</v>
      </c>
      <c r="N121" s="30">
        <v>0.33717921977701015</v>
      </c>
      <c r="O121" s="30">
        <v>0.33886621533796496</v>
      </c>
      <c r="P121" s="30">
        <v>0.34050885676709414</v>
      </c>
      <c r="Q121" s="30">
        <v>0.34211252559801619</v>
      </c>
      <c r="R121" s="30">
        <v>0.34368167971108554</v>
      </c>
      <c r="S121" s="30">
        <v>0.34522005331701472</v>
      </c>
      <c r="T121" s="30">
        <v>0.34673080558448127</v>
      </c>
      <c r="U121" s="30">
        <v>0.34821663296751787</v>
      </c>
      <c r="V121" s="30">
        <v>0.34967985537800644</v>
      </c>
      <c r="W121" s="30">
        <v>0.35112248318729467</v>
      </c>
      <c r="X121" s="30">
        <v>0.35254626995760163</v>
      </c>
      <c r="Y121" s="30">
        <v>0.35395275440186869</v>
      </c>
      <c r="Z121" s="30">
        <v>0.35534329410913218</v>
      </c>
      <c r="AA121" s="30">
        <v>0.35671909290159287</v>
      </c>
      <c r="AB121" s="30">
        <v>0.35808122321403385</v>
      </c>
      <c r="AC121" s="30">
        <v>0.35943064454436613</v>
      </c>
      <c r="AD121" s="30">
        <v>0.36076821877498899</v>
      </c>
      <c r="AE121" s="30">
        <v>0.36209472298097994</v>
      </c>
      <c r="AF121" s="30">
        <v>0.363410860204118</v>
      </c>
      <c r="AG121" s="30">
        <v>0.36471726856851377</v>
      </c>
    </row>
    <row r="122" spans="1:33" ht="15" thickBot="1" x14ac:dyDescent="0.35">
      <c r="A122" s="26" t="s">
        <v>164</v>
      </c>
      <c r="B122" s="31"/>
      <c r="C122" s="31">
        <v>0.28534626091858106</v>
      </c>
      <c r="D122" s="31">
        <v>0.28775149985781989</v>
      </c>
      <c r="E122" s="31">
        <v>0.28983617237212339</v>
      </c>
      <c r="F122" s="31">
        <v>0.29171908719855</v>
      </c>
      <c r="G122" s="31">
        <v>0.29346330519854069</v>
      </c>
      <c r="H122" s="31">
        <v>0.295106322937363</v>
      </c>
      <c r="I122" s="31">
        <v>0.29667225040702783</v>
      </c>
      <c r="J122" s="31">
        <v>0.29817750606629773</v>
      </c>
      <c r="K122" s="31">
        <v>0.29963377368359773</v>
      </c>
      <c r="L122" s="31">
        <v>0.30104966271534794</v>
      </c>
      <c r="M122" s="31">
        <v>0.30243169950417242</v>
      </c>
      <c r="N122" s="31">
        <v>0.30328494883366719</v>
      </c>
      <c r="O122" s="31">
        <v>0.30411341978657774</v>
      </c>
      <c r="P122" s="31">
        <v>0.30492033989960021</v>
      </c>
      <c r="Q122" s="31">
        <v>0.30570834577269618</v>
      </c>
      <c r="R122" s="31">
        <v>0.30647961892641634</v>
      </c>
      <c r="S122" s="31">
        <v>0.30723598475230407</v>
      </c>
      <c r="T122" s="31">
        <v>0.30797898596579332</v>
      </c>
      <c r="U122" s="31">
        <v>0.30870993805795133</v>
      </c>
      <c r="V122" s="31">
        <v>0.30942997179146881</v>
      </c>
      <c r="W122" s="31">
        <v>0.31014006621028567</v>
      </c>
      <c r="X122" s="31">
        <v>0.31084107459477478</v>
      </c>
      <c r="Y122" s="31">
        <v>0.31153374509696408</v>
      </c>
      <c r="Z122" s="31">
        <v>0.31221873731240057</v>
      </c>
      <c r="AA122" s="31">
        <v>0.31289663571215171</v>
      </c>
      <c r="AB122" s="31">
        <v>0.31356796062254721</v>
      </c>
      <c r="AC122" s="31">
        <v>0.31423317727081423</v>
      </c>
      <c r="AD122" s="31">
        <v>0.31489270329139135</v>
      </c>
      <c r="AE122" s="31">
        <v>0.31554691499681436</v>
      </c>
      <c r="AF122" s="31">
        <v>0.31619615264930889</v>
      </c>
      <c r="AG122" s="31">
        <v>0.31684072491821319</v>
      </c>
    </row>
    <row r="123" spans="1:33" ht="15" thickTop="1" x14ac:dyDescent="0.3">
      <c r="A123" s="25" t="s">
        <v>165</v>
      </c>
      <c r="B123" s="29"/>
      <c r="C123" s="29">
        <v>0.52025002503728057</v>
      </c>
      <c r="D123" s="29">
        <v>0.52687940817654255</v>
      </c>
      <c r="E123" s="29">
        <v>0.53292062695391562</v>
      </c>
      <c r="F123" s="29">
        <v>0.53858950573918452</v>
      </c>
      <c r="G123" s="29">
        <v>0.54400126834508433</v>
      </c>
      <c r="H123" s="29">
        <v>0.54922473795585469</v>
      </c>
      <c r="I123" s="29">
        <v>0.55430433060424034</v>
      </c>
      <c r="J123" s="29">
        <v>0.55927038691900122</v>
      </c>
      <c r="K123" s="29">
        <v>0.56414455608610115</v>
      </c>
      <c r="L123" s="29">
        <v>0.56894282856722189</v>
      </c>
      <c r="M123" s="29">
        <v>0.57367735143311038</v>
      </c>
      <c r="N123" s="29">
        <v>0.57560756942145153</v>
      </c>
      <c r="O123" s="29">
        <v>0.57749097160131102</v>
      </c>
      <c r="P123" s="29">
        <v>0.57933359671020301</v>
      </c>
      <c r="Q123" s="29">
        <v>0.5811403851115593</v>
      </c>
      <c r="R123" s="29">
        <v>0.58291543005753954</v>
      </c>
      <c r="S123" s="29">
        <v>0.58466216096657508</v>
      </c>
      <c r="T123" s="29">
        <v>0.5863834796625087</v>
      </c>
      <c r="U123" s="29">
        <v>0.58808186335863433</v>
      </c>
      <c r="V123" s="29">
        <v>0.58975944367639344</v>
      </c>
      <c r="W123" s="29">
        <v>0.59141806809495223</v>
      </c>
      <c r="X123" s="29">
        <v>0.59305934832069818</v>
      </c>
      <c r="Y123" s="29">
        <v>0.5946846987819574</v>
      </c>
      <c r="Z123" s="29">
        <v>0.59629536757365664</v>
      </c>
      <c r="AA123" s="29">
        <v>0.59789246156216758</v>
      </c>
      <c r="AB123" s="29">
        <v>0.59947696692495089</v>
      </c>
      <c r="AC123" s="29">
        <v>0.60104976608642102</v>
      </c>
      <c r="AD123" s="29">
        <v>0.60261165178318066</v>
      </c>
      <c r="AE123" s="29">
        <v>0.60416333882347162</v>
      </c>
      <c r="AF123" s="29">
        <v>0.60570547398010577</v>
      </c>
      <c r="AG123" s="29">
        <v>0.60723864436150887</v>
      </c>
    </row>
    <row r="124" spans="1:33" x14ac:dyDescent="0.3">
      <c r="A124" s="16" t="s">
        <v>166</v>
      </c>
      <c r="B124" s="30"/>
      <c r="C124" s="30">
        <v>0.51857434044137829</v>
      </c>
      <c r="D124" s="30">
        <v>0.5237584355264171</v>
      </c>
      <c r="E124" s="30">
        <v>0.52845255128945412</v>
      </c>
      <c r="F124" s="30">
        <v>0.53283674465505648</v>
      </c>
      <c r="G124" s="30">
        <v>0.53700706347018767</v>
      </c>
      <c r="H124" s="30">
        <v>0.54102083974009629</v>
      </c>
      <c r="I124" s="30">
        <v>0.54491505378369576</v>
      </c>
      <c r="J124" s="30">
        <v>0.54871495550313332</v>
      </c>
      <c r="K124" s="30">
        <v>0.55243855462591074</v>
      </c>
      <c r="L124" s="30">
        <v>0.5560991488687349</v>
      </c>
      <c r="M124" s="30">
        <v>0.55970683666427024</v>
      </c>
      <c r="N124" s="30">
        <v>0.56126946768386687</v>
      </c>
      <c r="O124" s="30">
        <v>0.56279326463177237</v>
      </c>
      <c r="P124" s="30">
        <v>0.56428324395377505</v>
      </c>
      <c r="Q124" s="30">
        <v>0.56574350877811153</v>
      </c>
      <c r="R124" s="30">
        <v>0.56717745799737462</v>
      </c>
      <c r="S124" s="30">
        <v>0.56858793874520752</v>
      </c>
      <c r="T124" s="30">
        <v>0.56997735971681185</v>
      </c>
      <c r="U124" s="30">
        <v>0.57134777681250593</v>
      </c>
      <c r="V124" s="30">
        <v>0.57270095883958938</v>
      </c>
      <c r="W124" s="30">
        <v>0.57403843859745129</v>
      </c>
      <c r="X124" s="30">
        <v>0.57536155308241399</v>
      </c>
      <c r="Y124" s="30">
        <v>0.57667147547984898</v>
      </c>
      <c r="Z124" s="30">
        <v>0.57796924087794888</v>
      </c>
      <c r="AA124" s="30">
        <v>0.57925576712601357</v>
      </c>
      <c r="AB124" s="30">
        <v>0.58053187189754518</v>
      </c>
      <c r="AC124" s="30">
        <v>0.58179828675779088</v>
      </c>
      <c r="AD124" s="30">
        <v>0.58305566884545112</v>
      </c>
      <c r="AE124" s="30">
        <v>0.58430461063823169</v>
      </c>
      <c r="AF124" s="30">
        <v>0.58554564816745369</v>
      </c>
      <c r="AG124" s="30">
        <v>0.58677926796822832</v>
      </c>
    </row>
    <row r="125" spans="1:33" ht="15" thickBot="1" x14ac:dyDescent="0.35">
      <c r="A125" s="26" t="s">
        <v>167</v>
      </c>
      <c r="B125" s="31"/>
      <c r="C125" s="31">
        <v>0.51439612759580422</v>
      </c>
      <c r="D125" s="31">
        <v>0.51647937638621777</v>
      </c>
      <c r="E125" s="31">
        <v>0.51831784742910536</v>
      </c>
      <c r="F125" s="31">
        <v>0.52000181742522222</v>
      </c>
      <c r="G125" s="31">
        <v>0.52157934177852805</v>
      </c>
      <c r="H125" s="31">
        <v>0.52307905853569092</v>
      </c>
      <c r="I125" s="31">
        <v>0.52451941520489309</v>
      </c>
      <c r="J125" s="31">
        <v>0.52591299341907161</v>
      </c>
      <c r="K125" s="31">
        <v>0.52726875838548015</v>
      </c>
      <c r="L125" s="31">
        <v>0.52859332398470216</v>
      </c>
      <c r="M125" s="31">
        <v>0.52989170900601834</v>
      </c>
      <c r="N125" s="31">
        <v>0.53066781191999957</v>
      </c>
      <c r="O125" s="31">
        <v>0.53142472121695805</v>
      </c>
      <c r="P125" s="31">
        <v>0.5321649252370978</v>
      </c>
      <c r="Q125" s="31">
        <v>0.53289045818311054</v>
      </c>
      <c r="R125" s="31">
        <v>0.53360300427339524</v>
      </c>
      <c r="S125" s="31">
        <v>0.53430397365651905</v>
      </c>
      <c r="T125" s="31">
        <v>0.53499455880232705</v>
      </c>
      <c r="U125" s="31">
        <v>0.53567577710022474</v>
      </c>
      <c r="V125" s="31">
        <v>0.53634850352418939</v>
      </c>
      <c r="W125" s="31">
        <v>0.53701349602016768</v>
      </c>
      <c r="X125" s="31">
        <v>0.53767141547850583</v>
      </c>
      <c r="Y125" s="31">
        <v>0.53832284162062216</v>
      </c>
      <c r="Z125" s="31">
        <v>0.53896828576343192</v>
      </c>
      <c r="AA125" s="31">
        <v>0.53960820116997654</v>
      </c>
      <c r="AB125" s="31">
        <v>0.54024299151400146</v>
      </c>
      <c r="AC125" s="31">
        <v>0.54087301785635089</v>
      </c>
      <c r="AD125" s="31">
        <v>0.54149860443645315</v>
      </c>
      <c r="AE125" s="31">
        <v>0.54212004351244558</v>
      </c>
      <c r="AF125" s="31">
        <v>0.54273759943148259</v>
      </c>
      <c r="AG125" s="31">
        <v>0.54335151207261045</v>
      </c>
    </row>
    <row r="126" spans="1:33" ht="15" thickTop="1" x14ac:dyDescent="0.3">
      <c r="A126" s="25" t="s">
        <v>168</v>
      </c>
      <c r="B126" s="29"/>
      <c r="C126" s="29">
        <v>0.50753323178489729</v>
      </c>
      <c r="D126" s="29">
        <v>0.51409834328522785</v>
      </c>
      <c r="E126" s="29">
        <v>0.52008966728907746</v>
      </c>
      <c r="F126" s="29">
        <v>0.5257177526376251</v>
      </c>
      <c r="G126" s="29">
        <v>0.53109500665665965</v>
      </c>
      <c r="H126" s="29">
        <v>0.53628857024274568</v>
      </c>
      <c r="I126" s="29">
        <v>0.54134177374005865</v>
      </c>
      <c r="J126" s="29">
        <v>0.54628421614259703</v>
      </c>
      <c r="K126" s="29">
        <v>0.55113701745187749</v>
      </c>
      <c r="L126" s="29">
        <v>0.5559157772648331</v>
      </c>
      <c r="M126" s="29">
        <v>0.56063234573384491</v>
      </c>
      <c r="N126" s="29">
        <v>0.56254593673303077</v>
      </c>
      <c r="O126" s="29">
        <v>0.56441385627150786</v>
      </c>
      <c r="P126" s="29">
        <v>0.56624199547819276</v>
      </c>
      <c r="Q126" s="29">
        <v>0.56803517395615721</v>
      </c>
      <c r="R126" s="29">
        <v>0.5697973849036656</v>
      </c>
      <c r="S126" s="29">
        <v>0.57153197391175292</v>
      </c>
      <c r="T126" s="29">
        <v>0.57324177187318637</v>
      </c>
      <c r="U126" s="29">
        <v>0.57492919544920251</v>
      </c>
      <c r="V126" s="29">
        <v>0.57659632415670103</v>
      </c>
      <c r="W126" s="29">
        <v>0.57824496031577199</v>
      </c>
      <c r="X126" s="29">
        <v>0.57987667623686612</v>
      </c>
      <c r="Y126" s="29">
        <v>0.581492851774563</v>
      </c>
      <c r="Z126" s="29">
        <v>0.58309470451583278</v>
      </c>
      <c r="AA126" s="29">
        <v>0.58468331427122766</v>
      </c>
      <c r="AB126" s="29">
        <v>0.58625964311246248</v>
      </c>
      <c r="AC126" s="29">
        <v>0.58782455189430582</v>
      </c>
      <c r="AD126" s="29">
        <v>0.58937881397600878</v>
      </c>
      <c r="AE126" s="29">
        <v>0.59092312669331337</v>
      </c>
      <c r="AF126" s="29">
        <v>0.5924581210095633</v>
      </c>
      <c r="AG126" s="29">
        <v>0.59398436968212975</v>
      </c>
    </row>
    <row r="127" spans="1:33" x14ac:dyDescent="0.3">
      <c r="A127" s="16" t="s">
        <v>169</v>
      </c>
      <c r="B127" s="30"/>
      <c r="C127" s="30">
        <v>0.50589850698435646</v>
      </c>
      <c r="D127" s="30">
        <v>0.51102921488188291</v>
      </c>
      <c r="E127" s="30">
        <v>0.51568192032513638</v>
      </c>
      <c r="F127" s="30">
        <v>0.52003227899587168</v>
      </c>
      <c r="G127" s="30">
        <v>0.524173990984102</v>
      </c>
      <c r="H127" s="30">
        <v>0.52816298689339902</v>
      </c>
      <c r="I127" s="30">
        <v>0.53203534310986045</v>
      </c>
      <c r="J127" s="30">
        <v>0.5358156923366526</v>
      </c>
      <c r="K127" s="30">
        <v>0.53952160407836502</v>
      </c>
      <c r="L127" s="30">
        <v>0.54316605100738735</v>
      </c>
      <c r="M127" s="30">
        <v>0.54675888471414624</v>
      </c>
      <c r="N127" s="30">
        <v>0.54830776299561845</v>
      </c>
      <c r="O127" s="30">
        <v>0.54981875645064138</v>
      </c>
      <c r="P127" s="30">
        <v>0.55129675890491514</v>
      </c>
      <c r="Q127" s="30">
        <v>0.55274577319137419</v>
      </c>
      <c r="R127" s="30">
        <v>0.55416911512137668</v>
      </c>
      <c r="S127" s="30">
        <v>0.55556956223431653</v>
      </c>
      <c r="T127" s="30">
        <v>0.55694946434816839</v>
      </c>
      <c r="U127" s="30">
        <v>0.558310827109607</v>
      </c>
      <c r="V127" s="30">
        <v>0.55965537608988081</v>
      </c>
      <c r="W127" s="30">
        <v>0.56098460662121508</v>
      </c>
      <c r="X127" s="30">
        <v>0.56229982301890358</v>
      </c>
      <c r="Y127" s="30">
        <v>0.56360216979142208</v>
      </c>
      <c r="Z127" s="30">
        <v>0.56489265672566202</v>
      </c>
      <c r="AA127" s="30">
        <v>0.566172179235365</v>
      </c>
      <c r="AB127" s="30">
        <v>0.5674415350071339</v>
      </c>
      <c r="AC127" s="30">
        <v>0.56870143772411375</v>
      </c>
      <c r="AD127" s="30">
        <v>0.56995252846215716</v>
      </c>
      <c r="AE127" s="30">
        <v>0.5711953852166709</v>
      </c>
      <c r="AF127" s="30">
        <v>0.57243053091643081</v>
      </c>
      <c r="AG127" s="30">
        <v>0.57365844020386925</v>
      </c>
    </row>
    <row r="128" spans="1:33" ht="15" thickBot="1" x14ac:dyDescent="0.35">
      <c r="A128" s="26" t="s">
        <v>170</v>
      </c>
      <c r="B128" s="31"/>
      <c r="C128" s="31">
        <v>0.50182242478052108</v>
      </c>
      <c r="D128" s="31">
        <v>0.50387919505052026</v>
      </c>
      <c r="E128" s="31">
        <v>0.50569717082692556</v>
      </c>
      <c r="F128" s="31">
        <v>0.50736442212123956</v>
      </c>
      <c r="G128" s="31">
        <v>0.50892782968945016</v>
      </c>
      <c r="H128" s="31">
        <v>0.51041533156073171</v>
      </c>
      <c r="I128" s="31">
        <v>0.51184492431940998</v>
      </c>
      <c r="J128" s="31">
        <v>0.51322888205778361</v>
      </c>
      <c r="K128" s="31">
        <v>0.51457595084099861</v>
      </c>
      <c r="L128" s="31">
        <v>0.51589258288246276</v>
      </c>
      <c r="M128" s="31">
        <v>0.5171836742940854</v>
      </c>
      <c r="N128" s="31">
        <v>0.51795302825370915</v>
      </c>
      <c r="O128" s="31">
        <v>0.5187036577577665</v>
      </c>
      <c r="P128" s="31">
        <v>0.51943799032242233</v>
      </c>
      <c r="Q128" s="31">
        <v>0.52015801042709342</v>
      </c>
      <c r="R128" s="31">
        <v>0.52086536112178627</v>
      </c>
      <c r="S128" s="31">
        <v>0.52156141808593393</v>
      </c>
      <c r="T128" s="31">
        <v>0.52224734464110367</v>
      </c>
      <c r="U128" s="31">
        <v>0.52292413330802201</v>
      </c>
      <c r="V128" s="31">
        <v>0.52359263767313591</v>
      </c>
      <c r="W128" s="31">
        <v>0.52425359715545061</v>
      </c>
      <c r="X128" s="31">
        <v>0.52490765649076021</v>
      </c>
      <c r="Y128" s="31">
        <v>0.52555538122999401</v>
      </c>
      <c r="Z128" s="31">
        <v>0.52619727019163143</v>
      </c>
      <c r="AA128" s="31">
        <v>0.52683376555932504</v>
      </c>
      <c r="AB128" s="31">
        <v>0.52746526113957326</v>
      </c>
      <c r="AC128" s="31">
        <v>0.52809210916758631</v>
      </c>
      <c r="AD128" s="31">
        <v>0.52871462595720786</v>
      </c>
      <c r="AE128" s="31">
        <v>0.52933309662272876</v>
      </c>
      <c r="AF128" s="31">
        <v>0.52994777904970225</v>
      </c>
      <c r="AG128" s="31">
        <v>0.53055890725366273</v>
      </c>
    </row>
    <row r="129" spans="1:33" ht="15" thickTop="1" x14ac:dyDescent="0.3">
      <c r="A129" s="25" t="s">
        <v>171</v>
      </c>
      <c r="B129" s="29"/>
      <c r="C129" s="29">
        <v>0.49853907957709759</v>
      </c>
      <c r="D129" s="29">
        <v>0.50505873394906864</v>
      </c>
      <c r="E129" s="29">
        <v>0.51101476908893062</v>
      </c>
      <c r="F129" s="29">
        <v>0.51661400263721169</v>
      </c>
      <c r="G129" s="29">
        <v>0.52196684991497244</v>
      </c>
      <c r="H129" s="29">
        <v>0.52713926199433803</v>
      </c>
      <c r="I129" s="29">
        <v>0.53217380134915282</v>
      </c>
      <c r="J129" s="29">
        <v>0.53709954244055591</v>
      </c>
      <c r="K129" s="29">
        <v>0.54193723099603353</v>
      </c>
      <c r="L129" s="29">
        <v>0.54670219016727262</v>
      </c>
      <c r="M129" s="29">
        <v>0.5514060601064662</v>
      </c>
      <c r="N129" s="29">
        <v>0.55330789140584014</v>
      </c>
      <c r="O129" s="29">
        <v>0.55516486060248105</v>
      </c>
      <c r="P129" s="29">
        <v>0.55698275442680156</v>
      </c>
      <c r="Q129" s="29">
        <v>0.55876630707220798</v>
      </c>
      <c r="R129" s="29">
        <v>0.56051944097227235</v>
      </c>
      <c r="S129" s="29">
        <v>0.56224544242978358</v>
      </c>
      <c r="T129" s="29">
        <v>0.5639470921703893</v>
      </c>
      <c r="U129" s="29">
        <v>0.56562676402893042</v>
      </c>
      <c r="V129" s="29">
        <v>0.56728650067054931</v>
      </c>
      <c r="W129" s="29">
        <v>0.5689280724758683</v>
      </c>
      <c r="X129" s="29">
        <v>0.57055302389194196</v>
      </c>
      <c r="Y129" s="29">
        <v>0.57216271032052335</v>
      </c>
      <c r="Z129" s="29">
        <v>0.57375832777134994</v>
      </c>
      <c r="AA129" s="29">
        <v>0.57534093691931987</v>
      </c>
      <c r="AB129" s="29">
        <v>0.57691148278697968</v>
      </c>
      <c r="AC129" s="29">
        <v>0.57847081097362629</v>
      </c>
      <c r="AD129" s="29">
        <v>0.58001968113357416</v>
      </c>
      <c r="AE129" s="29">
        <v>0.58155877824486446</v>
      </c>
      <c r="AF129" s="29">
        <v>0.58308872208934603</v>
      </c>
      <c r="AG129" s="29">
        <v>0.58461007527438058</v>
      </c>
    </row>
    <row r="130" spans="1:33" x14ac:dyDescent="0.3">
      <c r="A130" s="16" t="s">
        <v>172</v>
      </c>
      <c r="B130" s="30"/>
      <c r="C130" s="30">
        <v>0.49693332423659037</v>
      </c>
      <c r="D130" s="30">
        <v>0.50202627320535997</v>
      </c>
      <c r="E130" s="30">
        <v>0.50664969054809039</v>
      </c>
      <c r="F130" s="30">
        <v>0.51097611909827578</v>
      </c>
      <c r="G130" s="30">
        <v>0.51509759845786918</v>
      </c>
      <c r="H130" s="30">
        <v>0.51906906806704622</v>
      </c>
      <c r="I130" s="30">
        <v>0.52292596499119159</v>
      </c>
      <c r="J130" s="30">
        <v>0.52669248540977676</v>
      </c>
      <c r="K130" s="30">
        <v>0.53038588747280679</v>
      </c>
      <c r="L130" s="30">
        <v>0.53401891395996148</v>
      </c>
      <c r="M130" s="30">
        <v>0.53760124187860925</v>
      </c>
      <c r="N130" s="30">
        <v>0.53914039331955566</v>
      </c>
      <c r="O130" s="30">
        <v>0.54064233130269246</v>
      </c>
      <c r="P130" s="30">
        <v>0.54211186292873237</v>
      </c>
      <c r="Q130" s="30">
        <v>0.54355292009517842</v>
      </c>
      <c r="R130" s="30">
        <v>0.54496875985287785</v>
      </c>
      <c r="S130" s="30">
        <v>0.54636211051959627</v>
      </c>
      <c r="T130" s="30">
        <v>0.54773528027146257</v>
      </c>
      <c r="U130" s="30">
        <v>0.54909023921247124</v>
      </c>
      <c r="V130" s="30">
        <v>0.55042868233449271</v>
      </c>
      <c r="W130" s="30">
        <v>0.55175207847051089</v>
      </c>
      <c r="X130" s="30">
        <v>0.55306170882164785</v>
      </c>
      <c r="Y130" s="30">
        <v>0.55435869761419332</v>
      </c>
      <c r="Z130" s="30">
        <v>0.55564403674029517</v>
      </c>
      <c r="AA130" s="30">
        <v>0.55691860574579333</v>
      </c>
      <c r="AB130" s="30">
        <v>0.55818318818124124</v>
      </c>
      <c r="AC130" s="30">
        <v>0.55943848508238614</v>
      </c>
      <c r="AD130" s="30">
        <v>0.56068512616437849</v>
      </c>
      <c r="AE130" s="30">
        <v>0.56192367917979102</v>
      </c>
      <c r="AF130" s="30">
        <v>0.56315465779041829</v>
      </c>
      <c r="AG130" s="30">
        <v>0.5643785282274083</v>
      </c>
    </row>
    <row r="131" spans="1:33" ht="15" thickBot="1" x14ac:dyDescent="0.35">
      <c r="A131" s="26" t="s">
        <v>173</v>
      </c>
      <c r="B131" s="31"/>
      <c r="C131" s="31">
        <v>0.49292947553680327</v>
      </c>
      <c r="D131" s="31">
        <v>0.4949675184564305</v>
      </c>
      <c r="E131" s="31">
        <v>0.49677099863299218</v>
      </c>
      <c r="F131" s="31">
        <v>0.49842642536228066</v>
      </c>
      <c r="G131" s="31">
        <v>0.49997984861201483</v>
      </c>
      <c r="H131" s="31">
        <v>0.50145871131297737</v>
      </c>
      <c r="I131" s="31">
        <v>0.50288069112649869</v>
      </c>
      <c r="J131" s="31">
        <v>0.50425784463191969</v>
      </c>
      <c r="K131" s="31">
        <v>0.5055987629026808</v>
      </c>
      <c r="L131" s="31">
        <v>0.50690978381053542</v>
      </c>
      <c r="M131" s="31">
        <v>0.50819571670189068</v>
      </c>
      <c r="N131" s="31">
        <v>0.50896029735730708</v>
      </c>
      <c r="O131" s="31">
        <v>0.50970648537898233</v>
      </c>
      <c r="P131" s="31">
        <v>0.51043666526432241</v>
      </c>
      <c r="Q131" s="31">
        <v>0.5111527863251748</v>
      </c>
      <c r="R131" s="31">
        <v>0.51185646249455252</v>
      </c>
      <c r="S131" s="31">
        <v>0.51254904507305121</v>
      </c>
      <c r="T131" s="31">
        <v>0.51323167676665915</v>
      </c>
      <c r="U131" s="31">
        <v>0.51390533250733883</v>
      </c>
      <c r="V131" s="31">
        <v>0.51457085075486952</v>
      </c>
      <c r="W131" s="31">
        <v>0.51522895782478517</v>
      </c>
      <c r="X131" s="31">
        <v>0.51588028702731914</v>
      </c>
      <c r="Y131" s="31">
        <v>0.51652539389109908</v>
      </c>
      <c r="Z131" s="31">
        <v>0.5171647683948889</v>
      </c>
      <c r="AA131" s="31">
        <v>0.51779884488626904</v>
      </c>
      <c r="AB131" s="31">
        <v>0.51842801019297191</v>
      </c>
      <c r="AC131" s="31">
        <v>0.51905261030813954</v>
      </c>
      <c r="AD131" s="31">
        <v>0.51967295594012086</v>
      </c>
      <c r="AE131" s="31">
        <v>0.52028932715060883</v>
      </c>
      <c r="AF131" s="31">
        <v>0.52090197725508769</v>
      </c>
      <c r="AG131" s="31">
        <v>0.52151113612203059</v>
      </c>
    </row>
    <row r="132" spans="1:33" ht="15" thickTop="1" x14ac:dyDescent="0.3">
      <c r="A132" s="25" t="s">
        <v>202</v>
      </c>
      <c r="B132" s="29"/>
      <c r="C132" s="29">
        <v>0.49179278678232158</v>
      </c>
      <c r="D132" s="29">
        <v>0.49827834487813039</v>
      </c>
      <c r="E132" s="29">
        <v>0.50420791070733861</v>
      </c>
      <c r="F132" s="29">
        <v>0.50978550322845473</v>
      </c>
      <c r="G132" s="29">
        <v>0.51512004360868979</v>
      </c>
      <c r="H132" s="29">
        <v>0.52027659046206298</v>
      </c>
      <c r="I132" s="29">
        <v>0.52529713030173197</v>
      </c>
      <c r="J132" s="29">
        <v>0.53021034414961377</v>
      </c>
      <c r="K132" s="29">
        <v>0.53503669699943146</v>
      </c>
      <c r="L132" s="29">
        <v>0.53979130464807856</v>
      </c>
      <c r="M132" s="29">
        <v>0.54448564973176172</v>
      </c>
      <c r="N132" s="29">
        <v>0.54637866036896776</v>
      </c>
      <c r="O132" s="29">
        <v>0.54822741598299163</v>
      </c>
      <c r="P132" s="29">
        <v>0.55003762499749054</v>
      </c>
      <c r="Q132" s="29">
        <v>0.55181395754217699</v>
      </c>
      <c r="R132" s="29">
        <v>0.55356028297176463</v>
      </c>
      <c r="S132" s="29">
        <v>0.55527984311838452</v>
      </c>
      <c r="T132" s="29">
        <v>0.55697538107855893</v>
      </c>
      <c r="U132" s="29">
        <v>0.55864923856410076</v>
      </c>
      <c r="V132" s="29">
        <v>0.5603034305985537</v>
      </c>
      <c r="W132" s="29">
        <v>0.56193970360552947</v>
      </c>
      <c r="X132" s="29">
        <v>0.5635595811324331</v>
      </c>
      <c r="Y132" s="29">
        <v>0.56516440023955283</v>
      </c>
      <c r="Z132" s="29">
        <v>0.56675534075207357</v>
      </c>
      <c r="AA132" s="29">
        <v>0.56833344899170879</v>
      </c>
      <c r="AB132" s="29">
        <v>0.56989965719284252</v>
      </c>
      <c r="AC132" s="29">
        <v>0.57145479951201705</v>
      </c>
      <c r="AD132" s="29">
        <v>0.57299962532380999</v>
      </c>
      <c r="AE132" s="29">
        <v>0.57453481033705478</v>
      </c>
      <c r="AF132" s="29">
        <v>0.57606096594663492</v>
      </c>
      <c r="AG132" s="29">
        <v>0.57757864714663953</v>
      </c>
    </row>
    <row r="133" spans="1:33" x14ac:dyDescent="0.3">
      <c r="A133" s="16" t="s">
        <v>203</v>
      </c>
      <c r="B133" s="30"/>
      <c r="C133" s="30">
        <v>0.49020876072268244</v>
      </c>
      <c r="D133" s="30">
        <v>0.49527338764584661</v>
      </c>
      <c r="E133" s="30">
        <v>0.49987483670329952</v>
      </c>
      <c r="F133" s="30">
        <v>0.50418331585746468</v>
      </c>
      <c r="G133" s="30">
        <v>0.50828961921896076</v>
      </c>
      <c r="H133" s="30">
        <v>0.51224794278062991</v>
      </c>
      <c r="I133" s="30">
        <v>0.51609324406908275</v>
      </c>
      <c r="J133" s="30">
        <v>0.51984939183808276</v>
      </c>
      <c r="K133" s="30">
        <v>0.52353341069820392</v>
      </c>
      <c r="L133" s="30">
        <v>0.5271578709922472</v>
      </c>
      <c r="M133" s="30">
        <v>0.53073231877711469</v>
      </c>
      <c r="N133" s="30">
        <v>0.53226417435374396</v>
      </c>
      <c r="O133" s="30">
        <v>0.53375932004970061</v>
      </c>
      <c r="P133" s="30">
        <v>0.53522249791541265</v>
      </c>
      <c r="Q133" s="30">
        <v>0.53665758664145757</v>
      </c>
      <c r="R133" s="30">
        <v>0.53806779920386572</v>
      </c>
      <c r="S133" s="30">
        <v>0.53945582700046746</v>
      </c>
      <c r="T133" s="30">
        <v>0.5408239469728654</v>
      </c>
      <c r="U133" s="30">
        <v>0.5421741025653618</v>
      </c>
      <c r="V133" s="30">
        <v>0.54350796583298655</v>
      </c>
      <c r="W133" s="30">
        <v>0.54482698573229293</v>
      </c>
      <c r="X133" s="30">
        <v>0.54613242612703028</v>
      </c>
      <c r="Y133" s="30">
        <v>0.54742539603031837</v>
      </c>
      <c r="Z133" s="30">
        <v>0.54870687391189732</v>
      </c>
      <c r="AA133" s="30">
        <v>0.54997772741548323</v>
      </c>
      <c r="AB133" s="30">
        <v>0.55123872948852626</v>
      </c>
      <c r="AC133" s="30">
        <v>0.55249057168027071</v>
      </c>
      <c r="AD133" s="30">
        <v>0.55373387518448336</v>
      </c>
      <c r="AE133" s="30">
        <v>0.5549692000708385</v>
      </c>
      <c r="AF133" s="30">
        <v>0.5561970530501954</v>
      </c>
      <c r="AG133" s="30">
        <v>0.55741789404460429</v>
      </c>
    </row>
    <row r="134" spans="1:33" ht="15" thickBot="1" x14ac:dyDescent="0.35">
      <c r="A134" s="26" t="s">
        <v>204</v>
      </c>
      <c r="B134" s="31"/>
      <c r="C134" s="31">
        <v>0.48625909260119154</v>
      </c>
      <c r="D134" s="31">
        <v>0.48828308859499847</v>
      </c>
      <c r="E134" s="31">
        <v>0.49007569597793588</v>
      </c>
      <c r="F134" s="31">
        <v>0.49172225339125208</v>
      </c>
      <c r="G134" s="31">
        <v>0.49326818764877867</v>
      </c>
      <c r="H134" s="31">
        <v>0.49474057032014779</v>
      </c>
      <c r="I134" s="31">
        <v>0.49615683985037917</v>
      </c>
      <c r="J134" s="31">
        <v>0.49752888966768338</v>
      </c>
      <c r="K134" s="31">
        <v>0.49886519459002732</v>
      </c>
      <c r="L134" s="31">
        <v>0.50017200672429607</v>
      </c>
      <c r="M134" s="31">
        <v>0.50145407033622313</v>
      </c>
      <c r="N134" s="31">
        <v>0.50221507065332216</v>
      </c>
      <c r="O134" s="31">
        <v>0.50295792722808641</v>
      </c>
      <c r="P134" s="31">
        <v>0.5036849922906057</v>
      </c>
      <c r="Q134" s="31">
        <v>0.50439818877439824</v>
      </c>
      <c r="R134" s="31">
        <v>0.50509910877253439</v>
      </c>
      <c r="S134" s="31">
        <v>0.50578908529964228</v>
      </c>
      <c r="T134" s="31">
        <v>0.50646924559847062</v>
      </c>
      <c r="U134" s="31">
        <v>0.50714055140808145</v>
      </c>
      <c r="V134" s="31">
        <v>0.50780382984211214</v>
      </c>
      <c r="W134" s="31">
        <v>0.50845979738750446</v>
      </c>
      <c r="X134" s="31">
        <v>0.5091090787844591</v>
      </c>
      <c r="Y134" s="31">
        <v>0.50975222204412107</v>
      </c>
      <c r="Z134" s="31">
        <v>0.51038971051480098</v>
      </c>
      <c r="AA134" s="31">
        <v>0.51102197266643357</v>
      </c>
      <c r="AB134" s="31">
        <v>0.51164939009215038</v>
      </c>
      <c r="AC134" s="31">
        <v>0.51227230410307145</v>
      </c>
      <c r="AD134" s="31">
        <v>0.51289102120300156</v>
      </c>
      <c r="AE134" s="31">
        <v>0.51350581766380388</v>
      </c>
      <c r="AF134" s="31">
        <v>0.51411694337306624</v>
      </c>
      <c r="AG134" s="31">
        <v>0.5147246250886528</v>
      </c>
    </row>
    <row r="135" spans="1:33" ht="15" thickTop="1" x14ac:dyDescent="0.3">
      <c r="A135" s="25" t="s">
        <v>205</v>
      </c>
      <c r="B135" s="29"/>
      <c r="C135" s="29">
        <v>0.46336507404141658</v>
      </c>
      <c r="D135" s="29">
        <v>0.46970695631796261</v>
      </c>
      <c r="E135" s="29">
        <v>0.47552498504337098</v>
      </c>
      <c r="F135" s="29">
        <v>0.48101138601345617</v>
      </c>
      <c r="G135" s="29">
        <v>0.48626878428915021</v>
      </c>
      <c r="H135" s="29">
        <v>0.49135847782014302</v>
      </c>
      <c r="I135" s="29">
        <v>0.49632002612072795</v>
      </c>
      <c r="J135" s="29">
        <v>0.5011804523278871</v>
      </c>
      <c r="K135" s="29">
        <v>0.50595903847174939</v>
      </c>
      <c r="L135" s="29">
        <v>0.51067002659191951</v>
      </c>
      <c r="M135" s="29">
        <v>0.51532423557944096</v>
      </c>
      <c r="N135" s="29">
        <v>0.51718007746961536</v>
      </c>
      <c r="O135" s="29">
        <v>0.51899422246499061</v>
      </c>
      <c r="P135" s="29">
        <v>0.52077204901808094</v>
      </c>
      <c r="Q135" s="29">
        <v>0.52251795730525763</v>
      </c>
      <c r="R135" s="29">
        <v>0.52423559301609068</v>
      </c>
      <c r="S135" s="29">
        <v>0.52592801059103911</v>
      </c>
      <c r="T135" s="29">
        <v>0.52759779456399092</v>
      </c>
      <c r="U135" s="29">
        <v>0.52924715128586575</v>
      </c>
      <c r="V135" s="29">
        <v>0.53087797930328473</v>
      </c>
      <c r="W135" s="29">
        <v>0.53249192408915402</v>
      </c>
      <c r="X135" s="29">
        <v>0.53409042112336502</v>
      </c>
      <c r="Y135" s="29">
        <v>0.53567473017843981</v>
      </c>
      <c r="Z135" s="29">
        <v>0.53724596288065474</v>
      </c>
      <c r="AA135" s="29">
        <v>0.53880510506988211</v>
      </c>
      <c r="AB135" s="29">
        <v>0.54035303509339783</v>
      </c>
      <c r="AC135" s="29">
        <v>0.54189053888995109</v>
      </c>
      <c r="AD135" s="29">
        <v>0.54341832251708522</v>
      </c>
      <c r="AE135" s="29">
        <v>0.5449370226247916</v>
      </c>
      <c r="AF135" s="29">
        <v>0.5464472152667319</v>
      </c>
      <c r="AG135" s="29">
        <v>0.5479494233559784</v>
      </c>
    </row>
    <row r="136" spans="1:33" x14ac:dyDescent="0.3">
      <c r="A136" s="16" t="s">
        <v>206</v>
      </c>
      <c r="B136" s="30"/>
      <c r="C136" s="30">
        <v>0.46187261141867159</v>
      </c>
      <c r="D136" s="30">
        <v>0.4668178941329203</v>
      </c>
      <c r="E136" s="30">
        <v>0.47132677263017381</v>
      </c>
      <c r="F136" s="30">
        <v>0.47555961612940095</v>
      </c>
      <c r="G136" s="30">
        <v>0.47960197045583558</v>
      </c>
      <c r="H136" s="30">
        <v>0.48350489884365061</v>
      </c>
      <c r="I136" s="30">
        <v>0.48730133812588161</v>
      </c>
      <c r="J136" s="30">
        <v>0.49101377734090418</v>
      </c>
      <c r="K136" s="30">
        <v>0.49465825700446225</v>
      </c>
      <c r="L136" s="30">
        <v>0.49824662084013066</v>
      </c>
      <c r="M136" s="30">
        <v>0.50178786310216061</v>
      </c>
      <c r="N136" s="30">
        <v>0.50328897516656601</v>
      </c>
      <c r="O136" s="30">
        <v>0.50475549933738462</v>
      </c>
      <c r="P136" s="30">
        <v>0.50619190355438071</v>
      </c>
      <c r="Q136" s="30">
        <v>0.50760184230333527</v>
      </c>
      <c r="R136" s="30">
        <v>0.50898834283661187</v>
      </c>
      <c r="S136" s="30">
        <v>0.51035394097781039</v>
      </c>
      <c r="T136" s="30">
        <v>0.51170078205163416</v>
      </c>
      <c r="U136" s="30">
        <v>0.5130306971630465</v>
      </c>
      <c r="V136" s="30">
        <v>0.51434526171519224</v>
      </c>
      <c r="W136" s="30">
        <v>0.51564584090877896</v>
      </c>
      <c r="X136" s="30">
        <v>0.51693362555086109</v>
      </c>
      <c r="Y136" s="30">
        <v>0.51820966054888773</v>
      </c>
      <c r="Z136" s="30">
        <v>0.51947486781289054</v>
      </c>
      <c r="AA136" s="30">
        <v>0.52073006483309214</v>
      </c>
      <c r="AB136" s="30">
        <v>0.5219759798772956</v>
      </c>
      <c r="AC136" s="30">
        <v>0.52321326452026073</v>
      </c>
      <c r="AD136" s="30">
        <v>0.52444250404811465</v>
      </c>
      <c r="AE136" s="30">
        <v>0.52566422615612518</v>
      </c>
      <c r="AF136" s="30">
        <v>0.52687890826511063</v>
      </c>
      <c r="AG136" s="30">
        <v>0.52808698371167251</v>
      </c>
    </row>
    <row r="137" spans="1:33" ht="15" thickBot="1" x14ac:dyDescent="0.35">
      <c r="A137" s="26" t="s">
        <v>207</v>
      </c>
      <c r="B137" s="31"/>
      <c r="C137" s="31">
        <v>0.45815125089704256</v>
      </c>
      <c r="D137" s="31">
        <v>0.4601160555713707</v>
      </c>
      <c r="E137" s="31">
        <v>0.46186284687972545</v>
      </c>
      <c r="F137" s="31">
        <v>0.46347203052728042</v>
      </c>
      <c r="G137" s="31">
        <v>0.46498640746500586</v>
      </c>
      <c r="H137" s="31">
        <v>0.46643148441077997</v>
      </c>
      <c r="I137" s="31">
        <v>0.46782369179340316</v>
      </c>
      <c r="J137" s="31">
        <v>0.46917423555039933</v>
      </c>
      <c r="K137" s="31">
        <v>0.47049110061924665</v>
      </c>
      <c r="L137" s="31">
        <v>0.47178017770848657</v>
      </c>
      <c r="M137" s="31">
        <v>0.47304593684513463</v>
      </c>
      <c r="N137" s="31">
        <v>0.47379185023489523</v>
      </c>
      <c r="O137" s="31">
        <v>0.47452066866772191</v>
      </c>
      <c r="P137" s="31">
        <v>0.47523460840481108</v>
      </c>
      <c r="Q137" s="31">
        <v>0.47593548122595231</v>
      </c>
      <c r="R137" s="31">
        <v>0.47662478719447188</v>
      </c>
      <c r="S137" s="31">
        <v>0.47730378227108816</v>
      </c>
      <c r="T137" s="31">
        <v>0.47797352853912956</v>
      </c>
      <c r="U137" s="31">
        <v>0.47863493214505354</v>
      </c>
      <c r="V137" s="31">
        <v>0.47928877239181478</v>
      </c>
      <c r="W137" s="31">
        <v>0.47993572435036552</v>
      </c>
      <c r="X137" s="31">
        <v>0.48057637664826819</v>
      </c>
      <c r="Y137" s="31">
        <v>0.48121124561929512</v>
      </c>
      <c r="Z137" s="31">
        <v>0.48184078667217073</v>
      </c>
      <c r="AA137" s="31">
        <v>0.48246540350944705</v>
      </c>
      <c r="AB137" s="31">
        <v>0.4830854556665512</v>
      </c>
      <c r="AC137" s="31">
        <v>0.48370126472537012</v>
      </c>
      <c r="AD137" s="31">
        <v>0.48431311947248618</v>
      </c>
      <c r="AE137" s="31">
        <v>0.48492128021007525</v>
      </c>
      <c r="AF137" s="31">
        <v>0.48552598238116057</v>
      </c>
      <c r="AG137" s="31">
        <v>0.48612743963603855</v>
      </c>
    </row>
    <row r="138" spans="1:33" ht="15" thickTop="1" x14ac:dyDescent="0.3">
      <c r="A138" s="25" t="s">
        <v>208</v>
      </c>
      <c r="B138" s="29"/>
      <c r="C138" s="29">
        <v>0.36951036195930936</v>
      </c>
      <c r="D138" s="29">
        <v>0.37537789539277489</v>
      </c>
      <c r="E138" s="29">
        <v>0.3808276819434076</v>
      </c>
      <c r="F138" s="29">
        <v>0.38601301202381783</v>
      </c>
      <c r="G138" s="29">
        <v>0.39101572396308054</v>
      </c>
      <c r="H138" s="29">
        <v>0.39588469979578617</v>
      </c>
      <c r="I138" s="29">
        <v>0.40065148624667624</v>
      </c>
      <c r="J138" s="29">
        <v>0.40533763290955183</v>
      </c>
      <c r="K138" s="29">
        <v>0.40995851623449847</v>
      </c>
      <c r="L138" s="29">
        <v>0.41452549353242341</v>
      </c>
      <c r="M138" s="29">
        <v>0.41904719232527327</v>
      </c>
      <c r="N138" s="58">
        <v>0.42078032078848659</v>
      </c>
      <c r="O138" s="29">
        <v>0.42248019807341131</v>
      </c>
      <c r="P138" s="29">
        <v>0.42415111322565408</v>
      </c>
      <c r="Q138" s="29">
        <v>0.42579657516475761</v>
      </c>
      <c r="R138" s="29">
        <v>0.42741949114495414</v>
      </c>
      <c r="S138" s="29">
        <v>0.42902229692902094</v>
      </c>
      <c r="T138" s="29">
        <v>0.43060705355285805</v>
      </c>
      <c r="U138" s="29">
        <v>0.43217552047045232</v>
      </c>
      <c r="V138" s="29">
        <v>0.43372921167733031</v>
      </c>
      <c r="W138" s="29">
        <v>0.43526943935544776</v>
      </c>
      <c r="X138" s="29">
        <v>0.43679734822788363</v>
      </c>
      <c r="Y138" s="29">
        <v>0.4383139428999196</v>
      </c>
      <c r="Z138" s="29">
        <v>0.43982010983765041</v>
      </c>
      <c r="AA138" s="29">
        <v>0.44131663519883485</v>
      </c>
      <c r="AB138" s="29">
        <v>0.44280421942128734</v>
      </c>
      <c r="AC138" s="29">
        <v>0.44428348925166655</v>
      </c>
      <c r="AD138" s="29">
        <v>0.44575500773538262</v>
      </c>
      <c r="AE138" s="29">
        <v>0.44721928256881183</v>
      </c>
      <c r="AF138" s="29">
        <v>0.44867677312580162</v>
      </c>
      <c r="AG138" s="29">
        <v>0.45012789640325052</v>
      </c>
    </row>
    <row r="139" spans="1:33" x14ac:dyDescent="0.3">
      <c r="A139" s="16" t="s">
        <v>209</v>
      </c>
      <c r="B139" s="30"/>
      <c r="C139" s="30">
        <v>0.36832019801550736</v>
      </c>
      <c r="D139" s="30">
        <v>0.37287146322759129</v>
      </c>
      <c r="E139" s="30">
        <v>0.37707471800639869</v>
      </c>
      <c r="F139" s="30">
        <v>0.38105784874533283</v>
      </c>
      <c r="G139" s="30">
        <v>0.38488907394124888</v>
      </c>
      <c r="H139" s="30">
        <v>0.38860911395741776</v>
      </c>
      <c r="I139" s="30">
        <v>0.39224423426307442</v>
      </c>
      <c r="J139" s="30">
        <v>0.39581236873622522</v>
      </c>
      <c r="K139" s="30">
        <v>0.39932630888212295</v>
      </c>
      <c r="L139" s="30">
        <v>0.40279549947515864</v>
      </c>
      <c r="M139" s="30">
        <v>0.40622711298112724</v>
      </c>
      <c r="N139" s="59">
        <v>0.40762672467107541</v>
      </c>
      <c r="O139" s="30">
        <v>0.40899875425396659</v>
      </c>
      <c r="P139" s="30">
        <v>0.41034676468724396</v>
      </c>
      <c r="Q139" s="30">
        <v>0.41167367023967633</v>
      </c>
      <c r="R139" s="30">
        <v>0.41298188499290073</v>
      </c>
      <c r="S139" s="30">
        <v>0.41427343113881038</v>
      </c>
      <c r="T139" s="30">
        <v>0.41555001946605113</v>
      </c>
      <c r="U139" s="30">
        <v>0.41681311018881673</v>
      </c>
      <c r="V139" s="30">
        <v>0.41806395961194892</v>
      </c>
      <c r="W139" s="30">
        <v>0.41930365641440953</v>
      </c>
      <c r="X139" s="30">
        <v>0.42053315020498505</v>
      </c>
      <c r="Y139" s="30">
        <v>0.42175327424485864</v>
      </c>
      <c r="Z139" s="30">
        <v>0.42296476371095321</v>
      </c>
      <c r="AA139" s="30">
        <v>0.42416827051064171</v>
      </c>
      <c r="AB139" s="30">
        <v>0.425364375400901</v>
      </c>
      <c r="AC139" s="30">
        <v>0.42655359797985953</v>
      </c>
      <c r="AD139" s="30">
        <v>0.42773640498379256</v>
      </c>
      <c r="AE139" s="30">
        <v>0.42891321722315867</v>
      </c>
      <c r="AF139" s="30">
        <v>0.43008441541706977</v>
      </c>
      <c r="AG139" s="30">
        <v>0.43125034512968996</v>
      </c>
    </row>
    <row r="140" spans="1:33" ht="15" thickBot="1" x14ac:dyDescent="0.35">
      <c r="A140" s="26" t="s">
        <v>210</v>
      </c>
      <c r="B140" s="31"/>
      <c r="C140" s="31">
        <v>0.36535260000183983</v>
      </c>
      <c r="D140" s="31">
        <v>0.3671219832471535</v>
      </c>
      <c r="E140" s="31">
        <v>0.36871751178850748</v>
      </c>
      <c r="F140" s="31">
        <v>0.37020330513530508</v>
      </c>
      <c r="G140" s="31">
        <v>0.37161349489515194</v>
      </c>
      <c r="H140" s="31">
        <v>0.37296842139381597</v>
      </c>
      <c r="I140" s="31">
        <v>0.37428118707261915</v>
      </c>
      <c r="J140" s="31">
        <v>0.37556072810362623</v>
      </c>
      <c r="K140" s="31">
        <v>0.37681341207322455</v>
      </c>
      <c r="L140" s="31">
        <v>0.37804393652546159</v>
      </c>
      <c r="M140" s="31">
        <v>0.3792558660822587</v>
      </c>
      <c r="N140" s="60">
        <v>0.37995196965318284</v>
      </c>
      <c r="O140" s="31">
        <v>0.38063444085499204</v>
      </c>
      <c r="P140" s="31">
        <v>0.38130504704462087</v>
      </c>
      <c r="Q140" s="31">
        <v>0.38196523302540775</v>
      </c>
      <c r="R140" s="31">
        <v>0.3826161950224754</v>
      </c>
      <c r="S140" s="31">
        <v>0.38325893460138355</v>
      </c>
      <c r="T140" s="31">
        <v>0.38389429872021563</v>
      </c>
      <c r="U140" s="31">
        <v>0.38452300998523686</v>
      </c>
      <c r="V140" s="31">
        <v>0.38514568985139258</v>
      </c>
      <c r="W140" s="31">
        <v>0.38576287665384423</v>
      </c>
      <c r="X140" s="31">
        <v>0.38637503979349375</v>
      </c>
      <c r="Y140" s="31">
        <v>0.3869825910205783</v>
      </c>
      <c r="Z140" s="31">
        <v>0.38758589350067063</v>
      </c>
      <c r="AA140" s="31">
        <v>0.38818526916626961</v>
      </c>
      <c r="AB140" s="31">
        <v>0.38878100472881133</v>
      </c>
      <c r="AC140" s="31">
        <v>0.38937335663369083</v>
      </c>
      <c r="AD140" s="31">
        <v>0.38996255517369566</v>
      </c>
      <c r="AE140" s="31">
        <v>0.39054880792673058</v>
      </c>
      <c r="AF140" s="31">
        <v>0.39113230264677545</v>
      </c>
      <c r="AG140" s="31">
        <v>0.39171320970920542</v>
      </c>
    </row>
    <row r="141" spans="1:33" ht="15" thickTop="1" x14ac:dyDescent="0.3">
      <c r="A141" s="25" t="s">
        <v>211</v>
      </c>
      <c r="B141" s="29"/>
      <c r="C141" s="29">
        <v>0.30371211687039013</v>
      </c>
      <c r="D141" s="29">
        <v>0.30924710097583302</v>
      </c>
      <c r="E141" s="29">
        <v>0.31443872586009403</v>
      </c>
      <c r="F141" s="29">
        <v>0.31941298570494014</v>
      </c>
      <c r="G141" s="29">
        <v>0.32423714599118997</v>
      </c>
      <c r="H141" s="29">
        <v>0.32895138439105726</v>
      </c>
      <c r="I141" s="29">
        <v>0.33358163014371378</v>
      </c>
      <c r="J141" s="29">
        <v>0.33814559553391416</v>
      </c>
      <c r="K141" s="29">
        <v>0.34265591894663028</v>
      </c>
      <c r="L141" s="29">
        <v>0.34712193531071039</v>
      </c>
      <c r="M141" s="29">
        <v>0.35155073585612701</v>
      </c>
      <c r="N141" s="29">
        <v>0.3531978342419605</v>
      </c>
      <c r="O141" s="29">
        <v>0.35481760244497351</v>
      </c>
      <c r="P141" s="29">
        <v>0.35641356576581962</v>
      </c>
      <c r="Q141" s="29">
        <v>0.35798860829515466</v>
      </c>
      <c r="R141" s="29">
        <v>0.35954511959610919</v>
      </c>
      <c r="S141" s="29">
        <v>0.36108510169824803</v>
      </c>
      <c r="T141" s="29">
        <v>0.36261024863140268</v>
      </c>
      <c r="U141" s="29">
        <v>0.36412200654580285</v>
      </c>
      <c r="V141" s="29">
        <v>0.36562161984169739</v>
      </c>
      <c r="W141" s="29">
        <v>0.36711016704245264</v>
      </c>
      <c r="X141" s="29">
        <v>0.36858858903174951</v>
      </c>
      <c r="Y141" s="29">
        <v>0.3700577115260717</v>
      </c>
      <c r="Z141" s="29">
        <v>0.37151826313961206</v>
      </c>
      <c r="AA141" s="29">
        <v>0.37297089004000694</v>
      </c>
      <c r="AB141" s="29">
        <v>0.37441616793899041</v>
      </c>
      <c r="AC141" s="29">
        <v>0.37585461197923264</v>
      </c>
      <c r="AD141" s="29">
        <v>0.37728668494535622</v>
      </c>
      <c r="AE141" s="29">
        <v>0.37871280412888264</v>
      </c>
      <c r="AF141" s="29">
        <v>0.38013334710353669</v>
      </c>
      <c r="AG141" s="29">
        <v>0.38154865661210369</v>
      </c>
    </row>
    <row r="142" spans="1:33" x14ac:dyDescent="0.3">
      <c r="A142" s="16" t="s">
        <v>212</v>
      </c>
      <c r="B142" s="30"/>
      <c r="C142" s="30">
        <v>0.30273388392212242</v>
      </c>
      <c r="D142" s="30">
        <v>0.30700891729031043</v>
      </c>
      <c r="E142" s="30">
        <v>0.31099791000507027</v>
      </c>
      <c r="F142" s="30">
        <v>0.31480597589068926</v>
      </c>
      <c r="G142" s="30">
        <v>0.31848918586214731</v>
      </c>
      <c r="H142" s="30">
        <v>0.32208100925887828</v>
      </c>
      <c r="I142" s="30">
        <v>0.32560303449106809</v>
      </c>
      <c r="J142" s="30">
        <v>0.32907000197363812</v>
      </c>
      <c r="K142" s="30">
        <v>0.33249242544460011</v>
      </c>
      <c r="L142" s="30">
        <v>0.33587806785925639</v>
      </c>
      <c r="M142" s="30">
        <v>0.33923282449144543</v>
      </c>
      <c r="N142" s="30">
        <v>0.34056127783071516</v>
      </c>
      <c r="O142" s="30">
        <v>0.34186706057401672</v>
      </c>
      <c r="P142" s="30">
        <v>0.34315310122744574</v>
      </c>
      <c r="Q142" s="30">
        <v>0.34442179511959936</v>
      </c>
      <c r="R142" s="30">
        <v>0.34567512645963572</v>
      </c>
      <c r="S142" s="30">
        <v>0.34691475735028277</v>
      </c>
      <c r="T142" s="30">
        <v>0.34814209394220541</v>
      </c>
      <c r="U142" s="30">
        <v>0.34935833643109376</v>
      </c>
      <c r="V142" s="30">
        <v>0.35056451741316752</v>
      </c>
      <c r="W142" s="30">
        <v>0.35176153170769597</v>
      </c>
      <c r="X142" s="30">
        <v>0.35295015982782424</v>
      </c>
      <c r="Y142" s="30">
        <v>0.35413108665696535</v>
      </c>
      <c r="Z142" s="30">
        <v>0.35530491646001278</v>
      </c>
      <c r="AA142" s="30">
        <v>0.3564721850600141</v>
      </c>
      <c r="AB142" s="30">
        <v>0.35763336979928223</v>
      </c>
      <c r="AC142" s="30">
        <v>0.35878889775176093</v>
      </c>
      <c r="AD142" s="30">
        <v>0.35993915254258418</v>
      </c>
      <c r="AE142" s="30">
        <v>0.36108448004902199</v>
      </c>
      <c r="AF142" s="30">
        <v>0.36222519319601315</v>
      </c>
      <c r="AG142" s="30">
        <v>0.36336157601354596</v>
      </c>
    </row>
    <row r="143" spans="1:33" x14ac:dyDescent="0.3">
      <c r="A143" s="26" t="s">
        <v>213</v>
      </c>
      <c r="B143" s="31"/>
      <c r="C143" s="31">
        <v>0.30029472235173438</v>
      </c>
      <c r="D143" s="31">
        <v>0.3019271024908996</v>
      </c>
      <c r="E143" s="31">
        <v>0.30341658601442606</v>
      </c>
      <c r="F143" s="31">
        <v>0.30481587475137817</v>
      </c>
      <c r="G143" s="31">
        <v>0.3061530225369532</v>
      </c>
      <c r="H143" s="31">
        <v>0.30744474772071007</v>
      </c>
      <c r="I143" s="31">
        <v>0.30870181960873522</v>
      </c>
      <c r="J143" s="31">
        <v>0.30993158312018076</v>
      </c>
      <c r="K143" s="31">
        <v>0.31113927197334035</v>
      </c>
      <c r="L143" s="31">
        <v>0.31232874722650522</v>
      </c>
      <c r="M143" s="31">
        <v>0.31350293875385776</v>
      </c>
      <c r="N143" s="31">
        <v>0.31416412240872305</v>
      </c>
      <c r="O143" s="31">
        <v>0.31481410119328401</v>
      </c>
      <c r="P143" s="31">
        <v>0.31545432775345028</v>
      </c>
      <c r="Q143" s="31">
        <v>0.3160859896182483</v>
      </c>
      <c r="R143" s="31">
        <v>0.31671007000249868</v>
      </c>
      <c r="S143" s="31">
        <v>0.31732739212424244</v>
      </c>
      <c r="T143" s="31">
        <v>0.31793865212480321</v>
      </c>
      <c r="U143" s="31">
        <v>0.31854444393685794</v>
      </c>
      <c r="V143" s="31">
        <v>0.31914527835365203</v>
      </c>
      <c r="W143" s="31">
        <v>0.3197415978496822</v>
      </c>
      <c r="X143" s="31">
        <v>0.32033378824022268</v>
      </c>
      <c r="Y143" s="31">
        <v>0.32092218795566413</v>
      </c>
      <c r="Z143" s="31">
        <v>0.32150709549314277</v>
      </c>
      <c r="AA143" s="31">
        <v>0.32208877545904258</v>
      </c>
      <c r="AB143" s="31">
        <v>0.32266746351045517</v>
      </c>
      <c r="AC143" s="31">
        <v>0.32324337042786677</v>
      </c>
      <c r="AD143" s="31">
        <v>0.32381668549611808</v>
      </c>
      <c r="AE143" s="31">
        <v>0.32438757932997764</v>
      </c>
      <c r="AF143" s="31">
        <v>0.32495620625031046</v>
      </c>
      <c r="AG143" s="31">
        <v>0.32552270629396307</v>
      </c>
    </row>
    <row r="148" spans="1:38" x14ac:dyDescent="0.3">
      <c r="B148" t="s">
        <v>214</v>
      </c>
    </row>
    <row r="149" spans="1:38" x14ac:dyDescent="0.3">
      <c r="A149" t="s">
        <v>215</v>
      </c>
      <c r="B149">
        <v>13.57</v>
      </c>
      <c r="D149" t="str">
        <f>A103</f>
        <v>Class 1 - Moderate</v>
      </c>
      <c r="E149">
        <f t="shared" ref="E149:AJ149" si="8">B103</f>
        <v>0</v>
      </c>
      <c r="F149">
        <f t="shared" si="8"/>
        <v>0.4560282081780016</v>
      </c>
      <c r="G149">
        <f t="shared" si="8"/>
        <v>0.46351979389887282</v>
      </c>
      <c r="H149">
        <f t="shared" si="8"/>
        <v>0.47000373845004256</v>
      </c>
      <c r="I149">
        <f t="shared" si="8"/>
        <v>0.47585032841695879</v>
      </c>
      <c r="J149">
        <f t="shared" si="8"/>
        <v>0.48125708594089484</v>
      </c>
      <c r="K149">
        <f t="shared" si="8"/>
        <v>0.48634191413783096</v>
      </c>
      <c r="L149">
        <f t="shared" si="8"/>
        <v>0.49118086293504476</v>
      </c>
      <c r="M149">
        <f t="shared" si="8"/>
        <v>0.49582585868900081</v>
      </c>
      <c r="N149">
        <f t="shared" si="8"/>
        <v>0.50031393835630311</v>
      </c>
      <c r="O149">
        <f t="shared" si="8"/>
        <v>0.50467244865591621</v>
      </c>
      <c r="P149">
        <f t="shared" si="8"/>
        <v>0.50892215698769572</v>
      </c>
      <c r="Q149">
        <f t="shared" si="8"/>
        <v>0.51107920617985303</v>
      </c>
      <c r="R149">
        <f t="shared" si="8"/>
        <v>0.5131563932070865</v>
      </c>
      <c r="S149">
        <f t="shared" si="8"/>
        <v>0.51516403437678882</v>
      </c>
      <c r="T149">
        <f t="shared" si="8"/>
        <v>0.51711056776124109</v>
      </c>
      <c r="U149">
        <f t="shared" si="8"/>
        <v>0.51900298317400284</v>
      </c>
      <c r="V149">
        <f t="shared" si="8"/>
        <v>0.52084713573782127</v>
      </c>
      <c r="W149">
        <f t="shared" si="8"/>
        <v>0.52264797892795833</v>
      </c>
      <c r="X149">
        <f t="shared" si="8"/>
        <v>0.52440974069793889</v>
      </c>
      <c r="Y149">
        <f t="shared" si="8"/>
        <v>0.5261360585952608</v>
      </c>
      <c r="Z149">
        <f t="shared" si="8"/>
        <v>0.52783008481778171</v>
      </c>
      <c r="AA149">
        <f t="shared" si="8"/>
        <v>0.52949456889487445</v>
      </c>
      <c r="AB149">
        <f t="shared" si="8"/>
        <v>0.5311319234791283</v>
      </c>
      <c r="AC149">
        <f t="shared" si="8"/>
        <v>0.53274427722665352</v>
      </c>
      <c r="AD149">
        <f t="shared" si="8"/>
        <v>0.53433351769208837</v>
      </c>
      <c r="AE149">
        <f t="shared" si="8"/>
        <v>0.53590132641881039</v>
      </c>
      <c r="AF149">
        <f t="shared" si="8"/>
        <v>0.53744920786880024</v>
      </c>
      <c r="AG149">
        <f t="shared" si="8"/>
        <v>0.53897851344604431</v>
      </c>
      <c r="AH149">
        <f t="shared" si="8"/>
        <v>0.54049046157936542</v>
      </c>
      <c r="AI149">
        <f t="shared" si="8"/>
        <v>0.54198615461574651</v>
      </c>
      <c r="AJ149">
        <f t="shared" si="8"/>
        <v>0.54346659311334644</v>
      </c>
    </row>
    <row r="150" spans="1:38" x14ac:dyDescent="0.3">
      <c r="A150" t="s">
        <v>216</v>
      </c>
      <c r="B150">
        <v>13.57</v>
      </c>
      <c r="D150" t="str">
        <f>A106</f>
        <v>Class 2 - Moderate</v>
      </c>
      <c r="E150">
        <f t="shared" ref="E150:AJ150" si="9">B106</f>
        <v>0</v>
      </c>
      <c r="F150">
        <f t="shared" si="9"/>
        <v>0.44440228269433152</v>
      </c>
      <c r="G150">
        <f t="shared" si="9"/>
        <v>0.45177936049670575</v>
      </c>
      <c r="H150">
        <f t="shared" si="9"/>
        <v>0.45817448580596287</v>
      </c>
      <c r="I150">
        <f t="shared" si="9"/>
        <v>0.46394850516815672</v>
      </c>
      <c r="J150">
        <f t="shared" si="9"/>
        <v>0.46929390512006375</v>
      </c>
      <c r="K150">
        <f t="shared" si="9"/>
        <v>0.47432558297053184</v>
      </c>
      <c r="L150">
        <f t="shared" si="9"/>
        <v>0.4791176498396077</v>
      </c>
      <c r="M150">
        <f t="shared" si="9"/>
        <v>0.48372070827978908</v>
      </c>
      <c r="N150">
        <f t="shared" si="9"/>
        <v>0.48817085103219093</v>
      </c>
      <c r="O150">
        <f t="shared" si="9"/>
        <v>0.4924947276419821</v>
      </c>
      <c r="P150">
        <f t="shared" si="9"/>
        <v>0.49671257606755181</v>
      </c>
      <c r="Q150">
        <f t="shared" si="9"/>
        <v>0.4988401275938899</v>
      </c>
      <c r="R150">
        <f t="shared" si="9"/>
        <v>0.50088985295123978</v>
      </c>
      <c r="S150">
        <f t="shared" si="9"/>
        <v>0.50287180544435772</v>
      </c>
      <c r="T150">
        <f t="shared" si="9"/>
        <v>0.50479420802637698</v>
      </c>
      <c r="U150">
        <f t="shared" si="9"/>
        <v>0.50666387231343379</v>
      </c>
      <c r="V150">
        <f t="shared" si="9"/>
        <v>0.50848650415851637</v>
      </c>
      <c r="W150">
        <f t="shared" si="9"/>
        <v>0.51026693075361473</v>
      </c>
      <c r="X150">
        <f t="shared" si="9"/>
        <v>0.51200927226534088</v>
      </c>
      <c r="Y150">
        <f t="shared" si="9"/>
        <v>0.51371707350601681</v>
      </c>
      <c r="Z150">
        <f t="shared" si="9"/>
        <v>0.51539340631176644</v>
      </c>
      <c r="AA150">
        <f t="shared" si="9"/>
        <v>0.51704095011580842</v>
      </c>
      <c r="AB150">
        <f t="shared" si="9"/>
        <v>0.51866205606287197</v>
      </c>
      <c r="AC150">
        <f t="shared" si="9"/>
        <v>0.52025879854137758</v>
      </c>
      <c r="AD150">
        <f t="shared" si="9"/>
        <v>0.52183301698488438</v>
      </c>
      <c r="AE150">
        <f t="shared" si="9"/>
        <v>0.52338635006771539</v>
      </c>
      <c r="AF150">
        <f t="shared" si="9"/>
        <v>0.52492026389728763</v>
      </c>
      <c r="AG150">
        <f t="shared" si="9"/>
        <v>0.52643607542506565</v>
      </c>
      <c r="AH150">
        <f t="shared" si="9"/>
        <v>0.52793497201740136</v>
      </c>
      <c r="AI150">
        <f t="shared" si="9"/>
        <v>0.52941802791818338</v>
      </c>
      <c r="AJ150">
        <f t="shared" si="9"/>
        <v>0.53088621817746728</v>
      </c>
    </row>
    <row r="151" spans="1:38" x14ac:dyDescent="0.3">
      <c r="A151" t="s">
        <v>217</v>
      </c>
      <c r="B151">
        <v>27.6</v>
      </c>
      <c r="D151" t="str">
        <f>A124</f>
        <v>Class 8 - Moderate</v>
      </c>
      <c r="E151">
        <f t="shared" ref="E151:AJ151" si="10">B124</f>
        <v>0</v>
      </c>
      <c r="F151">
        <f t="shared" si="10"/>
        <v>0.51857434044137829</v>
      </c>
      <c r="G151">
        <f t="shared" si="10"/>
        <v>0.5237584355264171</v>
      </c>
      <c r="H151">
        <f t="shared" si="10"/>
        <v>0.52845255128945412</v>
      </c>
      <c r="I151">
        <f t="shared" si="10"/>
        <v>0.53283674465505648</v>
      </c>
      <c r="J151">
        <f t="shared" si="10"/>
        <v>0.53700706347018767</v>
      </c>
      <c r="K151">
        <f t="shared" si="10"/>
        <v>0.54102083974009629</v>
      </c>
      <c r="L151">
        <f t="shared" si="10"/>
        <v>0.54491505378369576</v>
      </c>
      <c r="M151">
        <f t="shared" si="10"/>
        <v>0.54871495550313332</v>
      </c>
      <c r="N151">
        <f t="shared" si="10"/>
        <v>0.55243855462591074</v>
      </c>
      <c r="O151">
        <f t="shared" si="10"/>
        <v>0.5560991488687349</v>
      </c>
      <c r="P151">
        <f t="shared" si="10"/>
        <v>0.55970683666427024</v>
      </c>
      <c r="Q151">
        <f t="shared" si="10"/>
        <v>0.56126946768386687</v>
      </c>
      <c r="R151">
        <f t="shared" si="10"/>
        <v>0.56279326463177237</v>
      </c>
      <c r="S151">
        <f t="shared" si="10"/>
        <v>0.56428324395377505</v>
      </c>
      <c r="T151">
        <f t="shared" si="10"/>
        <v>0.56574350877811153</v>
      </c>
      <c r="U151">
        <f t="shared" si="10"/>
        <v>0.56717745799737462</v>
      </c>
      <c r="V151">
        <f t="shared" si="10"/>
        <v>0.56858793874520752</v>
      </c>
      <c r="W151">
        <f t="shared" si="10"/>
        <v>0.56997735971681185</v>
      </c>
      <c r="X151">
        <f t="shared" si="10"/>
        <v>0.57134777681250593</v>
      </c>
      <c r="Y151">
        <f t="shared" si="10"/>
        <v>0.57270095883958938</v>
      </c>
      <c r="Z151">
        <f t="shared" si="10"/>
        <v>0.57403843859745129</v>
      </c>
      <c r="AA151">
        <f t="shared" si="10"/>
        <v>0.57536155308241399</v>
      </c>
      <c r="AB151">
        <f t="shared" si="10"/>
        <v>0.57667147547984898</v>
      </c>
      <c r="AC151">
        <f t="shared" si="10"/>
        <v>0.57796924087794888</v>
      </c>
      <c r="AD151">
        <f t="shared" si="10"/>
        <v>0.57925576712601357</v>
      </c>
      <c r="AE151">
        <f t="shared" si="10"/>
        <v>0.58053187189754518</v>
      </c>
      <c r="AF151">
        <f t="shared" si="10"/>
        <v>0.58179828675779088</v>
      </c>
      <c r="AG151">
        <f t="shared" si="10"/>
        <v>0.58305566884545112</v>
      </c>
      <c r="AH151">
        <f t="shared" si="10"/>
        <v>0.58430461063823169</v>
      </c>
      <c r="AI151">
        <f t="shared" si="10"/>
        <v>0.58554564816745369</v>
      </c>
      <c r="AJ151">
        <f t="shared" si="10"/>
        <v>0.58677926796822832</v>
      </c>
    </row>
    <row r="152" spans="1:38" x14ac:dyDescent="0.3">
      <c r="A152" t="s">
        <v>218</v>
      </c>
      <c r="B152">
        <v>27.6</v>
      </c>
      <c r="D152" t="str">
        <f>A127</f>
        <v>Class 9 - Moderate</v>
      </c>
      <c r="E152">
        <f t="shared" ref="E152:AJ152" si="11">B127</f>
        <v>0</v>
      </c>
      <c r="F152">
        <f t="shared" si="11"/>
        <v>0.50589850698435646</v>
      </c>
      <c r="G152">
        <f t="shared" si="11"/>
        <v>0.51102921488188291</v>
      </c>
      <c r="H152">
        <f t="shared" si="11"/>
        <v>0.51568192032513638</v>
      </c>
      <c r="I152">
        <f t="shared" si="11"/>
        <v>0.52003227899587168</v>
      </c>
      <c r="J152">
        <f t="shared" si="11"/>
        <v>0.524173990984102</v>
      </c>
      <c r="K152">
        <f t="shared" si="11"/>
        <v>0.52816298689339902</v>
      </c>
      <c r="L152">
        <f t="shared" si="11"/>
        <v>0.53203534310986045</v>
      </c>
      <c r="M152">
        <f t="shared" si="11"/>
        <v>0.5358156923366526</v>
      </c>
      <c r="N152">
        <f t="shared" si="11"/>
        <v>0.53952160407836502</v>
      </c>
      <c r="O152">
        <f t="shared" si="11"/>
        <v>0.54316605100738735</v>
      </c>
      <c r="P152">
        <f t="shared" si="11"/>
        <v>0.54675888471414624</v>
      </c>
      <c r="Q152">
        <f t="shared" si="11"/>
        <v>0.54830776299561845</v>
      </c>
      <c r="R152">
        <f t="shared" si="11"/>
        <v>0.54981875645064138</v>
      </c>
      <c r="S152">
        <f t="shared" si="11"/>
        <v>0.55129675890491514</v>
      </c>
      <c r="T152">
        <f t="shared" si="11"/>
        <v>0.55274577319137419</v>
      </c>
      <c r="U152">
        <f t="shared" si="11"/>
        <v>0.55416911512137668</v>
      </c>
      <c r="V152">
        <f t="shared" si="11"/>
        <v>0.55556956223431653</v>
      </c>
      <c r="W152">
        <f t="shared" si="11"/>
        <v>0.55694946434816839</v>
      </c>
      <c r="X152">
        <f t="shared" si="11"/>
        <v>0.558310827109607</v>
      </c>
      <c r="Y152">
        <f t="shared" si="11"/>
        <v>0.55965537608988081</v>
      </c>
      <c r="Z152">
        <f t="shared" si="11"/>
        <v>0.56098460662121508</v>
      </c>
      <c r="AA152">
        <f t="shared" si="11"/>
        <v>0.56229982301890358</v>
      </c>
      <c r="AB152">
        <f t="shared" si="11"/>
        <v>0.56360216979142208</v>
      </c>
      <c r="AC152">
        <f t="shared" si="11"/>
        <v>0.56489265672566202</v>
      </c>
      <c r="AD152">
        <f t="shared" si="11"/>
        <v>0.566172179235365</v>
      </c>
      <c r="AE152">
        <f t="shared" si="11"/>
        <v>0.5674415350071339</v>
      </c>
      <c r="AF152">
        <f t="shared" si="11"/>
        <v>0.56870143772411375</v>
      </c>
      <c r="AG152">
        <f t="shared" si="11"/>
        <v>0.56995252846215716</v>
      </c>
      <c r="AH152">
        <f t="shared" si="11"/>
        <v>0.5711953852166709</v>
      </c>
      <c r="AI152">
        <f t="shared" si="11"/>
        <v>0.57243053091643081</v>
      </c>
      <c r="AJ152">
        <f t="shared" si="11"/>
        <v>0.57365844020386925</v>
      </c>
    </row>
    <row r="154" spans="1:38" ht="66.599999999999994" x14ac:dyDescent="0.3">
      <c r="D154" s="61" t="s">
        <v>219</v>
      </c>
      <c r="E154" s="27">
        <f>SUMPRODUCT(E149:E152,$B$149:$B$152)/SUM($B$149:$B$152)</f>
        <v>0</v>
      </c>
      <c r="F154" s="27">
        <f t="shared" ref="F154:AJ154" si="12">SUMPRODUCT(F149:F152,$B$149:$B$152)/SUM($B$149:$B$152)</f>
        <v>0.49179368897361969</v>
      </c>
      <c r="G154" s="27">
        <f t="shared" si="12"/>
        <v>0.49770158703445572</v>
      </c>
      <c r="H154" s="27">
        <f t="shared" si="12"/>
        <v>0.50295712800238879</v>
      </c>
      <c r="I154" s="27">
        <f t="shared" si="12"/>
        <v>0.50780003916098659</v>
      </c>
      <c r="J154" s="27">
        <f t="shared" si="12"/>
        <v>0.51235819834388641</v>
      </c>
      <c r="K154" s="27">
        <f t="shared" si="12"/>
        <v>0.51670793722182362</v>
      </c>
      <c r="L154" s="27">
        <f t="shared" si="12"/>
        <v>0.52089849128751742</v>
      </c>
      <c r="M154" s="27">
        <f t="shared" si="12"/>
        <v>0.52496347818975675</v>
      </c>
      <c r="N154" s="27">
        <f t="shared" si="12"/>
        <v>0.5289268760291459</v>
      </c>
      <c r="O154" s="27">
        <f t="shared" si="12"/>
        <v>0.53280638934835378</v>
      </c>
      <c r="P154" s="27">
        <f t="shared" si="12"/>
        <v>0.53661546317226139</v>
      </c>
      <c r="Q154" s="27">
        <f t="shared" si="12"/>
        <v>0.53836454853125437</v>
      </c>
      <c r="R154" s="27">
        <f t="shared" si="12"/>
        <v>0.54006193031628746</v>
      </c>
      <c r="S154" s="27">
        <f t="shared" si="12"/>
        <v>0.54171428740919136</v>
      </c>
      <c r="T154" s="27">
        <f t="shared" si="12"/>
        <v>0.5433270827033736</v>
      </c>
      <c r="U154" s="27">
        <f t="shared" si="12"/>
        <v>0.54490484147488527</v>
      </c>
      <c r="V154" s="27">
        <f t="shared" si="12"/>
        <v>0.54645135438946035</v>
      </c>
      <c r="W154" s="27">
        <f t="shared" si="12"/>
        <v>0.54796982837712416</v>
      </c>
      <c r="X154" s="27">
        <f t="shared" si="12"/>
        <v>0.54946300065778508</v>
      </c>
      <c r="Y154" s="27">
        <f t="shared" si="12"/>
        <v>0.55093322621651331</v>
      </c>
      <c r="Z154" s="27">
        <f t="shared" si="12"/>
        <v>0.55238254581810975</v>
      </c>
      <c r="AA154" s="27">
        <f t="shared" si="12"/>
        <v>0.55381273953572185</v>
      </c>
      <c r="AB154" s="27">
        <f t="shared" si="12"/>
        <v>0.5552253693450574</v>
      </c>
      <c r="AC154" s="27">
        <f t="shared" si="12"/>
        <v>0.5566218133596289</v>
      </c>
      <c r="AD154" s="27">
        <f t="shared" si="12"/>
        <v>0.55800329360141576</v>
      </c>
      <c r="AE154" s="27">
        <f t="shared" si="12"/>
        <v>0.55937089871862156</v>
      </c>
      <c r="AF154" s="27">
        <f t="shared" si="12"/>
        <v>0.56072560271516125</v>
      </c>
      <c r="AG154" s="27">
        <f t="shared" si="12"/>
        <v>0.56206828050365498</v>
      </c>
      <c r="AH154" s="27">
        <f t="shared" si="12"/>
        <v>0.56339972090725576</v>
      </c>
      <c r="AI154" s="27">
        <f t="shared" si="12"/>
        <v>0.56472063759655866</v>
      </c>
      <c r="AJ154" s="27">
        <f t="shared" si="12"/>
        <v>0.56603167834304391</v>
      </c>
      <c r="AK154" s="27"/>
      <c r="AL154" s="27"/>
    </row>
  </sheetData>
  <mergeCells count="4">
    <mergeCell ref="A86:A87"/>
    <mergeCell ref="B86:B87"/>
    <mergeCell ref="C86:C87"/>
    <mergeCell ref="D86:D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AAD-A63C-47A7-8604-2F92CA960188}">
  <sheetPr>
    <tabColor theme="5" tint="0.59999389629810485"/>
  </sheetPr>
  <dimension ref="A1:S17"/>
  <sheetViews>
    <sheetView workbookViewId="0">
      <selection activeCell="B7" sqref="B7"/>
    </sheetView>
  </sheetViews>
  <sheetFormatPr defaultColWidth="8.6640625" defaultRowHeight="14.4" x14ac:dyDescent="0.3"/>
  <cols>
    <col min="1" max="1" width="16.33203125" style="64" bestFit="1" customWidth="1"/>
    <col min="2" max="2" width="13" style="64" bestFit="1" customWidth="1"/>
    <col min="3" max="3" width="11.44140625" style="64" bestFit="1" customWidth="1"/>
    <col min="4" max="4" width="13" style="64" bestFit="1" customWidth="1"/>
    <col min="5" max="5" width="11.44140625" style="64" bestFit="1" customWidth="1"/>
    <col min="6" max="6" width="13" style="64" bestFit="1" customWidth="1"/>
    <col min="7" max="7" width="11.44140625" style="64" bestFit="1" customWidth="1"/>
    <col min="8" max="8" width="13" style="64" bestFit="1" customWidth="1"/>
    <col min="9" max="9" width="11.44140625" style="64" bestFit="1" customWidth="1"/>
    <col min="10" max="10" width="13" style="64" bestFit="1" customWidth="1"/>
    <col min="11" max="11" width="11.44140625" style="64" bestFit="1" customWidth="1"/>
    <col min="12" max="12" width="13" style="64" bestFit="1" customWidth="1"/>
    <col min="13" max="13" width="11.44140625" style="64" bestFit="1" customWidth="1"/>
    <col min="14" max="14" width="13" style="64" bestFit="1" customWidth="1"/>
    <col min="15" max="15" width="11.44140625" style="64" bestFit="1" customWidth="1"/>
    <col min="16" max="16" width="13" style="64" bestFit="1" customWidth="1"/>
    <col min="17" max="17" width="11.44140625" style="64" bestFit="1" customWidth="1"/>
    <col min="18" max="18" width="13" style="64" bestFit="1" customWidth="1"/>
    <col min="19" max="19" width="11.44140625" style="64" bestFit="1" customWidth="1"/>
    <col min="20" max="16384" width="8.6640625" style="64"/>
  </cols>
  <sheetData>
    <row r="1" spans="1:19" ht="15.9" customHeight="1" x14ac:dyDescent="0.3">
      <c r="A1" s="96" t="s">
        <v>230</v>
      </c>
      <c r="B1" s="96"/>
      <c r="C1" s="96"/>
      <c r="D1" s="96"/>
      <c r="E1" s="96"/>
      <c r="F1" s="96"/>
      <c r="G1" s="96"/>
      <c r="H1" s="96"/>
      <c r="I1" s="96"/>
      <c r="J1" s="96"/>
      <c r="K1" s="96"/>
      <c r="L1" s="96"/>
      <c r="M1" s="96"/>
      <c r="N1" s="96"/>
      <c r="O1" s="96"/>
      <c r="P1" s="96"/>
      <c r="Q1" s="96"/>
      <c r="R1" s="96"/>
      <c r="S1" s="96"/>
    </row>
    <row r="2" spans="1:19" x14ac:dyDescent="0.3">
      <c r="A2" s="65" t="s">
        <v>231</v>
      </c>
      <c r="B2" s="97" t="s">
        <v>232</v>
      </c>
      <c r="C2" s="98"/>
      <c r="D2" s="97" t="s">
        <v>233</v>
      </c>
      <c r="E2" s="98"/>
      <c r="F2" s="97" t="s">
        <v>234</v>
      </c>
      <c r="G2" s="98"/>
      <c r="H2" s="97" t="s">
        <v>235</v>
      </c>
      <c r="I2" s="98"/>
      <c r="J2" s="97" t="s">
        <v>236</v>
      </c>
      <c r="K2" s="98"/>
      <c r="L2" s="97" t="s">
        <v>57</v>
      </c>
      <c r="M2" s="99"/>
      <c r="N2" s="99"/>
      <c r="O2" s="98"/>
      <c r="P2" s="97" t="s">
        <v>55</v>
      </c>
      <c r="Q2" s="98"/>
      <c r="R2" s="97" t="s">
        <v>237</v>
      </c>
      <c r="S2" s="98"/>
    </row>
    <row r="3" spans="1:19" x14ac:dyDescent="0.3">
      <c r="A3" s="65" t="s">
        <v>238</v>
      </c>
      <c r="B3" s="97" t="s">
        <v>231</v>
      </c>
      <c r="C3" s="99"/>
      <c r="D3" s="99"/>
      <c r="E3" s="99"/>
      <c r="F3" s="99"/>
      <c r="G3" s="99"/>
      <c r="H3" s="99"/>
      <c r="I3" s="99"/>
      <c r="J3" s="99"/>
      <c r="K3" s="98"/>
      <c r="L3" s="97" t="s">
        <v>239</v>
      </c>
      <c r="M3" s="98"/>
      <c r="N3" s="97" t="s">
        <v>240</v>
      </c>
      <c r="O3" s="98"/>
      <c r="P3" s="97" t="s">
        <v>231</v>
      </c>
      <c r="Q3" s="99"/>
      <c r="R3" s="99"/>
      <c r="S3" s="98"/>
    </row>
    <row r="4" spans="1:19" ht="40.200000000000003" x14ac:dyDescent="0.3">
      <c r="A4" s="65" t="s">
        <v>231</v>
      </c>
      <c r="B4" s="66" t="s">
        <v>241</v>
      </c>
      <c r="C4" s="67" t="s">
        <v>242</v>
      </c>
      <c r="D4" s="66" t="s">
        <v>241</v>
      </c>
      <c r="E4" s="67" t="s">
        <v>242</v>
      </c>
      <c r="F4" s="66" t="s">
        <v>241</v>
      </c>
      <c r="G4" s="67" t="s">
        <v>242</v>
      </c>
      <c r="H4" s="66" t="s">
        <v>241</v>
      </c>
      <c r="I4" s="67" t="s">
        <v>242</v>
      </c>
      <c r="J4" s="66" t="s">
        <v>241</v>
      </c>
      <c r="K4" s="67" t="s">
        <v>242</v>
      </c>
      <c r="L4" s="66" t="s">
        <v>241</v>
      </c>
      <c r="M4" s="67" t="s">
        <v>242</v>
      </c>
      <c r="N4" s="66" t="s">
        <v>241</v>
      </c>
      <c r="O4" s="67" t="s">
        <v>242</v>
      </c>
      <c r="P4" s="66" t="s">
        <v>241</v>
      </c>
      <c r="Q4" s="67" t="s">
        <v>242</v>
      </c>
      <c r="R4" s="66" t="s">
        <v>241</v>
      </c>
      <c r="S4" s="67" t="s">
        <v>242</v>
      </c>
    </row>
    <row r="5" spans="1:19" x14ac:dyDescent="0.3">
      <c r="A5" s="100" t="s">
        <v>243</v>
      </c>
      <c r="B5" s="100"/>
      <c r="C5" s="100"/>
      <c r="D5" s="100"/>
      <c r="E5" s="100"/>
      <c r="F5" s="100"/>
      <c r="G5" s="100"/>
      <c r="H5" s="100"/>
      <c r="I5" s="100"/>
      <c r="J5" s="100"/>
      <c r="K5" s="100"/>
      <c r="L5" s="100"/>
      <c r="M5" s="100"/>
      <c r="N5" s="100"/>
      <c r="O5" s="100"/>
      <c r="P5" s="100"/>
      <c r="Q5" s="100"/>
      <c r="R5" s="100"/>
      <c r="S5" s="100"/>
    </row>
    <row r="6" spans="1:19" x14ac:dyDescent="0.3">
      <c r="A6" s="68">
        <v>2010</v>
      </c>
      <c r="B6" s="69">
        <v>2392.1</v>
      </c>
      <c r="C6" s="70">
        <v>0.71599999999999997</v>
      </c>
      <c r="D6" s="69">
        <v>78810.3</v>
      </c>
      <c r="E6" s="70">
        <v>0.375</v>
      </c>
      <c r="F6" s="69">
        <v>101167.4</v>
      </c>
      <c r="G6" s="70">
        <v>0.91100000000000003</v>
      </c>
      <c r="H6" s="69">
        <v>4298.7</v>
      </c>
      <c r="I6" s="70">
        <v>0.64200000000000002</v>
      </c>
      <c r="J6" s="69">
        <v>1929</v>
      </c>
      <c r="K6" s="70">
        <v>0.505</v>
      </c>
      <c r="L6" s="69">
        <v>206.8</v>
      </c>
      <c r="M6" s="70">
        <v>0.20200000000000001</v>
      </c>
      <c r="N6" s="69">
        <v>473</v>
      </c>
      <c r="O6" s="70">
        <v>0.245</v>
      </c>
      <c r="P6" s="69">
        <v>35702.6</v>
      </c>
      <c r="Q6" s="70">
        <v>0.29699999999999999</v>
      </c>
      <c r="R6" s="69">
        <v>6991.5</v>
      </c>
      <c r="S6" s="70">
        <v>0.61499999999999999</v>
      </c>
    </row>
    <row r="7" spans="1:19" x14ac:dyDescent="0.3">
      <c r="A7" s="68">
        <v>2011</v>
      </c>
      <c r="B7" s="69">
        <v>2407.9</v>
      </c>
      <c r="C7" s="70">
        <v>0.71499999999999997</v>
      </c>
      <c r="D7" s="69">
        <v>78564.7</v>
      </c>
      <c r="E7" s="70">
        <v>0.45800000000000002</v>
      </c>
      <c r="F7" s="69">
        <v>101265.1</v>
      </c>
      <c r="G7" s="70">
        <v>0.89100000000000001</v>
      </c>
      <c r="H7" s="69">
        <v>4469.8</v>
      </c>
      <c r="I7" s="70">
        <v>0.64200000000000002</v>
      </c>
      <c r="J7" s="69">
        <v>1902.7</v>
      </c>
      <c r="K7" s="70">
        <v>0.54100000000000004</v>
      </c>
      <c r="L7" s="69">
        <v>537</v>
      </c>
      <c r="M7" s="70">
        <v>0.19</v>
      </c>
      <c r="N7" s="69">
        <v>485.3</v>
      </c>
      <c r="O7" s="70">
        <v>0.23899999999999999</v>
      </c>
      <c r="P7" s="69">
        <v>42019.199999999997</v>
      </c>
      <c r="Q7" s="70">
        <v>0.32100000000000001</v>
      </c>
      <c r="R7" s="69">
        <v>7000.3</v>
      </c>
      <c r="S7" s="70">
        <v>0.59599999999999997</v>
      </c>
    </row>
    <row r="8" spans="1:19" x14ac:dyDescent="0.3">
      <c r="A8" s="68">
        <v>2012</v>
      </c>
      <c r="B8" s="69">
        <v>2531.8000000000002</v>
      </c>
      <c r="C8" s="70">
        <v>0.68300000000000005</v>
      </c>
      <c r="D8" s="69">
        <v>78296.600000000006</v>
      </c>
      <c r="E8" s="70">
        <v>0.39600000000000002</v>
      </c>
      <c r="F8" s="69">
        <v>101166</v>
      </c>
      <c r="G8" s="70">
        <v>0.86599999999999999</v>
      </c>
      <c r="H8" s="69">
        <v>4639.7</v>
      </c>
      <c r="I8" s="70">
        <v>0.63300000000000001</v>
      </c>
      <c r="J8" s="69">
        <v>1802.8</v>
      </c>
      <c r="K8" s="70">
        <v>0.59599999999999997</v>
      </c>
      <c r="L8" s="69">
        <v>1527.1</v>
      </c>
      <c r="M8" s="70">
        <v>0.20399999999999999</v>
      </c>
      <c r="N8" s="69">
        <v>476</v>
      </c>
      <c r="O8" s="70">
        <v>0.23599999999999999</v>
      </c>
      <c r="P8" s="69">
        <v>49458</v>
      </c>
      <c r="Q8" s="70">
        <v>0.318</v>
      </c>
      <c r="R8" s="69">
        <v>7089.1</v>
      </c>
      <c r="S8" s="70">
        <v>0.61299999999999999</v>
      </c>
    </row>
    <row r="9" spans="1:19" x14ac:dyDescent="0.3">
      <c r="A9" s="68">
        <v>2013</v>
      </c>
      <c r="B9" s="69">
        <v>2509.5</v>
      </c>
      <c r="C9" s="70">
        <v>0.71799999999999997</v>
      </c>
      <c r="D9" s="69">
        <v>78873.5</v>
      </c>
      <c r="E9" s="70">
        <v>0.38800000000000001</v>
      </c>
      <c r="F9" s="69">
        <v>99006.8</v>
      </c>
      <c r="G9" s="70">
        <v>0.90800000000000003</v>
      </c>
      <c r="H9" s="69">
        <v>4949.7</v>
      </c>
      <c r="I9" s="70">
        <v>0.623</v>
      </c>
      <c r="J9" s="69">
        <v>2171.6</v>
      </c>
      <c r="K9" s="70">
        <v>0.55900000000000005</v>
      </c>
      <c r="L9" s="69">
        <v>3525.2</v>
      </c>
      <c r="M9" s="70">
        <v>0.245</v>
      </c>
      <c r="N9" s="69">
        <v>552.1</v>
      </c>
      <c r="O9" s="70">
        <v>0.17399999999999999</v>
      </c>
      <c r="P9" s="69">
        <v>59175.6</v>
      </c>
      <c r="Q9" s="70">
        <v>0.32400000000000001</v>
      </c>
      <c r="R9" s="69">
        <v>7887.9</v>
      </c>
      <c r="S9" s="70">
        <v>0.59</v>
      </c>
    </row>
    <row r="10" spans="1:19" x14ac:dyDescent="0.3">
      <c r="A10" s="68">
        <v>2014</v>
      </c>
      <c r="B10" s="69">
        <v>2513.3000000000002</v>
      </c>
      <c r="C10" s="70">
        <v>0.72</v>
      </c>
      <c r="D10" s="69">
        <v>79582.8</v>
      </c>
      <c r="E10" s="70">
        <v>0.372</v>
      </c>
      <c r="F10" s="69">
        <v>98569.3</v>
      </c>
      <c r="G10" s="70">
        <v>0.91700000000000004</v>
      </c>
      <c r="H10" s="69">
        <v>5114.6000000000004</v>
      </c>
      <c r="I10" s="70">
        <v>0.627</v>
      </c>
      <c r="J10" s="69">
        <v>1994</v>
      </c>
      <c r="K10" s="70">
        <v>0.54</v>
      </c>
      <c r="L10" s="69">
        <v>6555.6</v>
      </c>
      <c r="M10" s="70">
        <v>0.25600000000000001</v>
      </c>
      <c r="N10" s="69">
        <v>1445.3</v>
      </c>
      <c r="O10" s="70">
        <v>0.183</v>
      </c>
      <c r="P10" s="69">
        <v>60587.8</v>
      </c>
      <c r="Q10" s="70">
        <v>0.34</v>
      </c>
      <c r="R10" s="69">
        <v>8319.7000000000007</v>
      </c>
      <c r="S10" s="70">
        <v>0.6</v>
      </c>
    </row>
    <row r="11" spans="1:19" x14ac:dyDescent="0.3">
      <c r="A11" s="68">
        <v>2015</v>
      </c>
      <c r="B11" s="69">
        <v>2523</v>
      </c>
      <c r="C11" s="70">
        <v>0.71899999999999997</v>
      </c>
      <c r="D11" s="69">
        <v>79650.8</v>
      </c>
      <c r="E11" s="70">
        <v>0.35699999999999998</v>
      </c>
      <c r="F11" s="69">
        <v>98614.6</v>
      </c>
      <c r="G11" s="70">
        <v>0.92300000000000004</v>
      </c>
      <c r="H11" s="69">
        <v>5104.5</v>
      </c>
      <c r="I11" s="70">
        <v>0.626</v>
      </c>
      <c r="J11" s="69">
        <v>2527.6999999999998</v>
      </c>
      <c r="K11" s="70">
        <v>0.60799999999999998</v>
      </c>
      <c r="L11" s="69">
        <v>9521.6</v>
      </c>
      <c r="M11" s="70">
        <v>0.255</v>
      </c>
      <c r="N11" s="69">
        <v>1697.3</v>
      </c>
      <c r="O11" s="70">
        <v>0.217</v>
      </c>
      <c r="P11" s="69">
        <v>67106.2</v>
      </c>
      <c r="Q11" s="70">
        <v>0.32200000000000001</v>
      </c>
      <c r="R11" s="69">
        <v>9024.5</v>
      </c>
      <c r="S11" s="70">
        <v>0.59299999999999997</v>
      </c>
    </row>
    <row r="12" spans="1:19" x14ac:dyDescent="0.3">
      <c r="A12" s="68">
        <v>2016</v>
      </c>
      <c r="B12" s="69">
        <v>2516.6</v>
      </c>
      <c r="C12" s="70">
        <v>0.71599999999999997</v>
      </c>
      <c r="D12" s="69">
        <v>79806</v>
      </c>
      <c r="E12" s="70">
        <v>0.38200000000000001</v>
      </c>
      <c r="F12" s="69">
        <v>99364.800000000003</v>
      </c>
      <c r="G12" s="70">
        <v>0.92300000000000004</v>
      </c>
      <c r="H12" s="69">
        <v>5099.5</v>
      </c>
      <c r="I12" s="70">
        <v>0.627</v>
      </c>
      <c r="J12" s="69">
        <v>2458.8000000000002</v>
      </c>
      <c r="K12" s="70">
        <v>0.64800000000000002</v>
      </c>
      <c r="L12" s="69">
        <v>14161.4</v>
      </c>
      <c r="M12" s="70">
        <v>0.25</v>
      </c>
      <c r="N12" s="69">
        <v>1757.9</v>
      </c>
      <c r="O12" s="70">
        <v>0.221</v>
      </c>
      <c r="P12" s="69">
        <v>74162.7</v>
      </c>
      <c r="Q12" s="70">
        <v>0.34499999999999997</v>
      </c>
      <c r="R12" s="69">
        <v>8979.7999999999993</v>
      </c>
      <c r="S12" s="70">
        <v>0.58299999999999996</v>
      </c>
    </row>
    <row r="13" spans="1:19" x14ac:dyDescent="0.3">
      <c r="A13" s="68">
        <v>2017</v>
      </c>
      <c r="B13" s="69">
        <v>2460.4</v>
      </c>
      <c r="C13" s="70">
        <v>0.73199999999999998</v>
      </c>
      <c r="D13" s="69">
        <v>79698.8</v>
      </c>
      <c r="E13" s="70">
        <v>0.43</v>
      </c>
      <c r="F13" s="69">
        <v>99619.5</v>
      </c>
      <c r="G13" s="70">
        <v>0.92300000000000004</v>
      </c>
      <c r="H13" s="69">
        <v>5125.6000000000004</v>
      </c>
      <c r="I13" s="70">
        <v>0.61799999999999999</v>
      </c>
      <c r="J13" s="69">
        <v>2375.8000000000002</v>
      </c>
      <c r="K13" s="70">
        <v>0.628</v>
      </c>
      <c r="L13" s="69">
        <v>21940.9</v>
      </c>
      <c r="M13" s="70">
        <v>0.25600000000000001</v>
      </c>
      <c r="N13" s="69">
        <v>1757.9</v>
      </c>
      <c r="O13" s="70">
        <v>0.218</v>
      </c>
      <c r="P13" s="69">
        <v>83355.600000000006</v>
      </c>
      <c r="Q13" s="70">
        <v>0.34599999999999997</v>
      </c>
      <c r="R13" s="69">
        <v>8807.5</v>
      </c>
      <c r="S13" s="70">
        <v>0.60199999999999998</v>
      </c>
    </row>
    <row r="14" spans="1:19" x14ac:dyDescent="0.3">
      <c r="A14" s="68">
        <v>2018</v>
      </c>
      <c r="B14" s="69">
        <v>2391.5</v>
      </c>
      <c r="C14" s="70">
        <v>0.76</v>
      </c>
      <c r="D14" s="69">
        <v>79771.899999999994</v>
      </c>
      <c r="E14" s="70">
        <v>0.41899999999999998</v>
      </c>
      <c r="F14" s="69">
        <v>99605.2</v>
      </c>
      <c r="G14" s="70">
        <v>0.92500000000000004</v>
      </c>
      <c r="H14" s="69">
        <v>5059</v>
      </c>
      <c r="I14" s="70">
        <v>0.61799999999999999</v>
      </c>
      <c r="J14" s="69">
        <v>2543.9</v>
      </c>
      <c r="K14" s="70">
        <v>0.65400000000000003</v>
      </c>
      <c r="L14" s="69">
        <v>27143.3</v>
      </c>
      <c r="M14" s="70">
        <v>0.251</v>
      </c>
      <c r="N14" s="69">
        <v>1757.9</v>
      </c>
      <c r="O14" s="70">
        <v>0.23599999999999999</v>
      </c>
      <c r="P14" s="69">
        <v>89228.5</v>
      </c>
      <c r="Q14" s="70">
        <v>0.34599999999999997</v>
      </c>
      <c r="R14" s="69">
        <v>8760.2000000000007</v>
      </c>
      <c r="S14" s="70">
        <v>0.60599999999999998</v>
      </c>
    </row>
    <row r="15" spans="1:19" x14ac:dyDescent="0.3">
      <c r="A15" s="68">
        <v>2019</v>
      </c>
      <c r="B15" s="69">
        <v>2535.1999999999998</v>
      </c>
      <c r="C15" s="70">
        <v>0.69599999999999995</v>
      </c>
      <c r="D15" s="69">
        <v>79838</v>
      </c>
      <c r="E15" s="70">
        <v>0.41199999999999998</v>
      </c>
      <c r="F15" s="69">
        <v>98836.7</v>
      </c>
      <c r="G15" s="70">
        <v>0.93400000000000005</v>
      </c>
      <c r="H15" s="69">
        <v>4786.5</v>
      </c>
      <c r="I15" s="70">
        <v>0.625</v>
      </c>
      <c r="J15" s="69">
        <v>2504.1</v>
      </c>
      <c r="K15" s="70">
        <v>0.67400000000000004</v>
      </c>
      <c r="L15" s="69">
        <v>31840.799999999999</v>
      </c>
      <c r="M15" s="70">
        <v>0.24299999999999999</v>
      </c>
      <c r="N15" s="69">
        <v>1758.1</v>
      </c>
      <c r="O15" s="70">
        <v>0.21199999999999999</v>
      </c>
      <c r="P15" s="69">
        <v>97564.800000000003</v>
      </c>
      <c r="Q15" s="70">
        <v>0.34399999999999997</v>
      </c>
      <c r="R15" s="69">
        <v>8485</v>
      </c>
      <c r="S15" s="70">
        <v>0.59</v>
      </c>
    </row>
    <row r="16" spans="1:19" x14ac:dyDescent="0.3">
      <c r="A16" s="68">
        <v>2020</v>
      </c>
      <c r="B16" s="69">
        <v>2561.5</v>
      </c>
      <c r="C16" s="70">
        <v>0.69099999999999995</v>
      </c>
      <c r="D16" s="69">
        <v>79810.399999999994</v>
      </c>
      <c r="E16" s="70">
        <v>0.40699999999999997</v>
      </c>
      <c r="F16" s="69">
        <v>97238.3</v>
      </c>
      <c r="G16" s="70">
        <v>0.92400000000000004</v>
      </c>
      <c r="H16" s="69">
        <v>4653.8</v>
      </c>
      <c r="I16" s="70">
        <v>0.625</v>
      </c>
      <c r="J16" s="69">
        <v>2275.1999999999998</v>
      </c>
      <c r="K16" s="70">
        <v>0.64600000000000002</v>
      </c>
      <c r="L16" s="69">
        <v>39458.1</v>
      </c>
      <c r="M16" s="70">
        <v>0.24199999999999999</v>
      </c>
      <c r="N16" s="69">
        <v>1747.9</v>
      </c>
      <c r="O16" s="70">
        <v>0.20599999999999999</v>
      </c>
      <c r="P16" s="69">
        <v>107387.7</v>
      </c>
      <c r="Q16" s="70">
        <v>0.35299999999999998</v>
      </c>
      <c r="R16" s="69">
        <v>8327.2000000000007</v>
      </c>
      <c r="S16" s="70">
        <v>0.57799999999999996</v>
      </c>
    </row>
    <row r="17" spans="1:19" ht="96" customHeight="1" x14ac:dyDescent="0.3">
      <c r="A17" s="95" t="s">
        <v>244</v>
      </c>
      <c r="B17" s="95"/>
      <c r="C17" s="95"/>
      <c r="D17" s="95"/>
      <c r="E17" s="95"/>
      <c r="F17" s="95"/>
      <c r="G17" s="95"/>
      <c r="H17" s="95"/>
      <c r="I17" s="95"/>
      <c r="J17" s="95"/>
      <c r="K17" s="95"/>
      <c r="L17" s="95"/>
      <c r="M17" s="95"/>
      <c r="N17" s="95"/>
      <c r="O17" s="95"/>
      <c r="P17" s="95"/>
      <c r="Q17" s="95"/>
      <c r="R17" s="95"/>
      <c r="S17" s="95"/>
    </row>
  </sheetData>
  <mergeCells count="15">
    <mergeCell ref="A17:S17"/>
    <mergeCell ref="A1:S1"/>
    <mergeCell ref="B2:C2"/>
    <mergeCell ref="D2:E2"/>
    <mergeCell ref="F2:G2"/>
    <mergeCell ref="H2:I2"/>
    <mergeCell ref="J2:K2"/>
    <mergeCell ref="L2:O2"/>
    <mergeCell ref="P2:Q2"/>
    <mergeCell ref="R2:S2"/>
    <mergeCell ref="B3:K3"/>
    <mergeCell ref="L3:M3"/>
    <mergeCell ref="N3:O3"/>
    <mergeCell ref="P3:S3"/>
    <mergeCell ref="A5:S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6D806-8520-4E8C-91F0-38946893A1C9}">
  <dimension ref="A1:AU159"/>
  <sheetViews>
    <sheetView workbookViewId="0">
      <pane xSplit="1" topLeftCell="B1" activePane="topRight" state="frozen"/>
      <selection pane="topRight" activeCell="AE4" sqref="AE4"/>
    </sheetView>
  </sheetViews>
  <sheetFormatPr defaultColWidth="8.88671875" defaultRowHeight="14.4" x14ac:dyDescent="0.3"/>
  <cols>
    <col min="1" max="1" width="25.77734375" style="2" customWidth="1"/>
    <col min="2" max="11" width="8.88671875" style="2"/>
    <col min="12" max="15" width="9.109375" style="2" bestFit="1" customWidth="1"/>
    <col min="16" max="16" width="11.88671875" style="2" bestFit="1" customWidth="1"/>
    <col min="17" max="16384" width="8.88671875" style="2"/>
  </cols>
  <sheetData>
    <row r="1" spans="1:47" ht="21" x14ac:dyDescent="0.4">
      <c r="A1" s="1" t="s">
        <v>0</v>
      </c>
    </row>
    <row r="2" spans="1:47" ht="21" x14ac:dyDescent="0.4">
      <c r="A2" s="1" t="s">
        <v>75</v>
      </c>
    </row>
    <row r="3" spans="1:47" ht="21" x14ac:dyDescent="0.4">
      <c r="A3" s="1" t="s">
        <v>2</v>
      </c>
    </row>
    <row r="4" spans="1:47" ht="21" x14ac:dyDescent="0.4">
      <c r="A4" s="1" t="s">
        <v>3</v>
      </c>
    </row>
    <row r="5" spans="1:47" ht="21" x14ac:dyDescent="0.4">
      <c r="A5" s="3" t="s">
        <v>4</v>
      </c>
      <c r="B5" s="3" t="s">
        <v>76</v>
      </c>
    </row>
    <row r="7" spans="1:47" ht="18" x14ac:dyDescent="0.35">
      <c r="A7" s="4" t="s">
        <v>6</v>
      </c>
    </row>
    <row r="8" spans="1:47" x14ac:dyDescent="0.3">
      <c r="A8" s="2" t="s">
        <v>7</v>
      </c>
      <c r="B8" s="2" t="s">
        <v>8</v>
      </c>
      <c r="C8" s="2" t="s">
        <v>9</v>
      </c>
      <c r="D8" s="2" t="s">
        <v>10</v>
      </c>
      <c r="E8" s="2" t="s">
        <v>11</v>
      </c>
      <c r="F8" s="2" t="s">
        <v>12</v>
      </c>
      <c r="G8" s="2" t="s">
        <v>13</v>
      </c>
      <c r="H8" s="2" t="s">
        <v>14</v>
      </c>
      <c r="I8" s="2" t="s">
        <v>15</v>
      </c>
      <c r="J8" s="2" t="s">
        <v>16</v>
      </c>
      <c r="K8" s="2" t="s">
        <v>17</v>
      </c>
      <c r="L8" s="2" t="s">
        <v>18</v>
      </c>
      <c r="M8" s="2" t="s">
        <v>19</v>
      </c>
      <c r="N8" s="2" t="s">
        <v>20</v>
      </c>
      <c r="O8" s="2" t="s">
        <v>21</v>
      </c>
      <c r="P8" s="2" t="s">
        <v>22</v>
      </c>
      <c r="Q8" s="2" t="s">
        <v>23</v>
      </c>
      <c r="R8" s="2" t="s">
        <v>24</v>
      </c>
      <c r="S8" s="2" t="s">
        <v>25</v>
      </c>
      <c r="T8" s="2" t="s">
        <v>26</v>
      </c>
      <c r="U8" s="2" t="s">
        <v>27</v>
      </c>
      <c r="V8" s="2" t="s">
        <v>28</v>
      </c>
      <c r="W8" s="2" t="s">
        <v>29</v>
      </c>
      <c r="X8" s="2" t="s">
        <v>30</v>
      </c>
      <c r="Y8" s="2" t="s">
        <v>31</v>
      </c>
      <c r="Z8" s="2" t="s">
        <v>32</v>
      </c>
      <c r="AA8" s="2" t="s">
        <v>33</v>
      </c>
      <c r="AB8" s="2" t="s">
        <v>34</v>
      </c>
      <c r="AC8" s="2" t="s">
        <v>35</v>
      </c>
      <c r="AD8" s="2" t="s">
        <v>36</v>
      </c>
      <c r="AE8" s="2" t="s">
        <v>37</v>
      </c>
      <c r="AF8" s="2" t="s">
        <v>38</v>
      </c>
      <c r="AG8" s="2" t="s">
        <v>39</v>
      </c>
      <c r="AH8" s="2" t="s">
        <v>40</v>
      </c>
      <c r="AI8" s="2" t="s">
        <v>41</v>
      </c>
      <c r="AJ8" s="2" t="s">
        <v>42</v>
      </c>
      <c r="AK8" s="2" t="s">
        <v>43</v>
      </c>
      <c r="AL8" s="2" t="s">
        <v>44</v>
      </c>
      <c r="AM8" s="2" t="s">
        <v>45</v>
      </c>
      <c r="AN8" s="2" t="s">
        <v>46</v>
      </c>
      <c r="AO8" s="2" t="s">
        <v>47</v>
      </c>
      <c r="AP8" s="2" t="s">
        <v>48</v>
      </c>
      <c r="AQ8" s="2" t="s">
        <v>49</v>
      </c>
      <c r="AR8" s="2" t="s">
        <v>50</v>
      </c>
      <c r="AS8" s="2" t="s">
        <v>51</v>
      </c>
      <c r="AT8" s="2" t="s">
        <v>52</v>
      </c>
      <c r="AU8" s="2" t="s">
        <v>53</v>
      </c>
    </row>
    <row r="9" spans="1:47" x14ac:dyDescent="0.3">
      <c r="A9" s="2" t="s">
        <v>54</v>
      </c>
      <c r="B9" s="2">
        <v>358380.79999999999</v>
      </c>
      <c r="C9" s="2">
        <v>349124.5</v>
      </c>
      <c r="D9" s="2">
        <v>363798.5</v>
      </c>
      <c r="E9" s="2">
        <v>373817.3</v>
      </c>
      <c r="F9" s="2">
        <v>365011.8</v>
      </c>
      <c r="G9" s="2">
        <v>347937.5</v>
      </c>
      <c r="H9" s="2">
        <v>371953.2</v>
      </c>
      <c r="I9" s="2">
        <v>375760.2</v>
      </c>
      <c r="J9" s="2">
        <v>387396.2</v>
      </c>
      <c r="K9" s="2">
        <v>378786.2</v>
      </c>
      <c r="L9" s="2">
        <v>378498.4</v>
      </c>
      <c r="M9" s="2">
        <v>381710.1</v>
      </c>
      <c r="N9" s="2">
        <v>390771.5</v>
      </c>
      <c r="O9" s="2">
        <v>382163.9</v>
      </c>
      <c r="P9" s="5">
        <v>375998.3</v>
      </c>
      <c r="Q9" s="2">
        <v>379167.6</v>
      </c>
      <c r="R9" s="2">
        <v>379937</v>
      </c>
      <c r="S9" s="2">
        <v>397151.3</v>
      </c>
      <c r="T9" s="2">
        <v>397276.8</v>
      </c>
      <c r="U9" s="2">
        <v>397874.5</v>
      </c>
      <c r="V9" s="2">
        <v>403503.6</v>
      </c>
      <c r="W9" s="2">
        <v>403895.5</v>
      </c>
      <c r="X9" s="2">
        <v>407160.4</v>
      </c>
      <c r="Y9" s="2">
        <v>407955.7</v>
      </c>
      <c r="Z9" s="2">
        <v>408309.2</v>
      </c>
      <c r="AA9" s="2">
        <v>408930.8</v>
      </c>
      <c r="AB9" s="2">
        <v>409118.6</v>
      </c>
      <c r="AC9" s="2">
        <v>409471</v>
      </c>
      <c r="AD9" s="2">
        <v>410111.3</v>
      </c>
      <c r="AE9" s="2">
        <v>410885.9</v>
      </c>
      <c r="AF9" s="2">
        <v>411534.1</v>
      </c>
      <c r="AG9" s="2">
        <v>412888.3</v>
      </c>
      <c r="AH9" s="2">
        <v>413568.4</v>
      </c>
      <c r="AI9" s="2">
        <v>414148.9</v>
      </c>
      <c r="AJ9" s="2">
        <v>414713.4</v>
      </c>
      <c r="AK9" s="2">
        <v>415402.9</v>
      </c>
      <c r="AL9" s="2">
        <v>415879.3</v>
      </c>
      <c r="AM9" s="2">
        <v>416382.6</v>
      </c>
      <c r="AN9" s="2">
        <v>417276.8</v>
      </c>
      <c r="AO9" s="2">
        <v>418196.8</v>
      </c>
      <c r="AP9" s="2">
        <v>418744.3</v>
      </c>
      <c r="AQ9" s="2">
        <v>419432.7</v>
      </c>
      <c r="AR9" s="2">
        <v>420567.4</v>
      </c>
      <c r="AS9" s="2">
        <v>421612.7</v>
      </c>
      <c r="AT9" s="2">
        <v>422601.4</v>
      </c>
      <c r="AU9" s="2">
        <v>423424.3</v>
      </c>
    </row>
    <row r="10" spans="1:47" x14ac:dyDescent="0.3">
      <c r="A10" s="2" t="s">
        <v>55</v>
      </c>
      <c r="B10" s="2">
        <v>1453.41</v>
      </c>
      <c r="C10" s="2">
        <v>2529.41</v>
      </c>
      <c r="D10" s="2">
        <v>3683.41</v>
      </c>
      <c r="E10" s="2">
        <v>4715.4399999999996</v>
      </c>
      <c r="F10" s="2">
        <v>7031.23</v>
      </c>
      <c r="G10" s="2">
        <v>8354.23</v>
      </c>
      <c r="H10" s="2">
        <v>11622.99</v>
      </c>
      <c r="I10" s="2">
        <v>13716.78</v>
      </c>
      <c r="J10" s="2">
        <v>17544.740000000002</v>
      </c>
      <c r="K10" s="2">
        <v>21484.5</v>
      </c>
      <c r="L10" s="2">
        <v>26692.57</v>
      </c>
      <c r="M10" s="2">
        <v>30624</v>
      </c>
      <c r="N10" s="2">
        <v>31197</v>
      </c>
      <c r="O10" s="2">
        <v>32814.01</v>
      </c>
      <c r="P10" s="5">
        <v>32333</v>
      </c>
      <c r="Q10" s="2">
        <v>35393.5</v>
      </c>
      <c r="R10" s="2">
        <v>37200.11</v>
      </c>
      <c r="S10" s="2">
        <v>48899.95</v>
      </c>
      <c r="T10" s="2">
        <v>49412.36</v>
      </c>
      <c r="U10" s="2">
        <v>52082.38</v>
      </c>
      <c r="V10" s="2">
        <v>54292.97</v>
      </c>
      <c r="W10" s="2">
        <v>54853.55</v>
      </c>
      <c r="X10" s="2">
        <v>57173.32</v>
      </c>
      <c r="Y10" s="2">
        <v>59315.82</v>
      </c>
      <c r="Z10" s="2">
        <v>60938.05</v>
      </c>
      <c r="AA10" s="2">
        <v>65951.73</v>
      </c>
      <c r="AB10" s="2">
        <v>69648.94</v>
      </c>
      <c r="AC10" s="2">
        <v>74188.88</v>
      </c>
      <c r="AD10" s="2">
        <v>76343.34</v>
      </c>
      <c r="AE10" s="2">
        <v>79031.53</v>
      </c>
      <c r="AF10" s="2">
        <v>80220.98</v>
      </c>
      <c r="AG10" s="2">
        <v>82241.47</v>
      </c>
      <c r="AH10" s="2">
        <v>83643.77</v>
      </c>
      <c r="AI10" s="2">
        <v>86363.199999999997</v>
      </c>
      <c r="AJ10" s="2">
        <v>87788.45</v>
      </c>
      <c r="AK10" s="2">
        <v>90240.62</v>
      </c>
      <c r="AL10" s="2">
        <v>91679.92</v>
      </c>
      <c r="AM10" s="2">
        <v>94927.38</v>
      </c>
      <c r="AN10" s="2">
        <v>96450.84</v>
      </c>
      <c r="AO10" s="2">
        <v>99984.68</v>
      </c>
      <c r="AP10" s="2">
        <v>101562.2</v>
      </c>
      <c r="AQ10" s="2">
        <v>105118.3</v>
      </c>
      <c r="AR10" s="2">
        <v>106768.5</v>
      </c>
      <c r="AS10" s="2">
        <v>110359.3</v>
      </c>
      <c r="AT10" s="2">
        <v>112067.5</v>
      </c>
      <c r="AU10" s="2">
        <v>113811.4</v>
      </c>
    </row>
    <row r="11" spans="1:47" x14ac:dyDescent="0.3">
      <c r="A11" s="2" t="s">
        <v>56</v>
      </c>
      <c r="B11" s="2">
        <v>6997.43</v>
      </c>
      <c r="C11" s="2">
        <v>7143.38</v>
      </c>
      <c r="D11" s="2">
        <v>6971.02</v>
      </c>
      <c r="E11" s="2">
        <v>6319.81</v>
      </c>
      <c r="F11" s="2">
        <v>6057.39</v>
      </c>
      <c r="G11" s="2">
        <v>8266.52</v>
      </c>
      <c r="H11" s="2">
        <v>8716.9</v>
      </c>
      <c r="I11" s="2">
        <v>9038.92</v>
      </c>
      <c r="J11" s="2">
        <v>9208.18</v>
      </c>
      <c r="K11" s="2">
        <v>11997.93</v>
      </c>
      <c r="L11" s="2">
        <v>8462.34</v>
      </c>
      <c r="M11" s="2">
        <v>10240.42</v>
      </c>
      <c r="N11" s="2">
        <v>6300.36</v>
      </c>
      <c r="O11" s="2">
        <v>9260.9699999999993</v>
      </c>
      <c r="P11" s="5">
        <v>8892.7199999999993</v>
      </c>
      <c r="Q11" s="2">
        <v>7631.89</v>
      </c>
      <c r="R11" s="2">
        <v>7732.25</v>
      </c>
      <c r="S11" s="2">
        <v>7931.22</v>
      </c>
      <c r="T11" s="2">
        <v>8034.84</v>
      </c>
      <c r="U11" s="2">
        <v>8052.64</v>
      </c>
      <c r="V11" s="2">
        <v>8113.65</v>
      </c>
      <c r="W11" s="2">
        <v>8226.91</v>
      </c>
      <c r="X11" s="2">
        <v>8265.5300000000007</v>
      </c>
      <c r="Y11" s="2">
        <v>8308.39</v>
      </c>
      <c r="Z11" s="2">
        <v>8349.92</v>
      </c>
      <c r="AA11" s="2">
        <v>8391.06</v>
      </c>
      <c r="AB11" s="2">
        <v>8426.92</v>
      </c>
      <c r="AC11" s="2">
        <v>8381.56</v>
      </c>
      <c r="AD11" s="2">
        <v>8422.85</v>
      </c>
      <c r="AE11" s="2">
        <v>8461.59</v>
      </c>
      <c r="AF11" s="2">
        <v>8507.9</v>
      </c>
      <c r="AG11" s="2">
        <v>8569.34</v>
      </c>
      <c r="AH11" s="2">
        <v>8612.23</v>
      </c>
      <c r="AI11" s="2">
        <v>8684.18</v>
      </c>
      <c r="AJ11" s="2">
        <v>8730.27</v>
      </c>
      <c r="AK11" s="2">
        <v>8771.91</v>
      </c>
      <c r="AL11" s="2">
        <v>8834.8799999999992</v>
      </c>
      <c r="AM11" s="2">
        <v>8876.76</v>
      </c>
      <c r="AN11" s="2">
        <v>9019.1200000000008</v>
      </c>
      <c r="AO11" s="2">
        <v>9056.98</v>
      </c>
      <c r="AP11" s="2">
        <v>9102.44</v>
      </c>
      <c r="AQ11" s="2">
        <v>9345.09</v>
      </c>
      <c r="AR11" s="2">
        <v>9384.2099999999991</v>
      </c>
      <c r="AS11" s="2">
        <v>9328.06</v>
      </c>
      <c r="AT11" s="2">
        <v>9273.4699999999993</v>
      </c>
      <c r="AU11" s="2">
        <v>9335.09</v>
      </c>
    </row>
    <row r="12" spans="1:47" x14ac:dyDescent="0.3">
      <c r="A12" s="2" t="s">
        <v>57</v>
      </c>
      <c r="B12" s="2">
        <v>0</v>
      </c>
      <c r="C12" s="2">
        <v>0</v>
      </c>
      <c r="D12" s="2">
        <v>0</v>
      </c>
      <c r="E12" s="2">
        <v>0</v>
      </c>
      <c r="F12" s="2">
        <v>5</v>
      </c>
      <c r="G12" s="2">
        <v>123</v>
      </c>
      <c r="H12" s="2">
        <v>398</v>
      </c>
      <c r="I12" s="2">
        <v>842</v>
      </c>
      <c r="J12" s="2">
        <v>1173</v>
      </c>
      <c r="K12" s="2">
        <v>1757.71</v>
      </c>
      <c r="L12" s="2">
        <v>1426</v>
      </c>
      <c r="M12" s="2">
        <v>1779</v>
      </c>
      <c r="N12" s="2">
        <v>2001</v>
      </c>
      <c r="O12" s="2">
        <v>2191</v>
      </c>
      <c r="P12" s="5">
        <v>2194</v>
      </c>
      <c r="Q12" s="2">
        <v>2216.0500000000002</v>
      </c>
      <c r="R12" s="2">
        <v>2512.38</v>
      </c>
      <c r="S12" s="2">
        <v>3174.22</v>
      </c>
      <c r="T12" s="2">
        <v>3228.6</v>
      </c>
      <c r="U12" s="2">
        <v>3256.8</v>
      </c>
      <c r="V12" s="2">
        <v>3338.28</v>
      </c>
      <c r="W12" s="2">
        <v>3568.82</v>
      </c>
      <c r="X12" s="2">
        <v>3763.63</v>
      </c>
      <c r="Y12" s="2">
        <v>3792.33</v>
      </c>
      <c r="Z12" s="2">
        <v>4212.8900000000003</v>
      </c>
      <c r="AA12" s="2">
        <v>4598.42</v>
      </c>
      <c r="AB12" s="2">
        <v>5021.5600000000004</v>
      </c>
      <c r="AC12" s="2">
        <v>5420.63</v>
      </c>
      <c r="AD12" s="2">
        <v>5883.03</v>
      </c>
      <c r="AE12" s="2">
        <v>6340.06</v>
      </c>
      <c r="AF12" s="2">
        <v>7336.42</v>
      </c>
      <c r="AG12" s="2">
        <v>8026.69</v>
      </c>
      <c r="AH12" s="2">
        <v>8772.9</v>
      </c>
      <c r="AI12" s="2">
        <v>9323.98</v>
      </c>
      <c r="AJ12" s="2">
        <v>9933.34</v>
      </c>
      <c r="AK12" s="2">
        <v>10742.18</v>
      </c>
      <c r="AL12" s="2">
        <v>11327.33</v>
      </c>
      <c r="AM12" s="2">
        <v>11888.67</v>
      </c>
      <c r="AN12" s="2">
        <v>12477.17</v>
      </c>
      <c r="AO12" s="2">
        <v>13044.37</v>
      </c>
      <c r="AP12" s="2">
        <v>13914.87</v>
      </c>
      <c r="AQ12" s="2">
        <v>14451.67</v>
      </c>
      <c r="AR12" s="2">
        <v>15014.02</v>
      </c>
      <c r="AS12" s="2">
        <v>15555.04</v>
      </c>
      <c r="AT12" s="2">
        <v>16123.15</v>
      </c>
      <c r="AU12" s="2">
        <v>16735.41</v>
      </c>
    </row>
    <row r="13" spans="1:47" x14ac:dyDescent="0.3">
      <c r="A13" s="2" t="s">
        <v>58</v>
      </c>
      <c r="B13" s="2">
        <v>86668.58</v>
      </c>
      <c r="C13" s="2">
        <v>92144.58</v>
      </c>
      <c r="D13" s="2">
        <v>88190.58</v>
      </c>
      <c r="E13" s="2">
        <v>90585.23</v>
      </c>
      <c r="F13" s="2">
        <v>84992.27</v>
      </c>
      <c r="G13" s="2">
        <v>85526.59</v>
      </c>
      <c r="H13" s="2">
        <v>88291.22</v>
      </c>
      <c r="I13" s="2">
        <v>89487.62</v>
      </c>
      <c r="J13" s="2">
        <v>97581.99</v>
      </c>
      <c r="K13" s="2">
        <v>101207.8</v>
      </c>
      <c r="L13" s="2">
        <v>96045.98</v>
      </c>
      <c r="M13" s="2">
        <v>95687.01</v>
      </c>
      <c r="N13" s="2">
        <v>95565</v>
      </c>
      <c r="O13" s="2">
        <v>95029.01</v>
      </c>
      <c r="P13" s="5">
        <v>95470</v>
      </c>
      <c r="Q13" s="2">
        <v>85043.13</v>
      </c>
      <c r="R13" s="2">
        <v>82450.679999999993</v>
      </c>
      <c r="S13" s="2">
        <v>83620.78</v>
      </c>
      <c r="T13" s="2">
        <v>71867.570000000007</v>
      </c>
      <c r="U13" s="2">
        <v>84830.06</v>
      </c>
      <c r="V13" s="2">
        <v>74096.28</v>
      </c>
      <c r="W13" s="2">
        <v>64653</v>
      </c>
      <c r="X13" s="2">
        <v>71883.850000000006</v>
      </c>
      <c r="Y13" s="2">
        <v>78359.240000000005</v>
      </c>
      <c r="Z13" s="2">
        <v>72022.61</v>
      </c>
      <c r="AA13" s="2">
        <v>78498</v>
      </c>
      <c r="AB13" s="2">
        <v>72161.37</v>
      </c>
      <c r="AC13" s="2">
        <v>78636.759999999995</v>
      </c>
      <c r="AD13" s="2">
        <v>78675.3</v>
      </c>
      <c r="AE13" s="2">
        <v>85150.7</v>
      </c>
      <c r="AF13" s="2">
        <v>85150.7</v>
      </c>
      <c r="AG13" s="2">
        <v>85150.7</v>
      </c>
      <c r="AH13" s="2">
        <v>85189.24</v>
      </c>
      <c r="AI13" s="2">
        <v>85189.24</v>
      </c>
      <c r="AJ13" s="2">
        <v>85266.33</v>
      </c>
      <c r="AK13" s="2">
        <v>85420.5</v>
      </c>
      <c r="AL13" s="2">
        <v>80634.039999999994</v>
      </c>
      <c r="AM13" s="2">
        <v>80788.22</v>
      </c>
      <c r="AN13" s="2">
        <v>80942.39</v>
      </c>
      <c r="AO13" s="2">
        <v>86488.33</v>
      </c>
      <c r="AP13" s="2">
        <v>86681.06</v>
      </c>
      <c r="AQ13" s="2">
        <v>87066.49</v>
      </c>
      <c r="AR13" s="2">
        <v>87837.37</v>
      </c>
      <c r="AS13" s="2">
        <v>88608.25</v>
      </c>
      <c r="AT13" s="2">
        <v>89379.16</v>
      </c>
      <c r="AU13" s="2">
        <v>89379.16</v>
      </c>
    </row>
    <row r="14" spans="1:47" x14ac:dyDescent="0.3">
      <c r="A14" s="2" t="s">
        <v>59</v>
      </c>
      <c r="B14" s="2">
        <v>97362.16</v>
      </c>
      <c r="C14" s="2">
        <v>92204.69</v>
      </c>
      <c r="D14" s="2">
        <v>97287.24</v>
      </c>
      <c r="E14" s="2">
        <v>91097.93</v>
      </c>
      <c r="F14" s="2">
        <v>76661.64</v>
      </c>
      <c r="G14" s="2">
        <v>71258.570000000007</v>
      </c>
      <c r="H14" s="2">
        <v>65177.45</v>
      </c>
      <c r="I14" s="2">
        <v>63091.11</v>
      </c>
      <c r="J14" s="2">
        <v>64779.21</v>
      </c>
      <c r="K14" s="2">
        <v>64238.38</v>
      </c>
      <c r="L14" s="2">
        <v>57142.41</v>
      </c>
      <c r="M14" s="2">
        <v>57243.38</v>
      </c>
      <c r="N14" s="2">
        <v>55265.55</v>
      </c>
      <c r="O14" s="2">
        <v>46520.81</v>
      </c>
      <c r="P14" s="5">
        <v>44038.21</v>
      </c>
      <c r="Q14" s="2">
        <v>44275.77</v>
      </c>
      <c r="R14" s="2">
        <v>46841.120000000003</v>
      </c>
      <c r="S14" s="2">
        <v>31809.65</v>
      </c>
      <c r="T14" s="2">
        <v>14439.09</v>
      </c>
      <c r="U14" s="2">
        <v>14066.88</v>
      </c>
      <c r="V14" s="2">
        <v>12990.5</v>
      </c>
      <c r="W14" s="2">
        <v>11632.8</v>
      </c>
      <c r="X14" s="2">
        <v>11687.34</v>
      </c>
      <c r="Y14" s="2">
        <v>7449.65</v>
      </c>
      <c r="Z14" s="2">
        <v>7513.04</v>
      </c>
      <c r="AA14" s="2">
        <v>7449.26</v>
      </c>
      <c r="AB14" s="2">
        <v>7609.77</v>
      </c>
      <c r="AC14" s="2">
        <v>6467.47</v>
      </c>
      <c r="AD14" s="2">
        <v>6582.65</v>
      </c>
      <c r="AE14" s="2">
        <v>6553.35</v>
      </c>
      <c r="AF14" s="2">
        <v>6212.05</v>
      </c>
      <c r="AG14" s="2">
        <v>5890.7</v>
      </c>
      <c r="AH14" s="2">
        <v>3851.93</v>
      </c>
      <c r="AI14" s="2">
        <v>3810.13</v>
      </c>
      <c r="AJ14" s="2">
        <v>3359.07</v>
      </c>
      <c r="AK14" s="2">
        <v>3292.17</v>
      </c>
      <c r="AL14" s="2">
        <v>2502.02</v>
      </c>
      <c r="AM14" s="2">
        <v>2434.71</v>
      </c>
      <c r="AN14" s="2">
        <v>2337.5100000000002</v>
      </c>
      <c r="AO14" s="2">
        <v>2175.2199999999998</v>
      </c>
      <c r="AP14" s="2">
        <v>2052.5300000000002</v>
      </c>
      <c r="AQ14" s="2">
        <v>1914.79</v>
      </c>
      <c r="AR14" s="2">
        <v>2011.17</v>
      </c>
      <c r="AS14" s="2">
        <v>1918.04</v>
      </c>
      <c r="AT14" s="2">
        <v>1781.75</v>
      </c>
      <c r="AU14" s="2">
        <v>1719.47</v>
      </c>
    </row>
    <row r="15" spans="1:47" x14ac:dyDescent="0.3">
      <c r="A15" s="2" t="s">
        <v>60</v>
      </c>
      <c r="B15" s="2">
        <v>40015.800000000003</v>
      </c>
      <c r="C15" s="2">
        <v>43057.99</v>
      </c>
      <c r="D15" s="2">
        <v>47278.59</v>
      </c>
      <c r="E15" s="2">
        <v>43912.88</v>
      </c>
      <c r="F15" s="2">
        <v>42619.74</v>
      </c>
      <c r="G15" s="2">
        <v>54093.18</v>
      </c>
      <c r="H15" s="2">
        <v>63514.07</v>
      </c>
      <c r="I15" s="2">
        <v>63899.03</v>
      </c>
      <c r="J15" s="2">
        <v>60403.56</v>
      </c>
      <c r="K15" s="2">
        <v>59038.3</v>
      </c>
      <c r="L15" s="2">
        <v>65743.649999999994</v>
      </c>
      <c r="M15" s="2">
        <v>63421.96</v>
      </c>
      <c r="N15" s="2">
        <v>62934.239999999998</v>
      </c>
      <c r="O15" s="2">
        <v>66979.59</v>
      </c>
      <c r="P15" s="5">
        <v>69561.62</v>
      </c>
      <c r="Q15" s="2">
        <v>70753</v>
      </c>
      <c r="R15" s="2">
        <v>75516.67</v>
      </c>
      <c r="S15" s="2">
        <v>85524.11</v>
      </c>
      <c r="T15" s="2">
        <v>108256.7</v>
      </c>
      <c r="U15" s="2">
        <v>104663.5</v>
      </c>
      <c r="V15" s="2">
        <v>115648.2</v>
      </c>
      <c r="W15" s="2">
        <v>125330.8</v>
      </c>
      <c r="X15" s="2">
        <v>121439.9</v>
      </c>
      <c r="Y15" s="2">
        <v>120455.6</v>
      </c>
      <c r="Z15" s="2">
        <v>126168.4</v>
      </c>
      <c r="AA15" s="2">
        <v>122879.7</v>
      </c>
      <c r="AB15" s="2">
        <v>126948.6</v>
      </c>
      <c r="AC15" s="2">
        <v>124866.7</v>
      </c>
      <c r="AD15" s="2">
        <v>125267.8</v>
      </c>
      <c r="AE15" s="2">
        <v>121783.7</v>
      </c>
      <c r="AF15" s="2">
        <v>120069.4</v>
      </c>
      <c r="AG15" s="2">
        <v>121628.9</v>
      </c>
      <c r="AH15" s="2">
        <v>123413.7</v>
      </c>
      <c r="AI15" s="2">
        <v>122285.1</v>
      </c>
      <c r="AJ15" s="2">
        <v>122247.5</v>
      </c>
      <c r="AK15" s="2">
        <v>121173.8</v>
      </c>
      <c r="AL15" s="2">
        <v>119489.9</v>
      </c>
      <c r="AM15" s="2">
        <v>121453.2</v>
      </c>
      <c r="AN15" s="2">
        <v>122334</v>
      </c>
      <c r="AO15" s="2">
        <v>121220</v>
      </c>
      <c r="AP15" s="2">
        <v>121478.5</v>
      </c>
      <c r="AQ15" s="2">
        <v>120170.4</v>
      </c>
      <c r="AR15" s="2">
        <v>120608.6</v>
      </c>
      <c r="AS15" s="2">
        <v>119091.5</v>
      </c>
      <c r="AT15" s="2">
        <v>118960.9</v>
      </c>
      <c r="AU15" s="2">
        <v>119782.7</v>
      </c>
    </row>
    <row r="16" spans="1:47" x14ac:dyDescent="0.3">
      <c r="A16" s="2" t="s">
        <v>61</v>
      </c>
      <c r="B16" s="2">
        <v>8193.9599999999991</v>
      </c>
      <c r="C16" s="2">
        <v>7877.58</v>
      </c>
      <c r="D16" s="2">
        <v>8776.76</v>
      </c>
      <c r="E16" s="2">
        <v>6929.51</v>
      </c>
      <c r="F16" s="2">
        <v>7336.52</v>
      </c>
      <c r="G16" s="2">
        <v>5187.67</v>
      </c>
      <c r="H16" s="2">
        <v>4561.87</v>
      </c>
      <c r="I16" s="2">
        <v>4271.87</v>
      </c>
      <c r="J16" s="2">
        <v>4071.33</v>
      </c>
      <c r="K16" s="2">
        <v>6616.76</v>
      </c>
      <c r="L16" s="2">
        <v>5266.72</v>
      </c>
      <c r="M16" s="2">
        <v>5087.45</v>
      </c>
      <c r="N16" s="2">
        <v>4150.07</v>
      </c>
      <c r="O16" s="2">
        <v>4189.29</v>
      </c>
      <c r="P16" s="5">
        <v>3719.72</v>
      </c>
      <c r="Q16" s="2">
        <v>4062.56</v>
      </c>
      <c r="R16" s="2">
        <v>4629.41</v>
      </c>
      <c r="S16" s="2">
        <v>3947.51</v>
      </c>
      <c r="T16" s="2">
        <v>5566.84</v>
      </c>
      <c r="U16" s="2">
        <v>4525.6499999999996</v>
      </c>
      <c r="V16" s="2">
        <v>4308.91</v>
      </c>
      <c r="W16" s="2">
        <v>4940.58</v>
      </c>
      <c r="X16" s="2">
        <v>3620.26</v>
      </c>
      <c r="Y16" s="2">
        <v>3851.86</v>
      </c>
      <c r="Z16" s="2">
        <v>4491.82</v>
      </c>
      <c r="AA16" s="2">
        <v>4594.91</v>
      </c>
      <c r="AB16" s="2">
        <v>6400.93</v>
      </c>
      <c r="AC16" s="2">
        <v>5246.71</v>
      </c>
      <c r="AD16" s="2">
        <v>6651.42</v>
      </c>
      <c r="AE16" s="2">
        <v>6376.11</v>
      </c>
      <c r="AF16" s="2">
        <v>6114.38</v>
      </c>
      <c r="AG16" s="2">
        <v>3315.68</v>
      </c>
      <c r="AH16" s="2">
        <v>4941.43</v>
      </c>
      <c r="AI16" s="2">
        <v>4909.3100000000004</v>
      </c>
      <c r="AJ16" s="2">
        <v>5031.71</v>
      </c>
      <c r="AK16" s="2">
        <v>4987.1499999999996</v>
      </c>
      <c r="AL16" s="2">
        <v>7482.62</v>
      </c>
      <c r="AM16" s="2">
        <v>5228.55</v>
      </c>
      <c r="AN16" s="2">
        <v>5630.91</v>
      </c>
      <c r="AO16" s="2">
        <v>3848.84</v>
      </c>
      <c r="AP16" s="2">
        <v>3764.69</v>
      </c>
      <c r="AQ16" s="2">
        <v>3675.71</v>
      </c>
      <c r="AR16" s="2">
        <v>3743.44</v>
      </c>
      <c r="AS16" s="2">
        <v>3660.6</v>
      </c>
      <c r="AT16" s="2">
        <v>3735.52</v>
      </c>
      <c r="AU16" s="2">
        <v>3798.51</v>
      </c>
    </row>
    <row r="17" spans="1:47" x14ac:dyDescent="0.3">
      <c r="A17" s="6"/>
      <c r="B17" s="6"/>
      <c r="C17" s="6"/>
      <c r="D17" s="6"/>
      <c r="E17" s="6"/>
      <c r="F17" s="6"/>
      <c r="G17" s="6"/>
      <c r="H17" s="6"/>
      <c r="I17" s="6"/>
      <c r="J17" s="6"/>
      <c r="K17" s="6"/>
      <c r="L17" s="7">
        <f>SUBTOTAL(109,CAN_gen[2015])</f>
        <v>639278.07000000007</v>
      </c>
      <c r="M17" s="7">
        <f>SUBTOTAL(109,CAN_gen[2016])</f>
        <v>645793.31999999983</v>
      </c>
      <c r="N17" s="7">
        <f>SUBTOTAL(109,CAN_gen[2017])</f>
        <v>648184.72</v>
      </c>
      <c r="O17" s="7">
        <f>SUBTOTAL(109,CAN_gen[2018])</f>
        <v>639148.57999999996</v>
      </c>
      <c r="P17" s="7">
        <f>SUBTOTAL(109,CAN_gen[2019])</f>
        <v>632207.56999999995</v>
      </c>
      <c r="Q17" s="7">
        <f>SUBTOTAL(109,CAN_gen[2020])</f>
        <v>628543.5</v>
      </c>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7">
        <f>SUBTOTAL(109,CAN_gen[2050])</f>
        <v>777986.03999999992</v>
      </c>
    </row>
    <row r="18" spans="1:47" ht="18" x14ac:dyDescent="0.35">
      <c r="A18" s="4" t="s">
        <v>62</v>
      </c>
    </row>
    <row r="19" spans="1:47" x14ac:dyDescent="0.3">
      <c r="A19" s="2" t="s">
        <v>7</v>
      </c>
      <c r="B19" s="2" t="s">
        <v>8</v>
      </c>
      <c r="C19" s="2" t="s">
        <v>9</v>
      </c>
      <c r="D19" s="2" t="s">
        <v>10</v>
      </c>
      <c r="E19" s="2" t="s">
        <v>11</v>
      </c>
      <c r="F19" s="2" t="s">
        <v>12</v>
      </c>
      <c r="G19" s="2" t="s">
        <v>13</v>
      </c>
      <c r="H19" s="2" t="s">
        <v>14</v>
      </c>
      <c r="I19" s="2" t="s">
        <v>15</v>
      </c>
      <c r="J19" s="2" t="s">
        <v>16</v>
      </c>
      <c r="K19" s="2" t="s">
        <v>17</v>
      </c>
      <c r="L19" s="2" t="s">
        <v>18</v>
      </c>
      <c r="M19" s="2" t="s">
        <v>19</v>
      </c>
      <c r="N19" s="2" t="s">
        <v>20</v>
      </c>
      <c r="O19" s="2" t="s">
        <v>21</v>
      </c>
      <c r="P19" s="2" t="s">
        <v>22</v>
      </c>
      <c r="Q19" s="2" t="s">
        <v>23</v>
      </c>
      <c r="R19" s="2" t="s">
        <v>24</v>
      </c>
      <c r="S19" s="2" t="s">
        <v>25</v>
      </c>
      <c r="T19" s="2" t="s">
        <v>26</v>
      </c>
      <c r="U19" s="2" t="s">
        <v>27</v>
      </c>
      <c r="V19" s="2" t="s">
        <v>28</v>
      </c>
      <c r="W19" s="2" t="s">
        <v>29</v>
      </c>
      <c r="X19" s="2" t="s">
        <v>30</v>
      </c>
      <c r="Y19" s="2" t="s">
        <v>31</v>
      </c>
      <c r="Z19" s="2" t="s">
        <v>32</v>
      </c>
      <c r="AA19" s="2" t="s">
        <v>33</v>
      </c>
      <c r="AB19" s="2" t="s">
        <v>34</v>
      </c>
      <c r="AC19" s="2" t="s">
        <v>35</v>
      </c>
      <c r="AD19" s="2" t="s">
        <v>36</v>
      </c>
      <c r="AE19" s="2" t="s">
        <v>37</v>
      </c>
      <c r="AF19" s="2" t="s">
        <v>38</v>
      </c>
      <c r="AG19" s="2" t="s">
        <v>39</v>
      </c>
      <c r="AH19" s="2" t="s">
        <v>40</v>
      </c>
      <c r="AI19" s="2" t="s">
        <v>41</v>
      </c>
      <c r="AJ19" s="2" t="s">
        <v>42</v>
      </c>
      <c r="AK19" s="2" t="s">
        <v>43</v>
      </c>
      <c r="AL19" s="2" t="s">
        <v>44</v>
      </c>
      <c r="AM19" s="2" t="s">
        <v>45</v>
      </c>
      <c r="AN19" s="2" t="s">
        <v>46</v>
      </c>
      <c r="AO19" s="2" t="s">
        <v>47</v>
      </c>
      <c r="AP19" s="2" t="s">
        <v>48</v>
      </c>
      <c r="AQ19" s="2" t="s">
        <v>49</v>
      </c>
      <c r="AR19" s="2" t="s">
        <v>50</v>
      </c>
      <c r="AS19" s="2" t="s">
        <v>51</v>
      </c>
      <c r="AT19" s="2" t="s">
        <v>52</v>
      </c>
      <c r="AU19" s="2" t="s">
        <v>53</v>
      </c>
    </row>
    <row r="20" spans="1:47" x14ac:dyDescent="0.3">
      <c r="A20" s="2" t="s">
        <v>54</v>
      </c>
      <c r="B20" s="2">
        <v>40741.370000000003</v>
      </c>
      <c r="C20" s="2">
        <v>41953.37</v>
      </c>
      <c r="D20" s="2">
        <v>40291.379999999997</v>
      </c>
      <c r="E20" s="2">
        <v>41897.25</v>
      </c>
      <c r="F20" s="2">
        <v>36728</v>
      </c>
      <c r="G20" s="2">
        <v>40286.800000000003</v>
      </c>
      <c r="H20" s="2">
        <v>40033.370000000003</v>
      </c>
      <c r="I20" s="2">
        <v>42202.52</v>
      </c>
      <c r="J20" s="2">
        <v>41441.68</v>
      </c>
      <c r="K20" s="2">
        <v>39047.83</v>
      </c>
      <c r="L20" s="2">
        <v>39686</v>
      </c>
      <c r="M20" s="2">
        <v>39482.99</v>
      </c>
      <c r="N20" s="2">
        <v>36548</v>
      </c>
      <c r="O20" s="2">
        <v>41831</v>
      </c>
      <c r="P20" s="2">
        <v>40798</v>
      </c>
      <c r="Q20" s="2">
        <v>44229.08</v>
      </c>
      <c r="R20" s="2">
        <v>44998.71</v>
      </c>
      <c r="S20" s="2">
        <v>45778.13</v>
      </c>
      <c r="T20" s="2">
        <v>45877.23</v>
      </c>
      <c r="U20" s="2">
        <v>46000.71</v>
      </c>
      <c r="V20" s="2">
        <v>46081.07</v>
      </c>
      <c r="W20" s="2">
        <v>46132.89</v>
      </c>
      <c r="X20" s="2">
        <v>46192.22</v>
      </c>
      <c r="Y20" s="2">
        <v>46560.81</v>
      </c>
      <c r="Z20" s="2">
        <v>46599.49</v>
      </c>
      <c r="AA20" s="2">
        <v>46620.39</v>
      </c>
      <c r="AB20" s="2">
        <v>46648.78</v>
      </c>
      <c r="AC20" s="2">
        <v>46673.7</v>
      </c>
      <c r="AD20" s="2">
        <v>46699.29</v>
      </c>
      <c r="AE20" s="2">
        <v>46719.81</v>
      </c>
      <c r="AF20" s="2">
        <v>46737.18</v>
      </c>
      <c r="AG20" s="2">
        <v>46760.97</v>
      </c>
      <c r="AH20" s="2">
        <v>46782.15</v>
      </c>
      <c r="AI20" s="2">
        <v>46790.51</v>
      </c>
      <c r="AJ20" s="2">
        <v>46796.98</v>
      </c>
      <c r="AK20" s="2">
        <v>46802.84</v>
      </c>
      <c r="AL20" s="2">
        <v>46811.96</v>
      </c>
      <c r="AM20" s="2">
        <v>46817.39</v>
      </c>
      <c r="AN20" s="2">
        <v>46832.18</v>
      </c>
      <c r="AO20" s="2">
        <v>46852.05</v>
      </c>
      <c r="AP20" s="2">
        <v>46864.84</v>
      </c>
      <c r="AQ20" s="2">
        <v>46881.14</v>
      </c>
      <c r="AR20" s="2">
        <v>46897.89</v>
      </c>
      <c r="AS20" s="2">
        <v>46908.46</v>
      </c>
      <c r="AT20" s="2">
        <v>46925.71</v>
      </c>
      <c r="AU20" s="2">
        <v>46935.91</v>
      </c>
    </row>
    <row r="21" spans="1:47" x14ac:dyDescent="0.3">
      <c r="A21" s="2" t="s">
        <v>55</v>
      </c>
      <c r="B21" s="2">
        <v>0</v>
      </c>
      <c r="C21" s="2">
        <v>0</v>
      </c>
      <c r="D21" s="2">
        <v>0</v>
      </c>
      <c r="E21" s="2">
        <v>0</v>
      </c>
      <c r="F21" s="2">
        <v>102</v>
      </c>
      <c r="G21" s="2">
        <v>183</v>
      </c>
      <c r="H21" s="2">
        <v>198</v>
      </c>
      <c r="I21" s="2">
        <v>195</v>
      </c>
      <c r="J21" s="2">
        <v>192</v>
      </c>
      <c r="K21" s="2">
        <v>176.96</v>
      </c>
      <c r="L21" s="2">
        <v>172</v>
      </c>
      <c r="M21" s="2">
        <v>190</v>
      </c>
      <c r="N21" s="2">
        <v>186</v>
      </c>
      <c r="O21" s="2">
        <v>206</v>
      </c>
      <c r="P21" s="2">
        <v>182</v>
      </c>
      <c r="Q21" s="2">
        <v>181.79</v>
      </c>
      <c r="R21" s="2">
        <v>181.82</v>
      </c>
      <c r="S21" s="2">
        <v>181.89</v>
      </c>
      <c r="T21" s="2">
        <v>181.9</v>
      </c>
      <c r="U21" s="2">
        <v>181.91</v>
      </c>
      <c r="V21" s="2">
        <v>181.92</v>
      </c>
      <c r="W21" s="2">
        <v>181.92</v>
      </c>
      <c r="X21" s="2">
        <v>181.93</v>
      </c>
      <c r="Y21" s="2">
        <v>181.96</v>
      </c>
      <c r="Z21" s="2">
        <v>181.96</v>
      </c>
      <c r="AA21" s="2">
        <v>182.84</v>
      </c>
      <c r="AB21" s="2">
        <v>183.72</v>
      </c>
      <c r="AC21" s="2">
        <v>184.6</v>
      </c>
      <c r="AD21" s="2">
        <v>185.48</v>
      </c>
      <c r="AE21" s="2">
        <v>186.35</v>
      </c>
      <c r="AF21" s="2">
        <v>187.22</v>
      </c>
      <c r="AG21" s="2">
        <v>188.09</v>
      </c>
      <c r="AH21" s="2">
        <v>188.95</v>
      </c>
      <c r="AI21" s="2">
        <v>189.81</v>
      </c>
      <c r="AJ21" s="2">
        <v>190.67</v>
      </c>
      <c r="AK21" s="2">
        <v>191.52</v>
      </c>
      <c r="AL21" s="2">
        <v>192.38</v>
      </c>
      <c r="AM21" s="2">
        <v>193.23</v>
      </c>
      <c r="AN21" s="2">
        <v>194.07</v>
      </c>
      <c r="AO21" s="2">
        <v>194.92</v>
      </c>
      <c r="AP21" s="2">
        <v>195.76</v>
      </c>
      <c r="AQ21" s="2">
        <v>196.6</v>
      </c>
      <c r="AR21" s="2">
        <v>197.44</v>
      </c>
      <c r="AS21" s="2">
        <v>198.28</v>
      </c>
      <c r="AT21" s="2">
        <v>199.11</v>
      </c>
      <c r="AU21" s="2">
        <v>199.94</v>
      </c>
    </row>
    <row r="22" spans="1:47" x14ac:dyDescent="0.3">
      <c r="A22" s="2" t="s">
        <v>56</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row>
    <row r="23" spans="1:47" x14ac:dyDescent="0.3">
      <c r="A23" s="2" t="s">
        <v>57</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row>
    <row r="24" spans="1:47" x14ac:dyDescent="0.3">
      <c r="A24" s="2" t="s">
        <v>58</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row>
    <row r="25" spans="1:47" x14ac:dyDescent="0.3">
      <c r="A25" s="2" t="s">
        <v>59</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row>
    <row r="26" spans="1:47" x14ac:dyDescent="0.3">
      <c r="A26" s="2" t="s">
        <v>60</v>
      </c>
      <c r="B26" s="2">
        <v>267.07</v>
      </c>
      <c r="C26" s="2">
        <v>277.82</v>
      </c>
      <c r="D26" s="2">
        <v>236.77</v>
      </c>
      <c r="E26" s="2">
        <v>456.94</v>
      </c>
      <c r="F26" s="2">
        <v>447.62</v>
      </c>
      <c r="G26" s="2">
        <v>454.97</v>
      </c>
      <c r="H26" s="2">
        <v>449.29</v>
      </c>
      <c r="I26" s="2">
        <v>418.8</v>
      </c>
      <c r="J26" s="2">
        <v>444.36</v>
      </c>
      <c r="K26" s="2">
        <v>416.68</v>
      </c>
      <c r="L26" s="2">
        <v>225.22</v>
      </c>
      <c r="M26" s="2">
        <v>265.72000000000003</v>
      </c>
      <c r="N26" s="2">
        <v>391.17</v>
      </c>
      <c r="O26" s="2">
        <v>113.27</v>
      </c>
      <c r="P26" s="2">
        <v>263.31</v>
      </c>
      <c r="Q26" s="2">
        <v>395.86</v>
      </c>
      <c r="R26" s="2">
        <v>408.82</v>
      </c>
      <c r="S26" s="2">
        <v>444.5</v>
      </c>
      <c r="T26" s="2">
        <v>448.96</v>
      </c>
      <c r="U26" s="2">
        <v>454.56</v>
      </c>
      <c r="V26" s="2">
        <v>469.4</v>
      </c>
      <c r="W26" s="2">
        <v>496.8</v>
      </c>
      <c r="X26" s="2">
        <v>528.5</v>
      </c>
      <c r="Y26" s="2">
        <v>239.2</v>
      </c>
      <c r="Z26" s="2">
        <v>256.75</v>
      </c>
      <c r="AA26" s="2">
        <v>268.02999999999997</v>
      </c>
      <c r="AB26" s="2">
        <v>280.57</v>
      </c>
      <c r="AC26" s="2">
        <v>292.43</v>
      </c>
      <c r="AD26" s="2">
        <v>311.55</v>
      </c>
      <c r="AE26" s="2">
        <v>328.76</v>
      </c>
      <c r="AF26" s="2">
        <v>344.44</v>
      </c>
      <c r="AG26" s="2">
        <v>362.06</v>
      </c>
      <c r="AH26" s="2">
        <v>382.9</v>
      </c>
      <c r="AI26" s="2">
        <v>390.79</v>
      </c>
      <c r="AJ26" s="2">
        <v>401.18</v>
      </c>
      <c r="AK26" s="2">
        <v>406.53</v>
      </c>
      <c r="AL26" s="2">
        <v>416.98</v>
      </c>
      <c r="AM26" s="2">
        <v>427.44</v>
      </c>
      <c r="AN26" s="2">
        <v>445.63</v>
      </c>
      <c r="AO26" s="2">
        <v>469.17</v>
      </c>
      <c r="AP26" s="2">
        <v>488.73</v>
      </c>
      <c r="AQ26" s="2">
        <v>509.78</v>
      </c>
      <c r="AR26" s="2">
        <v>531.70000000000005</v>
      </c>
      <c r="AS26" s="2">
        <v>521.54</v>
      </c>
      <c r="AT26" s="2">
        <v>470.16</v>
      </c>
      <c r="AU26" s="2">
        <v>431.07</v>
      </c>
    </row>
    <row r="27" spans="1:47" x14ac:dyDescent="0.3">
      <c r="A27" s="2" t="s">
        <v>61</v>
      </c>
      <c r="B27" s="2">
        <v>1306.21</v>
      </c>
      <c r="C27" s="2">
        <v>823.06</v>
      </c>
      <c r="D27" s="2">
        <v>1305.52</v>
      </c>
      <c r="E27" s="2">
        <v>1139.06</v>
      </c>
      <c r="F27" s="2">
        <v>1121.5899999999999</v>
      </c>
      <c r="G27" s="2">
        <v>1017.23</v>
      </c>
      <c r="H27" s="2">
        <v>1039.3599999999999</v>
      </c>
      <c r="I27" s="2">
        <v>998.93</v>
      </c>
      <c r="J27" s="2">
        <v>1179.72</v>
      </c>
      <c r="K27" s="2">
        <v>1595.16</v>
      </c>
      <c r="L27" s="2">
        <v>1669.78</v>
      </c>
      <c r="M27" s="2">
        <v>1909.28</v>
      </c>
      <c r="N27" s="2">
        <v>1778.83</v>
      </c>
      <c r="O27" s="2">
        <v>1483.73</v>
      </c>
      <c r="P27" s="2">
        <v>1450.69</v>
      </c>
      <c r="Q27" s="2">
        <v>933.49</v>
      </c>
      <c r="R27" s="2">
        <v>958.54</v>
      </c>
      <c r="S27" s="2">
        <v>263.27999999999997</v>
      </c>
      <c r="T27" s="2">
        <v>275.76</v>
      </c>
      <c r="U27" s="2">
        <v>250.15</v>
      </c>
      <c r="V27" s="2">
        <v>247.64</v>
      </c>
      <c r="W27" s="2">
        <v>255.07</v>
      </c>
      <c r="X27" s="2">
        <v>172.16</v>
      </c>
      <c r="Y27" s="2">
        <v>270.51</v>
      </c>
      <c r="Z27" s="2">
        <v>282.38</v>
      </c>
      <c r="AA27" s="2">
        <v>310.39999999999998</v>
      </c>
      <c r="AB27" s="2">
        <v>352.01</v>
      </c>
      <c r="AC27" s="2">
        <v>329.11</v>
      </c>
      <c r="AD27" s="2">
        <v>407.95</v>
      </c>
      <c r="AE27" s="2">
        <v>394.36</v>
      </c>
      <c r="AF27" s="2">
        <v>397.85</v>
      </c>
      <c r="AG27" s="2">
        <v>246.77</v>
      </c>
      <c r="AH27" s="2">
        <v>332.52</v>
      </c>
      <c r="AI27" s="2">
        <v>332.59</v>
      </c>
      <c r="AJ27" s="2">
        <v>332.64</v>
      </c>
      <c r="AK27" s="2">
        <v>332.69</v>
      </c>
      <c r="AL27" s="2">
        <v>408.89</v>
      </c>
      <c r="AM27" s="2">
        <v>265.88</v>
      </c>
      <c r="AN27" s="2">
        <v>269.27999999999997</v>
      </c>
      <c r="AO27" s="2">
        <v>297.11</v>
      </c>
      <c r="AP27" s="2">
        <v>297.2</v>
      </c>
      <c r="AQ27" s="2">
        <v>273.39</v>
      </c>
      <c r="AR27" s="2">
        <v>309.58999999999997</v>
      </c>
      <c r="AS27" s="2">
        <v>282.42</v>
      </c>
      <c r="AT27" s="2">
        <v>312.74</v>
      </c>
      <c r="AU27" s="2">
        <v>312.82</v>
      </c>
    </row>
    <row r="29" spans="1:47" ht="18" x14ac:dyDescent="0.35">
      <c r="A29" s="4" t="s">
        <v>63</v>
      </c>
    </row>
    <row r="30" spans="1:47" x14ac:dyDescent="0.3">
      <c r="A30" s="2" t="s">
        <v>7</v>
      </c>
      <c r="B30" s="2" t="s">
        <v>8</v>
      </c>
      <c r="C30" s="2" t="s">
        <v>9</v>
      </c>
      <c r="D30" s="2" t="s">
        <v>10</v>
      </c>
      <c r="E30" s="2" t="s">
        <v>11</v>
      </c>
      <c r="F30" s="2" t="s">
        <v>12</v>
      </c>
      <c r="G30" s="2" t="s">
        <v>13</v>
      </c>
      <c r="H30" s="2" t="s">
        <v>14</v>
      </c>
      <c r="I30" s="2" t="s">
        <v>15</v>
      </c>
      <c r="J30" s="2" t="s">
        <v>16</v>
      </c>
      <c r="K30" s="2" t="s">
        <v>17</v>
      </c>
      <c r="L30" s="2" t="s">
        <v>18</v>
      </c>
      <c r="M30" s="2" t="s">
        <v>19</v>
      </c>
      <c r="N30" s="2" t="s">
        <v>20</v>
      </c>
      <c r="O30" s="2" t="s">
        <v>21</v>
      </c>
      <c r="P30" s="2" t="s">
        <v>22</v>
      </c>
      <c r="Q30" s="2" t="s">
        <v>23</v>
      </c>
      <c r="R30" s="2" t="s">
        <v>24</v>
      </c>
      <c r="S30" s="2" t="s">
        <v>25</v>
      </c>
      <c r="T30" s="2" t="s">
        <v>26</v>
      </c>
      <c r="U30" s="2" t="s">
        <v>27</v>
      </c>
      <c r="V30" s="2" t="s">
        <v>28</v>
      </c>
      <c r="W30" s="2" t="s">
        <v>29</v>
      </c>
      <c r="X30" s="2" t="s">
        <v>30</v>
      </c>
      <c r="Y30" s="2" t="s">
        <v>31</v>
      </c>
      <c r="Z30" s="2" t="s">
        <v>32</v>
      </c>
      <c r="AA30" s="2" t="s">
        <v>33</v>
      </c>
      <c r="AB30" s="2" t="s">
        <v>34</v>
      </c>
      <c r="AC30" s="2" t="s">
        <v>35</v>
      </c>
      <c r="AD30" s="2" t="s">
        <v>36</v>
      </c>
      <c r="AE30" s="2" t="s">
        <v>37</v>
      </c>
      <c r="AF30" s="2" t="s">
        <v>38</v>
      </c>
      <c r="AG30" s="2" t="s">
        <v>39</v>
      </c>
      <c r="AH30" s="2" t="s">
        <v>40</v>
      </c>
      <c r="AI30" s="2" t="s">
        <v>41</v>
      </c>
      <c r="AJ30" s="2" t="s">
        <v>42</v>
      </c>
      <c r="AK30" s="2" t="s">
        <v>43</v>
      </c>
      <c r="AL30" s="2" t="s">
        <v>44</v>
      </c>
      <c r="AM30" s="2" t="s">
        <v>45</v>
      </c>
      <c r="AN30" s="2" t="s">
        <v>46</v>
      </c>
      <c r="AO30" s="2" t="s">
        <v>47</v>
      </c>
      <c r="AP30" s="2" t="s">
        <v>48</v>
      </c>
      <c r="AQ30" s="2" t="s">
        <v>49</v>
      </c>
      <c r="AR30" s="2" t="s">
        <v>50</v>
      </c>
      <c r="AS30" s="2" t="s">
        <v>51</v>
      </c>
      <c r="AT30" s="2" t="s">
        <v>52</v>
      </c>
      <c r="AU30" s="2" t="s">
        <v>53</v>
      </c>
    </row>
    <row r="31" spans="1:47" x14ac:dyDescent="0.3">
      <c r="A31" s="2" t="s">
        <v>54</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row>
    <row r="32" spans="1:47" x14ac:dyDescent="0.3">
      <c r="A32" s="2" t="s">
        <v>55</v>
      </c>
      <c r="B32" s="2">
        <v>40</v>
      </c>
      <c r="C32" s="2">
        <v>36</v>
      </c>
      <c r="D32" s="2">
        <v>40</v>
      </c>
      <c r="E32" s="2">
        <v>142</v>
      </c>
      <c r="F32" s="2">
        <v>347</v>
      </c>
      <c r="G32" s="2">
        <v>458</v>
      </c>
      <c r="H32" s="2">
        <v>488</v>
      </c>
      <c r="I32" s="2">
        <v>468</v>
      </c>
      <c r="J32" s="2">
        <v>499</v>
      </c>
      <c r="K32" s="2">
        <v>611.28</v>
      </c>
      <c r="L32" s="2">
        <v>606</v>
      </c>
      <c r="M32" s="2">
        <v>594</v>
      </c>
      <c r="N32" s="2">
        <v>604</v>
      </c>
      <c r="O32" s="2">
        <v>640</v>
      </c>
      <c r="P32" s="2">
        <v>645</v>
      </c>
      <c r="Q32" s="2">
        <v>677.27</v>
      </c>
      <c r="R32" s="2">
        <v>940.07</v>
      </c>
      <c r="S32" s="2">
        <v>940.03</v>
      </c>
      <c r="T32" s="2">
        <v>947.04</v>
      </c>
      <c r="U32" s="2">
        <v>954.87</v>
      </c>
      <c r="V32" s="2">
        <v>1225.8900000000001</v>
      </c>
      <c r="W32" s="2">
        <v>1234.44</v>
      </c>
      <c r="X32" s="2">
        <v>1243.1500000000001</v>
      </c>
      <c r="Y32" s="2">
        <v>1252.01</v>
      </c>
      <c r="Z32" s="2">
        <v>1261.1400000000001</v>
      </c>
      <c r="AA32" s="2">
        <v>1537.15</v>
      </c>
      <c r="AB32" s="2">
        <v>1550.71</v>
      </c>
      <c r="AC32" s="2">
        <v>1564.6</v>
      </c>
      <c r="AD32" s="2">
        <v>1578.8</v>
      </c>
      <c r="AE32" s="2">
        <v>1593.43</v>
      </c>
      <c r="AF32" s="2">
        <v>1608.3</v>
      </c>
      <c r="AG32" s="2">
        <v>1623.57</v>
      </c>
      <c r="AH32" s="2">
        <v>1639.24</v>
      </c>
      <c r="AI32" s="2">
        <v>1655.27</v>
      </c>
      <c r="AJ32" s="2">
        <v>1671.69</v>
      </c>
      <c r="AK32" s="2">
        <v>1688.44</v>
      </c>
      <c r="AL32" s="2">
        <v>1705.53</v>
      </c>
      <c r="AM32" s="2">
        <v>1723.03</v>
      </c>
      <c r="AN32" s="2">
        <v>1740.94</v>
      </c>
      <c r="AO32" s="2">
        <v>1759.22</v>
      </c>
      <c r="AP32" s="2">
        <v>1777.75</v>
      </c>
      <c r="AQ32" s="2">
        <v>1796.52</v>
      </c>
      <c r="AR32" s="2">
        <v>1815.57</v>
      </c>
      <c r="AS32" s="2">
        <v>1835.02</v>
      </c>
      <c r="AT32" s="2">
        <v>1854.7</v>
      </c>
      <c r="AU32" s="2">
        <v>1875.48</v>
      </c>
    </row>
    <row r="33" spans="1:47" x14ac:dyDescent="0.3">
      <c r="A33" s="2" t="s">
        <v>56</v>
      </c>
      <c r="B33" s="2">
        <v>0</v>
      </c>
      <c r="C33" s="2">
        <v>0</v>
      </c>
      <c r="D33" s="2">
        <v>0</v>
      </c>
      <c r="E33" s="2">
        <v>5</v>
      </c>
      <c r="F33" s="2">
        <v>5</v>
      </c>
      <c r="G33" s="2">
        <v>5</v>
      </c>
      <c r="H33" s="2">
        <v>5</v>
      </c>
      <c r="I33" s="2">
        <v>5</v>
      </c>
      <c r="J33" s="2">
        <v>5</v>
      </c>
      <c r="K33" s="2">
        <v>2.5</v>
      </c>
      <c r="L33" s="2">
        <v>3</v>
      </c>
      <c r="M33" s="2">
        <v>3</v>
      </c>
      <c r="N33" s="2">
        <v>2</v>
      </c>
      <c r="O33" s="2">
        <v>2</v>
      </c>
      <c r="P33" s="2">
        <v>3</v>
      </c>
      <c r="Q33" s="2">
        <v>3</v>
      </c>
      <c r="R33" s="2">
        <v>3</v>
      </c>
      <c r="S33" s="2">
        <v>3</v>
      </c>
      <c r="T33" s="2">
        <v>3</v>
      </c>
      <c r="U33" s="2">
        <v>3.53</v>
      </c>
      <c r="V33" s="2">
        <v>3.53</v>
      </c>
      <c r="W33" s="2">
        <v>3.53</v>
      </c>
      <c r="X33" s="2">
        <v>3.53</v>
      </c>
      <c r="Y33" s="2">
        <v>3.53</v>
      </c>
      <c r="Z33" s="2">
        <v>3.53</v>
      </c>
      <c r="AA33" s="2">
        <v>3.53</v>
      </c>
      <c r="AB33" s="2">
        <v>3.53</v>
      </c>
      <c r="AC33" s="2">
        <v>3.53</v>
      </c>
      <c r="AD33" s="2">
        <v>3.53</v>
      </c>
      <c r="AE33" s="2">
        <v>3.53</v>
      </c>
      <c r="AF33" s="2">
        <v>3.53</v>
      </c>
      <c r="AG33" s="2">
        <v>4.3099999999999996</v>
      </c>
      <c r="AH33" s="2">
        <v>4.3099999999999996</v>
      </c>
      <c r="AI33" s="2">
        <v>4.3099999999999996</v>
      </c>
      <c r="AJ33" s="2">
        <v>4.3099999999999996</v>
      </c>
      <c r="AK33" s="2">
        <v>5.19</v>
      </c>
      <c r="AL33" s="2">
        <v>5.19</v>
      </c>
      <c r="AM33" s="2">
        <v>5.19</v>
      </c>
      <c r="AN33" s="2">
        <v>5.19</v>
      </c>
      <c r="AO33" s="2">
        <v>5.19</v>
      </c>
      <c r="AP33" s="2">
        <v>5.19</v>
      </c>
      <c r="AQ33" s="2">
        <v>6.15</v>
      </c>
      <c r="AR33" s="2">
        <v>7.2</v>
      </c>
      <c r="AS33" s="2">
        <v>8.26</v>
      </c>
      <c r="AT33" s="2">
        <v>9.31</v>
      </c>
      <c r="AU33" s="2">
        <v>10.36</v>
      </c>
    </row>
    <row r="34" spans="1:47" x14ac:dyDescent="0.3">
      <c r="A34" s="2" t="s">
        <v>57</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3.64</v>
      </c>
      <c r="T34" s="2">
        <v>3.64</v>
      </c>
      <c r="U34" s="2">
        <v>7.89</v>
      </c>
      <c r="V34" s="2">
        <v>12.29</v>
      </c>
      <c r="W34" s="2">
        <v>16.79</v>
      </c>
      <c r="X34" s="2">
        <v>21.39</v>
      </c>
      <c r="Y34" s="2">
        <v>26.11</v>
      </c>
      <c r="Z34" s="2">
        <v>30.91</v>
      </c>
      <c r="AA34" s="2">
        <v>35.83</v>
      </c>
      <c r="AB34" s="2">
        <v>40.85</v>
      </c>
      <c r="AC34" s="2">
        <v>45.96</v>
      </c>
      <c r="AD34" s="2">
        <v>51.21</v>
      </c>
      <c r="AE34" s="2">
        <v>56.55</v>
      </c>
      <c r="AF34" s="2">
        <v>62.01</v>
      </c>
      <c r="AG34" s="2">
        <v>67.59</v>
      </c>
      <c r="AH34" s="2">
        <v>73.290000000000006</v>
      </c>
      <c r="AI34" s="2">
        <v>79.08</v>
      </c>
      <c r="AJ34" s="2">
        <v>84.99</v>
      </c>
      <c r="AK34" s="2">
        <v>91.02</v>
      </c>
      <c r="AL34" s="2">
        <v>97.14</v>
      </c>
      <c r="AM34" s="2">
        <v>103.38</v>
      </c>
      <c r="AN34" s="2">
        <v>109.74</v>
      </c>
      <c r="AO34" s="2">
        <v>116.16</v>
      </c>
      <c r="AP34" s="2">
        <v>122.6</v>
      </c>
      <c r="AQ34" s="2">
        <v>129.13999999999999</v>
      </c>
      <c r="AR34" s="2">
        <v>135.76</v>
      </c>
      <c r="AS34" s="2">
        <v>142.41</v>
      </c>
      <c r="AT34" s="2">
        <v>149.19</v>
      </c>
      <c r="AU34" s="2">
        <v>156.26</v>
      </c>
    </row>
    <row r="35" spans="1:47" x14ac:dyDescent="0.3">
      <c r="A35" s="2" t="s">
        <v>58</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row>
    <row r="36" spans="1:47" x14ac:dyDescent="0.3">
      <c r="A36" s="2" t="s">
        <v>59</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row>
    <row r="37" spans="1:47" x14ac:dyDescent="0.3">
      <c r="A37" s="2" t="s">
        <v>60</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row>
    <row r="38" spans="1:47" x14ac:dyDescent="0.3">
      <c r="A38" s="2" t="s">
        <v>61</v>
      </c>
      <c r="B38" s="2">
        <v>0.88</v>
      </c>
      <c r="C38" s="2">
        <v>0.88</v>
      </c>
      <c r="D38" s="2">
        <v>0.88</v>
      </c>
      <c r="E38" s="2">
        <v>0.48</v>
      </c>
      <c r="F38" s="2">
        <v>2.72</v>
      </c>
      <c r="G38" s="2">
        <v>0</v>
      </c>
      <c r="H38" s="2">
        <v>0</v>
      </c>
      <c r="I38" s="2">
        <v>8.16</v>
      </c>
      <c r="J38" s="2">
        <v>2.17</v>
      </c>
      <c r="K38" s="2">
        <v>5.8</v>
      </c>
      <c r="L38" s="2">
        <v>7</v>
      </c>
      <c r="M38" s="2">
        <v>7</v>
      </c>
      <c r="N38" s="2">
        <v>7</v>
      </c>
      <c r="O38" s="2">
        <v>6</v>
      </c>
      <c r="P38" s="2">
        <v>3</v>
      </c>
      <c r="Q38" s="2">
        <v>48.27</v>
      </c>
      <c r="R38" s="2">
        <v>48.27</v>
      </c>
      <c r="S38" s="2">
        <v>48.37</v>
      </c>
      <c r="T38" s="2">
        <v>76.540000000000006</v>
      </c>
      <c r="U38" s="2">
        <v>58.88</v>
      </c>
      <c r="V38" s="2">
        <v>58.88</v>
      </c>
      <c r="W38" s="2">
        <v>58.88</v>
      </c>
      <c r="X38" s="2">
        <v>18.79</v>
      </c>
      <c r="Y38" s="2">
        <v>53.58</v>
      </c>
      <c r="Z38" s="2">
        <v>57.15</v>
      </c>
      <c r="AA38" s="2">
        <v>58.14</v>
      </c>
      <c r="AB38" s="2">
        <v>76.540000000000006</v>
      </c>
      <c r="AC38" s="2">
        <v>58.88</v>
      </c>
      <c r="AD38" s="2">
        <v>129.63999999999999</v>
      </c>
      <c r="AE38" s="2">
        <v>127.58</v>
      </c>
      <c r="AF38" s="2">
        <v>142.01</v>
      </c>
      <c r="AG38" s="2">
        <v>6.42</v>
      </c>
      <c r="AH38" s="2">
        <v>124.34</v>
      </c>
      <c r="AI38" s="2">
        <v>124.34</v>
      </c>
      <c r="AJ38" s="2">
        <v>124.34</v>
      </c>
      <c r="AK38" s="2">
        <v>124.34</v>
      </c>
      <c r="AL38" s="2">
        <v>840.15</v>
      </c>
      <c r="AM38" s="2">
        <v>604.39</v>
      </c>
      <c r="AN38" s="2">
        <v>668.4</v>
      </c>
      <c r="AO38" s="2">
        <v>237.14</v>
      </c>
      <c r="AP38" s="2">
        <v>237.14</v>
      </c>
      <c r="AQ38" s="2">
        <v>235.34</v>
      </c>
      <c r="AR38" s="2">
        <v>237.14</v>
      </c>
      <c r="AS38" s="2">
        <v>237.14</v>
      </c>
      <c r="AT38" s="2">
        <v>237.14</v>
      </c>
      <c r="AU38" s="2">
        <v>237.14</v>
      </c>
    </row>
    <row r="40" spans="1:47" ht="18" x14ac:dyDescent="0.35">
      <c r="A40" s="4" t="s">
        <v>64</v>
      </c>
    </row>
    <row r="41" spans="1:47" x14ac:dyDescent="0.3">
      <c r="A41" s="2" t="s">
        <v>7</v>
      </c>
      <c r="B41" s="2" t="s">
        <v>8</v>
      </c>
      <c r="C41" s="2" t="s">
        <v>9</v>
      </c>
      <c r="D41" s="2" t="s">
        <v>10</v>
      </c>
      <c r="E41" s="2" t="s">
        <v>11</v>
      </c>
      <c r="F41" s="2" t="s">
        <v>12</v>
      </c>
      <c r="G41" s="2" t="s">
        <v>13</v>
      </c>
      <c r="H41" s="2" t="s">
        <v>14</v>
      </c>
      <c r="I41" s="2" t="s">
        <v>15</v>
      </c>
      <c r="J41" s="2" t="s">
        <v>16</v>
      </c>
      <c r="K41" s="2" t="s">
        <v>17</v>
      </c>
      <c r="L41" s="2" t="s">
        <v>18</v>
      </c>
      <c r="M41" s="2" t="s">
        <v>19</v>
      </c>
      <c r="N41" s="2" t="s">
        <v>20</v>
      </c>
      <c r="O41" s="2" t="s">
        <v>21</v>
      </c>
      <c r="P41" s="2" t="s">
        <v>22</v>
      </c>
      <c r="Q41" s="2" t="s">
        <v>23</v>
      </c>
      <c r="R41" s="2" t="s">
        <v>24</v>
      </c>
      <c r="S41" s="2" t="s">
        <v>25</v>
      </c>
      <c r="T41" s="2" t="s">
        <v>26</v>
      </c>
      <c r="U41" s="2" t="s">
        <v>27</v>
      </c>
      <c r="V41" s="2" t="s">
        <v>28</v>
      </c>
      <c r="W41" s="2" t="s">
        <v>29</v>
      </c>
      <c r="X41" s="2" t="s">
        <v>30</v>
      </c>
      <c r="Y41" s="2" t="s">
        <v>31</v>
      </c>
      <c r="Z41" s="2" t="s">
        <v>32</v>
      </c>
      <c r="AA41" s="2" t="s">
        <v>33</v>
      </c>
      <c r="AB41" s="2" t="s">
        <v>34</v>
      </c>
      <c r="AC41" s="2" t="s">
        <v>35</v>
      </c>
      <c r="AD41" s="2" t="s">
        <v>36</v>
      </c>
      <c r="AE41" s="2" t="s">
        <v>37</v>
      </c>
      <c r="AF41" s="2" t="s">
        <v>38</v>
      </c>
      <c r="AG41" s="2" t="s">
        <v>39</v>
      </c>
      <c r="AH41" s="2" t="s">
        <v>40</v>
      </c>
      <c r="AI41" s="2" t="s">
        <v>41</v>
      </c>
      <c r="AJ41" s="2" t="s">
        <v>42</v>
      </c>
      <c r="AK41" s="2" t="s">
        <v>43</v>
      </c>
      <c r="AL41" s="2" t="s">
        <v>44</v>
      </c>
      <c r="AM41" s="2" t="s">
        <v>45</v>
      </c>
      <c r="AN41" s="2" t="s">
        <v>46</v>
      </c>
      <c r="AO41" s="2" t="s">
        <v>47</v>
      </c>
      <c r="AP41" s="2" t="s">
        <v>48</v>
      </c>
      <c r="AQ41" s="2" t="s">
        <v>49</v>
      </c>
      <c r="AR41" s="2" t="s">
        <v>50</v>
      </c>
      <c r="AS41" s="2" t="s">
        <v>51</v>
      </c>
      <c r="AT41" s="2" t="s">
        <v>52</v>
      </c>
      <c r="AU41" s="2" t="s">
        <v>53</v>
      </c>
    </row>
    <row r="42" spans="1:47" x14ac:dyDescent="0.3">
      <c r="A42" s="2" t="s">
        <v>54</v>
      </c>
      <c r="B42" s="2">
        <v>926.06</v>
      </c>
      <c r="C42" s="2">
        <v>926.06</v>
      </c>
      <c r="D42" s="2">
        <v>926.06</v>
      </c>
      <c r="E42" s="2">
        <v>1096.6600000000001</v>
      </c>
      <c r="F42" s="2">
        <v>1074.1400000000001</v>
      </c>
      <c r="G42" s="2">
        <v>1007.81</v>
      </c>
      <c r="H42" s="2">
        <v>1112.47</v>
      </c>
      <c r="I42" s="2">
        <v>851.5</v>
      </c>
      <c r="J42" s="2">
        <v>1005.76</v>
      </c>
      <c r="K42" s="2">
        <v>1128.69</v>
      </c>
      <c r="L42" s="2">
        <v>979.2</v>
      </c>
      <c r="M42" s="2">
        <v>779.28</v>
      </c>
      <c r="N42" s="2">
        <v>824.89</v>
      </c>
      <c r="O42" s="2">
        <v>910.29</v>
      </c>
      <c r="P42" s="2">
        <v>1001.52</v>
      </c>
      <c r="Q42" s="2">
        <v>1001.5</v>
      </c>
      <c r="R42" s="2">
        <v>1001.53</v>
      </c>
      <c r="S42" s="2">
        <v>1001.5</v>
      </c>
      <c r="T42" s="2">
        <v>1001.53</v>
      </c>
      <c r="U42" s="2">
        <v>1001.52</v>
      </c>
      <c r="V42" s="2">
        <v>1001.51</v>
      </c>
      <c r="W42" s="2">
        <v>1001.51</v>
      </c>
      <c r="X42" s="2">
        <v>1001.51</v>
      </c>
      <c r="Y42" s="2">
        <v>1001.52</v>
      </c>
      <c r="Z42" s="2">
        <v>1001.52</v>
      </c>
      <c r="AA42" s="2">
        <v>1001.51</v>
      </c>
      <c r="AB42" s="2">
        <v>1001.53</v>
      </c>
      <c r="AC42" s="2">
        <v>1001.51</v>
      </c>
      <c r="AD42" s="2">
        <v>1001.52</v>
      </c>
      <c r="AE42" s="2">
        <v>1055.22</v>
      </c>
      <c r="AF42" s="2">
        <v>1055.22</v>
      </c>
      <c r="AG42" s="2">
        <v>1114.53</v>
      </c>
      <c r="AH42" s="2">
        <v>1114.52</v>
      </c>
      <c r="AI42" s="2">
        <v>1114.53</v>
      </c>
      <c r="AJ42" s="2">
        <v>1114.52</v>
      </c>
      <c r="AK42" s="2">
        <v>1172.24</v>
      </c>
      <c r="AL42" s="2">
        <v>1172.26</v>
      </c>
      <c r="AM42" s="2">
        <v>1172.25</v>
      </c>
      <c r="AN42" s="2">
        <v>1172.25</v>
      </c>
      <c r="AO42" s="2">
        <v>1236.46</v>
      </c>
      <c r="AP42" s="2">
        <v>1300.93</v>
      </c>
      <c r="AQ42" s="2">
        <v>1365.15</v>
      </c>
      <c r="AR42" s="2">
        <v>1428.04</v>
      </c>
      <c r="AS42" s="2">
        <v>1484.63</v>
      </c>
      <c r="AT42" s="2">
        <v>1535.53</v>
      </c>
      <c r="AU42" s="2">
        <v>1535.53</v>
      </c>
    </row>
    <row r="43" spans="1:47" x14ac:dyDescent="0.3">
      <c r="A43" s="2" t="s">
        <v>55</v>
      </c>
      <c r="B43" s="2">
        <v>85</v>
      </c>
      <c r="C43" s="2">
        <v>110</v>
      </c>
      <c r="D43" s="2">
        <v>157</v>
      </c>
      <c r="E43" s="2">
        <v>149</v>
      </c>
      <c r="F43" s="2">
        <v>154</v>
      </c>
      <c r="G43" s="2">
        <v>387</v>
      </c>
      <c r="H43" s="2">
        <v>664.19</v>
      </c>
      <c r="I43" s="2">
        <v>800</v>
      </c>
      <c r="J43" s="2">
        <v>765</v>
      </c>
      <c r="K43" s="2">
        <v>748.68</v>
      </c>
      <c r="L43" s="2">
        <v>803.57</v>
      </c>
      <c r="M43" s="2">
        <v>999</v>
      </c>
      <c r="N43" s="2">
        <v>1309</v>
      </c>
      <c r="O43" s="2">
        <v>1153</v>
      </c>
      <c r="P43" s="2">
        <v>1057</v>
      </c>
      <c r="Q43" s="2">
        <v>1056.93</v>
      </c>
      <c r="R43" s="2">
        <v>1056.95</v>
      </c>
      <c r="S43" s="2">
        <v>1056.93</v>
      </c>
      <c r="T43" s="2">
        <v>1099.03</v>
      </c>
      <c r="U43" s="2">
        <v>1099.03</v>
      </c>
      <c r="V43" s="2">
        <v>1145.42</v>
      </c>
      <c r="W43" s="2">
        <v>1192.74</v>
      </c>
      <c r="X43" s="2">
        <v>1240.44</v>
      </c>
      <c r="Y43" s="2">
        <v>1288.9100000000001</v>
      </c>
      <c r="Z43" s="2">
        <v>1338.38</v>
      </c>
      <c r="AA43" s="2">
        <v>1417.42</v>
      </c>
      <c r="AB43" s="2">
        <v>1497.66</v>
      </c>
      <c r="AC43" s="2">
        <v>1579.14</v>
      </c>
      <c r="AD43" s="2">
        <v>1662.04</v>
      </c>
      <c r="AE43" s="2">
        <v>1746.35</v>
      </c>
      <c r="AF43" s="2">
        <v>1831.79</v>
      </c>
      <c r="AG43" s="2">
        <v>1919.03</v>
      </c>
      <c r="AH43" s="2">
        <v>2007.76</v>
      </c>
      <c r="AI43" s="2">
        <v>2098.09</v>
      </c>
      <c r="AJ43" s="2">
        <v>2189.5300000000002</v>
      </c>
      <c r="AK43" s="2">
        <v>2282.42</v>
      </c>
      <c r="AL43" s="2">
        <v>2376.54</v>
      </c>
      <c r="AM43" s="2">
        <v>2471.7800000000002</v>
      </c>
      <c r="AN43" s="2">
        <v>2567.92</v>
      </c>
      <c r="AO43" s="2">
        <v>2732.1</v>
      </c>
      <c r="AP43" s="2">
        <v>2897.83</v>
      </c>
      <c r="AQ43" s="2">
        <v>3067.64</v>
      </c>
      <c r="AR43" s="2">
        <v>3238.37</v>
      </c>
      <c r="AS43" s="2">
        <v>3410.14</v>
      </c>
      <c r="AT43" s="2">
        <v>3582.98</v>
      </c>
      <c r="AU43" s="2">
        <v>3759.08</v>
      </c>
    </row>
    <row r="44" spans="1:47" x14ac:dyDescent="0.3">
      <c r="A44" s="2" t="s">
        <v>56</v>
      </c>
      <c r="B44" s="2">
        <v>318</v>
      </c>
      <c r="C44" s="2">
        <v>318</v>
      </c>
      <c r="D44" s="2">
        <v>318</v>
      </c>
      <c r="E44" s="2">
        <v>322</v>
      </c>
      <c r="F44" s="2">
        <v>245</v>
      </c>
      <c r="G44" s="2">
        <v>378</v>
      </c>
      <c r="H44" s="2">
        <v>363</v>
      </c>
      <c r="I44" s="2">
        <v>387</v>
      </c>
      <c r="J44" s="2">
        <v>331</v>
      </c>
      <c r="K44" s="2">
        <v>253.9</v>
      </c>
      <c r="L44" s="2">
        <v>427</v>
      </c>
      <c r="M44" s="2">
        <v>395</v>
      </c>
      <c r="N44" s="2">
        <v>288</v>
      </c>
      <c r="O44" s="2">
        <v>487</v>
      </c>
      <c r="P44" s="2">
        <v>314</v>
      </c>
      <c r="Q44" s="2">
        <v>107.1</v>
      </c>
      <c r="R44" s="2">
        <v>126.51</v>
      </c>
      <c r="S44" s="2">
        <v>137.33000000000001</v>
      </c>
      <c r="T44" s="2">
        <v>140.46</v>
      </c>
      <c r="U44" s="2">
        <v>140.46</v>
      </c>
      <c r="V44" s="2">
        <v>132.81</v>
      </c>
      <c r="W44" s="2">
        <v>204.82</v>
      </c>
      <c r="X44" s="2">
        <v>202.1</v>
      </c>
      <c r="Y44" s="2">
        <v>203.78</v>
      </c>
      <c r="Z44" s="2">
        <v>204.14</v>
      </c>
      <c r="AA44" s="2">
        <v>204.03</v>
      </c>
      <c r="AB44" s="2">
        <v>204.1</v>
      </c>
      <c r="AC44" s="2">
        <v>172.39</v>
      </c>
      <c r="AD44" s="2">
        <v>172.87</v>
      </c>
      <c r="AE44" s="2">
        <v>172.2</v>
      </c>
      <c r="AF44" s="2">
        <v>177.51</v>
      </c>
      <c r="AG44" s="2">
        <v>176.04</v>
      </c>
      <c r="AH44" s="2">
        <v>174.33</v>
      </c>
      <c r="AI44" s="2">
        <v>173.27</v>
      </c>
      <c r="AJ44" s="2">
        <v>174.35</v>
      </c>
      <c r="AK44" s="2">
        <v>172.02</v>
      </c>
      <c r="AL44" s="2">
        <v>181.13</v>
      </c>
      <c r="AM44" s="2">
        <v>178.24</v>
      </c>
      <c r="AN44" s="2">
        <v>212.23</v>
      </c>
      <c r="AO44" s="2">
        <v>212.23</v>
      </c>
      <c r="AP44" s="2">
        <v>212.23</v>
      </c>
      <c r="AQ44" s="2">
        <v>213.3</v>
      </c>
      <c r="AR44" s="2">
        <v>159.09</v>
      </c>
      <c r="AS44" s="2">
        <v>155.04</v>
      </c>
      <c r="AT44" s="2">
        <v>214.87</v>
      </c>
      <c r="AU44" s="2">
        <v>216.03</v>
      </c>
    </row>
    <row r="45" spans="1:47" x14ac:dyDescent="0.3">
      <c r="A45" s="2" t="s">
        <v>57</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18.13</v>
      </c>
      <c r="X45" s="2">
        <v>36.270000000000003</v>
      </c>
      <c r="Y45" s="2">
        <v>36.270000000000003</v>
      </c>
      <c r="Z45" s="2">
        <v>54.4</v>
      </c>
      <c r="AA45" s="2">
        <v>72.53</v>
      </c>
      <c r="AB45" s="2">
        <v>90.67</v>
      </c>
      <c r="AC45" s="2">
        <v>108.8</v>
      </c>
      <c r="AD45" s="2">
        <v>126.93</v>
      </c>
      <c r="AE45" s="2">
        <v>145.07</v>
      </c>
      <c r="AF45" s="2">
        <v>145.07</v>
      </c>
      <c r="AG45" s="2">
        <v>163.19999999999999</v>
      </c>
      <c r="AH45" s="2">
        <v>181.33</v>
      </c>
      <c r="AI45" s="2">
        <v>199.47</v>
      </c>
      <c r="AJ45" s="2">
        <v>217.6</v>
      </c>
      <c r="AK45" s="2">
        <v>235.73</v>
      </c>
      <c r="AL45" s="2">
        <v>253.87</v>
      </c>
      <c r="AM45" s="2">
        <v>272</v>
      </c>
      <c r="AN45" s="2">
        <v>290.13</v>
      </c>
      <c r="AO45" s="2">
        <v>308.26</v>
      </c>
      <c r="AP45" s="2">
        <v>326.39999999999998</v>
      </c>
      <c r="AQ45" s="2">
        <v>344.53</v>
      </c>
      <c r="AR45" s="2">
        <v>362.66</v>
      </c>
      <c r="AS45" s="2">
        <v>380.8</v>
      </c>
      <c r="AT45" s="2">
        <v>398.93</v>
      </c>
      <c r="AU45" s="2">
        <v>417.06</v>
      </c>
    </row>
    <row r="46" spans="1:47" x14ac:dyDescent="0.3">
      <c r="A46" s="2" t="s">
        <v>58</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row>
    <row r="47" spans="1:47" x14ac:dyDescent="0.3">
      <c r="A47" s="2" t="s">
        <v>59</v>
      </c>
      <c r="B47" s="2">
        <v>8374.98</v>
      </c>
      <c r="C47" s="2">
        <v>8119.94</v>
      </c>
      <c r="D47" s="2">
        <v>8768.6299999999992</v>
      </c>
      <c r="E47" s="2">
        <v>8765.9699999999993</v>
      </c>
      <c r="F47" s="2">
        <v>7688.15</v>
      </c>
      <c r="G47" s="2">
        <v>7492.97</v>
      </c>
      <c r="H47" s="2">
        <v>6494.95</v>
      </c>
      <c r="I47" s="2">
        <v>6173.75</v>
      </c>
      <c r="J47" s="2">
        <v>6848.48</v>
      </c>
      <c r="K47" s="2">
        <v>5521.82</v>
      </c>
      <c r="L47" s="2">
        <v>4854.08</v>
      </c>
      <c r="M47" s="2">
        <v>4812.21</v>
      </c>
      <c r="N47" s="2">
        <v>4829.16</v>
      </c>
      <c r="O47" s="2">
        <v>4959.76</v>
      </c>
      <c r="P47" s="2">
        <v>4972.72</v>
      </c>
      <c r="Q47" s="2">
        <v>4454.2700000000004</v>
      </c>
      <c r="R47" s="2">
        <v>4431.5</v>
      </c>
      <c r="S47" s="2">
        <v>4909.3999999999996</v>
      </c>
      <c r="T47" s="2">
        <v>5046.07</v>
      </c>
      <c r="U47" s="2">
        <v>5178.1899999999996</v>
      </c>
      <c r="V47" s="2">
        <v>4583.8999999999996</v>
      </c>
      <c r="W47" s="2">
        <v>4612.6000000000004</v>
      </c>
      <c r="X47" s="2">
        <v>4538.9399999999996</v>
      </c>
      <c r="Y47" s="2">
        <v>4570.6400000000003</v>
      </c>
      <c r="Z47" s="2">
        <v>4585.08</v>
      </c>
      <c r="AA47" s="2">
        <v>4580.59</v>
      </c>
      <c r="AB47" s="2">
        <v>4583.47</v>
      </c>
      <c r="AC47" s="2">
        <v>3505.46</v>
      </c>
      <c r="AD47" s="2">
        <v>3525.19</v>
      </c>
      <c r="AE47" s="2">
        <v>3498.07</v>
      </c>
      <c r="AF47" s="2">
        <v>3158.62</v>
      </c>
      <c r="AG47" s="2">
        <v>3107.71</v>
      </c>
      <c r="AH47" s="2">
        <v>3015.86</v>
      </c>
      <c r="AI47" s="2">
        <v>2978.9</v>
      </c>
      <c r="AJ47" s="2">
        <v>2526.94</v>
      </c>
      <c r="AK47" s="2">
        <v>2459.04</v>
      </c>
      <c r="AL47" s="2">
        <v>2115.6799999999998</v>
      </c>
      <c r="AM47" s="2">
        <v>2048.37</v>
      </c>
      <c r="AN47" s="2">
        <v>1951.18</v>
      </c>
      <c r="AO47" s="2">
        <v>1788.88</v>
      </c>
      <c r="AP47" s="2">
        <v>1666.19</v>
      </c>
      <c r="AQ47" s="2">
        <v>1528.46</v>
      </c>
      <c r="AR47" s="2">
        <v>1624.83</v>
      </c>
      <c r="AS47" s="2">
        <v>1531.7</v>
      </c>
      <c r="AT47" s="2">
        <v>1395.41</v>
      </c>
      <c r="AU47" s="2">
        <v>1333.13</v>
      </c>
    </row>
    <row r="48" spans="1:47" x14ac:dyDescent="0.3">
      <c r="A48" s="2" t="s">
        <v>60</v>
      </c>
      <c r="B48" s="2">
        <v>165.12</v>
      </c>
      <c r="C48" s="2">
        <v>354.87</v>
      </c>
      <c r="D48" s="2">
        <v>804.62</v>
      </c>
      <c r="E48" s="2">
        <v>1158.9100000000001</v>
      </c>
      <c r="F48" s="2">
        <v>1489.51</v>
      </c>
      <c r="G48" s="2">
        <v>2111.4</v>
      </c>
      <c r="H48" s="2">
        <v>2260.7800000000002</v>
      </c>
      <c r="I48" s="2">
        <v>2103.87</v>
      </c>
      <c r="J48" s="2">
        <v>1291.8499999999999</v>
      </c>
      <c r="K48" s="2">
        <v>1363.72</v>
      </c>
      <c r="L48" s="2">
        <v>2630.25</v>
      </c>
      <c r="M48" s="2">
        <v>2462.5700000000002</v>
      </c>
      <c r="N48" s="2">
        <v>2564.71</v>
      </c>
      <c r="O48" s="2">
        <v>2328.5700000000002</v>
      </c>
      <c r="P48" s="2">
        <v>2106.4899999999998</v>
      </c>
      <c r="Q48" s="2">
        <v>575.44000000000005</v>
      </c>
      <c r="R48" s="2">
        <v>666.79</v>
      </c>
      <c r="S48" s="2">
        <v>712.38</v>
      </c>
      <c r="T48" s="2">
        <v>719.63</v>
      </c>
      <c r="U48" s="2">
        <v>719.63</v>
      </c>
      <c r="V48" s="2">
        <v>1529.08</v>
      </c>
      <c r="W48" s="2">
        <v>1533.05</v>
      </c>
      <c r="X48" s="2">
        <v>1533.05</v>
      </c>
      <c r="Y48" s="2">
        <v>1533.05</v>
      </c>
      <c r="Z48" s="2">
        <v>1533.05</v>
      </c>
      <c r="AA48" s="2">
        <v>1533.05</v>
      </c>
      <c r="AB48" s="2">
        <v>1533.05</v>
      </c>
      <c r="AC48" s="2">
        <v>2946.2</v>
      </c>
      <c r="AD48" s="2">
        <v>2938.41</v>
      </c>
      <c r="AE48" s="2">
        <v>2904.65</v>
      </c>
      <c r="AF48" s="2">
        <v>3089.69</v>
      </c>
      <c r="AG48" s="2">
        <v>3044.04</v>
      </c>
      <c r="AH48" s="2">
        <v>3055.43</v>
      </c>
      <c r="AI48" s="2">
        <v>3023.42</v>
      </c>
      <c r="AJ48" s="2">
        <v>3274.83</v>
      </c>
      <c r="AK48" s="2">
        <v>3208.67</v>
      </c>
      <c r="AL48" s="2">
        <v>3196.95</v>
      </c>
      <c r="AM48" s="2">
        <v>3147.52</v>
      </c>
      <c r="AN48" s="2">
        <v>3104.98</v>
      </c>
      <c r="AO48" s="2">
        <v>3031.65</v>
      </c>
      <c r="AP48" s="2">
        <v>2931.58</v>
      </c>
      <c r="AQ48" s="2">
        <v>2843.22</v>
      </c>
      <c r="AR48" s="2">
        <v>2626.11</v>
      </c>
      <c r="AS48" s="2">
        <v>2561.44</v>
      </c>
      <c r="AT48" s="2">
        <v>2543.17</v>
      </c>
      <c r="AU48" s="2">
        <v>2534.27</v>
      </c>
    </row>
    <row r="49" spans="1:47" x14ac:dyDescent="0.3">
      <c r="A49" s="2" t="s">
        <v>61</v>
      </c>
      <c r="B49" s="2">
        <v>1911.5</v>
      </c>
      <c r="C49" s="2">
        <v>1624.09</v>
      </c>
      <c r="D49" s="2">
        <v>1586.95</v>
      </c>
      <c r="E49" s="2">
        <v>708.16</v>
      </c>
      <c r="F49" s="2">
        <v>1014.59</v>
      </c>
      <c r="G49" s="2">
        <v>563.73</v>
      </c>
      <c r="H49" s="2">
        <v>693.24</v>
      </c>
      <c r="I49" s="2">
        <v>762.46</v>
      </c>
      <c r="J49" s="2">
        <v>512.59</v>
      </c>
      <c r="K49" s="2">
        <v>1608.56</v>
      </c>
      <c r="L49" s="2">
        <v>491.61</v>
      </c>
      <c r="M49" s="2">
        <v>348.22</v>
      </c>
      <c r="N49" s="2">
        <v>247.13</v>
      </c>
      <c r="O49" s="2">
        <v>309.67</v>
      </c>
      <c r="P49" s="2">
        <v>207.79</v>
      </c>
      <c r="Q49" s="2">
        <v>24.43</v>
      </c>
      <c r="R49" s="2">
        <v>53.21</v>
      </c>
      <c r="S49" s="2">
        <v>88.54</v>
      </c>
      <c r="T49" s="2">
        <v>156.56</v>
      </c>
      <c r="U49" s="2">
        <v>103.05</v>
      </c>
      <c r="V49" s="2">
        <v>125.22</v>
      </c>
      <c r="W49" s="2">
        <v>149.88</v>
      </c>
      <c r="X49" s="2">
        <v>249.53</v>
      </c>
      <c r="Y49" s="2">
        <v>272.32</v>
      </c>
      <c r="Z49" s="2">
        <v>276.07</v>
      </c>
      <c r="AA49" s="2">
        <v>276.16000000000003</v>
      </c>
      <c r="AB49" s="2">
        <v>277.14</v>
      </c>
      <c r="AC49" s="2">
        <v>98.77</v>
      </c>
      <c r="AD49" s="2">
        <v>124.85</v>
      </c>
      <c r="AE49" s="2">
        <v>130.41</v>
      </c>
      <c r="AF49" s="2">
        <v>240.49</v>
      </c>
      <c r="AG49" s="2">
        <v>233.71</v>
      </c>
      <c r="AH49" s="2">
        <v>247.83</v>
      </c>
      <c r="AI49" s="2">
        <v>244.18</v>
      </c>
      <c r="AJ49" s="2">
        <v>258.91000000000003</v>
      </c>
      <c r="AK49" s="2">
        <v>251.2</v>
      </c>
      <c r="AL49" s="2">
        <v>284.43</v>
      </c>
      <c r="AM49" s="2">
        <v>270.04000000000002</v>
      </c>
      <c r="AN49" s="2">
        <v>267.5</v>
      </c>
      <c r="AO49" s="2">
        <v>262.60000000000002</v>
      </c>
      <c r="AP49" s="2">
        <v>252.55</v>
      </c>
      <c r="AQ49" s="2">
        <v>243.51</v>
      </c>
      <c r="AR49" s="2">
        <v>239.05</v>
      </c>
      <c r="AS49" s="2">
        <v>234.93</v>
      </c>
      <c r="AT49" s="2">
        <v>232.5</v>
      </c>
      <c r="AU49" s="2">
        <v>232.14</v>
      </c>
    </row>
    <row r="51" spans="1:47" ht="18" x14ac:dyDescent="0.35">
      <c r="A51" s="4" t="s">
        <v>65</v>
      </c>
    </row>
    <row r="52" spans="1:47" x14ac:dyDescent="0.3">
      <c r="A52" s="2" t="s">
        <v>7</v>
      </c>
      <c r="B52" s="2" t="s">
        <v>8</v>
      </c>
      <c r="C52" s="2" t="s">
        <v>9</v>
      </c>
      <c r="D52" s="2" t="s">
        <v>10</v>
      </c>
      <c r="E52" s="2" t="s">
        <v>11</v>
      </c>
      <c r="F52" s="2" t="s">
        <v>12</v>
      </c>
      <c r="G52" s="2" t="s">
        <v>13</v>
      </c>
      <c r="H52" s="2" t="s">
        <v>14</v>
      </c>
      <c r="I52" s="2" t="s">
        <v>15</v>
      </c>
      <c r="J52" s="2" t="s">
        <v>16</v>
      </c>
      <c r="K52" s="2" t="s">
        <v>17</v>
      </c>
      <c r="L52" s="2" t="s">
        <v>18</v>
      </c>
      <c r="M52" s="2" t="s">
        <v>19</v>
      </c>
      <c r="N52" s="2" t="s">
        <v>20</v>
      </c>
      <c r="O52" s="2" t="s">
        <v>21</v>
      </c>
      <c r="P52" s="2" t="s">
        <v>22</v>
      </c>
      <c r="Q52" s="2" t="s">
        <v>23</v>
      </c>
      <c r="R52" s="2" t="s">
        <v>24</v>
      </c>
      <c r="S52" s="2" t="s">
        <v>25</v>
      </c>
      <c r="T52" s="2" t="s">
        <v>26</v>
      </c>
      <c r="U52" s="2" t="s">
        <v>27</v>
      </c>
      <c r="V52" s="2" t="s">
        <v>28</v>
      </c>
      <c r="W52" s="2" t="s">
        <v>29</v>
      </c>
      <c r="X52" s="2" t="s">
        <v>30</v>
      </c>
      <c r="Y52" s="2" t="s">
        <v>31</v>
      </c>
      <c r="Z52" s="2" t="s">
        <v>32</v>
      </c>
      <c r="AA52" s="2" t="s">
        <v>33</v>
      </c>
      <c r="AB52" s="2" t="s">
        <v>34</v>
      </c>
      <c r="AC52" s="2" t="s">
        <v>35</v>
      </c>
      <c r="AD52" s="2" t="s">
        <v>36</v>
      </c>
      <c r="AE52" s="2" t="s">
        <v>37</v>
      </c>
      <c r="AF52" s="2" t="s">
        <v>38</v>
      </c>
      <c r="AG52" s="2" t="s">
        <v>39</v>
      </c>
      <c r="AH52" s="2" t="s">
        <v>40</v>
      </c>
      <c r="AI52" s="2" t="s">
        <v>41</v>
      </c>
      <c r="AJ52" s="2" t="s">
        <v>42</v>
      </c>
      <c r="AK52" s="2" t="s">
        <v>43</v>
      </c>
      <c r="AL52" s="2" t="s">
        <v>44</v>
      </c>
      <c r="AM52" s="2" t="s">
        <v>45</v>
      </c>
      <c r="AN52" s="2" t="s">
        <v>46</v>
      </c>
      <c r="AO52" s="2" t="s">
        <v>47</v>
      </c>
      <c r="AP52" s="2" t="s">
        <v>48</v>
      </c>
      <c r="AQ52" s="2" t="s">
        <v>49</v>
      </c>
      <c r="AR52" s="2" t="s">
        <v>50</v>
      </c>
      <c r="AS52" s="2" t="s">
        <v>51</v>
      </c>
      <c r="AT52" s="2" t="s">
        <v>52</v>
      </c>
      <c r="AU52" s="2" t="s">
        <v>53</v>
      </c>
    </row>
    <row r="53" spans="1:47" x14ac:dyDescent="0.3">
      <c r="A53" s="2" t="s">
        <v>54</v>
      </c>
      <c r="B53" s="2">
        <v>3875</v>
      </c>
      <c r="C53" s="2">
        <v>3731</v>
      </c>
      <c r="D53" s="2">
        <v>2793.76</v>
      </c>
      <c r="E53" s="2">
        <v>3536.09</v>
      </c>
      <c r="F53" s="2">
        <v>2964.24</v>
      </c>
      <c r="G53" s="2">
        <v>3325.35</v>
      </c>
      <c r="H53" s="2">
        <v>3921.29</v>
      </c>
      <c r="I53" s="2">
        <v>2957.28</v>
      </c>
      <c r="J53" s="2">
        <v>3410.31</v>
      </c>
      <c r="K53" s="2">
        <v>2963.11</v>
      </c>
      <c r="L53" s="2">
        <v>2615</v>
      </c>
      <c r="M53" s="2">
        <v>3262</v>
      </c>
      <c r="N53" s="2">
        <v>2597</v>
      </c>
      <c r="O53" s="2">
        <v>2535</v>
      </c>
      <c r="P53" s="2">
        <v>2994</v>
      </c>
      <c r="Q53" s="2">
        <v>2994.02</v>
      </c>
      <c r="R53" s="2">
        <v>2994.01</v>
      </c>
      <c r="S53" s="2">
        <v>2993.99</v>
      </c>
      <c r="T53" s="2">
        <v>2993.98</v>
      </c>
      <c r="U53" s="2">
        <v>3033.32</v>
      </c>
      <c r="V53" s="2">
        <v>3033.34</v>
      </c>
      <c r="W53" s="2">
        <v>3069.42</v>
      </c>
      <c r="X53" s="2">
        <v>3069.45</v>
      </c>
      <c r="Y53" s="2">
        <v>3109.47</v>
      </c>
      <c r="Z53" s="2">
        <v>3146.43</v>
      </c>
      <c r="AA53" s="2">
        <v>3146.41</v>
      </c>
      <c r="AB53" s="2">
        <v>3146.44</v>
      </c>
      <c r="AC53" s="2">
        <v>3146.44</v>
      </c>
      <c r="AD53" s="2">
        <v>3146.44</v>
      </c>
      <c r="AE53" s="2">
        <v>3146.44</v>
      </c>
      <c r="AF53" s="2">
        <v>3146.41</v>
      </c>
      <c r="AG53" s="2">
        <v>3187.61</v>
      </c>
      <c r="AH53" s="2">
        <v>3187.6</v>
      </c>
      <c r="AI53" s="2">
        <v>3224.63</v>
      </c>
      <c r="AJ53" s="2">
        <v>3257.94</v>
      </c>
      <c r="AK53" s="2">
        <v>3287.98</v>
      </c>
      <c r="AL53" s="2">
        <v>3287.97</v>
      </c>
      <c r="AM53" s="2">
        <v>3287.97</v>
      </c>
      <c r="AN53" s="2">
        <v>3287.98</v>
      </c>
      <c r="AO53" s="2">
        <v>3287.98</v>
      </c>
      <c r="AP53" s="2">
        <v>3287.99</v>
      </c>
      <c r="AQ53" s="2">
        <v>3314.96</v>
      </c>
      <c r="AR53" s="2">
        <v>3339.31</v>
      </c>
      <c r="AS53" s="2">
        <v>3361.21</v>
      </c>
      <c r="AT53" s="2">
        <v>3361.22</v>
      </c>
      <c r="AU53" s="2">
        <v>3361.23</v>
      </c>
    </row>
    <row r="54" spans="1:47" x14ac:dyDescent="0.3">
      <c r="A54" s="2" t="s">
        <v>55</v>
      </c>
      <c r="B54" s="2">
        <v>0</v>
      </c>
      <c r="C54" s="2">
        <v>0</v>
      </c>
      <c r="D54" s="2">
        <v>0</v>
      </c>
      <c r="E54" s="2">
        <v>0</v>
      </c>
      <c r="F54" s="2">
        <v>270</v>
      </c>
      <c r="G54" s="2">
        <v>389</v>
      </c>
      <c r="H54" s="2">
        <v>693</v>
      </c>
      <c r="I54" s="2">
        <v>733</v>
      </c>
      <c r="J54" s="2">
        <v>737</v>
      </c>
      <c r="K54" s="2">
        <v>785.85</v>
      </c>
      <c r="L54" s="2">
        <v>792</v>
      </c>
      <c r="M54" s="2">
        <v>766</v>
      </c>
      <c r="N54" s="2">
        <v>781</v>
      </c>
      <c r="O54" s="2">
        <v>825</v>
      </c>
      <c r="P54" s="2">
        <v>888</v>
      </c>
      <c r="Q54" s="2">
        <v>888.01</v>
      </c>
      <c r="R54" s="2">
        <v>1030.18</v>
      </c>
      <c r="S54" s="2">
        <v>1152.81</v>
      </c>
      <c r="T54" s="2">
        <v>1187.78</v>
      </c>
      <c r="U54" s="2">
        <v>1221.6199999999999</v>
      </c>
      <c r="V54" s="2">
        <v>1256.0899999999999</v>
      </c>
      <c r="W54" s="2">
        <v>1291.26</v>
      </c>
      <c r="X54" s="2">
        <v>1326.83</v>
      </c>
      <c r="Y54" s="2">
        <v>1362.69</v>
      </c>
      <c r="Z54" s="2">
        <v>1398.91</v>
      </c>
      <c r="AA54" s="2">
        <v>1435.46</v>
      </c>
      <c r="AB54" s="2">
        <v>1472.49</v>
      </c>
      <c r="AC54" s="2">
        <v>1509.87</v>
      </c>
      <c r="AD54" s="2">
        <v>1652.74</v>
      </c>
      <c r="AE54" s="2">
        <v>1690.68</v>
      </c>
      <c r="AF54" s="2">
        <v>1728.72</v>
      </c>
      <c r="AG54" s="2">
        <v>1814.51</v>
      </c>
      <c r="AH54" s="2">
        <v>1898.22</v>
      </c>
      <c r="AI54" s="2">
        <v>1984.44</v>
      </c>
      <c r="AJ54" s="2">
        <v>2070.7199999999998</v>
      </c>
      <c r="AK54" s="2">
        <v>2157.0100000000002</v>
      </c>
      <c r="AL54" s="2">
        <v>2195.35</v>
      </c>
      <c r="AM54" s="2">
        <v>2279.98</v>
      </c>
      <c r="AN54" s="2">
        <v>2365.15</v>
      </c>
      <c r="AO54" s="2">
        <v>2450.71</v>
      </c>
      <c r="AP54" s="2">
        <v>2535.34</v>
      </c>
      <c r="AQ54" s="2">
        <v>2618.13</v>
      </c>
      <c r="AR54" s="2">
        <v>2699.62</v>
      </c>
      <c r="AS54" s="2">
        <v>2780.09</v>
      </c>
      <c r="AT54" s="2">
        <v>2859.84</v>
      </c>
      <c r="AU54" s="2">
        <v>2936.62</v>
      </c>
    </row>
    <row r="55" spans="1:47" x14ac:dyDescent="0.3">
      <c r="A55" s="2" t="s">
        <v>56</v>
      </c>
      <c r="B55" s="2">
        <v>610</v>
      </c>
      <c r="C55" s="2">
        <v>610</v>
      </c>
      <c r="D55" s="2">
        <v>562</v>
      </c>
      <c r="E55" s="2">
        <v>647</v>
      </c>
      <c r="F55" s="2">
        <v>576</v>
      </c>
      <c r="G55" s="2">
        <v>585</v>
      </c>
      <c r="H55" s="2">
        <v>569</v>
      </c>
      <c r="I55" s="2">
        <v>579</v>
      </c>
      <c r="J55" s="2">
        <v>558</v>
      </c>
      <c r="K55" s="2">
        <v>474.7</v>
      </c>
      <c r="L55" s="2">
        <v>309</v>
      </c>
      <c r="M55" s="2">
        <v>328</v>
      </c>
      <c r="N55" s="2">
        <v>270</v>
      </c>
      <c r="O55" s="2">
        <v>508</v>
      </c>
      <c r="P55" s="2">
        <v>505</v>
      </c>
      <c r="Q55" s="2">
        <v>505</v>
      </c>
      <c r="R55" s="2">
        <v>505</v>
      </c>
      <c r="S55" s="2">
        <v>505</v>
      </c>
      <c r="T55" s="2">
        <v>505</v>
      </c>
      <c r="U55" s="2">
        <v>505</v>
      </c>
      <c r="V55" s="2">
        <v>505</v>
      </c>
      <c r="W55" s="2">
        <v>505</v>
      </c>
      <c r="X55" s="2">
        <v>505</v>
      </c>
      <c r="Y55" s="2">
        <v>505</v>
      </c>
      <c r="Z55" s="2">
        <v>505</v>
      </c>
      <c r="AA55" s="2">
        <v>505</v>
      </c>
      <c r="AB55" s="2">
        <v>505</v>
      </c>
      <c r="AC55" s="2">
        <v>505</v>
      </c>
      <c r="AD55" s="2">
        <v>505</v>
      </c>
      <c r="AE55" s="2">
        <v>505</v>
      </c>
      <c r="AF55" s="2">
        <v>505</v>
      </c>
      <c r="AG55" s="2">
        <v>505</v>
      </c>
      <c r="AH55" s="2">
        <v>505</v>
      </c>
      <c r="AI55" s="2">
        <v>505</v>
      </c>
      <c r="AJ55" s="2">
        <v>505</v>
      </c>
      <c r="AK55" s="2">
        <v>510.96</v>
      </c>
      <c r="AL55" s="2">
        <v>510.96</v>
      </c>
      <c r="AM55" s="2">
        <v>510.96</v>
      </c>
      <c r="AN55" s="2">
        <v>510.96</v>
      </c>
      <c r="AO55" s="2">
        <v>510.96</v>
      </c>
      <c r="AP55" s="2">
        <v>510.96</v>
      </c>
      <c r="AQ55" s="2">
        <v>516.91999999999996</v>
      </c>
      <c r="AR55" s="2">
        <v>522.88</v>
      </c>
      <c r="AS55" s="2">
        <v>528.75</v>
      </c>
      <c r="AT55" s="2">
        <v>534.53</v>
      </c>
      <c r="AU55" s="2">
        <v>540.04999999999995</v>
      </c>
    </row>
    <row r="56" spans="1:47" x14ac:dyDescent="0.3">
      <c r="A56" s="2" t="s">
        <v>57</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3.63</v>
      </c>
      <c r="T56" s="2">
        <v>3.63</v>
      </c>
      <c r="U56" s="2">
        <v>7.25</v>
      </c>
      <c r="V56" s="2">
        <v>63.44</v>
      </c>
      <c r="W56" s="2">
        <v>67.069999999999993</v>
      </c>
      <c r="X56" s="2">
        <v>70.69</v>
      </c>
      <c r="Y56" s="2">
        <v>74.319999999999993</v>
      </c>
      <c r="Z56" s="2">
        <v>77.95</v>
      </c>
      <c r="AA56" s="2">
        <v>81.569999999999993</v>
      </c>
      <c r="AB56" s="2">
        <v>85.2</v>
      </c>
      <c r="AC56" s="2">
        <v>88.83</v>
      </c>
      <c r="AD56" s="2">
        <v>92.45</v>
      </c>
      <c r="AE56" s="2">
        <v>96.08</v>
      </c>
      <c r="AF56" s="2">
        <v>99.71</v>
      </c>
      <c r="AG56" s="2">
        <v>103.33</v>
      </c>
      <c r="AH56" s="2">
        <v>106.96</v>
      </c>
      <c r="AI56" s="2">
        <v>110.59</v>
      </c>
      <c r="AJ56" s="2">
        <v>114.21</v>
      </c>
      <c r="AK56" s="2">
        <v>117.84</v>
      </c>
      <c r="AL56" s="2">
        <v>121.47</v>
      </c>
      <c r="AM56" s="2">
        <v>125.09</v>
      </c>
      <c r="AN56" s="2">
        <v>128.72</v>
      </c>
      <c r="AO56" s="2">
        <v>132.35</v>
      </c>
      <c r="AP56" s="2">
        <v>135.97</v>
      </c>
      <c r="AQ56" s="2">
        <v>139.6</v>
      </c>
      <c r="AR56" s="2">
        <v>143.22999999999999</v>
      </c>
      <c r="AS56" s="2">
        <v>146.85</v>
      </c>
      <c r="AT56" s="2">
        <v>150.47999999999999</v>
      </c>
      <c r="AU56" s="2">
        <v>154.11000000000001</v>
      </c>
    </row>
    <row r="57" spans="1:47" x14ac:dyDescent="0.3">
      <c r="A57" s="2" t="s">
        <v>58</v>
      </c>
      <c r="B57" s="2">
        <v>4378</v>
      </c>
      <c r="C57" s="2">
        <v>4366</v>
      </c>
      <c r="D57" s="2">
        <v>4119</v>
      </c>
      <c r="E57" s="2">
        <v>1129</v>
      </c>
      <c r="F57" s="2">
        <v>0</v>
      </c>
      <c r="G57" s="2">
        <v>0</v>
      </c>
      <c r="H57" s="2">
        <v>0</v>
      </c>
      <c r="I57" s="2">
        <v>409</v>
      </c>
      <c r="J57" s="2">
        <v>4479</v>
      </c>
      <c r="K57" s="2">
        <v>5012.22</v>
      </c>
      <c r="L57" s="2">
        <v>4277</v>
      </c>
      <c r="M57" s="2">
        <v>4545</v>
      </c>
      <c r="N57" s="2">
        <v>5120</v>
      </c>
      <c r="O57" s="2">
        <v>4874</v>
      </c>
      <c r="P57" s="2">
        <v>5016</v>
      </c>
      <c r="Q57" s="2">
        <v>4940.6400000000003</v>
      </c>
      <c r="R57" s="2">
        <v>4940.6400000000003</v>
      </c>
      <c r="S57" s="2">
        <v>4940.6400000000003</v>
      </c>
      <c r="T57" s="2">
        <v>4940.6400000000003</v>
      </c>
      <c r="U57" s="2">
        <v>4940.6400000000003</v>
      </c>
      <c r="V57" s="2">
        <v>4940.6400000000003</v>
      </c>
      <c r="W57" s="2">
        <v>4940.6400000000003</v>
      </c>
      <c r="X57" s="2">
        <v>4940.6400000000003</v>
      </c>
      <c r="Y57" s="2">
        <v>4940.6400000000003</v>
      </c>
      <c r="Z57" s="2">
        <v>4940.6400000000003</v>
      </c>
      <c r="AA57" s="2">
        <v>4940.6400000000003</v>
      </c>
      <c r="AB57" s="2">
        <v>4940.6400000000003</v>
      </c>
      <c r="AC57" s="2">
        <v>4940.6400000000003</v>
      </c>
      <c r="AD57" s="2">
        <v>4940.6400000000003</v>
      </c>
      <c r="AE57" s="2">
        <v>4940.6400000000003</v>
      </c>
      <c r="AF57" s="2">
        <v>4940.6400000000003</v>
      </c>
      <c r="AG57" s="2">
        <v>4940.6400000000003</v>
      </c>
      <c r="AH57" s="2">
        <v>4940.6400000000003</v>
      </c>
      <c r="AI57" s="2">
        <v>4940.6400000000003</v>
      </c>
      <c r="AJ57" s="2">
        <v>4940.6400000000003</v>
      </c>
      <c r="AK57" s="2">
        <v>4940.6400000000003</v>
      </c>
      <c r="AL57" s="2">
        <v>0</v>
      </c>
      <c r="AM57" s="2">
        <v>0</v>
      </c>
      <c r="AN57" s="2">
        <v>0</v>
      </c>
      <c r="AO57" s="2">
        <v>5353.22</v>
      </c>
      <c r="AP57" s="2">
        <v>5353.24</v>
      </c>
      <c r="AQ57" s="2">
        <v>5353.22</v>
      </c>
      <c r="AR57" s="2">
        <v>5353.22</v>
      </c>
      <c r="AS57" s="2">
        <v>5353.22</v>
      </c>
      <c r="AT57" s="2">
        <v>5353.25</v>
      </c>
      <c r="AU57" s="2">
        <v>5353.25</v>
      </c>
    </row>
    <row r="58" spans="1:47" x14ac:dyDescent="0.3">
      <c r="A58" s="2" t="s">
        <v>59</v>
      </c>
      <c r="B58" s="2">
        <v>3101.05</v>
      </c>
      <c r="C58" s="2">
        <v>3107.93</v>
      </c>
      <c r="D58" s="2">
        <v>3093.98</v>
      </c>
      <c r="E58" s="2">
        <v>3127.39</v>
      </c>
      <c r="F58" s="2">
        <v>3123.34</v>
      </c>
      <c r="G58" s="2">
        <v>2308.09</v>
      </c>
      <c r="H58" s="2">
        <v>2613.65</v>
      </c>
      <c r="I58" s="2">
        <v>2110.21</v>
      </c>
      <c r="J58" s="2">
        <v>2612.52</v>
      </c>
      <c r="K58" s="2">
        <v>3100.21</v>
      </c>
      <c r="L58" s="2">
        <v>1734.25</v>
      </c>
      <c r="M58" s="2">
        <v>2206.12</v>
      </c>
      <c r="N58" s="2">
        <v>2106.7199999999998</v>
      </c>
      <c r="O58" s="2">
        <v>2351.71</v>
      </c>
      <c r="P58" s="2">
        <v>1831.15</v>
      </c>
      <c r="Q58" s="2">
        <v>2340.7600000000002</v>
      </c>
      <c r="R58" s="2">
        <v>2385.23</v>
      </c>
      <c r="S58" s="2">
        <v>2375.25</v>
      </c>
      <c r="T58" s="2">
        <v>577.66999999999996</v>
      </c>
      <c r="U58" s="2">
        <v>486.56</v>
      </c>
      <c r="V58" s="2">
        <v>444.67</v>
      </c>
      <c r="W58" s="2">
        <v>462.07</v>
      </c>
      <c r="X58" s="2">
        <v>349.68</v>
      </c>
      <c r="Y58" s="2">
        <v>342.51</v>
      </c>
      <c r="Z58" s="2">
        <v>391.46</v>
      </c>
      <c r="AA58" s="2">
        <v>417.85</v>
      </c>
      <c r="AB58" s="2">
        <v>575.49</v>
      </c>
      <c r="AC58" s="2">
        <v>511.2</v>
      </c>
      <c r="AD58" s="2">
        <v>606.65</v>
      </c>
      <c r="AE58" s="2">
        <v>604.47</v>
      </c>
      <c r="AF58" s="2">
        <v>602.62</v>
      </c>
      <c r="AG58" s="2">
        <v>332.18</v>
      </c>
      <c r="AH58" s="2">
        <v>449.74</v>
      </c>
      <c r="AI58" s="2">
        <v>444.9</v>
      </c>
      <c r="AJ58" s="2">
        <v>445.79</v>
      </c>
      <c r="AK58" s="2">
        <v>446.8</v>
      </c>
      <c r="AL58" s="2">
        <v>0</v>
      </c>
      <c r="AM58" s="2">
        <v>0</v>
      </c>
      <c r="AN58" s="2">
        <v>0</v>
      </c>
      <c r="AO58" s="2">
        <v>0</v>
      </c>
      <c r="AP58" s="2">
        <v>0</v>
      </c>
      <c r="AQ58" s="2">
        <v>0</v>
      </c>
      <c r="AR58" s="2">
        <v>0</v>
      </c>
      <c r="AS58" s="2">
        <v>0</v>
      </c>
      <c r="AT58" s="2">
        <v>0</v>
      </c>
      <c r="AU58" s="2">
        <v>0</v>
      </c>
    </row>
    <row r="59" spans="1:47" x14ac:dyDescent="0.3">
      <c r="A59" s="2" t="s">
        <v>60</v>
      </c>
      <c r="B59" s="2">
        <v>1980</v>
      </c>
      <c r="C59" s="2">
        <v>2332</v>
      </c>
      <c r="D59" s="2">
        <v>1876</v>
      </c>
      <c r="E59" s="2">
        <v>1483</v>
      </c>
      <c r="F59" s="2">
        <v>1974</v>
      </c>
      <c r="G59" s="2">
        <v>2035</v>
      </c>
      <c r="H59" s="2">
        <v>2177</v>
      </c>
      <c r="I59" s="2">
        <v>1967</v>
      </c>
      <c r="J59" s="2">
        <v>1966</v>
      </c>
      <c r="K59" s="2">
        <v>2016.2</v>
      </c>
      <c r="L59" s="2">
        <v>3143</v>
      </c>
      <c r="M59" s="2">
        <v>3420</v>
      </c>
      <c r="N59" s="2">
        <v>2337</v>
      </c>
      <c r="O59" s="2">
        <v>2065</v>
      </c>
      <c r="P59" s="2">
        <v>1941</v>
      </c>
      <c r="Q59" s="2">
        <v>1151.8399999999999</v>
      </c>
      <c r="R59" s="2">
        <v>1352.64</v>
      </c>
      <c r="S59" s="2">
        <v>1352.63</v>
      </c>
      <c r="T59" s="2">
        <v>1352.63</v>
      </c>
      <c r="U59" s="2">
        <v>1352.63</v>
      </c>
      <c r="V59" s="2">
        <v>1305.26</v>
      </c>
      <c r="W59" s="2">
        <v>1305.25</v>
      </c>
      <c r="X59" s="2">
        <v>1204.83</v>
      </c>
      <c r="Y59" s="2">
        <v>972.5</v>
      </c>
      <c r="Z59" s="2">
        <v>1133.94</v>
      </c>
      <c r="AA59" s="2">
        <v>1054.81</v>
      </c>
      <c r="AB59" s="2">
        <v>2243.02</v>
      </c>
      <c r="AC59" s="2">
        <v>2009.17</v>
      </c>
      <c r="AD59" s="2">
        <v>2187.12</v>
      </c>
      <c r="AE59" s="2">
        <v>2169.2399999999998</v>
      </c>
      <c r="AF59" s="2">
        <v>2153.77</v>
      </c>
      <c r="AG59" s="2">
        <v>827.42</v>
      </c>
      <c r="AH59" s="2">
        <v>1659.57</v>
      </c>
      <c r="AI59" s="2">
        <v>1659.57</v>
      </c>
      <c r="AJ59" s="2">
        <v>1659.57</v>
      </c>
      <c r="AK59" s="2">
        <v>1659.57</v>
      </c>
      <c r="AL59" s="2">
        <v>0.26</v>
      </c>
      <c r="AM59" s="2">
        <v>0.26</v>
      </c>
      <c r="AN59" s="2">
        <v>0.26</v>
      </c>
      <c r="AO59" s="2">
        <v>7.0000000000000007E-2</v>
      </c>
      <c r="AP59" s="2">
        <v>7.0000000000000007E-2</v>
      </c>
      <c r="AQ59" s="2">
        <v>7.0000000000000007E-2</v>
      </c>
      <c r="AR59" s="2">
        <v>7.0000000000000007E-2</v>
      </c>
      <c r="AS59" s="2">
        <v>7.0000000000000007E-2</v>
      </c>
      <c r="AT59" s="2">
        <v>7.0000000000000007E-2</v>
      </c>
      <c r="AU59" s="2">
        <v>7.0000000000000007E-2</v>
      </c>
    </row>
    <row r="60" spans="1:47" x14ac:dyDescent="0.3">
      <c r="A60" s="2" t="s">
        <v>61</v>
      </c>
      <c r="B60" s="2">
        <v>3622.76</v>
      </c>
      <c r="C60" s="2">
        <v>3622.79</v>
      </c>
      <c r="D60" s="2">
        <v>3622.74</v>
      </c>
      <c r="E60" s="2">
        <v>3341.97</v>
      </c>
      <c r="F60" s="2">
        <v>4200.75</v>
      </c>
      <c r="G60" s="2">
        <v>2546.0100000000002</v>
      </c>
      <c r="H60" s="2">
        <v>1910.48</v>
      </c>
      <c r="I60" s="2">
        <v>1629.3</v>
      </c>
      <c r="J60" s="2">
        <v>1323.38</v>
      </c>
      <c r="K60" s="2">
        <v>1592.6</v>
      </c>
      <c r="L60" s="2">
        <v>1069.75</v>
      </c>
      <c r="M60" s="2">
        <v>700.88</v>
      </c>
      <c r="N60" s="2">
        <v>253.28</v>
      </c>
      <c r="O60" s="2">
        <v>386.29</v>
      </c>
      <c r="P60" s="2">
        <v>184.85</v>
      </c>
      <c r="Q60" s="2">
        <v>1762.87</v>
      </c>
      <c r="R60" s="2">
        <v>2233.7399999999998</v>
      </c>
      <c r="S60" s="2">
        <v>2144.1999999999998</v>
      </c>
      <c r="T60" s="2">
        <v>3508.08</v>
      </c>
      <c r="U60" s="2">
        <v>2757.68</v>
      </c>
      <c r="V60" s="2">
        <v>2328.9899999999998</v>
      </c>
      <c r="W60" s="2">
        <v>2455.31</v>
      </c>
      <c r="X60" s="2">
        <v>1466.08</v>
      </c>
      <c r="Y60" s="2">
        <v>1588.43</v>
      </c>
      <c r="Z60" s="2">
        <v>2002.01</v>
      </c>
      <c r="AA60" s="2">
        <v>2207.88</v>
      </c>
      <c r="AB60" s="2">
        <v>3471.21</v>
      </c>
      <c r="AC60" s="2">
        <v>2858.2</v>
      </c>
      <c r="AD60" s="2">
        <v>4020.65</v>
      </c>
      <c r="AE60" s="2">
        <v>3996.02</v>
      </c>
      <c r="AF60" s="2">
        <v>3984.13</v>
      </c>
      <c r="AG60" s="2">
        <v>1243.95</v>
      </c>
      <c r="AH60" s="2">
        <v>2576.14</v>
      </c>
      <c r="AI60" s="2">
        <v>2527.04</v>
      </c>
      <c r="AJ60" s="2">
        <v>2614.6999999999998</v>
      </c>
      <c r="AK60" s="2">
        <v>2581.0700000000002</v>
      </c>
      <c r="AL60" s="2">
        <v>4200.53</v>
      </c>
      <c r="AM60" s="2">
        <v>2249.6</v>
      </c>
      <c r="AN60" s="2">
        <v>2416.11</v>
      </c>
      <c r="AO60" s="2">
        <v>1044.52</v>
      </c>
      <c r="AP60" s="2">
        <v>968.3</v>
      </c>
      <c r="AQ60" s="2">
        <v>938.11</v>
      </c>
      <c r="AR60" s="2">
        <v>993.07</v>
      </c>
      <c r="AS60" s="2">
        <v>975.51</v>
      </c>
      <c r="AT60" s="2">
        <v>966.13</v>
      </c>
      <c r="AU60" s="2">
        <v>954.68</v>
      </c>
    </row>
    <row r="62" spans="1:47" ht="18" x14ac:dyDescent="0.35">
      <c r="A62" s="4" t="s">
        <v>66</v>
      </c>
    </row>
    <row r="63" spans="1:47" x14ac:dyDescent="0.3">
      <c r="A63" s="2" t="s">
        <v>7</v>
      </c>
      <c r="B63" s="2" t="s">
        <v>8</v>
      </c>
      <c r="C63" s="2" t="s">
        <v>9</v>
      </c>
      <c r="D63" s="2" t="s">
        <v>10</v>
      </c>
      <c r="E63" s="2" t="s">
        <v>11</v>
      </c>
      <c r="F63" s="2" t="s">
        <v>12</v>
      </c>
      <c r="G63" s="2" t="s">
        <v>13</v>
      </c>
      <c r="H63" s="2" t="s">
        <v>14</v>
      </c>
      <c r="I63" s="2" t="s">
        <v>15</v>
      </c>
      <c r="J63" s="2" t="s">
        <v>16</v>
      </c>
      <c r="K63" s="2" t="s">
        <v>17</v>
      </c>
      <c r="L63" s="2" t="s">
        <v>18</v>
      </c>
      <c r="M63" s="2" t="s">
        <v>19</v>
      </c>
      <c r="N63" s="2" t="s">
        <v>20</v>
      </c>
      <c r="O63" s="2" t="s">
        <v>21</v>
      </c>
      <c r="P63" s="2" t="s">
        <v>22</v>
      </c>
      <c r="Q63" s="2" t="s">
        <v>23</v>
      </c>
      <c r="R63" s="2" t="s">
        <v>24</v>
      </c>
      <c r="S63" s="2" t="s">
        <v>25</v>
      </c>
      <c r="T63" s="2" t="s">
        <v>26</v>
      </c>
      <c r="U63" s="2" t="s">
        <v>27</v>
      </c>
      <c r="V63" s="2" t="s">
        <v>28</v>
      </c>
      <c r="W63" s="2" t="s">
        <v>29</v>
      </c>
      <c r="X63" s="2" t="s">
        <v>30</v>
      </c>
      <c r="Y63" s="2" t="s">
        <v>31</v>
      </c>
      <c r="Z63" s="2" t="s">
        <v>32</v>
      </c>
      <c r="AA63" s="2" t="s">
        <v>33</v>
      </c>
      <c r="AB63" s="2" t="s">
        <v>34</v>
      </c>
      <c r="AC63" s="2" t="s">
        <v>35</v>
      </c>
      <c r="AD63" s="2" t="s">
        <v>36</v>
      </c>
      <c r="AE63" s="2" t="s">
        <v>37</v>
      </c>
      <c r="AF63" s="2" t="s">
        <v>38</v>
      </c>
      <c r="AG63" s="2" t="s">
        <v>39</v>
      </c>
      <c r="AH63" s="2" t="s">
        <v>40</v>
      </c>
      <c r="AI63" s="2" t="s">
        <v>41</v>
      </c>
      <c r="AJ63" s="2" t="s">
        <v>42</v>
      </c>
      <c r="AK63" s="2" t="s">
        <v>43</v>
      </c>
      <c r="AL63" s="2" t="s">
        <v>44</v>
      </c>
      <c r="AM63" s="2" t="s">
        <v>45</v>
      </c>
      <c r="AN63" s="2" t="s">
        <v>46</v>
      </c>
      <c r="AO63" s="2" t="s">
        <v>47</v>
      </c>
      <c r="AP63" s="2" t="s">
        <v>48</v>
      </c>
      <c r="AQ63" s="2" t="s">
        <v>49</v>
      </c>
      <c r="AR63" s="2" t="s">
        <v>50</v>
      </c>
      <c r="AS63" s="2" t="s">
        <v>51</v>
      </c>
      <c r="AT63" s="2" t="s">
        <v>52</v>
      </c>
      <c r="AU63" s="2" t="s">
        <v>53</v>
      </c>
    </row>
    <row r="64" spans="1:47" x14ac:dyDescent="0.3">
      <c r="A64" s="2" t="s">
        <v>54</v>
      </c>
      <c r="B64" s="2">
        <v>173112.6</v>
      </c>
      <c r="C64" s="2">
        <v>172347.6</v>
      </c>
      <c r="D64" s="2">
        <v>180856.6</v>
      </c>
      <c r="E64" s="2">
        <v>187783.8</v>
      </c>
      <c r="F64" s="2">
        <v>189423</v>
      </c>
      <c r="G64" s="2">
        <v>177402.2</v>
      </c>
      <c r="H64" s="2">
        <v>189675.6</v>
      </c>
      <c r="I64" s="2">
        <v>191955.4</v>
      </c>
      <c r="J64" s="2">
        <v>202512.3</v>
      </c>
      <c r="K64" s="2">
        <v>197207.4</v>
      </c>
      <c r="L64" s="2">
        <v>194413.3</v>
      </c>
      <c r="M64" s="2">
        <v>197315.9</v>
      </c>
      <c r="N64" s="2">
        <v>201677.6</v>
      </c>
      <c r="O64" s="2">
        <v>199829.6</v>
      </c>
      <c r="P64" s="2">
        <v>199599.8</v>
      </c>
      <c r="Q64" s="2">
        <v>199526.3</v>
      </c>
      <c r="R64" s="2">
        <v>199526.3</v>
      </c>
      <c r="S64" s="2">
        <v>199526.5</v>
      </c>
      <c r="T64" s="2">
        <v>199526.39999999999</v>
      </c>
      <c r="U64" s="2">
        <v>199868.9</v>
      </c>
      <c r="V64" s="2">
        <v>200177.1</v>
      </c>
      <c r="W64" s="2">
        <v>200454.6</v>
      </c>
      <c r="X64" s="2">
        <v>203510.2</v>
      </c>
      <c r="Y64" s="2">
        <v>203734.8</v>
      </c>
      <c r="Z64" s="2">
        <v>203937</v>
      </c>
      <c r="AA64" s="2">
        <v>204119.1</v>
      </c>
      <c r="AB64" s="2">
        <v>204282.7</v>
      </c>
      <c r="AC64" s="2">
        <v>204282.7</v>
      </c>
      <c r="AD64" s="2">
        <v>204429.8</v>
      </c>
      <c r="AE64" s="2">
        <v>204562.8</v>
      </c>
      <c r="AF64" s="2">
        <v>204681.9</v>
      </c>
      <c r="AG64" s="2">
        <v>204789.6</v>
      </c>
      <c r="AH64" s="2">
        <v>204886.3</v>
      </c>
      <c r="AI64" s="2">
        <v>204973.1</v>
      </c>
      <c r="AJ64" s="2">
        <v>205051.8</v>
      </c>
      <c r="AK64" s="2">
        <v>205122.4</v>
      </c>
      <c r="AL64" s="2">
        <v>205121.9</v>
      </c>
      <c r="AM64" s="2">
        <v>205185.6</v>
      </c>
      <c r="AN64" s="2">
        <v>205242.6</v>
      </c>
      <c r="AO64" s="2">
        <v>205294</v>
      </c>
      <c r="AP64" s="2">
        <v>205294.2</v>
      </c>
      <c r="AQ64" s="2">
        <v>205340.4</v>
      </c>
      <c r="AR64" s="2">
        <v>205340.2</v>
      </c>
      <c r="AS64" s="2">
        <v>205340.5</v>
      </c>
      <c r="AT64" s="2">
        <v>205340.2</v>
      </c>
      <c r="AU64" s="2">
        <v>205340.3</v>
      </c>
    </row>
    <row r="65" spans="1:47" x14ac:dyDescent="0.3">
      <c r="A65" s="2" t="s">
        <v>55</v>
      </c>
      <c r="B65" s="2">
        <v>416</v>
      </c>
      <c r="C65" s="2">
        <v>419</v>
      </c>
      <c r="D65" s="2">
        <v>617</v>
      </c>
      <c r="E65" s="2">
        <v>565</v>
      </c>
      <c r="F65" s="2">
        <v>1322</v>
      </c>
      <c r="G65" s="2">
        <v>1535.14</v>
      </c>
      <c r="H65" s="2">
        <v>1393.8</v>
      </c>
      <c r="I65" s="2">
        <v>2278.06</v>
      </c>
      <c r="J65" s="2">
        <v>4717.8599999999997</v>
      </c>
      <c r="K65" s="2">
        <v>6124.31</v>
      </c>
      <c r="L65" s="2">
        <v>6421</v>
      </c>
      <c r="M65" s="2">
        <v>9781</v>
      </c>
      <c r="N65" s="2">
        <v>9905</v>
      </c>
      <c r="O65" s="2">
        <v>10640</v>
      </c>
      <c r="P65" s="2">
        <v>11097</v>
      </c>
      <c r="Q65" s="2">
        <v>10587.86</v>
      </c>
      <c r="R65" s="2">
        <v>10587.86</v>
      </c>
      <c r="S65" s="2">
        <v>10587.86</v>
      </c>
      <c r="T65" s="2">
        <v>10938.26</v>
      </c>
      <c r="U65" s="2">
        <v>13040.66</v>
      </c>
      <c r="V65" s="2">
        <v>13383.9</v>
      </c>
      <c r="W65" s="2">
        <v>13728.96</v>
      </c>
      <c r="X65" s="2">
        <v>14072.12</v>
      </c>
      <c r="Y65" s="2">
        <v>14415.13</v>
      </c>
      <c r="Z65" s="2">
        <v>14758.62</v>
      </c>
      <c r="AA65" s="2">
        <v>15157.63</v>
      </c>
      <c r="AB65" s="2">
        <v>15565.54</v>
      </c>
      <c r="AC65" s="2">
        <v>15975.43</v>
      </c>
      <c r="AD65" s="2">
        <v>16387.3</v>
      </c>
      <c r="AE65" s="2">
        <v>16801.189999999999</v>
      </c>
      <c r="AF65" s="2">
        <v>17216.97</v>
      </c>
      <c r="AG65" s="2">
        <v>17634.79</v>
      </c>
      <c r="AH65" s="2">
        <v>18052.39</v>
      </c>
      <c r="AI65" s="2">
        <v>18469.310000000001</v>
      </c>
      <c r="AJ65" s="2">
        <v>18886.29</v>
      </c>
      <c r="AK65" s="2">
        <v>19311.82</v>
      </c>
      <c r="AL65" s="2">
        <v>19739.21</v>
      </c>
      <c r="AM65" s="2">
        <v>20168.599999999999</v>
      </c>
      <c r="AN65" s="2">
        <v>20599.88</v>
      </c>
      <c r="AO65" s="2">
        <v>21033.08</v>
      </c>
      <c r="AP65" s="2">
        <v>21468.09</v>
      </c>
      <c r="AQ65" s="2">
        <v>21905.08</v>
      </c>
      <c r="AR65" s="2">
        <v>22343.95</v>
      </c>
      <c r="AS65" s="2">
        <v>22784.78</v>
      </c>
      <c r="AT65" s="2">
        <v>23227.41</v>
      </c>
      <c r="AU65" s="2">
        <v>23671.96</v>
      </c>
    </row>
    <row r="66" spans="1:47" x14ac:dyDescent="0.3">
      <c r="A66" s="2" t="s">
        <v>56</v>
      </c>
      <c r="B66" s="2">
        <v>646</v>
      </c>
      <c r="C66" s="2">
        <v>646</v>
      </c>
      <c r="D66" s="2">
        <v>646</v>
      </c>
      <c r="E66" s="2">
        <v>439</v>
      </c>
      <c r="F66" s="2">
        <v>550</v>
      </c>
      <c r="G66" s="2">
        <v>843.91</v>
      </c>
      <c r="H66" s="2">
        <v>1088.82</v>
      </c>
      <c r="I66" s="2">
        <v>1232.8499999999999</v>
      </c>
      <c r="J66" s="2">
        <v>1613.84</v>
      </c>
      <c r="K66" s="2">
        <v>943.52</v>
      </c>
      <c r="L66" s="2">
        <v>925.31</v>
      </c>
      <c r="M66" s="2">
        <v>1348.41</v>
      </c>
      <c r="N66" s="2">
        <v>1705.73</v>
      </c>
      <c r="O66" s="2">
        <v>1627.51</v>
      </c>
      <c r="P66" s="2">
        <v>1511.07</v>
      </c>
      <c r="Q66" s="2">
        <v>1162.75</v>
      </c>
      <c r="R66" s="2">
        <v>1243.69</v>
      </c>
      <c r="S66" s="2">
        <v>1243.69</v>
      </c>
      <c r="T66" s="2">
        <v>1243.69</v>
      </c>
      <c r="U66" s="2">
        <v>1286.79</v>
      </c>
      <c r="V66" s="2">
        <v>1329.63</v>
      </c>
      <c r="W66" s="2">
        <v>1370.89</v>
      </c>
      <c r="X66" s="2">
        <v>1412.23</v>
      </c>
      <c r="Y66" s="2">
        <v>1453.41</v>
      </c>
      <c r="Z66" s="2">
        <v>1494.58</v>
      </c>
      <c r="AA66" s="2">
        <v>1535.84</v>
      </c>
      <c r="AB66" s="2">
        <v>1577.01</v>
      </c>
      <c r="AC66" s="2">
        <v>1577.01</v>
      </c>
      <c r="AD66" s="2">
        <v>1619.76</v>
      </c>
      <c r="AE66" s="2">
        <v>1662.68</v>
      </c>
      <c r="AF66" s="2">
        <v>1706.04</v>
      </c>
      <c r="AG66" s="2">
        <v>1748.35</v>
      </c>
      <c r="AH66" s="2">
        <v>1790.75</v>
      </c>
      <c r="AI66" s="2">
        <v>1832.54</v>
      </c>
      <c r="AJ66" s="2">
        <v>1874.06</v>
      </c>
      <c r="AK66" s="2">
        <v>1915.32</v>
      </c>
      <c r="AL66" s="2">
        <v>1958.16</v>
      </c>
      <c r="AM66" s="2">
        <v>2001.08</v>
      </c>
      <c r="AN66" s="2">
        <v>2044</v>
      </c>
      <c r="AO66" s="2">
        <v>2087.1</v>
      </c>
      <c r="AP66" s="2">
        <v>2130.0300000000002</v>
      </c>
      <c r="AQ66" s="2">
        <v>2172.08</v>
      </c>
      <c r="AR66" s="2">
        <v>2215.09</v>
      </c>
      <c r="AS66" s="2">
        <v>2258.8000000000002</v>
      </c>
      <c r="AT66" s="2">
        <v>2302.42</v>
      </c>
      <c r="AU66" s="2">
        <v>2346.4899999999998</v>
      </c>
    </row>
    <row r="67" spans="1:47" x14ac:dyDescent="0.3">
      <c r="A67" s="2" t="s">
        <v>57</v>
      </c>
      <c r="B67" s="2">
        <v>0</v>
      </c>
      <c r="C67" s="2">
        <v>0</v>
      </c>
      <c r="D67" s="2">
        <v>0</v>
      </c>
      <c r="E67" s="2">
        <v>0</v>
      </c>
      <c r="F67" s="2">
        <v>0</v>
      </c>
      <c r="G67" s="2">
        <v>0</v>
      </c>
      <c r="H67" s="2">
        <v>0</v>
      </c>
      <c r="I67" s="2">
        <v>0</v>
      </c>
      <c r="J67" s="2">
        <v>0</v>
      </c>
      <c r="K67" s="2">
        <v>0</v>
      </c>
      <c r="L67" s="2">
        <v>1</v>
      </c>
      <c r="M67" s="2">
        <v>1</v>
      </c>
      <c r="N67" s="2">
        <v>1</v>
      </c>
      <c r="O67" s="2">
        <v>1</v>
      </c>
      <c r="P67" s="2">
        <v>1</v>
      </c>
      <c r="Q67" s="2">
        <v>0.26</v>
      </c>
      <c r="R67" s="2">
        <v>0.26</v>
      </c>
      <c r="S67" s="2">
        <v>18.39</v>
      </c>
      <c r="T67" s="2">
        <v>36.53</v>
      </c>
      <c r="U67" s="2">
        <v>54.66</v>
      </c>
      <c r="V67" s="2">
        <v>72.790000000000006</v>
      </c>
      <c r="W67" s="2">
        <v>90.93</v>
      </c>
      <c r="X67" s="2">
        <v>109.06</v>
      </c>
      <c r="Y67" s="2">
        <v>127.19</v>
      </c>
      <c r="Z67" s="2">
        <v>145.33000000000001</v>
      </c>
      <c r="AA67" s="2">
        <v>163.46</v>
      </c>
      <c r="AB67" s="2">
        <v>181.59</v>
      </c>
      <c r="AC67" s="2">
        <v>199.73</v>
      </c>
      <c r="AD67" s="2">
        <v>217.86</v>
      </c>
      <c r="AE67" s="2">
        <v>270.60000000000002</v>
      </c>
      <c r="AF67" s="2">
        <v>325.27999999999997</v>
      </c>
      <c r="AG67" s="2">
        <v>379.96</v>
      </c>
      <c r="AH67" s="2">
        <v>434.14</v>
      </c>
      <c r="AI67" s="2">
        <v>488.06</v>
      </c>
      <c r="AJ67" s="2">
        <v>541.79999999999995</v>
      </c>
      <c r="AK67" s="2">
        <v>559.92999999999995</v>
      </c>
      <c r="AL67" s="2">
        <v>615.04999999999995</v>
      </c>
      <c r="AM67" s="2">
        <v>670.24</v>
      </c>
      <c r="AN67" s="2">
        <v>725.5</v>
      </c>
      <c r="AO67" s="2">
        <v>780.7</v>
      </c>
      <c r="AP67" s="2">
        <v>835.09</v>
      </c>
      <c r="AQ67" s="2">
        <v>853.22</v>
      </c>
      <c r="AR67" s="2">
        <v>871.35</v>
      </c>
      <c r="AS67" s="2">
        <v>889.49</v>
      </c>
      <c r="AT67" s="2">
        <v>907.62</v>
      </c>
      <c r="AU67" s="2">
        <v>962.28</v>
      </c>
    </row>
    <row r="68" spans="1:47" x14ac:dyDescent="0.3">
      <c r="A68" s="2" t="s">
        <v>58</v>
      </c>
      <c r="B68" s="2">
        <v>4321.58</v>
      </c>
      <c r="C68" s="2">
        <v>4321.58</v>
      </c>
      <c r="D68" s="2">
        <v>4321.58</v>
      </c>
      <c r="E68" s="2">
        <v>3624.23</v>
      </c>
      <c r="F68" s="2">
        <v>3596.28</v>
      </c>
      <c r="G68" s="2">
        <v>3551.59</v>
      </c>
      <c r="H68" s="2">
        <v>3525.22</v>
      </c>
      <c r="I68" s="2">
        <v>4212.62</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row>
    <row r="69" spans="1:47" x14ac:dyDescent="0.3">
      <c r="A69" s="2" t="s">
        <v>59</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row>
    <row r="70" spans="1:47" x14ac:dyDescent="0.3">
      <c r="A70" s="2" t="s">
        <v>60</v>
      </c>
      <c r="B70" s="2">
        <v>269</v>
      </c>
      <c r="C70" s="2">
        <v>1326</v>
      </c>
      <c r="D70" s="2">
        <v>3945</v>
      </c>
      <c r="E70" s="2">
        <v>228</v>
      </c>
      <c r="F70" s="2">
        <v>264</v>
      </c>
      <c r="G70" s="2">
        <v>222.4</v>
      </c>
      <c r="H70" s="2">
        <v>174.24</v>
      </c>
      <c r="I70" s="2">
        <v>185.01</v>
      </c>
      <c r="J70" s="2">
        <v>112.84</v>
      </c>
      <c r="K70" s="2">
        <v>156.54</v>
      </c>
      <c r="L70" s="2">
        <v>141.41</v>
      </c>
      <c r="M70" s="2">
        <v>164.89</v>
      </c>
      <c r="N70" s="2">
        <v>188.25</v>
      </c>
      <c r="O70" s="2">
        <v>169.76</v>
      </c>
      <c r="P70" s="2">
        <v>163.06</v>
      </c>
      <c r="Q70" s="2">
        <v>163.37</v>
      </c>
      <c r="R70" s="2">
        <v>163.44999999999999</v>
      </c>
      <c r="S70" s="2">
        <v>163.44999999999999</v>
      </c>
      <c r="T70" s="2">
        <v>163.44999999999999</v>
      </c>
      <c r="U70" s="2">
        <v>163.44999999999999</v>
      </c>
      <c r="V70" s="2">
        <v>163.49</v>
      </c>
      <c r="W70" s="2">
        <v>163.49</v>
      </c>
      <c r="X70" s="2">
        <v>163.16999999999999</v>
      </c>
      <c r="Y70" s="2">
        <v>163.49</v>
      </c>
      <c r="Z70" s="2">
        <v>163.58000000000001</v>
      </c>
      <c r="AA70" s="2">
        <v>163.59</v>
      </c>
      <c r="AB70" s="2">
        <v>163.80000000000001</v>
      </c>
      <c r="AC70" s="2">
        <v>163.71</v>
      </c>
      <c r="AD70" s="2">
        <v>163.92</v>
      </c>
      <c r="AE70" s="2">
        <v>163.92</v>
      </c>
      <c r="AF70" s="2">
        <v>163.92</v>
      </c>
      <c r="AG70" s="2">
        <v>163.38999999999999</v>
      </c>
      <c r="AH70" s="2">
        <v>163.87</v>
      </c>
      <c r="AI70" s="2">
        <v>163.87</v>
      </c>
      <c r="AJ70" s="2">
        <v>163.87</v>
      </c>
      <c r="AK70" s="2">
        <v>163.87</v>
      </c>
      <c r="AL70" s="2">
        <v>163.92</v>
      </c>
      <c r="AM70" s="2">
        <v>163.44999999999999</v>
      </c>
      <c r="AN70" s="2">
        <v>163.55000000000001</v>
      </c>
      <c r="AO70" s="2">
        <v>163.55000000000001</v>
      </c>
      <c r="AP70" s="2">
        <v>163.61000000000001</v>
      </c>
      <c r="AQ70" s="2">
        <v>163.61000000000001</v>
      </c>
      <c r="AR70" s="2">
        <v>163.61000000000001</v>
      </c>
      <c r="AS70" s="2">
        <v>163.61000000000001</v>
      </c>
      <c r="AT70" s="2">
        <v>163.61000000000001</v>
      </c>
      <c r="AU70" s="2">
        <v>163.61000000000001</v>
      </c>
    </row>
    <row r="71" spans="1:47" x14ac:dyDescent="0.3">
      <c r="A71" s="2" t="s">
        <v>61</v>
      </c>
      <c r="B71" s="2">
        <v>180.26</v>
      </c>
      <c r="C71" s="2">
        <v>366.03</v>
      </c>
      <c r="D71" s="2">
        <v>668.83</v>
      </c>
      <c r="E71" s="2">
        <v>532.89</v>
      </c>
      <c r="F71" s="2">
        <v>392.12</v>
      </c>
      <c r="G71" s="2">
        <v>585.88</v>
      </c>
      <c r="H71" s="2">
        <v>546.17999999999995</v>
      </c>
      <c r="I71" s="2">
        <v>518.65</v>
      </c>
      <c r="J71" s="2">
        <v>475.06</v>
      </c>
      <c r="K71" s="2">
        <v>496.68</v>
      </c>
      <c r="L71" s="2">
        <v>532.04</v>
      </c>
      <c r="M71" s="2">
        <v>660.06</v>
      </c>
      <c r="N71" s="2">
        <v>421.08</v>
      </c>
      <c r="O71" s="2">
        <v>593.07000000000005</v>
      </c>
      <c r="P71" s="2">
        <v>501.07</v>
      </c>
      <c r="Q71" s="2">
        <v>501.05</v>
      </c>
      <c r="R71" s="2">
        <v>501.05</v>
      </c>
      <c r="S71" s="2">
        <v>501.05</v>
      </c>
      <c r="T71" s="2">
        <v>501.05</v>
      </c>
      <c r="U71" s="2">
        <v>501.05</v>
      </c>
      <c r="V71" s="2">
        <v>501.05</v>
      </c>
      <c r="W71" s="2">
        <v>501.05</v>
      </c>
      <c r="X71" s="2">
        <v>501.05</v>
      </c>
      <c r="Y71" s="2">
        <v>501.05</v>
      </c>
      <c r="Z71" s="2">
        <v>501.05</v>
      </c>
      <c r="AA71" s="2">
        <v>501.05</v>
      </c>
      <c r="AB71" s="2">
        <v>501.05</v>
      </c>
      <c r="AC71" s="2">
        <v>501.05</v>
      </c>
      <c r="AD71" s="2">
        <v>501.05</v>
      </c>
      <c r="AE71" s="2">
        <v>501.05</v>
      </c>
      <c r="AF71" s="2">
        <v>393.06</v>
      </c>
      <c r="AG71" s="2">
        <v>393.06</v>
      </c>
      <c r="AH71" s="2">
        <v>393.06</v>
      </c>
      <c r="AI71" s="2">
        <v>393.06</v>
      </c>
      <c r="AJ71" s="2">
        <v>393.06</v>
      </c>
      <c r="AK71" s="2">
        <v>393.06</v>
      </c>
      <c r="AL71" s="2">
        <v>393.06</v>
      </c>
      <c r="AM71" s="2">
        <v>393.06</v>
      </c>
      <c r="AN71" s="2">
        <v>393.06</v>
      </c>
      <c r="AO71" s="2">
        <v>393.06</v>
      </c>
      <c r="AP71" s="2">
        <v>393.06</v>
      </c>
      <c r="AQ71" s="2">
        <v>393.06</v>
      </c>
      <c r="AR71" s="2">
        <v>393.06</v>
      </c>
      <c r="AS71" s="2">
        <v>393.06</v>
      </c>
      <c r="AT71" s="2">
        <v>393.06</v>
      </c>
      <c r="AU71" s="2">
        <v>393.06</v>
      </c>
    </row>
    <row r="73" spans="1:47" ht="18" x14ac:dyDescent="0.35">
      <c r="A73" s="4" t="s">
        <v>67</v>
      </c>
    </row>
    <row r="74" spans="1:47" x14ac:dyDescent="0.3">
      <c r="A74" s="2" t="s">
        <v>7</v>
      </c>
      <c r="B74" s="2" t="s">
        <v>8</v>
      </c>
      <c r="C74" s="2" t="s">
        <v>9</v>
      </c>
      <c r="D74" s="2" t="s">
        <v>10</v>
      </c>
      <c r="E74" s="2" t="s">
        <v>11</v>
      </c>
      <c r="F74" s="2" t="s">
        <v>12</v>
      </c>
      <c r="G74" s="2" t="s">
        <v>13</v>
      </c>
      <c r="H74" s="2" t="s">
        <v>14</v>
      </c>
      <c r="I74" s="2" t="s">
        <v>15</v>
      </c>
      <c r="J74" s="2" t="s">
        <v>16</v>
      </c>
      <c r="K74" s="2" t="s">
        <v>17</v>
      </c>
      <c r="L74" s="2" t="s">
        <v>18</v>
      </c>
      <c r="M74" s="2" t="s">
        <v>19</v>
      </c>
      <c r="N74" s="2" t="s">
        <v>20</v>
      </c>
      <c r="O74" s="2" t="s">
        <v>21</v>
      </c>
      <c r="P74" s="2" t="s">
        <v>22</v>
      </c>
      <c r="Q74" s="2" t="s">
        <v>23</v>
      </c>
      <c r="R74" s="2" t="s">
        <v>24</v>
      </c>
      <c r="S74" s="2" t="s">
        <v>25</v>
      </c>
      <c r="T74" s="2" t="s">
        <v>26</v>
      </c>
      <c r="U74" s="2" t="s">
        <v>27</v>
      </c>
      <c r="V74" s="2" t="s">
        <v>28</v>
      </c>
      <c r="W74" s="2" t="s">
        <v>29</v>
      </c>
      <c r="X74" s="2" t="s">
        <v>30</v>
      </c>
      <c r="Y74" s="2" t="s">
        <v>31</v>
      </c>
      <c r="Z74" s="2" t="s">
        <v>32</v>
      </c>
      <c r="AA74" s="2" t="s">
        <v>33</v>
      </c>
      <c r="AB74" s="2" t="s">
        <v>34</v>
      </c>
      <c r="AC74" s="2" t="s">
        <v>35</v>
      </c>
      <c r="AD74" s="2" t="s">
        <v>36</v>
      </c>
      <c r="AE74" s="2" t="s">
        <v>37</v>
      </c>
      <c r="AF74" s="2" t="s">
        <v>38</v>
      </c>
      <c r="AG74" s="2" t="s">
        <v>39</v>
      </c>
      <c r="AH74" s="2" t="s">
        <v>40</v>
      </c>
      <c r="AI74" s="2" t="s">
        <v>41</v>
      </c>
      <c r="AJ74" s="2" t="s">
        <v>42</v>
      </c>
      <c r="AK74" s="2" t="s">
        <v>43</v>
      </c>
      <c r="AL74" s="2" t="s">
        <v>44</v>
      </c>
      <c r="AM74" s="2" t="s">
        <v>45</v>
      </c>
      <c r="AN74" s="2" t="s">
        <v>46</v>
      </c>
      <c r="AO74" s="2" t="s">
        <v>47</v>
      </c>
      <c r="AP74" s="2" t="s">
        <v>48</v>
      </c>
      <c r="AQ74" s="2" t="s">
        <v>49</v>
      </c>
      <c r="AR74" s="2" t="s">
        <v>50</v>
      </c>
      <c r="AS74" s="2" t="s">
        <v>51</v>
      </c>
      <c r="AT74" s="2" t="s">
        <v>52</v>
      </c>
      <c r="AU74" s="2" t="s">
        <v>53</v>
      </c>
    </row>
    <row r="75" spans="1:47" x14ac:dyDescent="0.3">
      <c r="A75" s="2" t="s">
        <v>54</v>
      </c>
      <c r="B75" s="2">
        <v>35480</v>
      </c>
      <c r="C75" s="2">
        <v>36031.99</v>
      </c>
      <c r="D75" s="2">
        <v>34315</v>
      </c>
      <c r="E75" s="2">
        <v>39614.99</v>
      </c>
      <c r="F75" s="2">
        <v>39685.01</v>
      </c>
      <c r="G75" s="2">
        <v>32555</v>
      </c>
      <c r="H75" s="2">
        <v>34907</v>
      </c>
      <c r="I75" s="2">
        <v>33887</v>
      </c>
      <c r="J75" s="2">
        <v>37936</v>
      </c>
      <c r="K75" s="2">
        <v>39199.480000000003</v>
      </c>
      <c r="L75" s="2">
        <v>35042.89</v>
      </c>
      <c r="M75" s="2">
        <v>36513</v>
      </c>
      <c r="N75" s="2">
        <v>40016.01</v>
      </c>
      <c r="O75" s="2">
        <v>38280.99</v>
      </c>
      <c r="P75" s="2">
        <v>36210.019999999997</v>
      </c>
      <c r="Q75" s="2">
        <v>36151.980000000003</v>
      </c>
      <c r="R75" s="2">
        <v>36151.949999999997</v>
      </c>
      <c r="S75" s="2">
        <v>36183.56</v>
      </c>
      <c r="T75" s="2">
        <v>36210</v>
      </c>
      <c r="U75" s="2">
        <v>36156.57</v>
      </c>
      <c r="V75" s="2">
        <v>36210.019999999997</v>
      </c>
      <c r="W75" s="2">
        <v>36210.019999999997</v>
      </c>
      <c r="X75" s="2">
        <v>36210.04</v>
      </c>
      <c r="Y75" s="2">
        <v>36210</v>
      </c>
      <c r="Z75" s="2">
        <v>36210.03</v>
      </c>
      <c r="AA75" s="2">
        <v>36209.980000000003</v>
      </c>
      <c r="AB75" s="2">
        <v>36210.019999999997</v>
      </c>
      <c r="AC75" s="2">
        <v>36209.97</v>
      </c>
      <c r="AD75" s="2">
        <v>36210.01</v>
      </c>
      <c r="AE75" s="2">
        <v>36210</v>
      </c>
      <c r="AF75" s="2">
        <v>36210</v>
      </c>
      <c r="AG75" s="2">
        <v>36811.269999999997</v>
      </c>
      <c r="AH75" s="2">
        <v>36811.269999999997</v>
      </c>
      <c r="AI75" s="2">
        <v>36811.32</v>
      </c>
      <c r="AJ75" s="2">
        <v>36811.29</v>
      </c>
      <c r="AK75" s="2">
        <v>36811.300000000003</v>
      </c>
      <c r="AL75" s="2">
        <v>36811.300000000003</v>
      </c>
      <c r="AM75" s="2">
        <v>36811.33</v>
      </c>
      <c r="AN75" s="2">
        <v>36811.29</v>
      </c>
      <c r="AO75" s="2">
        <v>36811.279999999999</v>
      </c>
      <c r="AP75" s="2">
        <v>36811.31</v>
      </c>
      <c r="AQ75" s="2">
        <v>36811.300000000003</v>
      </c>
      <c r="AR75" s="2">
        <v>37352.519999999997</v>
      </c>
      <c r="AS75" s="2">
        <v>37839.58</v>
      </c>
      <c r="AT75" s="2">
        <v>38277.86</v>
      </c>
      <c r="AU75" s="2">
        <v>38597.47</v>
      </c>
    </row>
    <row r="76" spans="1:47" x14ac:dyDescent="0.3">
      <c r="A76" s="2" t="s">
        <v>55</v>
      </c>
      <c r="B76" s="2">
        <v>26</v>
      </c>
      <c r="C76" s="2">
        <v>145</v>
      </c>
      <c r="D76" s="2">
        <v>494</v>
      </c>
      <c r="E76" s="2">
        <v>1400</v>
      </c>
      <c r="F76" s="2">
        <v>2300</v>
      </c>
      <c r="G76" s="2">
        <v>2800</v>
      </c>
      <c r="H76" s="2">
        <v>3900</v>
      </c>
      <c r="I76" s="2">
        <v>4600</v>
      </c>
      <c r="J76" s="2">
        <v>5200</v>
      </c>
      <c r="K76" s="2">
        <v>6900.64</v>
      </c>
      <c r="L76" s="2">
        <v>11396</v>
      </c>
      <c r="M76" s="2">
        <v>10758</v>
      </c>
      <c r="N76" s="2">
        <v>10464</v>
      </c>
      <c r="O76" s="2">
        <v>11922.01</v>
      </c>
      <c r="P76" s="2">
        <v>10957</v>
      </c>
      <c r="Q76" s="2">
        <v>14436.82</v>
      </c>
      <c r="R76" s="2">
        <v>15838.42</v>
      </c>
      <c r="S76" s="2">
        <v>15838.41</v>
      </c>
      <c r="T76" s="2">
        <v>15838.42</v>
      </c>
      <c r="U76" s="2">
        <v>15838.42</v>
      </c>
      <c r="V76" s="2">
        <v>15838.42</v>
      </c>
      <c r="W76" s="2">
        <v>15838.42</v>
      </c>
      <c r="X76" s="2">
        <v>16013.61</v>
      </c>
      <c r="Y76" s="2">
        <v>16013.61</v>
      </c>
      <c r="Z76" s="2">
        <v>16188.82</v>
      </c>
      <c r="AA76" s="2">
        <v>16486.400000000001</v>
      </c>
      <c r="AB76" s="2">
        <v>16785.61</v>
      </c>
      <c r="AC76" s="2">
        <v>17086.39</v>
      </c>
      <c r="AD76" s="2">
        <v>17388.8</v>
      </c>
      <c r="AE76" s="2">
        <v>17692.759999999998</v>
      </c>
      <c r="AF76" s="2">
        <v>17998.28</v>
      </c>
      <c r="AG76" s="2">
        <v>18305.36</v>
      </c>
      <c r="AH76" s="2">
        <v>18613.990000000002</v>
      </c>
      <c r="AI76" s="2">
        <v>18924.169999999998</v>
      </c>
      <c r="AJ76" s="2">
        <v>19235.87</v>
      </c>
      <c r="AK76" s="2">
        <v>19549.060000000001</v>
      </c>
      <c r="AL76" s="2">
        <v>19863.77</v>
      </c>
      <c r="AM76" s="2">
        <v>20179.990000000002</v>
      </c>
      <c r="AN76" s="2">
        <v>20497.68</v>
      </c>
      <c r="AO76" s="2">
        <v>20816.84</v>
      </c>
      <c r="AP76" s="2">
        <v>21137.47</v>
      </c>
      <c r="AQ76" s="2">
        <v>21459.57</v>
      </c>
      <c r="AR76" s="2">
        <v>21783.09</v>
      </c>
      <c r="AS76" s="2">
        <v>22108.07</v>
      </c>
      <c r="AT76" s="2">
        <v>22434.47</v>
      </c>
      <c r="AU76" s="2">
        <v>22762.29</v>
      </c>
    </row>
    <row r="77" spans="1:47" x14ac:dyDescent="0.3">
      <c r="A77" s="2" t="s">
        <v>56</v>
      </c>
      <c r="B77" s="2">
        <v>807.53</v>
      </c>
      <c r="C77" s="2">
        <v>733.51</v>
      </c>
      <c r="D77" s="2">
        <v>598.95000000000005</v>
      </c>
      <c r="E77" s="2">
        <v>484.04</v>
      </c>
      <c r="F77" s="2">
        <v>657.05</v>
      </c>
      <c r="G77" s="2">
        <v>735.1</v>
      </c>
      <c r="H77" s="2">
        <v>607.89</v>
      </c>
      <c r="I77" s="2">
        <v>672.86</v>
      </c>
      <c r="J77" s="2">
        <v>586.34</v>
      </c>
      <c r="K77" s="2">
        <v>905.14</v>
      </c>
      <c r="L77" s="2">
        <v>937.11</v>
      </c>
      <c r="M77" s="2">
        <v>1444.15</v>
      </c>
      <c r="N77" s="2">
        <v>962.05</v>
      </c>
      <c r="O77" s="2">
        <v>1310.77</v>
      </c>
      <c r="P77" s="2">
        <v>1249.3900000000001</v>
      </c>
      <c r="Q77" s="2">
        <v>756.07</v>
      </c>
      <c r="R77" s="2">
        <v>756.08</v>
      </c>
      <c r="S77" s="2">
        <v>769.02</v>
      </c>
      <c r="T77" s="2">
        <v>781.92</v>
      </c>
      <c r="U77" s="2">
        <v>756.09</v>
      </c>
      <c r="V77" s="2">
        <v>781.92</v>
      </c>
      <c r="W77" s="2">
        <v>781.9</v>
      </c>
      <c r="X77" s="2">
        <v>781.9</v>
      </c>
      <c r="Y77" s="2">
        <v>781.9</v>
      </c>
      <c r="Z77" s="2">
        <v>781.9</v>
      </c>
      <c r="AA77" s="2">
        <v>781.9</v>
      </c>
      <c r="AB77" s="2">
        <v>781.9</v>
      </c>
      <c r="AC77" s="2">
        <v>781.88</v>
      </c>
      <c r="AD77" s="2">
        <v>781.88</v>
      </c>
      <c r="AE77" s="2">
        <v>781.88</v>
      </c>
      <c r="AF77" s="2">
        <v>781.88</v>
      </c>
      <c r="AG77" s="2">
        <v>781.88</v>
      </c>
      <c r="AH77" s="2">
        <v>781.88</v>
      </c>
      <c r="AI77" s="2">
        <v>781.88</v>
      </c>
      <c r="AJ77" s="2">
        <v>781.88</v>
      </c>
      <c r="AK77" s="2">
        <v>781.88</v>
      </c>
      <c r="AL77" s="2">
        <v>781.88</v>
      </c>
      <c r="AM77" s="2">
        <v>781.88</v>
      </c>
      <c r="AN77" s="2">
        <v>781.88</v>
      </c>
      <c r="AO77" s="2">
        <v>781.88</v>
      </c>
      <c r="AP77" s="2">
        <v>781.88</v>
      </c>
      <c r="AQ77" s="2">
        <v>781.88</v>
      </c>
      <c r="AR77" s="2">
        <v>781.88</v>
      </c>
      <c r="AS77" s="2">
        <v>781.88</v>
      </c>
      <c r="AT77" s="2">
        <v>781.88</v>
      </c>
      <c r="AU77" s="2">
        <v>781.88</v>
      </c>
    </row>
    <row r="78" spans="1:47" x14ac:dyDescent="0.3">
      <c r="A78" s="2" t="s">
        <v>57</v>
      </c>
      <c r="B78" s="2">
        <v>0</v>
      </c>
      <c r="C78" s="2">
        <v>0</v>
      </c>
      <c r="D78" s="2">
        <v>0</v>
      </c>
      <c r="E78" s="2">
        <v>0</v>
      </c>
      <c r="F78" s="2">
        <v>5</v>
      </c>
      <c r="G78" s="2">
        <v>123</v>
      </c>
      <c r="H78" s="2">
        <v>398</v>
      </c>
      <c r="I78" s="2">
        <v>842</v>
      </c>
      <c r="J78" s="2">
        <v>1173</v>
      </c>
      <c r="K78" s="2">
        <v>1757.71</v>
      </c>
      <c r="L78" s="2">
        <v>1425</v>
      </c>
      <c r="M78" s="2">
        <v>1776</v>
      </c>
      <c r="N78" s="2">
        <v>1998</v>
      </c>
      <c r="O78" s="2">
        <v>2163</v>
      </c>
      <c r="P78" s="2">
        <v>2168</v>
      </c>
      <c r="Q78" s="2">
        <v>2168</v>
      </c>
      <c r="R78" s="2">
        <v>2168</v>
      </c>
      <c r="S78" s="2">
        <v>2168</v>
      </c>
      <c r="T78" s="2">
        <v>2168</v>
      </c>
      <c r="U78" s="2">
        <v>2168</v>
      </c>
      <c r="V78" s="2">
        <v>2168</v>
      </c>
      <c r="W78" s="2">
        <v>2168</v>
      </c>
      <c r="X78" s="2">
        <v>2168</v>
      </c>
      <c r="Y78" s="2">
        <v>2168</v>
      </c>
      <c r="Z78" s="2">
        <v>2349.33</v>
      </c>
      <c r="AA78" s="2">
        <v>2530.66</v>
      </c>
      <c r="AB78" s="2">
        <v>2712</v>
      </c>
      <c r="AC78" s="2">
        <v>2893.33</v>
      </c>
      <c r="AD78" s="2">
        <v>3074.66</v>
      </c>
      <c r="AE78" s="2">
        <v>3255.99</v>
      </c>
      <c r="AF78" s="2">
        <v>3437.32</v>
      </c>
      <c r="AG78" s="2">
        <v>3618.66</v>
      </c>
      <c r="AH78" s="2">
        <v>3799.99</v>
      </c>
      <c r="AI78" s="2">
        <v>3981.32</v>
      </c>
      <c r="AJ78" s="2">
        <v>4162.6499999999996</v>
      </c>
      <c r="AK78" s="2">
        <v>4343.9799999999996</v>
      </c>
      <c r="AL78" s="2">
        <v>4525.32</v>
      </c>
      <c r="AM78" s="2">
        <v>4706.6499999999996</v>
      </c>
      <c r="AN78" s="2">
        <v>4887.9799999999996</v>
      </c>
      <c r="AO78" s="2">
        <v>5069.3100000000004</v>
      </c>
      <c r="AP78" s="2">
        <v>5250.64</v>
      </c>
      <c r="AQ78" s="2">
        <v>5431.98</v>
      </c>
      <c r="AR78" s="2">
        <v>5613.31</v>
      </c>
      <c r="AS78" s="2">
        <v>5794.64</v>
      </c>
      <c r="AT78" s="2">
        <v>5975.97</v>
      </c>
      <c r="AU78" s="2">
        <v>6157.31</v>
      </c>
    </row>
    <row r="79" spans="1:47" x14ac:dyDescent="0.3">
      <c r="A79" s="2" t="s">
        <v>58</v>
      </c>
      <c r="B79" s="2">
        <v>77969</v>
      </c>
      <c r="C79" s="2">
        <v>83457</v>
      </c>
      <c r="D79" s="2">
        <v>79750</v>
      </c>
      <c r="E79" s="2">
        <v>85832</v>
      </c>
      <c r="F79" s="2">
        <v>81395.98</v>
      </c>
      <c r="G79" s="2">
        <v>81975</v>
      </c>
      <c r="H79" s="2">
        <v>84766</v>
      </c>
      <c r="I79" s="2">
        <v>84866</v>
      </c>
      <c r="J79" s="2">
        <v>93102.99</v>
      </c>
      <c r="K79" s="2">
        <v>96195.59</v>
      </c>
      <c r="L79" s="2">
        <v>91768.98</v>
      </c>
      <c r="M79" s="2">
        <v>91142.01</v>
      </c>
      <c r="N79" s="2">
        <v>90445</v>
      </c>
      <c r="O79" s="2">
        <v>90155.01</v>
      </c>
      <c r="P79" s="2">
        <v>90454</v>
      </c>
      <c r="Q79" s="2">
        <v>80102.490000000005</v>
      </c>
      <c r="R79" s="2">
        <v>77510.039999999994</v>
      </c>
      <c r="S79" s="2">
        <v>78680.14</v>
      </c>
      <c r="T79" s="2">
        <v>66926.929999999993</v>
      </c>
      <c r="U79" s="2">
        <v>79889.42</v>
      </c>
      <c r="V79" s="2">
        <v>69155.64</v>
      </c>
      <c r="W79" s="2">
        <v>59712.36</v>
      </c>
      <c r="X79" s="2">
        <v>66943.210000000006</v>
      </c>
      <c r="Y79" s="2">
        <v>73418.600000000006</v>
      </c>
      <c r="Z79" s="2">
        <v>67081.97</v>
      </c>
      <c r="AA79" s="2">
        <v>73557.36</v>
      </c>
      <c r="AB79" s="2">
        <v>67220.73</v>
      </c>
      <c r="AC79" s="2">
        <v>73696.12</v>
      </c>
      <c r="AD79" s="2">
        <v>73734.66</v>
      </c>
      <c r="AE79" s="2">
        <v>80210.05</v>
      </c>
      <c r="AF79" s="2">
        <v>80210.05</v>
      </c>
      <c r="AG79" s="2">
        <v>80210.05</v>
      </c>
      <c r="AH79" s="2">
        <v>80248.600000000006</v>
      </c>
      <c r="AI79" s="2">
        <v>80248.600000000006</v>
      </c>
      <c r="AJ79" s="2">
        <v>80325.69</v>
      </c>
      <c r="AK79" s="2">
        <v>80479.86</v>
      </c>
      <c r="AL79" s="2">
        <v>80634.039999999994</v>
      </c>
      <c r="AM79" s="2">
        <v>80788.22</v>
      </c>
      <c r="AN79" s="2">
        <v>80942.39</v>
      </c>
      <c r="AO79" s="2">
        <v>81135.11</v>
      </c>
      <c r="AP79" s="2">
        <v>81327.83</v>
      </c>
      <c r="AQ79" s="2">
        <v>81713.27</v>
      </c>
      <c r="AR79" s="2">
        <v>82484.149999999994</v>
      </c>
      <c r="AS79" s="2">
        <v>83255.03</v>
      </c>
      <c r="AT79" s="2">
        <v>84025.91</v>
      </c>
      <c r="AU79" s="2">
        <v>84025.91</v>
      </c>
    </row>
    <row r="80" spans="1:47" x14ac:dyDescent="0.3">
      <c r="A80" s="2" t="s">
        <v>59</v>
      </c>
      <c r="B80" s="2">
        <v>28734.080000000002</v>
      </c>
      <c r="C80" s="2">
        <v>23808.080000000002</v>
      </c>
      <c r="D80" s="2">
        <v>27468.720000000001</v>
      </c>
      <c r="E80" s="2">
        <v>22638.21</v>
      </c>
      <c r="F80" s="2">
        <v>10461.15</v>
      </c>
      <c r="G80" s="2">
        <v>10336.620000000001</v>
      </c>
      <c r="H80" s="2">
        <v>4329.34</v>
      </c>
      <c r="I80" s="2">
        <v>3596.74</v>
      </c>
      <c r="J80" s="2">
        <v>2742.24</v>
      </c>
      <c r="K80" s="2">
        <v>94.81</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row>
    <row r="81" spans="1:47" x14ac:dyDescent="0.3">
      <c r="A81" s="2" t="s">
        <v>60</v>
      </c>
      <c r="B81" s="2">
        <v>13282.59</v>
      </c>
      <c r="C81" s="2">
        <v>11807.7</v>
      </c>
      <c r="D81" s="2">
        <v>13530.81</v>
      </c>
      <c r="E81" s="2">
        <v>11214.3</v>
      </c>
      <c r="F81" s="2">
        <v>7490.9</v>
      </c>
      <c r="G81" s="2">
        <v>16885.54</v>
      </c>
      <c r="H81" s="2">
        <v>24281.59</v>
      </c>
      <c r="I81" s="2">
        <v>23380.22</v>
      </c>
      <c r="J81" s="2">
        <v>18653.16</v>
      </c>
      <c r="K81" s="2">
        <v>15720.97</v>
      </c>
      <c r="L81" s="2">
        <v>16218.48</v>
      </c>
      <c r="M81" s="2">
        <v>14862.2</v>
      </c>
      <c r="N81" s="2">
        <v>8378.6200000000008</v>
      </c>
      <c r="O81" s="2">
        <v>11831.22</v>
      </c>
      <c r="P81" s="2">
        <v>11504.17</v>
      </c>
      <c r="Q81" s="2">
        <v>12122.16</v>
      </c>
      <c r="R81" s="2">
        <v>13899.79</v>
      </c>
      <c r="S81" s="2">
        <v>19346.23</v>
      </c>
      <c r="T81" s="2">
        <v>22546.28</v>
      </c>
      <c r="U81" s="2">
        <v>15871.39</v>
      </c>
      <c r="V81" s="2">
        <v>25876.52</v>
      </c>
      <c r="W81" s="2">
        <v>32721.94</v>
      </c>
      <c r="X81" s="2">
        <v>29406.57</v>
      </c>
      <c r="Y81" s="2">
        <v>26612.44</v>
      </c>
      <c r="Z81" s="2">
        <v>31411.01</v>
      </c>
      <c r="AA81" s="2">
        <v>30893.040000000001</v>
      </c>
      <c r="AB81" s="2">
        <v>34424.699999999997</v>
      </c>
      <c r="AC81" s="2">
        <v>33168.019999999997</v>
      </c>
      <c r="AD81" s="2">
        <v>33599.699999999997</v>
      </c>
      <c r="AE81" s="2">
        <v>30690.21</v>
      </c>
      <c r="AF81" s="2">
        <v>28577.66</v>
      </c>
      <c r="AG81" s="2">
        <v>31853.72</v>
      </c>
      <c r="AH81" s="2">
        <v>31672.44</v>
      </c>
      <c r="AI81" s="2">
        <v>31273.71</v>
      </c>
      <c r="AJ81" s="2">
        <v>30770.12</v>
      </c>
      <c r="AK81" s="2">
        <v>30751.79</v>
      </c>
      <c r="AL81" s="2">
        <v>30412.29</v>
      </c>
      <c r="AM81" s="2">
        <v>33683.22</v>
      </c>
      <c r="AN81" s="2">
        <v>34161.49</v>
      </c>
      <c r="AO81" s="2">
        <v>34157.65</v>
      </c>
      <c r="AP81" s="2">
        <v>34158.839999999997</v>
      </c>
      <c r="AQ81" s="2">
        <v>34090.32</v>
      </c>
      <c r="AR81" s="2">
        <v>33911.35</v>
      </c>
      <c r="AS81" s="2">
        <v>33589.97</v>
      </c>
      <c r="AT81" s="2">
        <v>33478.22</v>
      </c>
      <c r="AU81" s="2">
        <v>33666.79</v>
      </c>
    </row>
    <row r="82" spans="1:47" x14ac:dyDescent="0.3">
      <c r="A82" s="2" t="s">
        <v>61</v>
      </c>
      <c r="B82" s="2">
        <v>309.95</v>
      </c>
      <c r="C82" s="2">
        <v>309.95</v>
      </c>
      <c r="D82" s="2">
        <v>309.95</v>
      </c>
      <c r="E82" s="2">
        <v>182.56</v>
      </c>
      <c r="F82" s="2">
        <v>215.24</v>
      </c>
      <c r="G82" s="2">
        <v>73.47</v>
      </c>
      <c r="H82" s="2">
        <v>45.67</v>
      </c>
      <c r="I82" s="2">
        <v>65.78</v>
      </c>
      <c r="J82" s="2">
        <v>45.15</v>
      </c>
      <c r="K82" s="2">
        <v>381.13</v>
      </c>
      <c r="L82" s="2">
        <v>657.48</v>
      </c>
      <c r="M82" s="2">
        <v>544.26</v>
      </c>
      <c r="N82" s="2">
        <v>377.97</v>
      </c>
      <c r="O82" s="2">
        <v>459.69</v>
      </c>
      <c r="P82" s="2">
        <v>409.18</v>
      </c>
      <c r="Q82" s="2">
        <v>81.87</v>
      </c>
      <c r="R82" s="2">
        <v>85.15</v>
      </c>
      <c r="S82" s="2">
        <v>178.19</v>
      </c>
      <c r="T82" s="2">
        <v>291.06</v>
      </c>
      <c r="U82" s="2">
        <v>72.3</v>
      </c>
      <c r="V82" s="2">
        <v>492.01</v>
      </c>
      <c r="W82" s="2">
        <v>954.96</v>
      </c>
      <c r="X82" s="2">
        <v>665.63</v>
      </c>
      <c r="Y82" s="2">
        <v>592.72</v>
      </c>
      <c r="Z82" s="2">
        <v>854.27</v>
      </c>
      <c r="AA82" s="2">
        <v>718.06</v>
      </c>
      <c r="AB82" s="2">
        <v>1196.1199999999999</v>
      </c>
      <c r="AC82" s="2">
        <v>857.3</v>
      </c>
      <c r="AD82" s="2">
        <v>921.31</v>
      </c>
      <c r="AE82" s="2">
        <v>685.26</v>
      </c>
      <c r="AF82" s="2">
        <v>411.86</v>
      </c>
      <c r="AG82" s="2">
        <v>645.85</v>
      </c>
      <c r="AH82" s="2">
        <v>709.68</v>
      </c>
      <c r="AI82" s="2">
        <v>731.53</v>
      </c>
      <c r="AJ82" s="2">
        <v>738.72</v>
      </c>
      <c r="AK82" s="2">
        <v>736.99</v>
      </c>
      <c r="AL82" s="2">
        <v>790.21</v>
      </c>
      <c r="AM82" s="2">
        <v>892.56</v>
      </c>
      <c r="AN82" s="2">
        <v>1052.01</v>
      </c>
      <c r="AO82" s="2">
        <v>1038.1099999999999</v>
      </c>
      <c r="AP82" s="2">
        <v>1038.27</v>
      </c>
      <c r="AQ82" s="2">
        <v>1023.76</v>
      </c>
      <c r="AR82" s="2">
        <v>1021.71</v>
      </c>
      <c r="AS82" s="2">
        <v>990.04</v>
      </c>
      <c r="AT82" s="2">
        <v>1045.29</v>
      </c>
      <c r="AU82" s="2">
        <v>1110.31</v>
      </c>
    </row>
    <row r="84" spans="1:47" ht="18" x14ac:dyDescent="0.35">
      <c r="A84" s="4" t="s">
        <v>68</v>
      </c>
    </row>
    <row r="85" spans="1:47" x14ac:dyDescent="0.3">
      <c r="A85" s="2" t="s">
        <v>7</v>
      </c>
      <c r="B85" s="2" t="s">
        <v>8</v>
      </c>
      <c r="C85" s="2" t="s">
        <v>9</v>
      </c>
      <c r="D85" s="2" t="s">
        <v>10</v>
      </c>
      <c r="E85" s="2" t="s">
        <v>11</v>
      </c>
      <c r="F85" s="2" t="s">
        <v>12</v>
      </c>
      <c r="G85" s="2" t="s">
        <v>13</v>
      </c>
      <c r="H85" s="2" t="s">
        <v>14</v>
      </c>
      <c r="I85" s="2" t="s">
        <v>15</v>
      </c>
      <c r="J85" s="2" t="s">
        <v>16</v>
      </c>
      <c r="K85" s="2" t="s">
        <v>17</v>
      </c>
      <c r="L85" s="2" t="s">
        <v>18</v>
      </c>
      <c r="M85" s="2" t="s">
        <v>19</v>
      </c>
      <c r="N85" s="2" t="s">
        <v>20</v>
      </c>
      <c r="O85" s="2" t="s">
        <v>21</v>
      </c>
      <c r="P85" s="2" t="s">
        <v>22</v>
      </c>
      <c r="Q85" s="2" t="s">
        <v>23</v>
      </c>
      <c r="R85" s="2" t="s">
        <v>24</v>
      </c>
      <c r="S85" s="2" t="s">
        <v>25</v>
      </c>
      <c r="T85" s="2" t="s">
        <v>26</v>
      </c>
      <c r="U85" s="2" t="s">
        <v>27</v>
      </c>
      <c r="V85" s="2" t="s">
        <v>28</v>
      </c>
      <c r="W85" s="2" t="s">
        <v>29</v>
      </c>
      <c r="X85" s="2" t="s">
        <v>30</v>
      </c>
      <c r="Y85" s="2" t="s">
        <v>31</v>
      </c>
      <c r="Z85" s="2" t="s">
        <v>32</v>
      </c>
      <c r="AA85" s="2" t="s">
        <v>33</v>
      </c>
      <c r="AB85" s="2" t="s">
        <v>34</v>
      </c>
      <c r="AC85" s="2" t="s">
        <v>35</v>
      </c>
      <c r="AD85" s="2" t="s">
        <v>36</v>
      </c>
      <c r="AE85" s="2" t="s">
        <v>37</v>
      </c>
      <c r="AF85" s="2" t="s">
        <v>38</v>
      </c>
      <c r="AG85" s="2" t="s">
        <v>39</v>
      </c>
      <c r="AH85" s="2" t="s">
        <v>40</v>
      </c>
      <c r="AI85" s="2" t="s">
        <v>41</v>
      </c>
      <c r="AJ85" s="2" t="s">
        <v>42</v>
      </c>
      <c r="AK85" s="2" t="s">
        <v>43</v>
      </c>
      <c r="AL85" s="2" t="s">
        <v>44</v>
      </c>
      <c r="AM85" s="2" t="s">
        <v>45</v>
      </c>
      <c r="AN85" s="2" t="s">
        <v>46</v>
      </c>
      <c r="AO85" s="2" t="s">
        <v>47</v>
      </c>
      <c r="AP85" s="2" t="s">
        <v>48</v>
      </c>
      <c r="AQ85" s="2" t="s">
        <v>49</v>
      </c>
      <c r="AR85" s="2" t="s">
        <v>50</v>
      </c>
      <c r="AS85" s="2" t="s">
        <v>51</v>
      </c>
      <c r="AT85" s="2" t="s">
        <v>52</v>
      </c>
      <c r="AU85" s="2" t="s">
        <v>53</v>
      </c>
    </row>
    <row r="86" spans="1:47" x14ac:dyDescent="0.3">
      <c r="A86" s="2" t="s">
        <v>54</v>
      </c>
      <c r="B86" s="2">
        <v>36440</v>
      </c>
      <c r="C86" s="2">
        <v>33651</v>
      </c>
      <c r="D86" s="2">
        <v>33513</v>
      </c>
      <c r="E86" s="2">
        <v>34588</v>
      </c>
      <c r="F86" s="2">
        <v>33549</v>
      </c>
      <c r="G86" s="2">
        <v>33269</v>
      </c>
      <c r="H86" s="2">
        <v>34206</v>
      </c>
      <c r="I86" s="2">
        <v>32185</v>
      </c>
      <c r="J86" s="2">
        <v>35337</v>
      </c>
      <c r="K86" s="2">
        <v>34494.879999999997</v>
      </c>
      <c r="L86" s="2">
        <v>34774</v>
      </c>
      <c r="M86" s="2">
        <v>36599</v>
      </c>
      <c r="N86" s="2">
        <v>35991</v>
      </c>
      <c r="O86" s="2">
        <v>30732</v>
      </c>
      <c r="P86" s="2">
        <v>32935</v>
      </c>
      <c r="Q86" s="2">
        <v>32935.019999999997</v>
      </c>
      <c r="R86" s="2">
        <v>32935.019999999997</v>
      </c>
      <c r="S86" s="2">
        <v>32935</v>
      </c>
      <c r="T86" s="2">
        <v>32935.019999999997</v>
      </c>
      <c r="U86" s="2">
        <v>32935</v>
      </c>
      <c r="V86" s="2">
        <v>32935.019999999997</v>
      </c>
      <c r="W86" s="2">
        <v>32934.99</v>
      </c>
      <c r="X86" s="2">
        <v>32935</v>
      </c>
      <c r="Y86" s="2">
        <v>32934.97</v>
      </c>
      <c r="Z86" s="2">
        <v>32935</v>
      </c>
      <c r="AA86" s="2">
        <v>32935.019999999997</v>
      </c>
      <c r="AB86" s="2">
        <v>32935.040000000001</v>
      </c>
      <c r="AC86" s="2">
        <v>32935.019999999997</v>
      </c>
      <c r="AD86" s="2">
        <v>32935.040000000001</v>
      </c>
      <c r="AE86" s="2">
        <v>33027.980000000003</v>
      </c>
      <c r="AF86" s="2">
        <v>33111.82</v>
      </c>
      <c r="AG86" s="2">
        <v>33187.07</v>
      </c>
      <c r="AH86" s="2">
        <v>33254.93</v>
      </c>
      <c r="AI86" s="2">
        <v>33254.94</v>
      </c>
      <c r="AJ86" s="2">
        <v>33254.93</v>
      </c>
      <c r="AK86" s="2">
        <v>33315.96</v>
      </c>
      <c r="AL86" s="2">
        <v>33315.980000000003</v>
      </c>
      <c r="AM86" s="2">
        <v>33315.949999999997</v>
      </c>
      <c r="AN86" s="2">
        <v>33315.96</v>
      </c>
      <c r="AO86" s="2">
        <v>33315.96</v>
      </c>
      <c r="AP86" s="2">
        <v>33315.94</v>
      </c>
      <c r="AQ86" s="2">
        <v>33370.85</v>
      </c>
      <c r="AR86" s="2">
        <v>33370.92</v>
      </c>
      <c r="AS86" s="2">
        <v>33370.93</v>
      </c>
      <c r="AT86" s="2">
        <v>33370.949999999997</v>
      </c>
      <c r="AU86" s="2">
        <v>33370.89</v>
      </c>
    </row>
    <row r="87" spans="1:47" x14ac:dyDescent="0.3">
      <c r="A87" s="2" t="s">
        <v>55</v>
      </c>
      <c r="B87" s="2">
        <v>53</v>
      </c>
      <c r="C87" s="2">
        <v>325</v>
      </c>
      <c r="D87" s="2">
        <v>325</v>
      </c>
      <c r="E87" s="2">
        <v>412</v>
      </c>
      <c r="F87" s="2">
        <v>365</v>
      </c>
      <c r="G87" s="2">
        <v>343</v>
      </c>
      <c r="H87" s="2">
        <v>747</v>
      </c>
      <c r="I87" s="2">
        <v>877</v>
      </c>
      <c r="J87" s="2">
        <v>868</v>
      </c>
      <c r="K87" s="2">
        <v>911.32</v>
      </c>
      <c r="L87" s="2">
        <v>903</v>
      </c>
      <c r="M87" s="2">
        <v>966</v>
      </c>
      <c r="N87" s="2">
        <v>927</v>
      </c>
      <c r="O87" s="2">
        <v>873</v>
      </c>
      <c r="P87" s="2">
        <v>884</v>
      </c>
      <c r="Q87" s="2">
        <v>884</v>
      </c>
      <c r="R87" s="2">
        <v>884</v>
      </c>
      <c r="S87" s="2">
        <v>884</v>
      </c>
      <c r="T87" s="2">
        <v>884</v>
      </c>
      <c r="U87" s="2">
        <v>884</v>
      </c>
      <c r="V87" s="2">
        <v>884</v>
      </c>
      <c r="W87" s="2">
        <v>1003.27</v>
      </c>
      <c r="X87" s="2">
        <v>1125.82</v>
      </c>
      <c r="Y87" s="2">
        <v>1251.25</v>
      </c>
      <c r="Z87" s="2">
        <v>1379.18</v>
      </c>
      <c r="AA87" s="2">
        <v>1510.99</v>
      </c>
      <c r="AB87" s="2">
        <v>1644.84</v>
      </c>
      <c r="AC87" s="2">
        <v>1780.75</v>
      </c>
      <c r="AD87" s="2">
        <v>1917.96</v>
      </c>
      <c r="AE87" s="2">
        <v>2056.56</v>
      </c>
      <c r="AF87" s="2">
        <v>2196.59</v>
      </c>
      <c r="AG87" s="2">
        <v>2337.85</v>
      </c>
      <c r="AH87" s="2">
        <v>2480.38</v>
      </c>
      <c r="AI87" s="2">
        <v>2623.86</v>
      </c>
      <c r="AJ87" s="2">
        <v>2768.21</v>
      </c>
      <c r="AK87" s="2">
        <v>2913.19</v>
      </c>
      <c r="AL87" s="2">
        <v>3058.75</v>
      </c>
      <c r="AM87" s="2">
        <v>3204.92</v>
      </c>
      <c r="AN87" s="2">
        <v>3351.56</v>
      </c>
      <c r="AO87" s="2">
        <v>3498.83</v>
      </c>
      <c r="AP87" s="2">
        <v>3646.66</v>
      </c>
      <c r="AQ87" s="2">
        <v>3795.18</v>
      </c>
      <c r="AR87" s="2">
        <v>3944.35</v>
      </c>
      <c r="AS87" s="2">
        <v>4094.26</v>
      </c>
      <c r="AT87" s="2">
        <v>4244.87</v>
      </c>
      <c r="AU87" s="2">
        <v>4397.57</v>
      </c>
    </row>
    <row r="88" spans="1:47" x14ac:dyDescent="0.3">
      <c r="A88" s="2" t="s">
        <v>56</v>
      </c>
      <c r="B88" s="2">
        <v>27.33</v>
      </c>
      <c r="C88" s="2">
        <v>32</v>
      </c>
      <c r="D88" s="2">
        <v>27</v>
      </c>
      <c r="E88" s="2">
        <v>38</v>
      </c>
      <c r="F88" s="2">
        <v>0</v>
      </c>
      <c r="G88" s="2">
        <v>0</v>
      </c>
      <c r="H88" s="2">
        <v>0</v>
      </c>
      <c r="I88" s="2">
        <v>39</v>
      </c>
      <c r="J88" s="2">
        <v>42</v>
      </c>
      <c r="K88" s="2">
        <v>64.400000000000006</v>
      </c>
      <c r="L88" s="2">
        <v>82</v>
      </c>
      <c r="M88" s="2">
        <v>108</v>
      </c>
      <c r="N88" s="2">
        <v>56</v>
      </c>
      <c r="O88" s="2">
        <v>46</v>
      </c>
      <c r="P88" s="2">
        <v>82</v>
      </c>
      <c r="Q88" s="2">
        <v>82</v>
      </c>
      <c r="R88" s="2">
        <v>82</v>
      </c>
      <c r="S88" s="2">
        <v>82</v>
      </c>
      <c r="T88" s="2">
        <v>82</v>
      </c>
      <c r="U88" s="2">
        <v>82</v>
      </c>
      <c r="V88" s="2">
        <v>82</v>
      </c>
      <c r="W88" s="2">
        <v>82</v>
      </c>
      <c r="X88" s="2">
        <v>82</v>
      </c>
      <c r="Y88" s="2">
        <v>82</v>
      </c>
      <c r="Z88" s="2">
        <v>82</v>
      </c>
      <c r="AA88" s="2">
        <v>82</v>
      </c>
      <c r="AB88" s="2">
        <v>82</v>
      </c>
      <c r="AC88" s="2">
        <v>82</v>
      </c>
      <c r="AD88" s="2">
        <v>82</v>
      </c>
      <c r="AE88" s="2">
        <v>82</v>
      </c>
      <c r="AF88" s="2">
        <v>82</v>
      </c>
      <c r="AG88" s="2">
        <v>82</v>
      </c>
      <c r="AH88" s="2">
        <v>82</v>
      </c>
      <c r="AI88" s="2">
        <v>82</v>
      </c>
      <c r="AJ88" s="2">
        <v>82</v>
      </c>
      <c r="AK88" s="2">
        <v>82</v>
      </c>
      <c r="AL88" s="2">
        <v>82</v>
      </c>
      <c r="AM88" s="2">
        <v>82</v>
      </c>
      <c r="AN88" s="2">
        <v>82</v>
      </c>
      <c r="AO88" s="2">
        <v>82</v>
      </c>
      <c r="AP88" s="2">
        <v>82</v>
      </c>
      <c r="AQ88" s="2">
        <v>82</v>
      </c>
      <c r="AR88" s="2">
        <v>82</v>
      </c>
      <c r="AS88" s="2">
        <v>82</v>
      </c>
      <c r="AT88" s="2">
        <v>82</v>
      </c>
      <c r="AU88" s="2">
        <v>82</v>
      </c>
    </row>
    <row r="89" spans="1:47" x14ac:dyDescent="0.3">
      <c r="A89" s="2" t="s">
        <v>57</v>
      </c>
      <c r="B89" s="2">
        <v>0</v>
      </c>
      <c r="C89" s="2">
        <v>0</v>
      </c>
      <c r="D89" s="2">
        <v>0</v>
      </c>
      <c r="E89" s="2">
        <v>0</v>
      </c>
      <c r="F89" s="2">
        <v>0</v>
      </c>
      <c r="G89" s="2">
        <v>0</v>
      </c>
      <c r="H89" s="2">
        <v>0</v>
      </c>
      <c r="I89" s="2">
        <v>0</v>
      </c>
      <c r="J89" s="2">
        <v>0</v>
      </c>
      <c r="K89" s="2">
        <v>0</v>
      </c>
      <c r="L89" s="2">
        <v>0</v>
      </c>
      <c r="M89" s="2">
        <v>0</v>
      </c>
      <c r="N89" s="2">
        <v>0</v>
      </c>
      <c r="O89" s="2">
        <v>0</v>
      </c>
      <c r="P89" s="2">
        <v>0</v>
      </c>
      <c r="Q89" s="2">
        <v>5.26</v>
      </c>
      <c r="R89" s="2">
        <v>5.26</v>
      </c>
      <c r="S89" s="2">
        <v>5.26</v>
      </c>
      <c r="T89" s="2">
        <v>5.26</v>
      </c>
      <c r="U89" s="2">
        <v>5.26</v>
      </c>
      <c r="V89" s="2">
        <v>5.26</v>
      </c>
      <c r="W89" s="2">
        <v>5.26</v>
      </c>
      <c r="X89" s="2">
        <v>5.26</v>
      </c>
      <c r="Y89" s="2">
        <v>5.26</v>
      </c>
      <c r="Z89" s="2">
        <v>14.32</v>
      </c>
      <c r="AA89" s="2">
        <v>23.39</v>
      </c>
      <c r="AB89" s="2">
        <v>32.46</v>
      </c>
      <c r="AC89" s="2">
        <v>41.52</v>
      </c>
      <c r="AD89" s="2">
        <v>50.59</v>
      </c>
      <c r="AE89" s="2">
        <v>59.66</v>
      </c>
      <c r="AF89" s="2">
        <v>68.72</v>
      </c>
      <c r="AG89" s="2">
        <v>77.790000000000006</v>
      </c>
      <c r="AH89" s="2">
        <v>86.86</v>
      </c>
      <c r="AI89" s="2">
        <v>95.92</v>
      </c>
      <c r="AJ89" s="2">
        <v>104.99</v>
      </c>
      <c r="AK89" s="2">
        <v>114.06</v>
      </c>
      <c r="AL89" s="2">
        <v>123.12</v>
      </c>
      <c r="AM89" s="2">
        <v>132.19</v>
      </c>
      <c r="AN89" s="2">
        <v>141.26</v>
      </c>
      <c r="AO89" s="2">
        <v>150.32</v>
      </c>
      <c r="AP89" s="2">
        <v>159.38999999999999</v>
      </c>
      <c r="AQ89" s="2">
        <v>168.45</v>
      </c>
      <c r="AR89" s="2">
        <v>177.52</v>
      </c>
      <c r="AS89" s="2">
        <v>186.59</v>
      </c>
      <c r="AT89" s="2">
        <v>195.65</v>
      </c>
      <c r="AU89" s="2">
        <v>204.72</v>
      </c>
    </row>
    <row r="90" spans="1:47" x14ac:dyDescent="0.3">
      <c r="A90" s="2" t="s">
        <v>58</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row>
    <row r="91" spans="1:47" x14ac:dyDescent="0.3">
      <c r="A91" s="2" t="s">
        <v>59</v>
      </c>
      <c r="B91" s="2">
        <v>413.26</v>
      </c>
      <c r="C91" s="2">
        <v>316.98</v>
      </c>
      <c r="D91" s="2">
        <v>380.97</v>
      </c>
      <c r="E91" s="2">
        <v>380.18</v>
      </c>
      <c r="F91" s="2">
        <v>137.79</v>
      </c>
      <c r="G91" s="2">
        <v>43.57</v>
      </c>
      <c r="H91" s="2">
        <v>48.77</v>
      </c>
      <c r="I91" s="2">
        <v>50.54</v>
      </c>
      <c r="J91" s="2">
        <v>64.180000000000007</v>
      </c>
      <c r="K91" s="2">
        <v>67.62</v>
      </c>
      <c r="L91" s="2">
        <v>61.83</v>
      </c>
      <c r="M91" s="2">
        <v>27.48</v>
      </c>
      <c r="N91" s="2">
        <v>29.44</v>
      </c>
      <c r="O91" s="2">
        <v>4.91</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row>
    <row r="92" spans="1:47" x14ac:dyDescent="0.3">
      <c r="A92" s="2" t="s">
        <v>60</v>
      </c>
      <c r="B92" s="2">
        <v>41.65</v>
      </c>
      <c r="C92" s="2">
        <v>90.76</v>
      </c>
      <c r="D92" s="2">
        <v>172.59</v>
      </c>
      <c r="E92" s="2">
        <v>133.66</v>
      </c>
      <c r="F92" s="2">
        <v>129.41</v>
      </c>
      <c r="G92" s="2">
        <v>98.95</v>
      </c>
      <c r="H92" s="2">
        <v>109.3</v>
      </c>
      <c r="I92" s="2">
        <v>60.7</v>
      </c>
      <c r="J92" s="2">
        <v>30.49</v>
      </c>
      <c r="K92" s="2">
        <v>32.090000000000003</v>
      </c>
      <c r="L92" s="2">
        <v>119.35</v>
      </c>
      <c r="M92" s="2">
        <v>69.02</v>
      </c>
      <c r="N92" s="2">
        <v>70.72</v>
      </c>
      <c r="O92" s="2">
        <v>51.46</v>
      </c>
      <c r="P92" s="2">
        <v>39.9</v>
      </c>
      <c r="Q92" s="2">
        <v>41.69</v>
      </c>
      <c r="R92" s="2">
        <v>74.17</v>
      </c>
      <c r="S92" s="2">
        <v>23.16</v>
      </c>
      <c r="T92" s="2">
        <v>23.16</v>
      </c>
      <c r="U92" s="2">
        <v>23.16</v>
      </c>
      <c r="V92" s="2">
        <v>23.16</v>
      </c>
      <c r="W92" s="2">
        <v>257.07</v>
      </c>
      <c r="X92" s="2">
        <v>284.89999999999998</v>
      </c>
      <c r="Y92" s="2">
        <v>300.36</v>
      </c>
      <c r="Z92" s="2">
        <v>729.18</v>
      </c>
      <c r="AA92" s="2">
        <v>729.18</v>
      </c>
      <c r="AB92" s="2">
        <v>723.01</v>
      </c>
      <c r="AC92" s="2">
        <v>711.68</v>
      </c>
      <c r="AD92" s="2">
        <v>711.68</v>
      </c>
      <c r="AE92" s="2">
        <v>711.68</v>
      </c>
      <c r="AF92" s="2">
        <v>719.41</v>
      </c>
      <c r="AG92" s="2">
        <v>711.68</v>
      </c>
      <c r="AH92" s="2">
        <v>711.68</v>
      </c>
      <c r="AI92" s="2">
        <v>711.68</v>
      </c>
      <c r="AJ92" s="2">
        <v>711.11</v>
      </c>
      <c r="AK92" s="2">
        <v>707.47</v>
      </c>
      <c r="AL92" s="2">
        <v>704.63</v>
      </c>
      <c r="AM92" s="2">
        <v>701.79</v>
      </c>
      <c r="AN92" s="2">
        <v>701.09</v>
      </c>
      <c r="AO92" s="2">
        <v>699.33</v>
      </c>
      <c r="AP92" s="2">
        <v>698.91</v>
      </c>
      <c r="AQ92" s="2">
        <v>696.81</v>
      </c>
      <c r="AR92" s="2">
        <v>689.04</v>
      </c>
      <c r="AS92" s="2">
        <v>655.52</v>
      </c>
      <c r="AT92" s="2">
        <v>664.57</v>
      </c>
      <c r="AU92" s="2">
        <v>699.13</v>
      </c>
    </row>
    <row r="93" spans="1:47" x14ac:dyDescent="0.3">
      <c r="A93" s="2" t="s">
        <v>61</v>
      </c>
      <c r="B93" s="2">
        <v>8.2899999999999991</v>
      </c>
      <c r="C93" s="2">
        <v>7.35</v>
      </c>
      <c r="D93" s="2">
        <v>10.64</v>
      </c>
      <c r="E93" s="2">
        <v>9.4499999999999993</v>
      </c>
      <c r="F93" s="2">
        <v>4.71</v>
      </c>
      <c r="G93" s="2">
        <v>2.37</v>
      </c>
      <c r="H93" s="2">
        <v>3.53</v>
      </c>
      <c r="I93" s="2">
        <v>2.65</v>
      </c>
      <c r="J93" s="2">
        <v>1.93</v>
      </c>
      <c r="K93" s="2">
        <v>6.79</v>
      </c>
      <c r="L93" s="2">
        <v>5.82</v>
      </c>
      <c r="M93" s="2">
        <v>2.5099999999999998</v>
      </c>
      <c r="N93" s="2">
        <v>2.84</v>
      </c>
      <c r="O93" s="2">
        <v>1.64</v>
      </c>
      <c r="P93" s="2">
        <v>1.1000000000000001</v>
      </c>
      <c r="Q93" s="2">
        <v>0.51</v>
      </c>
      <c r="R93" s="2">
        <v>1.59</v>
      </c>
      <c r="S93" s="2">
        <v>0.42</v>
      </c>
      <c r="T93" s="2">
        <v>0.42</v>
      </c>
      <c r="U93" s="2">
        <v>0.42</v>
      </c>
      <c r="V93" s="2">
        <v>0.42</v>
      </c>
      <c r="W93" s="2">
        <v>11.4</v>
      </c>
      <c r="X93" s="2">
        <v>13.07</v>
      </c>
      <c r="Y93" s="2">
        <v>15.9</v>
      </c>
      <c r="Z93" s="2">
        <v>34.049999999999997</v>
      </c>
      <c r="AA93" s="2">
        <v>34.049999999999997</v>
      </c>
      <c r="AB93" s="2">
        <v>34.049999999999997</v>
      </c>
      <c r="AC93" s="2">
        <v>34.049999999999997</v>
      </c>
      <c r="AD93" s="2">
        <v>34.049999999999997</v>
      </c>
      <c r="AE93" s="2">
        <v>34.049999999999997</v>
      </c>
      <c r="AF93" s="2">
        <v>34.049999999999997</v>
      </c>
      <c r="AG93" s="2">
        <v>34.049999999999997</v>
      </c>
      <c r="AH93" s="2">
        <v>34.049999999999997</v>
      </c>
      <c r="AI93" s="2">
        <v>34.049999999999997</v>
      </c>
      <c r="AJ93" s="2">
        <v>34.049999999999997</v>
      </c>
      <c r="AK93" s="2">
        <v>34.049999999999997</v>
      </c>
      <c r="AL93" s="2">
        <v>34.049999999999997</v>
      </c>
      <c r="AM93" s="2">
        <v>34.049999999999997</v>
      </c>
      <c r="AN93" s="2">
        <v>34.049999999999997</v>
      </c>
      <c r="AO93" s="2">
        <v>34.049999999999997</v>
      </c>
      <c r="AP93" s="2">
        <v>34.049999999999997</v>
      </c>
      <c r="AQ93" s="2">
        <v>34.049999999999997</v>
      </c>
      <c r="AR93" s="2">
        <v>33.450000000000003</v>
      </c>
      <c r="AS93" s="2">
        <v>31.11</v>
      </c>
      <c r="AT93" s="2">
        <v>31.7</v>
      </c>
      <c r="AU93" s="2">
        <v>33.81</v>
      </c>
    </row>
    <row r="95" spans="1:47" ht="18" x14ac:dyDescent="0.35">
      <c r="A95" s="4" t="s">
        <v>69</v>
      </c>
    </row>
    <row r="96" spans="1:47" x14ac:dyDescent="0.3">
      <c r="A96" s="2" t="s">
        <v>7</v>
      </c>
      <c r="B96" s="2" t="s">
        <v>8</v>
      </c>
      <c r="C96" s="2" t="s">
        <v>9</v>
      </c>
      <c r="D96" s="2" t="s">
        <v>10</v>
      </c>
      <c r="E96" s="2" t="s">
        <v>11</v>
      </c>
      <c r="F96" s="2" t="s">
        <v>12</v>
      </c>
      <c r="G96" s="2" t="s">
        <v>13</v>
      </c>
      <c r="H96" s="2" t="s">
        <v>14</v>
      </c>
      <c r="I96" s="2" t="s">
        <v>15</v>
      </c>
      <c r="J96" s="2" t="s">
        <v>16</v>
      </c>
      <c r="K96" s="2" t="s">
        <v>17</v>
      </c>
      <c r="L96" s="2" t="s">
        <v>18</v>
      </c>
      <c r="M96" s="2" t="s">
        <v>19</v>
      </c>
      <c r="N96" s="2" t="s">
        <v>20</v>
      </c>
      <c r="O96" s="2" t="s">
        <v>21</v>
      </c>
      <c r="P96" s="2" t="s">
        <v>22</v>
      </c>
      <c r="Q96" s="2" t="s">
        <v>23</v>
      </c>
      <c r="R96" s="2" t="s">
        <v>24</v>
      </c>
      <c r="S96" s="2" t="s">
        <v>25</v>
      </c>
      <c r="T96" s="2" t="s">
        <v>26</v>
      </c>
      <c r="U96" s="2" t="s">
        <v>27</v>
      </c>
      <c r="V96" s="2" t="s">
        <v>28</v>
      </c>
      <c r="W96" s="2" t="s">
        <v>29</v>
      </c>
      <c r="X96" s="2" t="s">
        <v>30</v>
      </c>
      <c r="Y96" s="2" t="s">
        <v>31</v>
      </c>
      <c r="Z96" s="2" t="s">
        <v>32</v>
      </c>
      <c r="AA96" s="2" t="s">
        <v>33</v>
      </c>
      <c r="AB96" s="2" t="s">
        <v>34</v>
      </c>
      <c r="AC96" s="2" t="s">
        <v>35</v>
      </c>
      <c r="AD96" s="2" t="s">
        <v>36</v>
      </c>
      <c r="AE96" s="2" t="s">
        <v>37</v>
      </c>
      <c r="AF96" s="2" t="s">
        <v>38</v>
      </c>
      <c r="AG96" s="2" t="s">
        <v>39</v>
      </c>
      <c r="AH96" s="2" t="s">
        <v>40</v>
      </c>
      <c r="AI96" s="2" t="s">
        <v>41</v>
      </c>
      <c r="AJ96" s="2" t="s">
        <v>42</v>
      </c>
      <c r="AK96" s="2" t="s">
        <v>43</v>
      </c>
      <c r="AL96" s="2" t="s">
        <v>44</v>
      </c>
      <c r="AM96" s="2" t="s">
        <v>45</v>
      </c>
      <c r="AN96" s="2" t="s">
        <v>46</v>
      </c>
      <c r="AO96" s="2" t="s">
        <v>47</v>
      </c>
      <c r="AP96" s="2" t="s">
        <v>48</v>
      </c>
      <c r="AQ96" s="2" t="s">
        <v>49</v>
      </c>
      <c r="AR96" s="2" t="s">
        <v>50</v>
      </c>
      <c r="AS96" s="2" t="s">
        <v>51</v>
      </c>
      <c r="AT96" s="2" t="s">
        <v>52</v>
      </c>
      <c r="AU96" s="2" t="s">
        <v>53</v>
      </c>
    </row>
    <row r="97" spans="1:47" x14ac:dyDescent="0.3">
      <c r="A97" s="2" t="s">
        <v>54</v>
      </c>
      <c r="B97" s="2">
        <v>2316</v>
      </c>
      <c r="C97" s="2">
        <v>1966</v>
      </c>
      <c r="D97" s="2">
        <v>2113</v>
      </c>
      <c r="E97" s="2">
        <v>2150</v>
      </c>
      <c r="F97" s="2">
        <v>1695</v>
      </c>
      <c r="G97" s="2">
        <v>1620</v>
      </c>
      <c r="H97" s="2">
        <v>2036</v>
      </c>
      <c r="I97" s="2">
        <v>2319</v>
      </c>
      <c r="J97" s="2">
        <v>2028</v>
      </c>
      <c r="K97" s="2">
        <v>1821.38</v>
      </c>
      <c r="L97" s="2">
        <v>1977</v>
      </c>
      <c r="M97" s="2">
        <v>1971</v>
      </c>
      <c r="N97" s="2">
        <v>2062</v>
      </c>
      <c r="O97" s="2">
        <v>1991</v>
      </c>
      <c r="P97" s="2">
        <v>2043</v>
      </c>
      <c r="Q97" s="2">
        <v>2042.99</v>
      </c>
      <c r="R97" s="2">
        <v>2043.01</v>
      </c>
      <c r="S97" s="2">
        <v>2042.96</v>
      </c>
      <c r="T97" s="2">
        <v>2042.97</v>
      </c>
      <c r="U97" s="2">
        <v>2042.95</v>
      </c>
      <c r="V97" s="2">
        <v>2042.99</v>
      </c>
      <c r="W97" s="2">
        <v>2043.09</v>
      </c>
      <c r="X97" s="2">
        <v>2043.08</v>
      </c>
      <c r="Y97" s="2">
        <v>2042.97</v>
      </c>
      <c r="Z97" s="2">
        <v>2042.97</v>
      </c>
      <c r="AA97" s="2">
        <v>2043.02</v>
      </c>
      <c r="AB97" s="2">
        <v>1697.34</v>
      </c>
      <c r="AC97" s="2">
        <v>1687.02</v>
      </c>
      <c r="AD97" s="2">
        <v>1685.58</v>
      </c>
      <c r="AE97" s="2">
        <v>1685.27</v>
      </c>
      <c r="AF97" s="2">
        <v>1682.74</v>
      </c>
      <c r="AG97" s="2">
        <v>1681.37</v>
      </c>
      <c r="AH97" s="2">
        <v>1725.64</v>
      </c>
      <c r="AI97" s="2">
        <v>1698.16</v>
      </c>
      <c r="AJ97" s="2">
        <v>1686.28</v>
      </c>
      <c r="AK97" s="2">
        <v>1690.64</v>
      </c>
      <c r="AL97" s="2">
        <v>1698.31</v>
      </c>
      <c r="AM97" s="2">
        <v>1647.6</v>
      </c>
      <c r="AN97" s="2">
        <v>1640.74</v>
      </c>
      <c r="AO97" s="2">
        <v>1629.77</v>
      </c>
      <c r="AP97" s="2">
        <v>1627.93</v>
      </c>
      <c r="AQ97" s="2">
        <v>1632.94</v>
      </c>
      <c r="AR97" s="2">
        <v>1642.05</v>
      </c>
      <c r="AS97" s="2">
        <v>1629.47</v>
      </c>
      <c r="AT97" s="2">
        <v>1629.21</v>
      </c>
      <c r="AU97" s="2">
        <v>1634.95</v>
      </c>
    </row>
    <row r="98" spans="1:47" x14ac:dyDescent="0.3">
      <c r="A98" s="2" t="s">
        <v>55</v>
      </c>
      <c r="B98" s="2">
        <v>741</v>
      </c>
      <c r="C98" s="2">
        <v>921</v>
      </c>
      <c r="D98" s="2">
        <v>1430</v>
      </c>
      <c r="E98" s="2">
        <v>1473</v>
      </c>
      <c r="F98" s="2">
        <v>1558</v>
      </c>
      <c r="G98" s="2">
        <v>1629</v>
      </c>
      <c r="H98" s="2">
        <v>2372</v>
      </c>
      <c r="I98" s="2">
        <v>2601</v>
      </c>
      <c r="J98" s="2">
        <v>3058</v>
      </c>
      <c r="K98" s="2">
        <v>3518.87</v>
      </c>
      <c r="L98" s="2">
        <v>4089</v>
      </c>
      <c r="M98" s="2">
        <v>4586</v>
      </c>
      <c r="N98" s="2">
        <v>4634</v>
      </c>
      <c r="O98" s="2">
        <v>4119</v>
      </c>
      <c r="P98" s="2">
        <v>4206</v>
      </c>
      <c r="Q98" s="2">
        <v>4206.01</v>
      </c>
      <c r="R98" s="2">
        <v>4206</v>
      </c>
      <c r="S98" s="2">
        <v>15769.19</v>
      </c>
      <c r="T98" s="2">
        <v>15769.22</v>
      </c>
      <c r="U98" s="2">
        <v>15769.18</v>
      </c>
      <c r="V98" s="2">
        <v>15769.21</v>
      </c>
      <c r="W98" s="2">
        <v>15769.18</v>
      </c>
      <c r="X98" s="2">
        <v>17258.39</v>
      </c>
      <c r="Y98" s="2">
        <v>18134.38</v>
      </c>
      <c r="Z98" s="2">
        <v>19010.38</v>
      </c>
      <c r="AA98" s="2">
        <v>22514.400000000001</v>
      </c>
      <c r="AB98" s="2">
        <v>24948.94</v>
      </c>
      <c r="AC98" s="2">
        <v>27877.439999999999</v>
      </c>
      <c r="AD98" s="2">
        <v>28648.76</v>
      </c>
      <c r="AE98" s="2">
        <v>29348.75</v>
      </c>
      <c r="AF98" s="2">
        <v>29247.86</v>
      </c>
      <c r="AG98" s="2">
        <v>29917.32</v>
      </c>
      <c r="AH98" s="2">
        <v>29964.87</v>
      </c>
      <c r="AI98" s="2">
        <v>30621.16</v>
      </c>
      <c r="AJ98" s="2">
        <v>30678.39</v>
      </c>
      <c r="AK98" s="2">
        <v>31398.77</v>
      </c>
      <c r="AL98" s="2">
        <v>31482.34</v>
      </c>
      <c r="AM98" s="2">
        <v>32969.43</v>
      </c>
      <c r="AN98" s="2">
        <v>33074.949999999997</v>
      </c>
      <c r="AO98" s="2">
        <v>34590.339999999997</v>
      </c>
      <c r="AP98" s="2">
        <v>34668.400000000001</v>
      </c>
      <c r="AQ98" s="2">
        <v>36190.589999999997</v>
      </c>
      <c r="AR98" s="2">
        <v>36326.07</v>
      </c>
      <c r="AS98" s="2">
        <v>37869.800000000003</v>
      </c>
      <c r="AT98" s="2">
        <v>38050.04</v>
      </c>
      <c r="AU98" s="2">
        <v>38254.83</v>
      </c>
    </row>
    <row r="99" spans="1:47" x14ac:dyDescent="0.3">
      <c r="A99" s="2" t="s">
        <v>56</v>
      </c>
      <c r="B99" s="2">
        <v>1725.17</v>
      </c>
      <c r="C99" s="2">
        <v>1855.17</v>
      </c>
      <c r="D99" s="2">
        <v>1870.36</v>
      </c>
      <c r="E99" s="2">
        <v>1917.39</v>
      </c>
      <c r="F99" s="2">
        <v>1861.5</v>
      </c>
      <c r="G99" s="2">
        <v>1908.78</v>
      </c>
      <c r="H99" s="2">
        <v>1972.19</v>
      </c>
      <c r="I99" s="2">
        <v>2089.12</v>
      </c>
      <c r="J99" s="2">
        <v>2250.1</v>
      </c>
      <c r="K99" s="2">
        <v>3497.7</v>
      </c>
      <c r="L99" s="2">
        <v>2120.3000000000002</v>
      </c>
      <c r="M99" s="2">
        <v>2127.4499999999998</v>
      </c>
      <c r="N99" s="2">
        <v>1158.51</v>
      </c>
      <c r="O99" s="2">
        <v>1837.13</v>
      </c>
      <c r="P99" s="2">
        <v>1844.11</v>
      </c>
      <c r="Q99" s="2">
        <v>1631.83</v>
      </c>
      <c r="R99" s="2">
        <v>1631.82</v>
      </c>
      <c r="S99" s="2">
        <v>1807.02</v>
      </c>
      <c r="T99" s="2">
        <v>1807.02</v>
      </c>
      <c r="U99" s="2">
        <v>1807.02</v>
      </c>
      <c r="V99" s="2">
        <v>1807.02</v>
      </c>
      <c r="W99" s="2">
        <v>1807.02</v>
      </c>
      <c r="X99" s="2">
        <v>1807.02</v>
      </c>
      <c r="Y99" s="2">
        <v>1807.02</v>
      </c>
      <c r="Z99" s="2">
        <v>1807.02</v>
      </c>
      <c r="AA99" s="2">
        <v>1807.02</v>
      </c>
      <c r="AB99" s="2">
        <v>1801.64</v>
      </c>
      <c r="AC99" s="2">
        <v>1788.02</v>
      </c>
      <c r="AD99" s="2">
        <v>1786.06</v>
      </c>
      <c r="AE99" s="2">
        <v>1782.55</v>
      </c>
      <c r="AF99" s="2">
        <v>1780.19</v>
      </c>
      <c r="AG99" s="2">
        <v>1800.01</v>
      </c>
      <c r="AH99" s="2">
        <v>1802.2</v>
      </c>
      <c r="AI99" s="2">
        <v>1833.44</v>
      </c>
      <c r="AJ99" s="2">
        <v>1836.92</v>
      </c>
      <c r="AK99" s="2">
        <v>1832.79</v>
      </c>
      <c r="AL99" s="2">
        <v>1843.82</v>
      </c>
      <c r="AM99" s="2">
        <v>1838.97</v>
      </c>
      <c r="AN99" s="2">
        <v>1904.38</v>
      </c>
      <c r="AO99" s="2">
        <v>1899.51</v>
      </c>
      <c r="AP99" s="2">
        <v>1901.98</v>
      </c>
      <c r="AQ99" s="2">
        <v>2094.96</v>
      </c>
      <c r="AR99" s="2">
        <v>2137.7199999999998</v>
      </c>
      <c r="AS99" s="2">
        <v>2035.32</v>
      </c>
      <c r="AT99" s="2">
        <v>1870.2</v>
      </c>
      <c r="AU99" s="2">
        <v>1878.64</v>
      </c>
    </row>
    <row r="100" spans="1:47" x14ac:dyDescent="0.3">
      <c r="A100" s="2" t="s">
        <v>57</v>
      </c>
      <c r="B100" s="2">
        <v>0</v>
      </c>
      <c r="C100" s="2">
        <v>0</v>
      </c>
      <c r="D100" s="2">
        <v>0</v>
      </c>
      <c r="E100" s="2">
        <v>0</v>
      </c>
      <c r="F100" s="2">
        <v>0</v>
      </c>
      <c r="G100" s="2">
        <v>0</v>
      </c>
      <c r="H100" s="2">
        <v>0</v>
      </c>
      <c r="I100" s="2">
        <v>0</v>
      </c>
      <c r="J100" s="2">
        <v>0</v>
      </c>
      <c r="K100" s="2">
        <v>0</v>
      </c>
      <c r="L100" s="2">
        <v>0</v>
      </c>
      <c r="M100" s="2">
        <v>2</v>
      </c>
      <c r="N100" s="2">
        <v>2</v>
      </c>
      <c r="O100" s="2">
        <v>25</v>
      </c>
      <c r="P100" s="2">
        <v>23</v>
      </c>
      <c r="Q100" s="2">
        <v>23</v>
      </c>
      <c r="R100" s="2">
        <v>319.32</v>
      </c>
      <c r="S100" s="2">
        <v>911.97</v>
      </c>
      <c r="T100" s="2">
        <v>911.97</v>
      </c>
      <c r="U100" s="2">
        <v>911.97</v>
      </c>
      <c r="V100" s="2">
        <v>911.97</v>
      </c>
      <c r="W100" s="2">
        <v>1060.1300000000001</v>
      </c>
      <c r="X100" s="2">
        <v>1208.29</v>
      </c>
      <c r="Y100" s="2">
        <v>1208.29</v>
      </c>
      <c r="Z100" s="2">
        <v>1356.46</v>
      </c>
      <c r="AA100" s="2">
        <v>1504.62</v>
      </c>
      <c r="AB100" s="2">
        <v>1640.25</v>
      </c>
      <c r="AC100" s="2">
        <v>1752.77</v>
      </c>
      <c r="AD100" s="2">
        <v>1891.6</v>
      </c>
      <c r="AE100" s="2">
        <v>2025.03</v>
      </c>
      <c r="AF100" s="2">
        <v>2445.7600000000002</v>
      </c>
      <c r="AG100" s="2">
        <v>2573.41</v>
      </c>
      <c r="AH100" s="2">
        <v>2719.47</v>
      </c>
      <c r="AI100" s="2">
        <v>2703.3</v>
      </c>
      <c r="AJ100" s="2">
        <v>2708.35</v>
      </c>
      <c r="AK100" s="2">
        <v>2980.16</v>
      </c>
      <c r="AL100" s="2">
        <v>2988.09</v>
      </c>
      <c r="AM100" s="2">
        <v>2971.58</v>
      </c>
      <c r="AN100" s="2">
        <v>2981.1</v>
      </c>
      <c r="AO100" s="2">
        <v>2968.14</v>
      </c>
      <c r="AP100" s="2">
        <v>3256.08</v>
      </c>
      <c r="AQ100" s="2">
        <v>3243.48</v>
      </c>
      <c r="AR100" s="2">
        <v>3255.62</v>
      </c>
      <c r="AS100" s="2">
        <v>3245.43</v>
      </c>
      <c r="AT100" s="2">
        <v>3260.88</v>
      </c>
      <c r="AU100" s="2">
        <v>3278.44</v>
      </c>
    </row>
    <row r="101" spans="1:47" x14ac:dyDescent="0.3">
      <c r="A101" s="2" t="s">
        <v>58</v>
      </c>
      <c r="B101" s="2">
        <v>0</v>
      </c>
      <c r="C101" s="2">
        <v>0</v>
      </c>
      <c r="D101" s="2">
        <v>0</v>
      </c>
      <c r="E101" s="2">
        <v>0</v>
      </c>
      <c r="F101" s="2">
        <v>0</v>
      </c>
      <c r="G101" s="2">
        <v>0</v>
      </c>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row>
    <row r="102" spans="1:47" x14ac:dyDescent="0.3">
      <c r="A102" s="2" t="s">
        <v>59</v>
      </c>
      <c r="B102" s="2">
        <v>43581.07</v>
      </c>
      <c r="C102" s="2">
        <v>44117.04</v>
      </c>
      <c r="D102" s="2">
        <v>43868.23</v>
      </c>
      <c r="E102" s="2">
        <v>42131.1</v>
      </c>
      <c r="F102" s="2">
        <v>40805</v>
      </c>
      <c r="G102" s="2">
        <v>37566.910000000003</v>
      </c>
      <c r="H102" s="2">
        <v>38509.519999999997</v>
      </c>
      <c r="I102" s="2">
        <v>38070.06</v>
      </c>
      <c r="J102" s="2">
        <v>38933.51</v>
      </c>
      <c r="K102" s="2">
        <v>43727.18</v>
      </c>
      <c r="L102" s="2">
        <v>38468.68</v>
      </c>
      <c r="M102" s="2">
        <v>38222.75</v>
      </c>
      <c r="N102" s="2">
        <v>36385.089999999997</v>
      </c>
      <c r="O102" s="2">
        <v>28913.59</v>
      </c>
      <c r="P102" s="2">
        <v>27252.84</v>
      </c>
      <c r="Q102" s="2">
        <v>27392.13</v>
      </c>
      <c r="R102" s="2">
        <v>30316.44</v>
      </c>
      <c r="S102" s="2">
        <v>15913.03</v>
      </c>
      <c r="T102" s="2">
        <v>85.68</v>
      </c>
      <c r="U102" s="2">
        <v>85.68</v>
      </c>
      <c r="V102" s="2">
        <v>85.68</v>
      </c>
      <c r="W102" s="2">
        <v>85.68</v>
      </c>
      <c r="X102" s="2">
        <v>85.68</v>
      </c>
      <c r="Y102" s="2">
        <v>85.68</v>
      </c>
      <c r="Z102" s="2">
        <v>85.68</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row>
    <row r="103" spans="1:47" x14ac:dyDescent="0.3">
      <c r="A103" s="2" t="s">
        <v>60</v>
      </c>
      <c r="B103" s="2">
        <v>19568.759999999998</v>
      </c>
      <c r="C103" s="2">
        <v>22063.15</v>
      </c>
      <c r="D103" s="2">
        <v>22337.97</v>
      </c>
      <c r="E103" s="2">
        <v>23347.1</v>
      </c>
      <c r="F103" s="2">
        <v>26233.32</v>
      </c>
      <c r="G103" s="2">
        <v>27594.87</v>
      </c>
      <c r="H103" s="2">
        <v>28106.9</v>
      </c>
      <c r="I103" s="2">
        <v>29938.05</v>
      </c>
      <c r="J103" s="2">
        <v>31739.48</v>
      </c>
      <c r="K103" s="2">
        <v>31585.45</v>
      </c>
      <c r="L103" s="2">
        <v>33998.07</v>
      </c>
      <c r="M103" s="2">
        <v>31541.040000000001</v>
      </c>
      <c r="N103" s="2">
        <v>36050.99</v>
      </c>
      <c r="O103" s="2">
        <v>38692.25</v>
      </c>
      <c r="P103" s="2">
        <v>40690.339999999997</v>
      </c>
      <c r="Q103" s="2">
        <v>44985.55</v>
      </c>
      <c r="R103" s="2">
        <v>46509.78</v>
      </c>
      <c r="S103" s="2">
        <v>50971.85</v>
      </c>
      <c r="T103" s="2">
        <v>70147.05</v>
      </c>
      <c r="U103" s="2">
        <v>72250.91</v>
      </c>
      <c r="V103" s="2">
        <v>72687.360000000001</v>
      </c>
      <c r="W103" s="2">
        <v>73985.16</v>
      </c>
      <c r="X103" s="2">
        <v>73358.2</v>
      </c>
      <c r="Y103" s="2">
        <v>73369.09</v>
      </c>
      <c r="Z103" s="2">
        <v>73560.59</v>
      </c>
      <c r="AA103" s="2">
        <v>70932.2</v>
      </c>
      <c r="AB103" s="2">
        <v>69842.990000000005</v>
      </c>
      <c r="AC103" s="2">
        <v>68023.38</v>
      </c>
      <c r="AD103" s="2">
        <v>67826.28</v>
      </c>
      <c r="AE103" s="2">
        <v>67736.02</v>
      </c>
      <c r="AF103" s="2">
        <v>67987.320000000007</v>
      </c>
      <c r="AG103" s="2">
        <v>67650.52</v>
      </c>
      <c r="AH103" s="2">
        <v>67666.59</v>
      </c>
      <c r="AI103" s="2">
        <v>67296.59</v>
      </c>
      <c r="AJ103" s="2">
        <v>67488.009999999995</v>
      </c>
      <c r="AK103" s="2">
        <v>66729.710000000006</v>
      </c>
      <c r="AL103" s="2">
        <v>67025.64</v>
      </c>
      <c r="AM103" s="2">
        <v>66091.100000000006</v>
      </c>
      <c r="AN103" s="2">
        <v>66491.149999999994</v>
      </c>
      <c r="AO103" s="2">
        <v>65636.17</v>
      </c>
      <c r="AP103" s="2">
        <v>65952.25</v>
      </c>
      <c r="AQ103" s="2">
        <v>64961.27</v>
      </c>
      <c r="AR103" s="2">
        <v>65509.82</v>
      </c>
      <c r="AS103" s="2">
        <v>64575.839999999997</v>
      </c>
      <c r="AT103" s="2">
        <v>64521.88</v>
      </c>
      <c r="AU103" s="2">
        <v>65045.67</v>
      </c>
    </row>
    <row r="104" spans="1:47" x14ac:dyDescent="0.3">
      <c r="A104" s="2" t="s">
        <v>61</v>
      </c>
      <c r="B104" s="2">
        <v>509.44</v>
      </c>
      <c r="C104" s="2">
        <v>860.08</v>
      </c>
      <c r="D104" s="2">
        <v>922.06</v>
      </c>
      <c r="E104" s="2">
        <v>635.87</v>
      </c>
      <c r="F104" s="2">
        <v>14.15</v>
      </c>
      <c r="G104" s="2">
        <v>26.51</v>
      </c>
      <c r="H104" s="2">
        <v>25.4</v>
      </c>
      <c r="I104" s="2">
        <v>28.93</v>
      </c>
      <c r="J104" s="2">
        <v>27</v>
      </c>
      <c r="K104" s="2">
        <v>78.41</v>
      </c>
      <c r="L104" s="2">
        <v>80.239999999999995</v>
      </c>
      <c r="M104" s="2">
        <v>48.21</v>
      </c>
      <c r="N104" s="2">
        <v>98.92</v>
      </c>
      <c r="O104" s="2">
        <v>38.159999999999997</v>
      </c>
      <c r="P104" s="2">
        <v>63.82</v>
      </c>
      <c r="Q104" s="2">
        <v>54.85</v>
      </c>
      <c r="R104" s="2">
        <v>54.85</v>
      </c>
      <c r="S104" s="2">
        <v>54.85</v>
      </c>
      <c r="T104" s="2">
        <v>54.85</v>
      </c>
      <c r="U104" s="2">
        <v>54.85</v>
      </c>
      <c r="V104" s="2">
        <v>54.85</v>
      </c>
      <c r="W104" s="2">
        <v>54.85</v>
      </c>
      <c r="X104" s="2">
        <v>54.85</v>
      </c>
      <c r="Y104" s="2">
        <v>54.85</v>
      </c>
      <c r="Z104" s="2">
        <v>54.85</v>
      </c>
      <c r="AA104" s="2">
        <v>54.85</v>
      </c>
      <c r="AB104" s="2">
        <v>54.44</v>
      </c>
      <c r="AC104" s="2">
        <v>53.39</v>
      </c>
      <c r="AD104" s="2">
        <v>53.23</v>
      </c>
      <c r="AE104" s="2">
        <v>52.96</v>
      </c>
      <c r="AF104" s="2">
        <v>52.78</v>
      </c>
      <c r="AG104" s="2">
        <v>52.48</v>
      </c>
      <c r="AH104" s="2">
        <v>52.56</v>
      </c>
      <c r="AI104" s="2">
        <v>52.25</v>
      </c>
      <c r="AJ104" s="2">
        <v>52.35</v>
      </c>
      <c r="AK104" s="2">
        <v>52.15</v>
      </c>
      <c r="AL104" s="2">
        <v>52.29</v>
      </c>
      <c r="AM104" s="2">
        <v>52</v>
      </c>
      <c r="AN104" s="2">
        <v>52.17</v>
      </c>
      <c r="AO104" s="2">
        <v>51.94</v>
      </c>
      <c r="AP104" s="2">
        <v>52.06</v>
      </c>
      <c r="AQ104" s="2">
        <v>51.86</v>
      </c>
      <c r="AR104" s="2">
        <v>52.05</v>
      </c>
      <c r="AS104" s="2">
        <v>51.89</v>
      </c>
      <c r="AT104" s="2">
        <v>52.14</v>
      </c>
      <c r="AU104" s="2">
        <v>52.42</v>
      </c>
    </row>
    <row r="106" spans="1:47" ht="18" x14ac:dyDescent="0.35">
      <c r="A106" s="4" t="s">
        <v>70</v>
      </c>
    </row>
    <row r="107" spans="1:47" x14ac:dyDescent="0.3">
      <c r="A107" s="2" t="s">
        <v>7</v>
      </c>
      <c r="B107" s="2" t="s">
        <v>8</v>
      </c>
      <c r="C107" s="2" t="s">
        <v>9</v>
      </c>
      <c r="D107" s="2" t="s">
        <v>10</v>
      </c>
      <c r="E107" s="2" t="s">
        <v>11</v>
      </c>
      <c r="F107" s="2" t="s">
        <v>12</v>
      </c>
      <c r="G107" s="2" t="s">
        <v>13</v>
      </c>
      <c r="H107" s="2" t="s">
        <v>14</v>
      </c>
      <c r="I107" s="2" t="s">
        <v>15</v>
      </c>
      <c r="J107" s="2" t="s">
        <v>16</v>
      </c>
      <c r="K107" s="2" t="s">
        <v>17</v>
      </c>
      <c r="L107" s="2" t="s">
        <v>18</v>
      </c>
      <c r="M107" s="2" t="s">
        <v>19</v>
      </c>
      <c r="N107" s="2" t="s">
        <v>20</v>
      </c>
      <c r="O107" s="2" t="s">
        <v>21</v>
      </c>
      <c r="P107" s="2" t="s">
        <v>22</v>
      </c>
      <c r="Q107" s="2" t="s">
        <v>23</v>
      </c>
      <c r="R107" s="2" t="s">
        <v>24</v>
      </c>
      <c r="S107" s="2" t="s">
        <v>25</v>
      </c>
      <c r="T107" s="2" t="s">
        <v>26</v>
      </c>
      <c r="U107" s="2" t="s">
        <v>27</v>
      </c>
      <c r="V107" s="2" t="s">
        <v>28</v>
      </c>
      <c r="W107" s="2" t="s">
        <v>29</v>
      </c>
      <c r="X107" s="2" t="s">
        <v>30</v>
      </c>
      <c r="Y107" s="2" t="s">
        <v>31</v>
      </c>
      <c r="Z107" s="2" t="s">
        <v>32</v>
      </c>
      <c r="AA107" s="2" t="s">
        <v>33</v>
      </c>
      <c r="AB107" s="2" t="s">
        <v>34</v>
      </c>
      <c r="AC107" s="2" t="s">
        <v>35</v>
      </c>
      <c r="AD107" s="2" t="s">
        <v>36</v>
      </c>
      <c r="AE107" s="2" t="s">
        <v>37</v>
      </c>
      <c r="AF107" s="2" t="s">
        <v>38</v>
      </c>
      <c r="AG107" s="2" t="s">
        <v>39</v>
      </c>
      <c r="AH107" s="2" t="s">
        <v>40</v>
      </c>
      <c r="AI107" s="2" t="s">
        <v>41</v>
      </c>
      <c r="AJ107" s="2" t="s">
        <v>42</v>
      </c>
      <c r="AK107" s="2" t="s">
        <v>43</v>
      </c>
      <c r="AL107" s="2" t="s">
        <v>44</v>
      </c>
      <c r="AM107" s="2" t="s">
        <v>45</v>
      </c>
      <c r="AN107" s="2" t="s">
        <v>46</v>
      </c>
      <c r="AO107" s="2" t="s">
        <v>47</v>
      </c>
      <c r="AP107" s="2" t="s">
        <v>48</v>
      </c>
      <c r="AQ107" s="2" t="s">
        <v>49</v>
      </c>
      <c r="AR107" s="2" t="s">
        <v>50</v>
      </c>
      <c r="AS107" s="2" t="s">
        <v>51</v>
      </c>
      <c r="AT107" s="2" t="s">
        <v>52</v>
      </c>
      <c r="AU107" s="2" t="s">
        <v>53</v>
      </c>
    </row>
    <row r="108" spans="1:47" x14ac:dyDescent="0.3">
      <c r="A108" s="2" t="s">
        <v>54</v>
      </c>
      <c r="B108" s="2">
        <v>60327</v>
      </c>
      <c r="C108" s="2">
        <v>53902.91</v>
      </c>
      <c r="D108" s="2">
        <v>64015.8</v>
      </c>
      <c r="E108" s="2">
        <v>58525.63</v>
      </c>
      <c r="F108" s="2">
        <v>56298.400000000001</v>
      </c>
      <c r="G108" s="2">
        <v>53970.879999999997</v>
      </c>
      <c r="H108" s="2">
        <v>60772.07</v>
      </c>
      <c r="I108" s="2">
        <v>64477.04</v>
      </c>
      <c r="J108" s="2">
        <v>58666.27</v>
      </c>
      <c r="K108" s="2">
        <v>57572.87</v>
      </c>
      <c r="L108" s="2">
        <v>64999.01</v>
      </c>
      <c r="M108" s="2">
        <v>61840</v>
      </c>
      <c r="N108" s="2">
        <v>66503.02</v>
      </c>
      <c r="O108" s="2">
        <v>61791</v>
      </c>
      <c r="P108" s="2">
        <v>56107.99</v>
      </c>
      <c r="Q108" s="2">
        <v>56127.05</v>
      </c>
      <c r="R108" s="2">
        <v>56127.05</v>
      </c>
      <c r="S108" s="2">
        <v>72486.3</v>
      </c>
      <c r="T108" s="2">
        <v>72486.350000000006</v>
      </c>
      <c r="U108" s="2">
        <v>72486.289999999994</v>
      </c>
      <c r="V108" s="2">
        <v>77593.36</v>
      </c>
      <c r="W108" s="2">
        <v>77616.56</v>
      </c>
      <c r="X108" s="2">
        <v>77686.3</v>
      </c>
      <c r="Y108" s="2">
        <v>77755.94</v>
      </c>
      <c r="Z108" s="2">
        <v>77825.53</v>
      </c>
      <c r="AA108" s="2">
        <v>78257.3</v>
      </c>
      <c r="AB108" s="2">
        <v>78691.59</v>
      </c>
      <c r="AC108" s="2">
        <v>79128.34</v>
      </c>
      <c r="AD108" s="2">
        <v>79567.69</v>
      </c>
      <c r="AE108" s="2">
        <v>80009.59</v>
      </c>
      <c r="AF108" s="2">
        <v>80454.02</v>
      </c>
      <c r="AG108" s="2">
        <v>80900.97</v>
      </c>
      <c r="AH108" s="2">
        <v>81350.69</v>
      </c>
      <c r="AI108" s="2">
        <v>81802.899999999994</v>
      </c>
      <c r="AJ108" s="2">
        <v>82257.67</v>
      </c>
      <c r="AK108" s="2">
        <v>82715.240000000005</v>
      </c>
      <c r="AL108" s="2">
        <v>83175.41</v>
      </c>
      <c r="AM108" s="2">
        <v>83638.2</v>
      </c>
      <c r="AN108" s="2">
        <v>84464.13</v>
      </c>
      <c r="AO108" s="2">
        <v>85256.74</v>
      </c>
      <c r="AP108" s="2">
        <v>85727.66</v>
      </c>
      <c r="AQ108" s="2">
        <v>86201.3</v>
      </c>
      <c r="AR108" s="2">
        <v>86677.72</v>
      </c>
      <c r="AS108" s="2">
        <v>87156.91</v>
      </c>
      <c r="AT108" s="2">
        <v>87638.83</v>
      </c>
      <c r="AU108" s="2">
        <v>88123.5</v>
      </c>
    </row>
    <row r="109" spans="1:47" x14ac:dyDescent="0.3">
      <c r="A109" s="2" t="s">
        <v>55</v>
      </c>
      <c r="B109" s="2">
        <v>0</v>
      </c>
      <c r="C109" s="2">
        <v>0</v>
      </c>
      <c r="D109" s="2">
        <v>0</v>
      </c>
      <c r="E109" s="2">
        <v>0</v>
      </c>
      <c r="F109" s="2">
        <v>34</v>
      </c>
      <c r="G109" s="2">
        <v>123</v>
      </c>
      <c r="H109" s="2">
        <v>484.6</v>
      </c>
      <c r="I109" s="2">
        <v>507.98</v>
      </c>
      <c r="J109" s="2">
        <v>860</v>
      </c>
      <c r="K109" s="2">
        <v>1071.1400000000001</v>
      </c>
      <c r="L109" s="2">
        <v>868</v>
      </c>
      <c r="M109" s="2">
        <v>1223</v>
      </c>
      <c r="N109" s="2">
        <v>1631</v>
      </c>
      <c r="O109" s="2">
        <v>1724</v>
      </c>
      <c r="P109" s="2">
        <v>1693</v>
      </c>
      <c r="Q109" s="2">
        <v>1693</v>
      </c>
      <c r="R109" s="2">
        <v>1693</v>
      </c>
      <c r="S109" s="2">
        <v>1693</v>
      </c>
      <c r="T109" s="2">
        <v>1693</v>
      </c>
      <c r="U109" s="2">
        <v>1868.2</v>
      </c>
      <c r="V109" s="2">
        <v>2043.4</v>
      </c>
      <c r="W109" s="2">
        <v>2043.4</v>
      </c>
      <c r="X109" s="2">
        <v>2043.4</v>
      </c>
      <c r="Y109" s="2">
        <v>2218.6</v>
      </c>
      <c r="Z109" s="2">
        <v>2218.6</v>
      </c>
      <c r="AA109" s="2">
        <v>2404.8200000000002</v>
      </c>
      <c r="AB109" s="2">
        <v>2592.0700000000002</v>
      </c>
      <c r="AC109" s="2">
        <v>2780.34</v>
      </c>
      <c r="AD109" s="2">
        <v>2969.64</v>
      </c>
      <c r="AE109" s="2">
        <v>3159.95</v>
      </c>
      <c r="AF109" s="2">
        <v>3351.28</v>
      </c>
      <c r="AG109" s="2">
        <v>3543.62</v>
      </c>
      <c r="AH109" s="2">
        <v>3736.97</v>
      </c>
      <c r="AI109" s="2">
        <v>3931.33</v>
      </c>
      <c r="AJ109" s="2">
        <v>4126.6899999999996</v>
      </c>
      <c r="AK109" s="2">
        <v>4323.05</v>
      </c>
      <c r="AL109" s="2">
        <v>4536.8500000000004</v>
      </c>
      <c r="AM109" s="2">
        <v>4752.57</v>
      </c>
      <c r="AN109" s="2">
        <v>4970.1899999999996</v>
      </c>
      <c r="AO109" s="2">
        <v>5189.71</v>
      </c>
      <c r="AP109" s="2">
        <v>5411.12</v>
      </c>
      <c r="AQ109" s="2">
        <v>5634.4</v>
      </c>
      <c r="AR109" s="2">
        <v>5859.55</v>
      </c>
      <c r="AS109" s="2">
        <v>6086.55</v>
      </c>
      <c r="AT109" s="2">
        <v>6315.38</v>
      </c>
      <c r="AU109" s="2">
        <v>6546.04</v>
      </c>
    </row>
    <row r="110" spans="1:47" x14ac:dyDescent="0.3">
      <c r="A110" s="2" t="s">
        <v>56</v>
      </c>
      <c r="B110" s="2">
        <v>2863.41</v>
      </c>
      <c r="C110" s="2">
        <v>2948.7</v>
      </c>
      <c r="D110" s="2">
        <v>2948.7</v>
      </c>
      <c r="E110" s="2">
        <v>2467.38</v>
      </c>
      <c r="F110" s="2">
        <v>2162.84</v>
      </c>
      <c r="G110" s="2">
        <v>3810.74</v>
      </c>
      <c r="H110" s="2">
        <v>4111</v>
      </c>
      <c r="I110" s="2">
        <v>4034.09</v>
      </c>
      <c r="J110" s="2">
        <v>3821.9</v>
      </c>
      <c r="K110" s="2">
        <v>5856.07</v>
      </c>
      <c r="L110" s="2">
        <v>3658.62</v>
      </c>
      <c r="M110" s="2">
        <v>4486.41</v>
      </c>
      <c r="N110" s="2">
        <v>1858.06</v>
      </c>
      <c r="O110" s="2">
        <v>3319.56</v>
      </c>
      <c r="P110" s="2">
        <v>3275.15</v>
      </c>
      <c r="Q110" s="2">
        <v>3275.15</v>
      </c>
      <c r="R110" s="2">
        <v>3275.15</v>
      </c>
      <c r="S110" s="2">
        <v>3275.15</v>
      </c>
      <c r="T110" s="2">
        <v>3275.15</v>
      </c>
      <c r="U110" s="2">
        <v>3275.15</v>
      </c>
      <c r="V110" s="2">
        <v>3275.15</v>
      </c>
      <c r="W110" s="2">
        <v>3275.15</v>
      </c>
      <c r="X110" s="2">
        <v>3275.15</v>
      </c>
      <c r="Y110" s="2">
        <v>3275.15</v>
      </c>
      <c r="Z110" s="2">
        <v>3275.15</v>
      </c>
      <c r="AA110" s="2">
        <v>3275.15</v>
      </c>
      <c r="AB110" s="2">
        <v>3275.15</v>
      </c>
      <c r="AC110" s="2">
        <v>3275.15</v>
      </c>
      <c r="AD110" s="2">
        <v>3275.15</v>
      </c>
      <c r="AE110" s="2">
        <v>3275.15</v>
      </c>
      <c r="AF110" s="2">
        <v>3275.15</v>
      </c>
      <c r="AG110" s="2">
        <v>3275.15</v>
      </c>
      <c r="AH110" s="2">
        <v>3275.15</v>
      </c>
      <c r="AI110" s="2">
        <v>3275.15</v>
      </c>
      <c r="AJ110" s="2">
        <v>3275.15</v>
      </c>
      <c r="AK110" s="2">
        <v>3275.15</v>
      </c>
      <c r="AL110" s="2">
        <v>3275.15</v>
      </c>
      <c r="AM110" s="2">
        <v>3275.15</v>
      </c>
      <c r="AN110" s="2">
        <v>3275.15</v>
      </c>
      <c r="AO110" s="2">
        <v>3275.15</v>
      </c>
      <c r="AP110" s="2">
        <v>3275.15</v>
      </c>
      <c r="AQ110" s="2">
        <v>3275.15</v>
      </c>
      <c r="AR110" s="2">
        <v>3275.15</v>
      </c>
      <c r="AS110" s="2">
        <v>3275.15</v>
      </c>
      <c r="AT110" s="2">
        <v>3275.15</v>
      </c>
      <c r="AU110" s="2">
        <v>3275.15</v>
      </c>
    </row>
    <row r="111" spans="1:47" x14ac:dyDescent="0.3">
      <c r="A111" s="2" t="s">
        <v>57</v>
      </c>
      <c r="B111" s="2">
        <v>0</v>
      </c>
      <c r="C111" s="2">
        <v>0</v>
      </c>
      <c r="D111" s="2">
        <v>0</v>
      </c>
      <c r="E111" s="2">
        <v>0</v>
      </c>
      <c r="F111" s="2">
        <v>0</v>
      </c>
      <c r="G111" s="2">
        <v>0</v>
      </c>
      <c r="H111" s="2">
        <v>0</v>
      </c>
      <c r="I111" s="2">
        <v>0</v>
      </c>
      <c r="J111" s="2">
        <v>0</v>
      </c>
      <c r="K111" s="2">
        <v>0</v>
      </c>
      <c r="L111" s="2">
        <v>0</v>
      </c>
      <c r="M111" s="2">
        <v>0</v>
      </c>
      <c r="N111" s="2">
        <v>0</v>
      </c>
      <c r="O111" s="2">
        <v>2</v>
      </c>
      <c r="P111" s="2">
        <v>2</v>
      </c>
      <c r="Q111" s="2">
        <v>19.54</v>
      </c>
      <c r="R111" s="2">
        <v>19.54</v>
      </c>
      <c r="S111" s="2">
        <v>19.54</v>
      </c>
      <c r="T111" s="2">
        <v>54.61</v>
      </c>
      <c r="U111" s="2">
        <v>54.61</v>
      </c>
      <c r="V111" s="2">
        <v>54.61</v>
      </c>
      <c r="W111" s="2">
        <v>89.68</v>
      </c>
      <c r="X111" s="2">
        <v>89.68</v>
      </c>
      <c r="Y111" s="2">
        <v>89.68</v>
      </c>
      <c r="Z111" s="2">
        <v>124.75</v>
      </c>
      <c r="AA111" s="2">
        <v>124.75</v>
      </c>
      <c r="AB111" s="2">
        <v>124.75</v>
      </c>
      <c r="AC111" s="2">
        <v>124.75</v>
      </c>
      <c r="AD111" s="2">
        <v>159.83000000000001</v>
      </c>
      <c r="AE111" s="2">
        <v>159.83000000000001</v>
      </c>
      <c r="AF111" s="2">
        <v>428.63</v>
      </c>
      <c r="AG111" s="2">
        <v>665.2</v>
      </c>
      <c r="AH111" s="2">
        <v>939.52</v>
      </c>
      <c r="AI111" s="2">
        <v>1181.03</v>
      </c>
      <c r="AJ111" s="2">
        <v>1459.52</v>
      </c>
      <c r="AK111" s="2">
        <v>1706.37</v>
      </c>
      <c r="AL111" s="2">
        <v>1956.32</v>
      </c>
      <c r="AM111" s="2">
        <v>2206.66</v>
      </c>
      <c r="AN111" s="2">
        <v>2457.71</v>
      </c>
      <c r="AO111" s="2">
        <v>2709.82</v>
      </c>
      <c r="AP111" s="2">
        <v>2964.98</v>
      </c>
      <c r="AQ111" s="2">
        <v>3222.97</v>
      </c>
      <c r="AR111" s="2">
        <v>3481.38</v>
      </c>
      <c r="AS111" s="2">
        <v>3740.58</v>
      </c>
      <c r="AT111" s="2">
        <v>4000.97</v>
      </c>
      <c r="AU111" s="2">
        <v>4265.51</v>
      </c>
    </row>
    <row r="112" spans="1:47" x14ac:dyDescent="0.3">
      <c r="A112" s="2" t="s">
        <v>58</v>
      </c>
      <c r="B112" s="2">
        <v>0</v>
      </c>
      <c r="C112" s="2">
        <v>0</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row>
    <row r="113" spans="1:47" x14ac:dyDescent="0.3">
      <c r="A113" s="2" t="s">
        <v>59</v>
      </c>
      <c r="B113" s="2">
        <v>0</v>
      </c>
      <c r="C113" s="2">
        <v>0</v>
      </c>
      <c r="D113" s="2">
        <v>0</v>
      </c>
      <c r="E113" s="2">
        <v>0</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row>
    <row r="114" spans="1:47" x14ac:dyDescent="0.3">
      <c r="A114" s="2" t="s">
        <v>60</v>
      </c>
      <c r="B114" s="2">
        <v>2382.92</v>
      </c>
      <c r="C114" s="2">
        <v>2388.62</v>
      </c>
      <c r="D114" s="2">
        <v>2388.62</v>
      </c>
      <c r="E114" s="2">
        <v>2635.13</v>
      </c>
      <c r="F114" s="2">
        <v>1635.69</v>
      </c>
      <c r="G114" s="2">
        <v>2089</v>
      </c>
      <c r="H114" s="2">
        <v>3214.86</v>
      </c>
      <c r="I114" s="2">
        <v>2557.92</v>
      </c>
      <c r="J114" s="2">
        <v>1520.03</v>
      </c>
      <c r="K114" s="2">
        <v>1689.2</v>
      </c>
      <c r="L114" s="2">
        <v>1768.08</v>
      </c>
      <c r="M114" s="2">
        <v>1872.05</v>
      </c>
      <c r="N114" s="2">
        <v>3761.41</v>
      </c>
      <c r="O114" s="2">
        <v>2122.27</v>
      </c>
      <c r="P114" s="2">
        <v>2948.6</v>
      </c>
      <c r="Q114" s="2">
        <v>1294.79</v>
      </c>
      <c r="R114" s="2">
        <v>1286.17</v>
      </c>
      <c r="S114" s="2">
        <v>1286.1600000000001</v>
      </c>
      <c r="T114" s="2">
        <v>1286.1600000000001</v>
      </c>
      <c r="U114" s="2">
        <v>1282.82</v>
      </c>
      <c r="V114" s="2">
        <v>1545.67</v>
      </c>
      <c r="W114" s="2">
        <v>1548.96</v>
      </c>
      <c r="X114" s="2">
        <v>1877.46</v>
      </c>
      <c r="Y114" s="2">
        <v>1877.46</v>
      </c>
      <c r="Z114" s="2">
        <v>1877.46</v>
      </c>
      <c r="AA114" s="2">
        <v>1874.12</v>
      </c>
      <c r="AB114" s="2">
        <v>2280.0300000000002</v>
      </c>
      <c r="AC114" s="2">
        <v>2292.85</v>
      </c>
      <c r="AD114" s="2">
        <v>2289.5100000000002</v>
      </c>
      <c r="AE114" s="2">
        <v>2289.5100000000002</v>
      </c>
      <c r="AF114" s="2">
        <v>2267.89</v>
      </c>
      <c r="AG114" s="2">
        <v>2269.29</v>
      </c>
      <c r="AH114" s="2">
        <v>2263.31</v>
      </c>
      <c r="AI114" s="2">
        <v>2286.41</v>
      </c>
      <c r="AJ114" s="2">
        <v>2306.2600000000002</v>
      </c>
      <c r="AK114" s="2">
        <v>2286.41</v>
      </c>
      <c r="AL114" s="2">
        <v>2286.41</v>
      </c>
      <c r="AM114" s="2">
        <v>2285.6999999999998</v>
      </c>
      <c r="AN114" s="2">
        <v>2275.87</v>
      </c>
      <c r="AO114" s="2">
        <v>2269.06</v>
      </c>
      <c r="AP114" s="2">
        <v>2265.38</v>
      </c>
      <c r="AQ114" s="2">
        <v>2261.0100000000002</v>
      </c>
      <c r="AR114" s="2">
        <v>2260.69</v>
      </c>
      <c r="AS114" s="2">
        <v>2261.0100000000002</v>
      </c>
      <c r="AT114" s="2">
        <v>2253.9299999999998</v>
      </c>
      <c r="AU114" s="2">
        <v>2260.06</v>
      </c>
    </row>
    <row r="115" spans="1:47" x14ac:dyDescent="0.3">
      <c r="A115" s="2" t="s">
        <v>61</v>
      </c>
      <c r="B115" s="2">
        <v>91.06</v>
      </c>
      <c r="C115" s="2">
        <v>35.56</v>
      </c>
      <c r="D115" s="2">
        <v>91.56</v>
      </c>
      <c r="E115" s="2">
        <v>94.57</v>
      </c>
      <c r="F115" s="2">
        <v>111.11</v>
      </c>
      <c r="G115" s="2">
        <v>107.1</v>
      </c>
      <c r="H115" s="2">
        <v>91.71</v>
      </c>
      <c r="I115" s="2">
        <v>46.18</v>
      </c>
      <c r="J115" s="2">
        <v>289.31</v>
      </c>
      <c r="K115" s="2">
        <v>556.96</v>
      </c>
      <c r="L115" s="2">
        <v>130.32</v>
      </c>
      <c r="M115" s="2">
        <v>187.96</v>
      </c>
      <c r="N115" s="2">
        <v>335.65</v>
      </c>
      <c r="O115" s="2">
        <v>276.77999999999997</v>
      </c>
      <c r="P115" s="2">
        <v>307.08</v>
      </c>
      <c r="Q115" s="2">
        <v>107</v>
      </c>
      <c r="R115" s="2">
        <v>107</v>
      </c>
      <c r="S115" s="2">
        <v>107</v>
      </c>
      <c r="T115" s="2">
        <v>107</v>
      </c>
      <c r="U115" s="2">
        <v>107</v>
      </c>
      <c r="V115" s="2">
        <v>107</v>
      </c>
      <c r="W115" s="2">
        <v>107</v>
      </c>
      <c r="X115" s="2">
        <v>107</v>
      </c>
      <c r="Y115" s="2">
        <v>107</v>
      </c>
      <c r="Z115" s="2">
        <v>107</v>
      </c>
      <c r="AA115" s="2">
        <v>107</v>
      </c>
      <c r="AB115" s="2">
        <v>112.11</v>
      </c>
      <c r="AC115" s="2">
        <v>131.18</v>
      </c>
      <c r="AD115" s="2">
        <v>131.18</v>
      </c>
      <c r="AE115" s="2">
        <v>131.18</v>
      </c>
      <c r="AF115" s="2">
        <v>131.18</v>
      </c>
      <c r="AG115" s="2">
        <v>131.18</v>
      </c>
      <c r="AH115" s="2">
        <v>131.18</v>
      </c>
      <c r="AI115" s="2">
        <v>142.38999999999999</v>
      </c>
      <c r="AJ115" s="2">
        <v>151.38</v>
      </c>
      <c r="AK115" s="2">
        <v>151.38</v>
      </c>
      <c r="AL115" s="2">
        <v>147.19999999999999</v>
      </c>
      <c r="AM115" s="2">
        <v>131.18</v>
      </c>
      <c r="AN115" s="2">
        <v>143.59</v>
      </c>
      <c r="AO115" s="2">
        <v>151.38</v>
      </c>
      <c r="AP115" s="2">
        <v>151.38</v>
      </c>
      <c r="AQ115" s="2">
        <v>139.18</v>
      </c>
      <c r="AR115" s="2">
        <v>131.18</v>
      </c>
      <c r="AS115" s="2">
        <v>132.35</v>
      </c>
      <c r="AT115" s="2">
        <v>131.18</v>
      </c>
      <c r="AU115" s="2">
        <v>131.18</v>
      </c>
    </row>
    <row r="117" spans="1:47" ht="18" x14ac:dyDescent="0.35">
      <c r="A117" s="4" t="s">
        <v>71</v>
      </c>
    </row>
    <row r="118" spans="1:47" x14ac:dyDescent="0.3">
      <c r="A118" s="2" t="s">
        <v>7</v>
      </c>
      <c r="B118" s="2" t="s">
        <v>8</v>
      </c>
      <c r="C118" s="2" t="s">
        <v>9</v>
      </c>
      <c r="D118" s="2" t="s">
        <v>10</v>
      </c>
      <c r="E118" s="2" t="s">
        <v>11</v>
      </c>
      <c r="F118" s="2" t="s">
        <v>12</v>
      </c>
      <c r="G118" s="2" t="s">
        <v>13</v>
      </c>
      <c r="H118" s="2" t="s">
        <v>14</v>
      </c>
      <c r="I118" s="2" t="s">
        <v>15</v>
      </c>
      <c r="J118" s="2" t="s">
        <v>16</v>
      </c>
      <c r="K118" s="2" t="s">
        <v>17</v>
      </c>
      <c r="L118" s="2" t="s">
        <v>18</v>
      </c>
      <c r="M118" s="2" t="s">
        <v>19</v>
      </c>
      <c r="N118" s="2" t="s">
        <v>20</v>
      </c>
      <c r="O118" s="2" t="s">
        <v>21</v>
      </c>
      <c r="P118" s="2" t="s">
        <v>22</v>
      </c>
      <c r="Q118" s="2" t="s">
        <v>23</v>
      </c>
      <c r="R118" s="2" t="s">
        <v>24</v>
      </c>
      <c r="S118" s="2" t="s">
        <v>25</v>
      </c>
      <c r="T118" s="2" t="s">
        <v>26</v>
      </c>
      <c r="U118" s="2" t="s">
        <v>27</v>
      </c>
      <c r="V118" s="2" t="s">
        <v>28</v>
      </c>
      <c r="W118" s="2" t="s">
        <v>29</v>
      </c>
      <c r="X118" s="2" t="s">
        <v>30</v>
      </c>
      <c r="Y118" s="2" t="s">
        <v>31</v>
      </c>
      <c r="Z118" s="2" t="s">
        <v>32</v>
      </c>
      <c r="AA118" s="2" t="s">
        <v>33</v>
      </c>
      <c r="AB118" s="2" t="s">
        <v>34</v>
      </c>
      <c r="AC118" s="2" t="s">
        <v>35</v>
      </c>
      <c r="AD118" s="2" t="s">
        <v>36</v>
      </c>
      <c r="AE118" s="2" t="s">
        <v>37</v>
      </c>
      <c r="AF118" s="2" t="s">
        <v>38</v>
      </c>
      <c r="AG118" s="2" t="s">
        <v>39</v>
      </c>
      <c r="AH118" s="2" t="s">
        <v>40</v>
      </c>
      <c r="AI118" s="2" t="s">
        <v>41</v>
      </c>
      <c r="AJ118" s="2" t="s">
        <v>42</v>
      </c>
      <c r="AK118" s="2" t="s">
        <v>43</v>
      </c>
      <c r="AL118" s="2" t="s">
        <v>44</v>
      </c>
      <c r="AM118" s="2" t="s">
        <v>45</v>
      </c>
      <c r="AN118" s="2" t="s">
        <v>46</v>
      </c>
      <c r="AO118" s="2" t="s">
        <v>47</v>
      </c>
      <c r="AP118" s="2" t="s">
        <v>48</v>
      </c>
      <c r="AQ118" s="2" t="s">
        <v>49</v>
      </c>
      <c r="AR118" s="2" t="s">
        <v>50</v>
      </c>
      <c r="AS118" s="2" t="s">
        <v>51</v>
      </c>
      <c r="AT118" s="2" t="s">
        <v>52</v>
      </c>
      <c r="AU118" s="2" t="s">
        <v>53</v>
      </c>
    </row>
    <row r="119" spans="1:47" x14ac:dyDescent="0.3">
      <c r="A119" s="2" t="s">
        <v>54</v>
      </c>
      <c r="B119" s="2">
        <v>4573</v>
      </c>
      <c r="C119" s="2">
        <v>4032</v>
      </c>
      <c r="D119" s="2">
        <v>4393</v>
      </c>
      <c r="E119" s="2">
        <v>4030</v>
      </c>
      <c r="F119" s="2">
        <v>2962</v>
      </c>
      <c r="G119" s="2">
        <v>3866</v>
      </c>
      <c r="H119" s="2">
        <v>4641</v>
      </c>
      <c r="I119" s="2">
        <v>4240</v>
      </c>
      <c r="J119" s="2">
        <v>4449</v>
      </c>
      <c r="K119" s="2">
        <v>4706.09</v>
      </c>
      <c r="L119" s="2">
        <v>3426</v>
      </c>
      <c r="M119" s="2">
        <v>3285</v>
      </c>
      <c r="N119" s="2">
        <v>3855</v>
      </c>
      <c r="O119" s="2">
        <v>3591</v>
      </c>
      <c r="P119" s="2">
        <v>3666</v>
      </c>
      <c r="Q119" s="2">
        <v>3666</v>
      </c>
      <c r="R119" s="2">
        <v>3666.01</v>
      </c>
      <c r="S119" s="2">
        <v>3666</v>
      </c>
      <c r="T119" s="2">
        <v>3666.01</v>
      </c>
      <c r="U119" s="2">
        <v>3701.92</v>
      </c>
      <c r="V119" s="2">
        <v>3701.92</v>
      </c>
      <c r="W119" s="2">
        <v>3701.92</v>
      </c>
      <c r="X119" s="2">
        <v>3701.92</v>
      </c>
      <c r="Y119" s="2">
        <v>3701.91</v>
      </c>
      <c r="Z119" s="2">
        <v>3701.92</v>
      </c>
      <c r="AA119" s="2">
        <v>3701.91</v>
      </c>
      <c r="AB119" s="2">
        <v>3701.92</v>
      </c>
      <c r="AC119" s="2">
        <v>3701.92</v>
      </c>
      <c r="AD119" s="2">
        <v>3734.15</v>
      </c>
      <c r="AE119" s="2">
        <v>3763.23</v>
      </c>
      <c r="AF119" s="2">
        <v>3789.34</v>
      </c>
      <c r="AG119" s="2">
        <v>3789.33</v>
      </c>
      <c r="AH119" s="2">
        <v>3789.34</v>
      </c>
      <c r="AI119" s="2">
        <v>3812.9</v>
      </c>
      <c r="AJ119" s="2">
        <v>3812.9</v>
      </c>
      <c r="AK119" s="2">
        <v>3812.9</v>
      </c>
      <c r="AL119" s="2">
        <v>3812.9</v>
      </c>
      <c r="AM119" s="2">
        <v>3834.11</v>
      </c>
      <c r="AN119" s="2">
        <v>3834.1</v>
      </c>
      <c r="AO119" s="2">
        <v>3834.11</v>
      </c>
      <c r="AP119" s="2">
        <v>3834.1</v>
      </c>
      <c r="AQ119" s="2">
        <v>3834.1</v>
      </c>
      <c r="AR119" s="2">
        <v>3834.1</v>
      </c>
      <c r="AS119" s="2">
        <v>3834.1</v>
      </c>
      <c r="AT119" s="2">
        <v>3834.1</v>
      </c>
      <c r="AU119" s="2">
        <v>3834.1</v>
      </c>
    </row>
    <row r="120" spans="1:47" x14ac:dyDescent="0.3">
      <c r="A120" s="2" t="s">
        <v>55</v>
      </c>
      <c r="B120" s="2">
        <v>92</v>
      </c>
      <c r="C120" s="2">
        <v>573</v>
      </c>
      <c r="D120" s="2">
        <v>620</v>
      </c>
      <c r="E120" s="2">
        <v>574</v>
      </c>
      <c r="F120" s="2">
        <v>579</v>
      </c>
      <c r="G120" s="2">
        <v>507</v>
      </c>
      <c r="H120" s="2">
        <v>682</v>
      </c>
      <c r="I120" s="2">
        <v>655</v>
      </c>
      <c r="J120" s="2">
        <v>646</v>
      </c>
      <c r="K120" s="2">
        <v>615.26</v>
      </c>
      <c r="L120" s="2">
        <v>620</v>
      </c>
      <c r="M120" s="2">
        <v>746</v>
      </c>
      <c r="N120" s="2">
        <v>739</v>
      </c>
      <c r="O120" s="2">
        <v>694</v>
      </c>
      <c r="P120" s="2">
        <v>707</v>
      </c>
      <c r="Q120" s="2">
        <v>775.01</v>
      </c>
      <c r="R120" s="2">
        <v>775.02</v>
      </c>
      <c r="S120" s="2">
        <v>775.02</v>
      </c>
      <c r="T120" s="2">
        <v>856.33</v>
      </c>
      <c r="U120" s="2">
        <v>1206.73</v>
      </c>
      <c r="V120" s="2">
        <v>2496.1999999999998</v>
      </c>
      <c r="W120" s="2">
        <v>2496.1999999999998</v>
      </c>
      <c r="X120" s="2">
        <v>2588.1799999999998</v>
      </c>
      <c r="Y120" s="2">
        <v>3113.78</v>
      </c>
      <c r="Z120" s="2">
        <v>3113.79</v>
      </c>
      <c r="AA120" s="2">
        <v>3212.23</v>
      </c>
      <c r="AB120" s="2">
        <v>3311.88</v>
      </c>
      <c r="AC120" s="2">
        <v>3762.57</v>
      </c>
      <c r="AD120" s="2">
        <v>3863.52</v>
      </c>
      <c r="AE120" s="2">
        <v>4665.84</v>
      </c>
      <c r="AF120" s="2">
        <v>4767.88</v>
      </c>
      <c r="AG120" s="2">
        <v>4870.2700000000004</v>
      </c>
      <c r="AH120" s="2">
        <v>4972.97</v>
      </c>
      <c r="AI120" s="2">
        <v>5776.75</v>
      </c>
      <c r="AJ120" s="2">
        <v>5879.9</v>
      </c>
      <c r="AK120" s="2">
        <v>6333.51</v>
      </c>
      <c r="AL120" s="2">
        <v>6436.51</v>
      </c>
      <c r="AM120" s="2">
        <v>6890.04</v>
      </c>
      <c r="AN120" s="2">
        <v>6993.21</v>
      </c>
      <c r="AO120" s="2">
        <v>7622.33</v>
      </c>
      <c r="AP120" s="2">
        <v>7726.07</v>
      </c>
      <c r="AQ120" s="2">
        <v>8355.76</v>
      </c>
      <c r="AR120" s="2">
        <v>8460.19</v>
      </c>
      <c r="AS120" s="2">
        <v>9090.65</v>
      </c>
      <c r="AT120" s="2">
        <v>9195.91</v>
      </c>
      <c r="AU120" s="2">
        <v>9303.3799999999992</v>
      </c>
    </row>
    <row r="121" spans="1:47" x14ac:dyDescent="0.3">
      <c r="A121" s="2" t="s">
        <v>56</v>
      </c>
      <c r="B121" s="2">
        <v>0</v>
      </c>
      <c r="C121" s="2">
        <v>0</v>
      </c>
      <c r="D121" s="2">
        <v>0</v>
      </c>
      <c r="E121" s="2">
        <v>0</v>
      </c>
      <c r="F121" s="2">
        <v>0</v>
      </c>
      <c r="G121" s="2">
        <v>0</v>
      </c>
      <c r="H121" s="2">
        <v>0</v>
      </c>
      <c r="I121" s="2">
        <v>0</v>
      </c>
      <c r="J121" s="2">
        <v>0</v>
      </c>
      <c r="K121" s="2">
        <v>0</v>
      </c>
      <c r="L121" s="2">
        <v>0</v>
      </c>
      <c r="M121" s="2">
        <v>0</v>
      </c>
      <c r="N121" s="2">
        <v>0</v>
      </c>
      <c r="O121" s="2">
        <v>123</v>
      </c>
      <c r="P121" s="2">
        <v>109</v>
      </c>
      <c r="Q121" s="2">
        <v>109</v>
      </c>
      <c r="R121" s="2">
        <v>109</v>
      </c>
      <c r="S121" s="2">
        <v>109</v>
      </c>
      <c r="T121" s="2">
        <v>196.6</v>
      </c>
      <c r="U121" s="2">
        <v>196.6</v>
      </c>
      <c r="V121" s="2">
        <v>196.6</v>
      </c>
      <c r="W121" s="2">
        <v>196.6</v>
      </c>
      <c r="X121" s="2">
        <v>196.6</v>
      </c>
      <c r="Y121" s="2">
        <v>196.6</v>
      </c>
      <c r="Z121" s="2">
        <v>196.6</v>
      </c>
      <c r="AA121" s="2">
        <v>196.6</v>
      </c>
      <c r="AB121" s="2">
        <v>196.6</v>
      </c>
      <c r="AC121" s="2">
        <v>196.6</v>
      </c>
      <c r="AD121" s="2">
        <v>196.6</v>
      </c>
      <c r="AE121" s="2">
        <v>196.6</v>
      </c>
      <c r="AF121" s="2">
        <v>196.6</v>
      </c>
      <c r="AG121" s="2">
        <v>196.6</v>
      </c>
      <c r="AH121" s="2">
        <v>196.6</v>
      </c>
      <c r="AI121" s="2">
        <v>196.6</v>
      </c>
      <c r="AJ121" s="2">
        <v>196.6</v>
      </c>
      <c r="AK121" s="2">
        <v>196.6</v>
      </c>
      <c r="AL121" s="2">
        <v>196.6</v>
      </c>
      <c r="AM121" s="2">
        <v>203.29</v>
      </c>
      <c r="AN121" s="2">
        <v>203.33</v>
      </c>
      <c r="AO121" s="2">
        <v>202.95</v>
      </c>
      <c r="AP121" s="2">
        <v>203.02</v>
      </c>
      <c r="AQ121" s="2">
        <v>202.66</v>
      </c>
      <c r="AR121" s="2">
        <v>203.21</v>
      </c>
      <c r="AS121" s="2">
        <v>202.87</v>
      </c>
      <c r="AT121" s="2">
        <v>203.11</v>
      </c>
      <c r="AU121" s="2">
        <v>204.51</v>
      </c>
    </row>
    <row r="122" spans="1:47" x14ac:dyDescent="0.3">
      <c r="A122" s="2" t="s">
        <v>57</v>
      </c>
      <c r="B122" s="2">
        <v>0</v>
      </c>
      <c r="C122" s="2">
        <v>0</v>
      </c>
      <c r="D122" s="2">
        <v>0</v>
      </c>
      <c r="E122" s="2">
        <v>0</v>
      </c>
      <c r="F122" s="2">
        <v>0</v>
      </c>
      <c r="G122" s="2">
        <v>0</v>
      </c>
      <c r="H122" s="2">
        <v>0</v>
      </c>
      <c r="I122" s="2">
        <v>0</v>
      </c>
      <c r="J122" s="2">
        <v>0</v>
      </c>
      <c r="K122" s="2">
        <v>0</v>
      </c>
      <c r="L122" s="2">
        <v>0</v>
      </c>
      <c r="M122" s="2">
        <v>0</v>
      </c>
      <c r="N122" s="2">
        <v>0</v>
      </c>
      <c r="O122" s="2">
        <v>0</v>
      </c>
      <c r="P122" s="2">
        <v>0</v>
      </c>
      <c r="Q122" s="2">
        <v>0</v>
      </c>
      <c r="R122" s="2">
        <v>0</v>
      </c>
      <c r="S122" s="2">
        <v>42.08</v>
      </c>
      <c r="T122" s="2">
        <v>42.08</v>
      </c>
      <c r="U122" s="2">
        <v>42.08</v>
      </c>
      <c r="V122" s="2">
        <v>42.08</v>
      </c>
      <c r="W122" s="2">
        <v>42.08</v>
      </c>
      <c r="X122" s="2">
        <v>42.08</v>
      </c>
      <c r="Y122" s="2">
        <v>42.08</v>
      </c>
      <c r="Z122" s="2">
        <v>42.08</v>
      </c>
      <c r="AA122" s="2">
        <v>42.08</v>
      </c>
      <c r="AB122" s="2">
        <v>93.98</v>
      </c>
      <c r="AC122" s="2">
        <v>146.22999999999999</v>
      </c>
      <c r="AD122" s="2">
        <v>198.76</v>
      </c>
      <c r="AE122" s="2">
        <v>251.57</v>
      </c>
      <c r="AF122" s="2">
        <v>304.56</v>
      </c>
      <c r="AG122" s="2">
        <v>357.7</v>
      </c>
      <c r="AH122" s="2">
        <v>411</v>
      </c>
      <c r="AI122" s="2">
        <v>464.37</v>
      </c>
      <c r="AJ122" s="2">
        <v>517.78</v>
      </c>
      <c r="AK122" s="2">
        <v>571.09</v>
      </c>
      <c r="AL122" s="2">
        <v>624.45000000000005</v>
      </c>
      <c r="AM122" s="2">
        <v>677.85</v>
      </c>
      <c r="AN122" s="2">
        <v>731.41</v>
      </c>
      <c r="AO122" s="2">
        <v>785.11</v>
      </c>
      <c r="AP122" s="2">
        <v>838.97</v>
      </c>
      <c r="AQ122" s="2">
        <v>893.02</v>
      </c>
      <c r="AR122" s="2">
        <v>947.28</v>
      </c>
      <c r="AS122" s="2">
        <v>1001.74</v>
      </c>
      <c r="AT122" s="2">
        <v>1056.42</v>
      </c>
      <c r="AU122" s="2">
        <v>1112.04</v>
      </c>
    </row>
    <row r="123" spans="1:47" x14ac:dyDescent="0.3">
      <c r="A123" s="2" t="s">
        <v>58</v>
      </c>
      <c r="B123" s="2">
        <v>0</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row>
    <row r="124" spans="1:47" x14ac:dyDescent="0.3">
      <c r="A124" s="2" t="s">
        <v>59</v>
      </c>
      <c r="B124" s="2">
        <v>13157.72</v>
      </c>
      <c r="C124" s="2">
        <v>12734.72</v>
      </c>
      <c r="D124" s="2">
        <v>13706.72</v>
      </c>
      <c r="E124" s="2">
        <v>14055.07</v>
      </c>
      <c r="F124" s="2">
        <v>14446.21</v>
      </c>
      <c r="G124" s="2">
        <v>13510.41</v>
      </c>
      <c r="H124" s="2">
        <v>13181.21</v>
      </c>
      <c r="I124" s="2">
        <v>13089.82</v>
      </c>
      <c r="J124" s="2">
        <v>13578.27</v>
      </c>
      <c r="K124" s="2">
        <v>11726.75</v>
      </c>
      <c r="L124" s="2">
        <v>12023.56</v>
      </c>
      <c r="M124" s="2">
        <v>11974.82</v>
      </c>
      <c r="N124" s="2">
        <v>11915.14</v>
      </c>
      <c r="O124" s="2">
        <v>10290.84</v>
      </c>
      <c r="P124" s="2">
        <v>9981.5</v>
      </c>
      <c r="Q124" s="2">
        <v>10088.6</v>
      </c>
      <c r="R124" s="2">
        <v>9707.9500000000007</v>
      </c>
      <c r="S124" s="2">
        <v>8611.9699999999993</v>
      </c>
      <c r="T124" s="2">
        <v>8729.67</v>
      </c>
      <c r="U124" s="2">
        <v>8316.4500000000007</v>
      </c>
      <c r="V124" s="2">
        <v>7876.26</v>
      </c>
      <c r="W124" s="2">
        <v>6472.46</v>
      </c>
      <c r="X124" s="2">
        <v>6713.04</v>
      </c>
      <c r="Y124" s="2">
        <v>2450.81</v>
      </c>
      <c r="Z124" s="2">
        <v>2450.81</v>
      </c>
      <c r="AA124" s="2">
        <v>2450.81</v>
      </c>
      <c r="AB124" s="2">
        <v>2450.81</v>
      </c>
      <c r="AC124" s="2">
        <v>2450.81</v>
      </c>
      <c r="AD124" s="2">
        <v>2450.81</v>
      </c>
      <c r="AE124" s="2">
        <v>2450.81</v>
      </c>
      <c r="AF124" s="2">
        <v>2450.81</v>
      </c>
      <c r="AG124" s="2">
        <v>2450.81</v>
      </c>
      <c r="AH124" s="2">
        <v>386.34</v>
      </c>
      <c r="AI124" s="2">
        <v>386.34</v>
      </c>
      <c r="AJ124" s="2">
        <v>386.34</v>
      </c>
      <c r="AK124" s="2">
        <v>386.34</v>
      </c>
      <c r="AL124" s="2">
        <v>386.34</v>
      </c>
      <c r="AM124" s="2">
        <v>386.34</v>
      </c>
      <c r="AN124" s="2">
        <v>386.34</v>
      </c>
      <c r="AO124" s="2">
        <v>386.34</v>
      </c>
      <c r="AP124" s="2">
        <v>386.34</v>
      </c>
      <c r="AQ124" s="2">
        <v>386.34</v>
      </c>
      <c r="AR124" s="2">
        <v>386.34</v>
      </c>
      <c r="AS124" s="2">
        <v>386.34</v>
      </c>
      <c r="AT124" s="2">
        <v>386.34</v>
      </c>
      <c r="AU124" s="2">
        <v>386.34</v>
      </c>
    </row>
    <row r="125" spans="1:47" x14ac:dyDescent="0.3">
      <c r="A125" s="2" t="s">
        <v>60</v>
      </c>
      <c r="B125" s="2">
        <v>1896.28</v>
      </c>
      <c r="C125" s="2">
        <v>2247.2800000000002</v>
      </c>
      <c r="D125" s="2">
        <v>1869.28</v>
      </c>
      <c r="E125" s="2">
        <v>3083.94</v>
      </c>
      <c r="F125" s="2">
        <v>2763.79</v>
      </c>
      <c r="G125" s="2">
        <v>2503.59</v>
      </c>
      <c r="H125" s="2">
        <v>2678.79</v>
      </c>
      <c r="I125" s="2">
        <v>3253.18</v>
      </c>
      <c r="J125" s="2">
        <v>4493.7299999999996</v>
      </c>
      <c r="K125" s="2">
        <v>6022.45</v>
      </c>
      <c r="L125" s="2">
        <v>7348.4</v>
      </c>
      <c r="M125" s="2">
        <v>8613.18</v>
      </c>
      <c r="N125" s="2">
        <v>9045.8700000000008</v>
      </c>
      <c r="O125" s="2">
        <v>9436.16</v>
      </c>
      <c r="P125" s="2">
        <v>9714.5</v>
      </c>
      <c r="Q125" s="2">
        <v>9820.1200000000008</v>
      </c>
      <c r="R125" s="2">
        <v>10901.23</v>
      </c>
      <c r="S125" s="2">
        <v>10993.97</v>
      </c>
      <c r="T125" s="2">
        <v>11307.61</v>
      </c>
      <c r="U125" s="2">
        <v>12304.1</v>
      </c>
      <c r="V125" s="2">
        <v>11809.88</v>
      </c>
      <c r="W125" s="2">
        <v>13093.6</v>
      </c>
      <c r="X125" s="2">
        <v>12907</v>
      </c>
      <c r="Y125" s="2">
        <v>15288.22</v>
      </c>
      <c r="Z125" s="2">
        <v>15417.76</v>
      </c>
      <c r="AA125" s="2">
        <v>15347.02</v>
      </c>
      <c r="AB125" s="2">
        <v>15372.92</v>
      </c>
      <c r="AC125" s="2">
        <v>15174.71</v>
      </c>
      <c r="AD125" s="2">
        <v>15155.06</v>
      </c>
      <c r="AE125" s="2">
        <v>14705.18</v>
      </c>
      <c r="AF125" s="2">
        <v>14680.8</v>
      </c>
      <c r="AG125" s="2">
        <v>14662.23</v>
      </c>
      <c r="AH125" s="2">
        <v>15753.33</v>
      </c>
      <c r="AI125" s="2">
        <v>15394.99</v>
      </c>
      <c r="AJ125" s="2">
        <v>15388.46</v>
      </c>
      <c r="AK125" s="2">
        <v>15176.16</v>
      </c>
      <c r="AL125" s="2">
        <v>15199.14</v>
      </c>
      <c r="AM125" s="2">
        <v>14869.08</v>
      </c>
      <c r="AN125" s="2">
        <v>14906.42</v>
      </c>
      <c r="AO125" s="2">
        <v>14709.81</v>
      </c>
      <c r="AP125" s="2">
        <v>14735.53</v>
      </c>
      <c r="AQ125" s="2">
        <v>14561.21</v>
      </c>
      <c r="AR125" s="2">
        <v>14833.09</v>
      </c>
      <c r="AS125" s="2">
        <v>14679.33</v>
      </c>
      <c r="AT125" s="2">
        <v>14782.14</v>
      </c>
      <c r="AU125" s="2">
        <v>14898.9</v>
      </c>
    </row>
    <row r="126" spans="1:47" x14ac:dyDescent="0.3">
      <c r="A126" s="2" t="s">
        <v>61</v>
      </c>
      <c r="B126" s="2">
        <v>17.899999999999999</v>
      </c>
      <c r="C126" s="2">
        <v>19.5</v>
      </c>
      <c r="D126" s="2">
        <v>25.9</v>
      </c>
      <c r="E126" s="2">
        <v>22.6</v>
      </c>
      <c r="F126" s="2">
        <v>17.899999999999999</v>
      </c>
      <c r="G126" s="2">
        <v>20.8</v>
      </c>
      <c r="H126" s="2">
        <v>12.3</v>
      </c>
      <c r="I126" s="2">
        <v>11.3</v>
      </c>
      <c r="J126" s="2">
        <v>15</v>
      </c>
      <c r="K126" s="2">
        <v>12.4</v>
      </c>
      <c r="L126" s="2">
        <v>2</v>
      </c>
      <c r="M126" s="2">
        <v>1</v>
      </c>
      <c r="N126" s="2">
        <v>1</v>
      </c>
      <c r="O126" s="2">
        <v>1</v>
      </c>
      <c r="P126" s="2">
        <v>1</v>
      </c>
      <c r="Q126" s="2">
        <v>8.1999999999999993</v>
      </c>
      <c r="R126" s="2">
        <v>8.1999999999999993</v>
      </c>
      <c r="S126" s="2">
        <v>8.1999999999999993</v>
      </c>
      <c r="T126" s="2">
        <v>8.1999999999999993</v>
      </c>
      <c r="U126" s="2">
        <v>8.1999999999999993</v>
      </c>
      <c r="V126" s="2">
        <v>8.1999999999999993</v>
      </c>
      <c r="W126" s="2">
        <v>11.51</v>
      </c>
      <c r="X126" s="2">
        <v>11.51</v>
      </c>
      <c r="Y126" s="2">
        <v>39.14</v>
      </c>
      <c r="Z126" s="2">
        <v>39.14</v>
      </c>
      <c r="AA126" s="2">
        <v>39.14</v>
      </c>
      <c r="AB126" s="2">
        <v>39.14</v>
      </c>
      <c r="AC126" s="2">
        <v>39.14</v>
      </c>
      <c r="AD126" s="2">
        <v>39.14</v>
      </c>
      <c r="AE126" s="2">
        <v>39.14</v>
      </c>
      <c r="AF126" s="2">
        <v>39.14</v>
      </c>
      <c r="AG126" s="2">
        <v>39.14</v>
      </c>
      <c r="AH126" s="2">
        <v>52.45</v>
      </c>
      <c r="AI126" s="2">
        <v>39.14</v>
      </c>
      <c r="AJ126" s="2">
        <v>39.14</v>
      </c>
      <c r="AK126" s="2">
        <v>39.14</v>
      </c>
      <c r="AL126" s="2">
        <v>39.14</v>
      </c>
      <c r="AM126" s="2">
        <v>39.14</v>
      </c>
      <c r="AN126" s="2">
        <v>39.14</v>
      </c>
      <c r="AO126" s="2">
        <v>39.14</v>
      </c>
      <c r="AP126" s="2">
        <v>39.14</v>
      </c>
      <c r="AQ126" s="2">
        <v>39.14</v>
      </c>
      <c r="AR126" s="2">
        <v>25.9</v>
      </c>
      <c r="AS126" s="2">
        <v>21.59</v>
      </c>
      <c r="AT126" s="2">
        <v>20.350000000000001</v>
      </c>
      <c r="AU126" s="2">
        <v>25.9</v>
      </c>
    </row>
    <row r="128" spans="1:47" ht="18" x14ac:dyDescent="0.35">
      <c r="A128" s="4" t="s">
        <v>72</v>
      </c>
    </row>
    <row r="129" spans="1:47" x14ac:dyDescent="0.3">
      <c r="A129" s="2" t="s">
        <v>7</v>
      </c>
      <c r="B129" s="2" t="s">
        <v>8</v>
      </c>
      <c r="C129" s="2" t="s">
        <v>9</v>
      </c>
      <c r="D129" s="2" t="s">
        <v>10</v>
      </c>
      <c r="E129" s="2" t="s">
        <v>11</v>
      </c>
      <c r="F129" s="2" t="s">
        <v>12</v>
      </c>
      <c r="G129" s="2" t="s">
        <v>13</v>
      </c>
      <c r="H129" s="2" t="s">
        <v>14</v>
      </c>
      <c r="I129" s="2" t="s">
        <v>15</v>
      </c>
      <c r="J129" s="2" t="s">
        <v>16</v>
      </c>
      <c r="K129" s="2" t="s">
        <v>17</v>
      </c>
      <c r="L129" s="2" t="s">
        <v>18</v>
      </c>
      <c r="M129" s="2" t="s">
        <v>19</v>
      </c>
      <c r="N129" s="2" t="s">
        <v>20</v>
      </c>
      <c r="O129" s="2" t="s">
        <v>21</v>
      </c>
      <c r="P129" s="2" t="s">
        <v>22</v>
      </c>
      <c r="Q129" s="2" t="s">
        <v>23</v>
      </c>
      <c r="R129" s="2" t="s">
        <v>24</v>
      </c>
      <c r="S129" s="2" t="s">
        <v>25</v>
      </c>
      <c r="T129" s="2" t="s">
        <v>26</v>
      </c>
      <c r="U129" s="2" t="s">
        <v>27</v>
      </c>
      <c r="V129" s="2" t="s">
        <v>28</v>
      </c>
      <c r="W129" s="2" t="s">
        <v>29</v>
      </c>
      <c r="X129" s="2" t="s">
        <v>30</v>
      </c>
      <c r="Y129" s="2" t="s">
        <v>31</v>
      </c>
      <c r="Z129" s="2" t="s">
        <v>32</v>
      </c>
      <c r="AA129" s="2" t="s">
        <v>33</v>
      </c>
      <c r="AB129" s="2" t="s">
        <v>34</v>
      </c>
      <c r="AC129" s="2" t="s">
        <v>35</v>
      </c>
      <c r="AD129" s="2" t="s">
        <v>36</v>
      </c>
      <c r="AE129" s="2" t="s">
        <v>37</v>
      </c>
      <c r="AF129" s="2" t="s">
        <v>38</v>
      </c>
      <c r="AG129" s="2" t="s">
        <v>39</v>
      </c>
      <c r="AH129" s="2" t="s">
        <v>40</v>
      </c>
      <c r="AI129" s="2" t="s">
        <v>41</v>
      </c>
      <c r="AJ129" s="2" t="s">
        <v>42</v>
      </c>
      <c r="AK129" s="2" t="s">
        <v>43</v>
      </c>
      <c r="AL129" s="2" t="s">
        <v>44</v>
      </c>
      <c r="AM129" s="2" t="s">
        <v>45</v>
      </c>
      <c r="AN129" s="2" t="s">
        <v>46</v>
      </c>
      <c r="AO129" s="2" t="s">
        <v>47</v>
      </c>
      <c r="AP129" s="2" t="s">
        <v>48</v>
      </c>
      <c r="AQ129" s="2" t="s">
        <v>49</v>
      </c>
      <c r="AR129" s="2" t="s">
        <v>50</v>
      </c>
      <c r="AS129" s="2" t="s">
        <v>51</v>
      </c>
      <c r="AT129" s="2" t="s">
        <v>52</v>
      </c>
      <c r="AU129" s="2" t="s">
        <v>53</v>
      </c>
    </row>
    <row r="130" spans="1:47" x14ac:dyDescent="0.3">
      <c r="A130" s="2" t="s">
        <v>54</v>
      </c>
      <c r="B130" s="2">
        <v>330.63</v>
      </c>
      <c r="C130" s="2">
        <v>330.63</v>
      </c>
      <c r="D130" s="2">
        <v>330.63</v>
      </c>
      <c r="E130" s="2">
        <v>348.29</v>
      </c>
      <c r="F130" s="2">
        <v>379.06</v>
      </c>
      <c r="G130" s="2">
        <v>380.43</v>
      </c>
      <c r="H130" s="2">
        <v>388.07</v>
      </c>
      <c r="I130" s="2">
        <v>430.19</v>
      </c>
      <c r="J130" s="2">
        <v>347.19</v>
      </c>
      <c r="K130" s="2">
        <v>410.67</v>
      </c>
      <c r="L130" s="2">
        <v>422</v>
      </c>
      <c r="M130" s="2">
        <v>419</v>
      </c>
      <c r="N130" s="2">
        <v>448</v>
      </c>
      <c r="O130" s="2">
        <v>419</v>
      </c>
      <c r="P130" s="2">
        <v>376</v>
      </c>
      <c r="Q130" s="2">
        <v>375.99</v>
      </c>
      <c r="R130" s="2">
        <v>375.99</v>
      </c>
      <c r="S130" s="2">
        <v>419.6</v>
      </c>
      <c r="T130" s="2">
        <v>419.58</v>
      </c>
      <c r="U130" s="2">
        <v>419.59</v>
      </c>
      <c r="V130" s="2">
        <v>472.06</v>
      </c>
      <c r="W130" s="2">
        <v>472.09</v>
      </c>
      <c r="X130" s="2">
        <v>550.88</v>
      </c>
      <c r="Y130" s="2">
        <v>643.42999999999995</v>
      </c>
      <c r="Z130" s="2">
        <v>624.14</v>
      </c>
      <c r="AA130" s="2">
        <v>611.02</v>
      </c>
      <c r="AB130" s="2">
        <v>518.07000000000005</v>
      </c>
      <c r="AC130" s="2">
        <v>419.34</v>
      </c>
      <c r="AD130" s="2">
        <v>416.66</v>
      </c>
      <c r="AE130" s="2">
        <v>420.46</v>
      </c>
      <c r="AF130" s="2">
        <v>380.37</v>
      </c>
      <c r="AG130" s="2">
        <v>380.47</v>
      </c>
      <c r="AH130" s="2">
        <v>380.86</v>
      </c>
      <c r="AI130" s="2">
        <v>381.82</v>
      </c>
      <c r="AJ130" s="2">
        <v>385.03</v>
      </c>
      <c r="AK130" s="2">
        <v>387.25</v>
      </c>
      <c r="AL130" s="2">
        <v>388.17</v>
      </c>
      <c r="AM130" s="2">
        <v>389.12</v>
      </c>
      <c r="AN130" s="2">
        <v>392.47</v>
      </c>
      <c r="AO130" s="2">
        <v>395.3</v>
      </c>
      <c r="AP130" s="2">
        <v>395.31</v>
      </c>
      <c r="AQ130" s="2">
        <v>396.39</v>
      </c>
      <c r="AR130" s="2">
        <v>400.52</v>
      </c>
      <c r="AS130" s="2">
        <v>402.75</v>
      </c>
      <c r="AT130" s="2">
        <v>403.71</v>
      </c>
      <c r="AU130" s="2">
        <v>406.35</v>
      </c>
    </row>
    <row r="131" spans="1:47" x14ac:dyDescent="0.3">
      <c r="A131" s="2" t="s">
        <v>55</v>
      </c>
      <c r="B131" s="2">
        <v>0.41</v>
      </c>
      <c r="C131" s="2">
        <v>0.41</v>
      </c>
      <c r="D131" s="2">
        <v>0.41</v>
      </c>
      <c r="E131" s="2">
        <v>0.44</v>
      </c>
      <c r="F131" s="2">
        <v>0.23</v>
      </c>
      <c r="G131" s="2">
        <v>0.09</v>
      </c>
      <c r="H131" s="2">
        <v>0.4</v>
      </c>
      <c r="I131" s="2">
        <v>0.45</v>
      </c>
      <c r="J131" s="2">
        <v>0.28000000000000003</v>
      </c>
      <c r="K131" s="2">
        <v>0.33</v>
      </c>
      <c r="L131" s="2">
        <v>1</v>
      </c>
      <c r="M131" s="2">
        <v>1</v>
      </c>
      <c r="N131" s="2">
        <v>0</v>
      </c>
      <c r="O131" s="2">
        <v>0</v>
      </c>
      <c r="P131" s="2">
        <v>0</v>
      </c>
      <c r="Q131" s="2">
        <v>0</v>
      </c>
      <c r="R131" s="2">
        <v>0</v>
      </c>
      <c r="S131" s="2">
        <v>0</v>
      </c>
      <c r="T131" s="2">
        <v>2.48</v>
      </c>
      <c r="U131" s="2">
        <v>5.3</v>
      </c>
      <c r="V131" s="2">
        <v>51.9</v>
      </c>
      <c r="W131" s="2">
        <v>54.96</v>
      </c>
      <c r="X131" s="2">
        <v>58.51</v>
      </c>
      <c r="Y131" s="2">
        <v>61.72</v>
      </c>
      <c r="Z131" s="2">
        <v>64.83</v>
      </c>
      <c r="AA131" s="2">
        <v>68.010000000000005</v>
      </c>
      <c r="AB131" s="2">
        <v>70.19</v>
      </c>
      <c r="AC131" s="2">
        <v>61.52</v>
      </c>
      <c r="AD131" s="2">
        <v>61.16</v>
      </c>
      <c r="AE131" s="2">
        <v>61.61</v>
      </c>
      <c r="AF131" s="2">
        <v>57.11</v>
      </c>
      <c r="AG131" s="2">
        <v>57.1</v>
      </c>
      <c r="AH131" s="2">
        <v>57.14</v>
      </c>
      <c r="AI131" s="2">
        <v>57.25</v>
      </c>
      <c r="AJ131" s="2">
        <v>57.77</v>
      </c>
      <c r="AK131" s="2">
        <v>58.1</v>
      </c>
      <c r="AL131" s="2">
        <v>58.14</v>
      </c>
      <c r="AM131" s="2">
        <v>58.27</v>
      </c>
      <c r="AN131" s="2">
        <v>58.77</v>
      </c>
      <c r="AO131" s="2">
        <v>59.11</v>
      </c>
      <c r="AP131" s="2">
        <v>59.1</v>
      </c>
      <c r="AQ131" s="2">
        <v>59.23</v>
      </c>
      <c r="AR131" s="2">
        <v>59.71</v>
      </c>
      <c r="AS131" s="2">
        <v>60.03</v>
      </c>
      <c r="AT131" s="2">
        <v>60.15</v>
      </c>
      <c r="AU131" s="2">
        <v>60.52</v>
      </c>
    </row>
    <row r="132" spans="1:47" x14ac:dyDescent="0.3">
      <c r="A132" s="2" t="s">
        <v>56</v>
      </c>
      <c r="B132" s="2">
        <v>0</v>
      </c>
      <c r="C132" s="2">
        <v>0</v>
      </c>
      <c r="D132" s="2">
        <v>0</v>
      </c>
      <c r="E132" s="2">
        <v>0</v>
      </c>
      <c r="F132" s="2">
        <v>0</v>
      </c>
      <c r="G132" s="2">
        <v>0</v>
      </c>
      <c r="H132" s="2">
        <v>0</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AQ132" s="2">
        <v>0</v>
      </c>
      <c r="AR132" s="2">
        <v>0</v>
      </c>
      <c r="AS132" s="2">
        <v>0</v>
      </c>
      <c r="AT132" s="2">
        <v>0</v>
      </c>
      <c r="AU132" s="2">
        <v>0</v>
      </c>
    </row>
    <row r="133" spans="1:47" x14ac:dyDescent="0.3">
      <c r="A133" s="2" t="s">
        <v>57</v>
      </c>
      <c r="B133" s="2">
        <v>0</v>
      </c>
      <c r="C133" s="2">
        <v>0</v>
      </c>
      <c r="D133" s="2">
        <v>0</v>
      </c>
      <c r="E133" s="2">
        <v>0</v>
      </c>
      <c r="F133" s="2">
        <v>0</v>
      </c>
      <c r="G133" s="2">
        <v>0</v>
      </c>
      <c r="H133" s="2">
        <v>0</v>
      </c>
      <c r="I133" s="2">
        <v>0</v>
      </c>
      <c r="J133" s="2">
        <v>0</v>
      </c>
      <c r="K133" s="2">
        <v>0</v>
      </c>
      <c r="L133" s="2">
        <v>0</v>
      </c>
      <c r="M133" s="2">
        <v>0</v>
      </c>
      <c r="N133" s="2">
        <v>0</v>
      </c>
      <c r="O133" s="2">
        <v>0</v>
      </c>
      <c r="P133" s="2">
        <v>0</v>
      </c>
      <c r="Q133" s="2">
        <v>0</v>
      </c>
      <c r="R133" s="2">
        <v>0</v>
      </c>
      <c r="S133" s="2">
        <v>1.28</v>
      </c>
      <c r="T133" s="2">
        <v>1.28</v>
      </c>
      <c r="U133" s="2">
        <v>2.74</v>
      </c>
      <c r="V133" s="2">
        <v>4.32</v>
      </c>
      <c r="W133" s="2">
        <v>6.15</v>
      </c>
      <c r="X133" s="2">
        <v>7.81</v>
      </c>
      <c r="Y133" s="2">
        <v>9.59</v>
      </c>
      <c r="Z133" s="2">
        <v>11.24</v>
      </c>
      <c r="AA133" s="2">
        <v>12.92</v>
      </c>
      <c r="AB133" s="2">
        <v>12.72</v>
      </c>
      <c r="AC133" s="2">
        <v>11.15</v>
      </c>
      <c r="AD133" s="2">
        <v>11.09</v>
      </c>
      <c r="AE133" s="2">
        <v>11.17</v>
      </c>
      <c r="AF133" s="2">
        <v>10.35</v>
      </c>
      <c r="AG133" s="2">
        <v>10.35</v>
      </c>
      <c r="AH133" s="2">
        <v>10.36</v>
      </c>
      <c r="AI133" s="2">
        <v>10.38</v>
      </c>
      <c r="AJ133" s="2">
        <v>10.47</v>
      </c>
      <c r="AK133" s="2">
        <v>10.53</v>
      </c>
      <c r="AL133" s="2">
        <v>10.54</v>
      </c>
      <c r="AM133" s="2">
        <v>10.56</v>
      </c>
      <c r="AN133" s="2">
        <v>10.65</v>
      </c>
      <c r="AO133" s="2">
        <v>10.71</v>
      </c>
      <c r="AP133" s="2">
        <v>10.71</v>
      </c>
      <c r="AQ133" s="2">
        <v>10.74</v>
      </c>
      <c r="AR133" s="2">
        <v>10.82</v>
      </c>
      <c r="AS133" s="2">
        <v>10.88</v>
      </c>
      <c r="AT133" s="2">
        <v>10.9</v>
      </c>
      <c r="AU133" s="2">
        <v>10.97</v>
      </c>
    </row>
    <row r="134" spans="1:47" x14ac:dyDescent="0.3">
      <c r="A134" s="2" t="s">
        <v>58</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row>
    <row r="135" spans="1:47" x14ac:dyDescent="0.3">
      <c r="A135" s="2" t="s">
        <v>59</v>
      </c>
      <c r="B135" s="2">
        <v>0</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row>
    <row r="136" spans="1:47" x14ac:dyDescent="0.3">
      <c r="A136" s="2" t="s">
        <v>60</v>
      </c>
      <c r="B136" s="2">
        <v>0</v>
      </c>
      <c r="C136" s="2">
        <v>0</v>
      </c>
      <c r="D136" s="2">
        <v>0</v>
      </c>
      <c r="E136" s="2">
        <v>0</v>
      </c>
      <c r="F136" s="2">
        <v>0</v>
      </c>
      <c r="G136" s="2">
        <v>0</v>
      </c>
      <c r="H136" s="2">
        <v>0</v>
      </c>
      <c r="I136" s="2">
        <v>0</v>
      </c>
      <c r="J136" s="2">
        <v>0</v>
      </c>
      <c r="K136" s="2">
        <v>0</v>
      </c>
      <c r="L136" s="2">
        <v>26</v>
      </c>
      <c r="M136" s="2">
        <v>27</v>
      </c>
      <c r="N136" s="2">
        <v>37</v>
      </c>
      <c r="O136" s="2">
        <v>59</v>
      </c>
      <c r="P136" s="2">
        <v>92</v>
      </c>
      <c r="Q136" s="2">
        <v>112.77</v>
      </c>
      <c r="R136" s="2">
        <v>164.43</v>
      </c>
      <c r="S136" s="2">
        <v>140.4</v>
      </c>
      <c r="T136" s="2">
        <v>172.4</v>
      </c>
      <c r="U136" s="2">
        <v>173.45</v>
      </c>
      <c r="V136" s="2">
        <v>157.49</v>
      </c>
      <c r="W136" s="2">
        <v>143.61000000000001</v>
      </c>
      <c r="X136" s="2">
        <v>94.11</v>
      </c>
      <c r="Y136" s="2">
        <v>17.510000000000002</v>
      </c>
      <c r="Z136" s="2">
        <v>0.6</v>
      </c>
      <c r="AA136" s="2">
        <v>0.1</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0</v>
      </c>
      <c r="AR136" s="2">
        <v>0</v>
      </c>
      <c r="AS136" s="2">
        <v>0</v>
      </c>
      <c r="AT136" s="2">
        <v>0</v>
      </c>
      <c r="AU136" s="2">
        <v>0</v>
      </c>
    </row>
    <row r="137" spans="1:47" x14ac:dyDescent="0.3">
      <c r="A137" s="2" t="s">
        <v>61</v>
      </c>
      <c r="B137" s="2">
        <v>22.09</v>
      </c>
      <c r="C137" s="2">
        <v>22.09</v>
      </c>
      <c r="D137" s="2">
        <v>22.09</v>
      </c>
      <c r="E137" s="2">
        <v>22.33</v>
      </c>
      <c r="F137" s="2">
        <v>18.54</v>
      </c>
      <c r="G137" s="2">
        <v>24.78</v>
      </c>
      <c r="H137" s="2">
        <v>36.869999999999997</v>
      </c>
      <c r="I137" s="2">
        <v>24.37</v>
      </c>
      <c r="J137" s="2">
        <v>23.29</v>
      </c>
      <c r="K137" s="2">
        <v>23</v>
      </c>
      <c r="L137" s="2">
        <v>0</v>
      </c>
      <c r="M137" s="2">
        <v>0</v>
      </c>
      <c r="N137" s="2">
        <v>0</v>
      </c>
      <c r="O137" s="2">
        <v>0</v>
      </c>
      <c r="P137" s="2">
        <v>0</v>
      </c>
      <c r="Q137" s="2">
        <v>4.03</v>
      </c>
      <c r="R137" s="2">
        <v>32.270000000000003</v>
      </c>
      <c r="S137" s="2">
        <v>17.52</v>
      </c>
      <c r="T137" s="2">
        <v>48.72</v>
      </c>
      <c r="U137" s="2">
        <v>156.38</v>
      </c>
      <c r="V137" s="2">
        <v>31.5</v>
      </c>
      <c r="W137" s="2">
        <v>22.8</v>
      </c>
      <c r="X137" s="2">
        <v>3.28</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AQ137" s="2">
        <v>0</v>
      </c>
      <c r="AR137" s="2">
        <v>0</v>
      </c>
      <c r="AS137" s="2">
        <v>0</v>
      </c>
      <c r="AT137" s="2">
        <v>0</v>
      </c>
      <c r="AU137" s="2">
        <v>0</v>
      </c>
    </row>
    <row r="139" spans="1:47" ht="18" x14ac:dyDescent="0.35">
      <c r="A139" s="4" t="s">
        <v>73</v>
      </c>
    </row>
    <row r="140" spans="1:47" x14ac:dyDescent="0.3">
      <c r="A140" s="2" t="s">
        <v>7</v>
      </c>
      <c r="B140" s="2" t="s">
        <v>8</v>
      </c>
      <c r="C140" s="2" t="s">
        <v>9</v>
      </c>
      <c r="D140" s="2" t="s">
        <v>10</v>
      </c>
      <c r="E140" s="2" t="s">
        <v>11</v>
      </c>
      <c r="F140" s="2" t="s">
        <v>12</v>
      </c>
      <c r="G140" s="2" t="s">
        <v>13</v>
      </c>
      <c r="H140" s="2" t="s">
        <v>14</v>
      </c>
      <c r="I140" s="2" t="s">
        <v>15</v>
      </c>
      <c r="J140" s="2" t="s">
        <v>16</v>
      </c>
      <c r="K140" s="2" t="s">
        <v>17</v>
      </c>
      <c r="L140" s="2" t="s">
        <v>18</v>
      </c>
      <c r="M140" s="2" t="s">
        <v>19</v>
      </c>
      <c r="N140" s="2" t="s">
        <v>20</v>
      </c>
      <c r="O140" s="2" t="s">
        <v>21</v>
      </c>
      <c r="P140" s="2" t="s">
        <v>22</v>
      </c>
      <c r="Q140" s="2" t="s">
        <v>23</v>
      </c>
      <c r="R140" s="2" t="s">
        <v>24</v>
      </c>
      <c r="S140" s="2" t="s">
        <v>25</v>
      </c>
      <c r="T140" s="2" t="s">
        <v>26</v>
      </c>
      <c r="U140" s="2" t="s">
        <v>27</v>
      </c>
      <c r="V140" s="2" t="s">
        <v>28</v>
      </c>
      <c r="W140" s="2" t="s">
        <v>29</v>
      </c>
      <c r="X140" s="2" t="s">
        <v>30</v>
      </c>
      <c r="Y140" s="2" t="s">
        <v>31</v>
      </c>
      <c r="Z140" s="2" t="s">
        <v>32</v>
      </c>
      <c r="AA140" s="2" t="s">
        <v>33</v>
      </c>
      <c r="AB140" s="2" t="s">
        <v>34</v>
      </c>
      <c r="AC140" s="2" t="s">
        <v>35</v>
      </c>
      <c r="AD140" s="2" t="s">
        <v>36</v>
      </c>
      <c r="AE140" s="2" t="s">
        <v>37</v>
      </c>
      <c r="AF140" s="2" t="s">
        <v>38</v>
      </c>
      <c r="AG140" s="2" t="s">
        <v>39</v>
      </c>
      <c r="AH140" s="2" t="s">
        <v>40</v>
      </c>
      <c r="AI140" s="2" t="s">
        <v>41</v>
      </c>
      <c r="AJ140" s="2" t="s">
        <v>42</v>
      </c>
      <c r="AK140" s="2" t="s">
        <v>43</v>
      </c>
      <c r="AL140" s="2" t="s">
        <v>44</v>
      </c>
      <c r="AM140" s="2" t="s">
        <v>45</v>
      </c>
      <c r="AN140" s="2" t="s">
        <v>46</v>
      </c>
      <c r="AO140" s="2" t="s">
        <v>47</v>
      </c>
      <c r="AP140" s="2" t="s">
        <v>48</v>
      </c>
      <c r="AQ140" s="2" t="s">
        <v>49</v>
      </c>
      <c r="AR140" s="2" t="s">
        <v>50</v>
      </c>
      <c r="AS140" s="2" t="s">
        <v>51</v>
      </c>
      <c r="AT140" s="2" t="s">
        <v>52</v>
      </c>
      <c r="AU140" s="2" t="s">
        <v>53</v>
      </c>
    </row>
    <row r="141" spans="1:47" x14ac:dyDescent="0.3">
      <c r="A141" s="2" t="s">
        <v>54</v>
      </c>
      <c r="B141" s="2">
        <v>259.11</v>
      </c>
      <c r="C141" s="2">
        <v>251.87</v>
      </c>
      <c r="D141" s="2">
        <v>250.25</v>
      </c>
      <c r="E141" s="2">
        <v>246.58</v>
      </c>
      <c r="F141" s="2">
        <v>253.95</v>
      </c>
      <c r="G141" s="2">
        <v>253.95</v>
      </c>
      <c r="H141" s="2">
        <v>260.35000000000002</v>
      </c>
      <c r="I141" s="2">
        <v>255.2</v>
      </c>
      <c r="J141" s="2">
        <v>262.76</v>
      </c>
      <c r="K141" s="2">
        <v>233.82</v>
      </c>
      <c r="L141" s="2">
        <v>164</v>
      </c>
      <c r="M141" s="2">
        <v>243</v>
      </c>
      <c r="N141" s="2">
        <v>249</v>
      </c>
      <c r="O141" s="2">
        <v>253</v>
      </c>
      <c r="P141" s="2">
        <v>267</v>
      </c>
      <c r="Q141" s="2">
        <v>117.66</v>
      </c>
      <c r="R141" s="2">
        <v>117.39</v>
      </c>
      <c r="S141" s="2">
        <v>117.76</v>
      </c>
      <c r="T141" s="2">
        <v>117.78</v>
      </c>
      <c r="U141" s="2">
        <v>227.81</v>
      </c>
      <c r="V141" s="2">
        <v>255.2</v>
      </c>
      <c r="W141" s="2">
        <v>258.42</v>
      </c>
      <c r="X141" s="2">
        <v>259.86</v>
      </c>
      <c r="Y141" s="2">
        <v>259.86</v>
      </c>
      <c r="Z141" s="2">
        <v>285.13</v>
      </c>
      <c r="AA141" s="2">
        <v>285.10000000000002</v>
      </c>
      <c r="AB141" s="2">
        <v>285.11</v>
      </c>
      <c r="AC141" s="2">
        <v>285.08</v>
      </c>
      <c r="AD141" s="2">
        <v>285.08999999999997</v>
      </c>
      <c r="AE141" s="2">
        <v>285.12</v>
      </c>
      <c r="AF141" s="2">
        <v>285.08999999999997</v>
      </c>
      <c r="AG141" s="2">
        <v>285.08999999999997</v>
      </c>
      <c r="AH141" s="2">
        <v>285.08999999999997</v>
      </c>
      <c r="AI141" s="2">
        <v>284.08999999999997</v>
      </c>
      <c r="AJ141" s="2">
        <v>284.08999999999997</v>
      </c>
      <c r="AK141" s="2">
        <v>284.08999999999997</v>
      </c>
      <c r="AL141" s="2">
        <v>283.08999999999997</v>
      </c>
      <c r="AM141" s="2">
        <v>283.08999999999997</v>
      </c>
      <c r="AN141" s="2">
        <v>283.10000000000002</v>
      </c>
      <c r="AO141" s="2">
        <v>283.10000000000002</v>
      </c>
      <c r="AP141" s="2">
        <v>284.10000000000002</v>
      </c>
      <c r="AQ141" s="2">
        <v>284.08</v>
      </c>
      <c r="AR141" s="2">
        <v>284.10000000000002</v>
      </c>
      <c r="AS141" s="2">
        <v>284.11</v>
      </c>
      <c r="AT141" s="2">
        <v>284.11</v>
      </c>
      <c r="AU141" s="2">
        <v>284.10000000000002</v>
      </c>
    </row>
    <row r="142" spans="1:47" x14ac:dyDescent="0.3">
      <c r="A142" s="2" t="s">
        <v>55</v>
      </c>
      <c r="B142" s="2">
        <v>0</v>
      </c>
      <c r="C142" s="2">
        <v>0</v>
      </c>
      <c r="D142" s="2">
        <v>0</v>
      </c>
      <c r="E142" s="2">
        <v>0</v>
      </c>
      <c r="F142" s="2">
        <v>0</v>
      </c>
      <c r="G142" s="2">
        <v>0</v>
      </c>
      <c r="H142" s="2">
        <v>0</v>
      </c>
      <c r="I142" s="2">
        <v>1.3</v>
      </c>
      <c r="J142" s="2">
        <v>1.6</v>
      </c>
      <c r="K142" s="2">
        <v>19.850000000000001</v>
      </c>
      <c r="L142" s="2">
        <v>21</v>
      </c>
      <c r="M142" s="2">
        <v>14</v>
      </c>
      <c r="N142" s="2">
        <v>17</v>
      </c>
      <c r="O142" s="2">
        <v>18</v>
      </c>
      <c r="P142" s="2">
        <v>17</v>
      </c>
      <c r="Q142" s="2">
        <v>6.8</v>
      </c>
      <c r="R142" s="2">
        <v>6.8</v>
      </c>
      <c r="S142" s="2">
        <v>20.82</v>
      </c>
      <c r="T142" s="2">
        <v>14.02</v>
      </c>
      <c r="U142" s="2">
        <v>10.64</v>
      </c>
      <c r="V142" s="2">
        <v>13.93</v>
      </c>
      <c r="W142" s="2">
        <v>15.19</v>
      </c>
      <c r="X142" s="2">
        <v>16.39</v>
      </c>
      <c r="Y142" s="2">
        <v>16.39</v>
      </c>
      <c r="Z142" s="2">
        <v>17.13</v>
      </c>
      <c r="AA142" s="2">
        <v>17.13</v>
      </c>
      <c r="AB142" s="2">
        <v>17.13</v>
      </c>
      <c r="AC142" s="2">
        <v>17.13</v>
      </c>
      <c r="AD142" s="2">
        <v>17.13</v>
      </c>
      <c r="AE142" s="2">
        <v>17.13</v>
      </c>
      <c r="AF142" s="2">
        <v>17.13</v>
      </c>
      <c r="AG142" s="2">
        <v>17.13</v>
      </c>
      <c r="AH142" s="2">
        <v>17.13</v>
      </c>
      <c r="AI142" s="2">
        <v>17.07</v>
      </c>
      <c r="AJ142" s="2">
        <v>17.07</v>
      </c>
      <c r="AK142" s="2">
        <v>17.07</v>
      </c>
      <c r="AL142" s="2">
        <v>17.010000000000002</v>
      </c>
      <c r="AM142" s="2">
        <v>17.010000000000002</v>
      </c>
      <c r="AN142" s="2">
        <v>17.010000000000002</v>
      </c>
      <c r="AO142" s="2">
        <v>17.010000000000002</v>
      </c>
      <c r="AP142" s="2">
        <v>17.07</v>
      </c>
      <c r="AQ142" s="2">
        <v>17.07</v>
      </c>
      <c r="AR142" s="2">
        <v>17.07</v>
      </c>
      <c r="AS142" s="2">
        <v>17.07</v>
      </c>
      <c r="AT142" s="2">
        <v>17.07</v>
      </c>
      <c r="AU142" s="2">
        <v>17.07</v>
      </c>
    </row>
    <row r="143" spans="1:47" x14ac:dyDescent="0.3">
      <c r="A143" s="2" t="s">
        <v>56</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row>
    <row r="144" spans="1:47" x14ac:dyDescent="0.3">
      <c r="A144" s="2" t="s">
        <v>57</v>
      </c>
      <c r="B144" s="2">
        <v>0</v>
      </c>
      <c r="C144" s="2">
        <v>0</v>
      </c>
      <c r="D144" s="2">
        <v>0</v>
      </c>
      <c r="E144" s="2">
        <v>0</v>
      </c>
      <c r="F144" s="2">
        <v>0</v>
      </c>
      <c r="G144" s="2">
        <v>0</v>
      </c>
      <c r="H144" s="2">
        <v>0</v>
      </c>
      <c r="I144" s="2">
        <v>0</v>
      </c>
      <c r="J144" s="2">
        <v>0</v>
      </c>
      <c r="K144" s="2">
        <v>0</v>
      </c>
      <c r="L144" s="2">
        <v>0</v>
      </c>
      <c r="M144" s="2">
        <v>0</v>
      </c>
      <c r="N144" s="2">
        <v>0</v>
      </c>
      <c r="O144" s="2">
        <v>0</v>
      </c>
      <c r="P144" s="2">
        <v>0</v>
      </c>
      <c r="Q144" s="2">
        <v>0</v>
      </c>
      <c r="R144" s="2">
        <v>0</v>
      </c>
      <c r="S144" s="2">
        <v>0</v>
      </c>
      <c r="T144" s="2">
        <v>0.67</v>
      </c>
      <c r="U144" s="2">
        <v>0.92</v>
      </c>
      <c r="V144" s="2">
        <v>1.67</v>
      </c>
      <c r="W144" s="2">
        <v>2.2599999999999998</v>
      </c>
      <c r="X144" s="2">
        <v>2.2799999999999998</v>
      </c>
      <c r="Y144" s="2">
        <v>2.2799999999999998</v>
      </c>
      <c r="Z144" s="2">
        <v>2.38</v>
      </c>
      <c r="AA144" s="2">
        <v>2.38</v>
      </c>
      <c r="AB144" s="2">
        <v>2.38</v>
      </c>
      <c r="AC144" s="2">
        <v>2.38</v>
      </c>
      <c r="AD144" s="2">
        <v>2.38</v>
      </c>
      <c r="AE144" s="2">
        <v>2.38</v>
      </c>
      <c r="AF144" s="2">
        <v>2.38</v>
      </c>
      <c r="AG144" s="2">
        <v>2.38</v>
      </c>
      <c r="AH144" s="2">
        <v>2.38</v>
      </c>
      <c r="AI144" s="2">
        <v>2.37</v>
      </c>
      <c r="AJ144" s="2">
        <v>2.37</v>
      </c>
      <c r="AK144" s="2">
        <v>2.37</v>
      </c>
      <c r="AL144" s="2">
        <v>2.36</v>
      </c>
      <c r="AM144" s="2">
        <v>2.36</v>
      </c>
      <c r="AN144" s="2">
        <v>2.36</v>
      </c>
      <c r="AO144" s="2">
        <v>2.36</v>
      </c>
      <c r="AP144" s="2">
        <v>2.37</v>
      </c>
      <c r="AQ144" s="2">
        <v>2.37</v>
      </c>
      <c r="AR144" s="2">
        <v>2.37</v>
      </c>
      <c r="AS144" s="2">
        <v>2.37</v>
      </c>
      <c r="AT144" s="2">
        <v>2.37</v>
      </c>
      <c r="AU144" s="2">
        <v>2.37</v>
      </c>
    </row>
    <row r="145" spans="1:47" x14ac:dyDescent="0.3">
      <c r="A145" s="2" t="s">
        <v>58</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row>
    <row r="146" spans="1:47" x14ac:dyDescent="0.3">
      <c r="A146" s="2" t="s">
        <v>59</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0</v>
      </c>
      <c r="AU146" s="2">
        <v>0</v>
      </c>
    </row>
    <row r="147" spans="1:47" x14ac:dyDescent="0.3">
      <c r="A147" s="2" t="s">
        <v>60</v>
      </c>
      <c r="B147" s="2">
        <v>162.4</v>
      </c>
      <c r="C147" s="2">
        <v>169.77</v>
      </c>
      <c r="D147" s="2">
        <v>116.92</v>
      </c>
      <c r="E147" s="2">
        <v>171.91</v>
      </c>
      <c r="F147" s="2">
        <v>191.5</v>
      </c>
      <c r="G147" s="2">
        <v>97.44</v>
      </c>
      <c r="H147" s="2">
        <v>61.32</v>
      </c>
      <c r="I147" s="2">
        <v>34.270000000000003</v>
      </c>
      <c r="J147" s="2">
        <v>151.62</v>
      </c>
      <c r="K147" s="2">
        <v>35</v>
      </c>
      <c r="L147" s="2">
        <v>125.39</v>
      </c>
      <c r="M147" s="2">
        <v>124.29</v>
      </c>
      <c r="N147" s="2">
        <v>108.51</v>
      </c>
      <c r="O147" s="2">
        <v>110.64</v>
      </c>
      <c r="P147" s="2">
        <v>98.24</v>
      </c>
      <c r="Q147" s="2">
        <v>89.41</v>
      </c>
      <c r="R147" s="2">
        <v>89.41</v>
      </c>
      <c r="S147" s="2">
        <v>89.37</v>
      </c>
      <c r="T147" s="2">
        <v>89.39</v>
      </c>
      <c r="U147" s="2">
        <v>67.400000000000006</v>
      </c>
      <c r="V147" s="2">
        <v>80.900000000000006</v>
      </c>
      <c r="W147" s="2">
        <v>81.87</v>
      </c>
      <c r="X147" s="2">
        <v>82.1</v>
      </c>
      <c r="Y147" s="2">
        <v>82.23</v>
      </c>
      <c r="Z147" s="2">
        <v>84.54</v>
      </c>
      <c r="AA147" s="2">
        <v>84.54</v>
      </c>
      <c r="AB147" s="2">
        <v>84.54</v>
      </c>
      <c r="AC147" s="2">
        <v>84.54</v>
      </c>
      <c r="AD147" s="2">
        <v>84.54</v>
      </c>
      <c r="AE147" s="2">
        <v>84.54</v>
      </c>
      <c r="AF147" s="2">
        <v>84.54</v>
      </c>
      <c r="AG147" s="2">
        <v>84.54</v>
      </c>
      <c r="AH147" s="2">
        <v>84.54</v>
      </c>
      <c r="AI147" s="2">
        <v>84.09</v>
      </c>
      <c r="AJ147" s="2">
        <v>84.09</v>
      </c>
      <c r="AK147" s="2">
        <v>83.66</v>
      </c>
      <c r="AL147" s="2">
        <v>83.65</v>
      </c>
      <c r="AM147" s="2">
        <v>83.66</v>
      </c>
      <c r="AN147" s="2">
        <v>83.57</v>
      </c>
      <c r="AO147" s="2">
        <v>83.57</v>
      </c>
      <c r="AP147" s="2">
        <v>83.57</v>
      </c>
      <c r="AQ147" s="2">
        <v>83.13</v>
      </c>
      <c r="AR147" s="2">
        <v>83.14</v>
      </c>
      <c r="AS147" s="2">
        <v>83.14</v>
      </c>
      <c r="AT147" s="2">
        <v>83.14</v>
      </c>
      <c r="AU147" s="2">
        <v>83.14</v>
      </c>
    </row>
    <row r="148" spans="1:47" x14ac:dyDescent="0.3">
      <c r="A148" s="2" t="s">
        <v>61</v>
      </c>
      <c r="B148" s="2">
        <v>71.63</v>
      </c>
      <c r="C148" s="2">
        <v>41.21</v>
      </c>
      <c r="D148" s="2">
        <v>60.64</v>
      </c>
      <c r="E148" s="2">
        <v>57.56</v>
      </c>
      <c r="F148" s="2">
        <v>61.1</v>
      </c>
      <c r="G148" s="2">
        <v>57.78</v>
      </c>
      <c r="H148" s="2">
        <v>59.13</v>
      </c>
      <c r="I148" s="2">
        <v>77.16</v>
      </c>
      <c r="J148" s="2">
        <v>78.73</v>
      </c>
      <c r="K148" s="2">
        <v>101.67</v>
      </c>
      <c r="L148" s="2">
        <v>429.61</v>
      </c>
      <c r="M148" s="2">
        <v>426.71</v>
      </c>
      <c r="N148" s="2">
        <v>373.49</v>
      </c>
      <c r="O148" s="2">
        <v>377.36</v>
      </c>
      <c r="P148" s="2">
        <v>335.76</v>
      </c>
      <c r="Q148" s="2">
        <v>270.45999999999998</v>
      </c>
      <c r="R148" s="2">
        <v>271.38</v>
      </c>
      <c r="S148" s="2">
        <v>260.49</v>
      </c>
      <c r="T148" s="2">
        <v>266.39999999999998</v>
      </c>
      <c r="U148" s="2">
        <v>190.17</v>
      </c>
      <c r="V148" s="2">
        <v>86.3</v>
      </c>
      <c r="W148" s="2">
        <v>88.16</v>
      </c>
      <c r="X148" s="2">
        <v>88.73</v>
      </c>
      <c r="Y148" s="2">
        <v>88.99</v>
      </c>
      <c r="Z148" s="2">
        <v>15.94</v>
      </c>
      <c r="AA148" s="2">
        <v>15.23</v>
      </c>
      <c r="AB148" s="2">
        <v>15.31</v>
      </c>
      <c r="AC148" s="2">
        <v>15.11</v>
      </c>
      <c r="AD148" s="2">
        <v>15.11</v>
      </c>
      <c r="AE148" s="2">
        <v>15.91</v>
      </c>
      <c r="AF148" s="2">
        <v>15.76</v>
      </c>
      <c r="AG148" s="2">
        <v>15.72</v>
      </c>
      <c r="AH148" s="2">
        <v>15.55</v>
      </c>
      <c r="AI148" s="2">
        <v>14.87</v>
      </c>
      <c r="AJ148" s="2">
        <v>14.74</v>
      </c>
      <c r="AK148" s="2">
        <v>14.74</v>
      </c>
      <c r="AL148" s="2">
        <v>14.41</v>
      </c>
      <c r="AM148" s="2">
        <v>14.45</v>
      </c>
      <c r="AN148" s="2">
        <v>14.45</v>
      </c>
      <c r="AO148" s="2">
        <v>15.01</v>
      </c>
      <c r="AP148" s="2">
        <v>15.13</v>
      </c>
      <c r="AQ148" s="2">
        <v>15.01</v>
      </c>
      <c r="AR148" s="2">
        <v>15.13</v>
      </c>
      <c r="AS148" s="2">
        <v>15.78</v>
      </c>
      <c r="AT148" s="2">
        <v>15.94</v>
      </c>
      <c r="AU148" s="2">
        <v>15.74</v>
      </c>
    </row>
    <row r="150" spans="1:47" ht="18" x14ac:dyDescent="0.35">
      <c r="A150" s="4" t="s">
        <v>74</v>
      </c>
    </row>
    <row r="151" spans="1:47" x14ac:dyDescent="0.3">
      <c r="A151" s="2" t="s">
        <v>7</v>
      </c>
      <c r="B151" s="2" t="s">
        <v>8</v>
      </c>
      <c r="C151" s="2" t="s">
        <v>9</v>
      </c>
      <c r="D151" s="2" t="s">
        <v>10</v>
      </c>
      <c r="E151" s="2" t="s">
        <v>11</v>
      </c>
      <c r="F151" s="2" t="s">
        <v>12</v>
      </c>
      <c r="G151" s="2" t="s">
        <v>13</v>
      </c>
      <c r="H151" s="2" t="s">
        <v>14</v>
      </c>
      <c r="I151" s="2" t="s">
        <v>15</v>
      </c>
      <c r="J151" s="2" t="s">
        <v>16</v>
      </c>
      <c r="K151" s="2" t="s">
        <v>17</v>
      </c>
      <c r="L151" s="2" t="s">
        <v>18</v>
      </c>
      <c r="M151" s="2" t="s">
        <v>19</v>
      </c>
      <c r="N151" s="2" t="s">
        <v>20</v>
      </c>
      <c r="O151" s="2" t="s">
        <v>21</v>
      </c>
      <c r="P151" s="2" t="s">
        <v>22</v>
      </c>
      <c r="Q151" s="2" t="s">
        <v>23</v>
      </c>
      <c r="R151" s="2" t="s">
        <v>24</v>
      </c>
      <c r="S151" s="2" t="s">
        <v>25</v>
      </c>
      <c r="T151" s="2" t="s">
        <v>26</v>
      </c>
      <c r="U151" s="2" t="s">
        <v>27</v>
      </c>
      <c r="V151" s="2" t="s">
        <v>28</v>
      </c>
      <c r="W151" s="2" t="s">
        <v>29</v>
      </c>
      <c r="X151" s="2" t="s">
        <v>30</v>
      </c>
      <c r="Y151" s="2" t="s">
        <v>31</v>
      </c>
      <c r="Z151" s="2" t="s">
        <v>32</v>
      </c>
      <c r="AA151" s="2" t="s">
        <v>33</v>
      </c>
      <c r="AB151" s="2" t="s">
        <v>34</v>
      </c>
      <c r="AC151" s="2" t="s">
        <v>35</v>
      </c>
      <c r="AD151" s="2" t="s">
        <v>36</v>
      </c>
      <c r="AE151" s="2" t="s">
        <v>37</v>
      </c>
      <c r="AF151" s="2" t="s">
        <v>38</v>
      </c>
      <c r="AG151" s="2" t="s">
        <v>39</v>
      </c>
      <c r="AH151" s="2" t="s">
        <v>40</v>
      </c>
      <c r="AI151" s="2" t="s">
        <v>41</v>
      </c>
      <c r="AJ151" s="2" t="s">
        <v>42</v>
      </c>
      <c r="AK151" s="2" t="s">
        <v>43</v>
      </c>
      <c r="AL151" s="2" t="s">
        <v>44</v>
      </c>
      <c r="AM151" s="2" t="s">
        <v>45</v>
      </c>
      <c r="AN151" s="2" t="s">
        <v>46</v>
      </c>
      <c r="AO151" s="2" t="s">
        <v>47</v>
      </c>
      <c r="AP151" s="2" t="s">
        <v>48</v>
      </c>
      <c r="AQ151" s="2" t="s">
        <v>49</v>
      </c>
      <c r="AR151" s="2" t="s">
        <v>50</v>
      </c>
      <c r="AS151" s="2" t="s">
        <v>51</v>
      </c>
      <c r="AT151" s="2" t="s">
        <v>52</v>
      </c>
      <c r="AU151" s="2" t="s">
        <v>53</v>
      </c>
    </row>
    <row r="152" spans="1:47" x14ac:dyDescent="0.3">
      <c r="A152" s="2" t="s">
        <v>54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row>
    <row r="153" spans="1:47" x14ac:dyDescent="0.3">
      <c r="A153" s="2" t="s">
        <v>55</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0.9</v>
      </c>
      <c r="U153" s="2">
        <v>1.82</v>
      </c>
      <c r="V153" s="2">
        <v>2.7</v>
      </c>
      <c r="W153" s="2">
        <v>3.62</v>
      </c>
      <c r="X153" s="2">
        <v>4.54</v>
      </c>
      <c r="Y153" s="2">
        <v>5.41</v>
      </c>
      <c r="Z153" s="2">
        <v>6.33</v>
      </c>
      <c r="AA153" s="2">
        <v>7.25</v>
      </c>
      <c r="AB153" s="2">
        <v>8.17</v>
      </c>
      <c r="AC153" s="2">
        <v>9.09</v>
      </c>
      <c r="AD153" s="2">
        <v>10.01</v>
      </c>
      <c r="AE153" s="2">
        <v>10.94</v>
      </c>
      <c r="AF153" s="2">
        <v>11.86</v>
      </c>
      <c r="AG153" s="2">
        <v>12.84</v>
      </c>
      <c r="AH153" s="2">
        <v>13.76</v>
      </c>
      <c r="AI153" s="2">
        <v>14.68</v>
      </c>
      <c r="AJ153" s="2">
        <v>15.66</v>
      </c>
      <c r="AK153" s="2">
        <v>16.64</v>
      </c>
      <c r="AL153" s="2">
        <v>17.559999999999999</v>
      </c>
      <c r="AM153" s="2">
        <v>18.54</v>
      </c>
      <c r="AN153" s="2">
        <v>19.52</v>
      </c>
      <c r="AO153" s="2">
        <v>20.5</v>
      </c>
      <c r="AP153" s="2">
        <v>21.54</v>
      </c>
      <c r="AQ153" s="2">
        <v>22.51</v>
      </c>
      <c r="AR153" s="2">
        <v>23.55</v>
      </c>
      <c r="AS153" s="2">
        <v>24.58</v>
      </c>
      <c r="AT153" s="2">
        <v>25.56</v>
      </c>
      <c r="AU153" s="2">
        <v>26.66</v>
      </c>
    </row>
    <row r="154" spans="1:47" x14ac:dyDescent="0.3">
      <c r="A154" s="2" t="s">
        <v>56</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row>
    <row r="155" spans="1:47" x14ac:dyDescent="0.3">
      <c r="A155" s="2" t="s">
        <v>57</v>
      </c>
      <c r="B155" s="2">
        <v>0</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0.44</v>
      </c>
      <c r="T155" s="2">
        <v>0.94</v>
      </c>
      <c r="U155" s="2">
        <v>1.42</v>
      </c>
      <c r="V155" s="2">
        <v>1.86</v>
      </c>
      <c r="W155" s="2">
        <v>2.34</v>
      </c>
      <c r="X155" s="2">
        <v>2.82</v>
      </c>
      <c r="Y155" s="2">
        <v>3.27</v>
      </c>
      <c r="Z155" s="2">
        <v>3.75</v>
      </c>
      <c r="AA155" s="2">
        <v>4.2300000000000004</v>
      </c>
      <c r="AB155" s="2">
        <v>4.71</v>
      </c>
      <c r="AC155" s="2">
        <v>5.19</v>
      </c>
      <c r="AD155" s="2">
        <v>5.67</v>
      </c>
      <c r="AE155" s="2">
        <v>6.15</v>
      </c>
      <c r="AF155" s="2">
        <v>6.62</v>
      </c>
      <c r="AG155" s="2">
        <v>7.13</v>
      </c>
      <c r="AH155" s="2">
        <v>7.61</v>
      </c>
      <c r="AI155" s="2">
        <v>8.09</v>
      </c>
      <c r="AJ155" s="2">
        <v>8.6</v>
      </c>
      <c r="AK155" s="2">
        <v>9.11</v>
      </c>
      <c r="AL155" s="2">
        <v>9.59</v>
      </c>
      <c r="AM155" s="2">
        <v>10.1</v>
      </c>
      <c r="AN155" s="2">
        <v>10.61</v>
      </c>
      <c r="AO155" s="2">
        <v>11.12</v>
      </c>
      <c r="AP155" s="2">
        <v>11.67</v>
      </c>
      <c r="AQ155" s="2">
        <v>12.18</v>
      </c>
      <c r="AR155" s="2">
        <v>12.72</v>
      </c>
      <c r="AS155" s="2">
        <v>13.26</v>
      </c>
      <c r="AT155" s="2">
        <v>13.77</v>
      </c>
      <c r="AU155" s="2">
        <v>14.34</v>
      </c>
    </row>
    <row r="156" spans="1:47" x14ac:dyDescent="0.3">
      <c r="A156" s="2" t="s">
        <v>58</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row>
    <row r="157" spans="1:47" x14ac:dyDescent="0.3">
      <c r="A157" s="2" t="s">
        <v>59</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row>
    <row r="158" spans="1:47" x14ac:dyDescent="0.3">
      <c r="A158" s="2" t="s">
        <v>60</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row>
    <row r="159" spans="1:47" x14ac:dyDescent="0.3">
      <c r="A159" s="2" t="s">
        <v>61</v>
      </c>
      <c r="B159" s="2">
        <v>142</v>
      </c>
      <c r="C159" s="2">
        <v>145</v>
      </c>
      <c r="D159" s="2">
        <v>149</v>
      </c>
      <c r="E159" s="2">
        <v>182</v>
      </c>
      <c r="F159" s="2">
        <v>162</v>
      </c>
      <c r="G159" s="2">
        <v>162</v>
      </c>
      <c r="H159" s="2">
        <v>98</v>
      </c>
      <c r="I159" s="2">
        <v>98</v>
      </c>
      <c r="J159" s="2">
        <v>98</v>
      </c>
      <c r="K159" s="2">
        <v>157.6</v>
      </c>
      <c r="L159" s="2">
        <v>191.06</v>
      </c>
      <c r="M159" s="2">
        <v>251.38</v>
      </c>
      <c r="N159" s="2">
        <v>252.89</v>
      </c>
      <c r="O159" s="2">
        <v>255.89</v>
      </c>
      <c r="P159" s="2">
        <v>254.39</v>
      </c>
      <c r="Q159" s="2">
        <v>265.54000000000002</v>
      </c>
      <c r="R159" s="2">
        <v>274.17</v>
      </c>
      <c r="S159" s="2">
        <v>275.39999999999998</v>
      </c>
      <c r="T159" s="2">
        <v>272.2</v>
      </c>
      <c r="U159" s="2">
        <v>265.54000000000002</v>
      </c>
      <c r="V159" s="2">
        <v>266.85000000000002</v>
      </c>
      <c r="W159" s="2">
        <v>269.70999999999998</v>
      </c>
      <c r="X159" s="2">
        <v>268.57</v>
      </c>
      <c r="Y159" s="2">
        <v>267.39</v>
      </c>
      <c r="Z159" s="2">
        <v>267.91000000000003</v>
      </c>
      <c r="AA159" s="2">
        <v>272.95</v>
      </c>
      <c r="AB159" s="2">
        <v>271.81</v>
      </c>
      <c r="AC159" s="2">
        <v>270.54000000000002</v>
      </c>
      <c r="AD159" s="2">
        <v>273.25</v>
      </c>
      <c r="AE159" s="2">
        <v>268.18</v>
      </c>
      <c r="AF159" s="2">
        <v>272.07</v>
      </c>
      <c r="AG159" s="2">
        <v>273.35000000000002</v>
      </c>
      <c r="AH159" s="2">
        <v>272.07</v>
      </c>
      <c r="AI159" s="2">
        <v>273.86</v>
      </c>
      <c r="AJ159" s="2">
        <v>277.68</v>
      </c>
      <c r="AK159" s="2">
        <v>276.32</v>
      </c>
      <c r="AL159" s="2">
        <v>278.24</v>
      </c>
      <c r="AM159" s="2">
        <v>282.19</v>
      </c>
      <c r="AN159" s="2">
        <v>281.14</v>
      </c>
      <c r="AO159" s="2">
        <v>284.77</v>
      </c>
      <c r="AP159" s="2">
        <v>286.39999999999998</v>
      </c>
      <c r="AQ159" s="2">
        <v>289.29000000000002</v>
      </c>
      <c r="AR159" s="2">
        <v>292.08999999999997</v>
      </c>
      <c r="AS159" s="2">
        <v>294.76</v>
      </c>
      <c r="AT159" s="2">
        <v>297.35000000000002</v>
      </c>
      <c r="AU159" s="2">
        <v>299.31</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B87F-D784-4010-8D27-12CE342E62A4}">
  <dimension ref="A1:AU159"/>
  <sheetViews>
    <sheetView workbookViewId="0">
      <selection activeCell="A8" sqref="A8"/>
    </sheetView>
  </sheetViews>
  <sheetFormatPr defaultColWidth="8.88671875" defaultRowHeight="14.4" x14ac:dyDescent="0.3"/>
  <cols>
    <col min="1" max="1" width="25.77734375" style="2" customWidth="1"/>
    <col min="2" max="2" width="8.88671875" style="2"/>
    <col min="3" max="14" width="8.88671875" style="2" customWidth="1"/>
    <col min="15" max="16384" width="8.88671875" style="2"/>
  </cols>
  <sheetData>
    <row r="1" spans="1:47" ht="21" x14ac:dyDescent="0.4">
      <c r="A1" s="1" t="s">
        <v>0</v>
      </c>
    </row>
    <row r="2" spans="1:47" ht="21" x14ac:dyDescent="0.4">
      <c r="A2" s="1" t="s">
        <v>1</v>
      </c>
    </row>
    <row r="3" spans="1:47" ht="21" x14ac:dyDescent="0.4">
      <c r="A3" s="1" t="s">
        <v>2</v>
      </c>
    </row>
    <row r="4" spans="1:47" ht="21" x14ac:dyDescent="0.4">
      <c r="A4" s="1" t="s">
        <v>3</v>
      </c>
    </row>
    <row r="5" spans="1:47" ht="21" x14ac:dyDescent="0.4">
      <c r="A5" s="3" t="s">
        <v>4</v>
      </c>
      <c r="B5" s="3" t="s">
        <v>5</v>
      </c>
    </row>
    <row r="7" spans="1:47" ht="18" x14ac:dyDescent="0.35">
      <c r="A7" s="4" t="s">
        <v>6</v>
      </c>
    </row>
    <row r="8" spans="1:47" x14ac:dyDescent="0.3">
      <c r="A8" s="2" t="s">
        <v>7</v>
      </c>
      <c r="B8" s="2" t="s">
        <v>8</v>
      </c>
      <c r="C8" s="2" t="s">
        <v>9</v>
      </c>
      <c r="D8" s="2" t="s">
        <v>10</v>
      </c>
      <c r="E8" s="2" t="s">
        <v>11</v>
      </c>
      <c r="F8" s="2" t="s">
        <v>12</v>
      </c>
      <c r="G8" s="2" t="s">
        <v>13</v>
      </c>
      <c r="H8" s="2" t="s">
        <v>14</v>
      </c>
      <c r="I8" s="2" t="s">
        <v>15</v>
      </c>
      <c r="J8" s="2" t="s">
        <v>16</v>
      </c>
      <c r="K8" s="2" t="s">
        <v>17</v>
      </c>
      <c r="L8" s="2" t="s">
        <v>18</v>
      </c>
      <c r="M8" s="2" t="s">
        <v>19</v>
      </c>
      <c r="N8" s="2" t="s">
        <v>20</v>
      </c>
      <c r="O8" s="2" t="s">
        <v>21</v>
      </c>
      <c r="P8" s="2" t="s">
        <v>22</v>
      </c>
      <c r="Q8" s="2" t="s">
        <v>23</v>
      </c>
      <c r="R8" s="2" t="s">
        <v>24</v>
      </c>
      <c r="S8" s="2" t="s">
        <v>25</v>
      </c>
      <c r="T8" s="2" t="s">
        <v>26</v>
      </c>
      <c r="U8" s="2" t="s">
        <v>27</v>
      </c>
      <c r="V8" s="2" t="s">
        <v>28</v>
      </c>
      <c r="W8" s="2" t="s">
        <v>29</v>
      </c>
      <c r="X8" s="2" t="s">
        <v>30</v>
      </c>
      <c r="Y8" s="2" t="s">
        <v>31</v>
      </c>
      <c r="Z8" s="2" t="s">
        <v>32</v>
      </c>
      <c r="AA8" s="2" t="s">
        <v>33</v>
      </c>
      <c r="AB8" s="2" t="s">
        <v>34</v>
      </c>
      <c r="AC8" s="2" t="s">
        <v>35</v>
      </c>
      <c r="AD8" s="2" t="s">
        <v>36</v>
      </c>
      <c r="AE8" s="2" t="s">
        <v>37</v>
      </c>
      <c r="AF8" s="2" t="s">
        <v>38</v>
      </c>
      <c r="AG8" s="2" t="s">
        <v>39</v>
      </c>
      <c r="AH8" s="2" t="s">
        <v>40</v>
      </c>
      <c r="AI8" s="2" t="s">
        <v>41</v>
      </c>
      <c r="AJ8" s="2" t="s">
        <v>42</v>
      </c>
      <c r="AK8" s="2" t="s">
        <v>43</v>
      </c>
      <c r="AL8" s="2" t="s">
        <v>44</v>
      </c>
      <c r="AM8" s="2" t="s">
        <v>45</v>
      </c>
      <c r="AN8" s="2" t="s">
        <v>46</v>
      </c>
      <c r="AO8" s="2" t="s">
        <v>47</v>
      </c>
      <c r="AP8" s="2" t="s">
        <v>48</v>
      </c>
      <c r="AQ8" s="2" t="s">
        <v>49</v>
      </c>
      <c r="AR8" s="2" t="s">
        <v>50</v>
      </c>
      <c r="AS8" s="2" t="s">
        <v>51</v>
      </c>
      <c r="AT8" s="2" t="s">
        <v>52</v>
      </c>
      <c r="AU8" s="2" t="s">
        <v>53</v>
      </c>
    </row>
    <row r="9" spans="1:47" x14ac:dyDescent="0.3">
      <c r="A9" s="2" t="s">
        <v>54</v>
      </c>
      <c r="B9" s="2">
        <v>72877.98</v>
      </c>
      <c r="C9" s="2">
        <v>72767.98</v>
      </c>
      <c r="D9" s="2">
        <v>73568.98</v>
      </c>
      <c r="E9" s="2">
        <v>74471.98</v>
      </c>
      <c r="F9" s="2">
        <v>74753.98</v>
      </c>
      <c r="G9" s="2">
        <v>75148.98</v>
      </c>
      <c r="H9" s="2">
        <v>75464.84</v>
      </c>
      <c r="I9" s="2">
        <v>76520.13</v>
      </c>
      <c r="J9" s="2">
        <v>75991.44</v>
      </c>
      <c r="K9" s="2">
        <v>78564.850000000006</v>
      </c>
      <c r="L9" s="2">
        <v>79677.210000000006</v>
      </c>
      <c r="M9" s="2">
        <v>80624.679999999993</v>
      </c>
      <c r="N9" s="2">
        <v>80922.48</v>
      </c>
      <c r="O9" s="2">
        <v>81383.48</v>
      </c>
      <c r="P9" s="2">
        <v>81383.48</v>
      </c>
      <c r="Q9" s="2">
        <v>81383.48</v>
      </c>
      <c r="R9" s="2">
        <v>82307.48</v>
      </c>
      <c r="S9" s="2">
        <v>83312.479999999996</v>
      </c>
      <c r="T9" s="2">
        <v>83312.479999999996</v>
      </c>
      <c r="U9" s="2">
        <v>83478.41</v>
      </c>
      <c r="V9" s="2">
        <v>84691.59</v>
      </c>
      <c r="W9" s="2">
        <v>84776.11</v>
      </c>
      <c r="X9" s="2">
        <v>84869.43</v>
      </c>
      <c r="Y9" s="2">
        <v>84976.57</v>
      </c>
      <c r="Z9" s="2">
        <v>85057.23</v>
      </c>
      <c r="AA9" s="2">
        <v>85118.39</v>
      </c>
      <c r="AB9" s="2">
        <v>85174.94</v>
      </c>
      <c r="AC9" s="2">
        <v>85214.94</v>
      </c>
      <c r="AD9" s="2">
        <v>85275.520000000004</v>
      </c>
      <c r="AE9" s="2">
        <v>85368.76</v>
      </c>
      <c r="AF9" s="2">
        <v>85441.91</v>
      </c>
      <c r="AG9" s="2">
        <v>85681.32</v>
      </c>
      <c r="AH9" s="2">
        <v>85738.05</v>
      </c>
      <c r="AI9" s="2">
        <v>85790.5</v>
      </c>
      <c r="AJ9" s="2">
        <v>85833.84</v>
      </c>
      <c r="AK9" s="2">
        <v>85904.48</v>
      </c>
      <c r="AL9" s="2">
        <v>85919.48</v>
      </c>
      <c r="AM9" s="2">
        <v>85955.95</v>
      </c>
      <c r="AN9" s="2">
        <v>86076.87</v>
      </c>
      <c r="AO9" s="2">
        <v>86203.48</v>
      </c>
      <c r="AP9" s="2">
        <v>86234.84</v>
      </c>
      <c r="AQ9" s="2">
        <v>86298.66</v>
      </c>
      <c r="AR9" s="2">
        <v>86473.05</v>
      </c>
      <c r="AS9" s="2">
        <v>86631.51</v>
      </c>
      <c r="AT9" s="2">
        <v>86770.62</v>
      </c>
      <c r="AU9" s="2">
        <v>86866.7</v>
      </c>
    </row>
    <row r="10" spans="1:47" x14ac:dyDescent="0.3">
      <c r="A10" s="2" t="s">
        <v>55</v>
      </c>
      <c r="B10" s="2">
        <v>557.37</v>
      </c>
      <c r="C10" s="2">
        <v>1443.04</v>
      </c>
      <c r="D10" s="2">
        <v>1823.24</v>
      </c>
      <c r="E10" s="2">
        <v>2321.14</v>
      </c>
      <c r="F10" s="2">
        <v>3240.14</v>
      </c>
      <c r="G10" s="2">
        <v>3746.11</v>
      </c>
      <c r="H10" s="2">
        <v>5171.34</v>
      </c>
      <c r="I10" s="2">
        <v>5883.21</v>
      </c>
      <c r="J10" s="2">
        <v>7467.01</v>
      </c>
      <c r="K10" s="2">
        <v>9404.99</v>
      </c>
      <c r="L10" s="2">
        <v>10945.79</v>
      </c>
      <c r="M10" s="2">
        <v>11766.8</v>
      </c>
      <c r="N10" s="2">
        <v>12673.45</v>
      </c>
      <c r="O10" s="2">
        <v>12781.65</v>
      </c>
      <c r="P10" s="2">
        <v>13206.05</v>
      </c>
      <c r="Q10" s="2">
        <v>13532.05</v>
      </c>
      <c r="R10" s="2">
        <v>13722.05</v>
      </c>
      <c r="S10" s="2">
        <v>15081.05</v>
      </c>
      <c r="T10" s="2">
        <v>15220.01</v>
      </c>
      <c r="U10" s="2">
        <v>15683.89</v>
      </c>
      <c r="V10" s="2">
        <v>16262.24</v>
      </c>
      <c r="W10" s="2">
        <v>16422.75</v>
      </c>
      <c r="X10" s="2">
        <v>16830.36</v>
      </c>
      <c r="Y10" s="2">
        <v>17291.82</v>
      </c>
      <c r="Z10" s="2">
        <v>17604.560000000001</v>
      </c>
      <c r="AA10" s="2">
        <v>18326.14</v>
      </c>
      <c r="AB10" s="2">
        <v>18920.900000000001</v>
      </c>
      <c r="AC10" s="2">
        <v>19715.71</v>
      </c>
      <c r="AD10" s="2">
        <v>20141.28</v>
      </c>
      <c r="AE10" s="2">
        <v>20737.62</v>
      </c>
      <c r="AF10" s="2">
        <v>21034.59</v>
      </c>
      <c r="AG10" s="2">
        <v>21443.15</v>
      </c>
      <c r="AH10" s="2">
        <v>21751.23</v>
      </c>
      <c r="AI10" s="2">
        <v>22359.7</v>
      </c>
      <c r="AJ10" s="2">
        <v>22667.97</v>
      </c>
      <c r="AK10" s="2">
        <v>23178.46</v>
      </c>
      <c r="AL10" s="2">
        <v>23478.13</v>
      </c>
      <c r="AM10" s="2">
        <v>24088.63</v>
      </c>
      <c r="AN10" s="2">
        <v>24399.38</v>
      </c>
      <c r="AO10" s="2">
        <v>25075.79</v>
      </c>
      <c r="AP10" s="2">
        <v>25402.23</v>
      </c>
      <c r="AQ10" s="2">
        <v>26079.23</v>
      </c>
      <c r="AR10" s="2">
        <v>26406.15</v>
      </c>
      <c r="AS10" s="2">
        <v>27083.16</v>
      </c>
      <c r="AT10" s="2">
        <v>27410.25</v>
      </c>
      <c r="AU10" s="2">
        <v>27738.58</v>
      </c>
    </row>
    <row r="11" spans="1:47" x14ac:dyDescent="0.3">
      <c r="A11" s="2" t="s">
        <v>56</v>
      </c>
      <c r="B11" s="2">
        <v>1735.59</v>
      </c>
      <c r="C11" s="2">
        <v>1742.19</v>
      </c>
      <c r="D11" s="2">
        <v>1742.19</v>
      </c>
      <c r="E11" s="2">
        <v>1666.19</v>
      </c>
      <c r="F11" s="2">
        <v>1735.29</v>
      </c>
      <c r="G11" s="2">
        <v>1800.29</v>
      </c>
      <c r="H11" s="2">
        <v>1829.79</v>
      </c>
      <c r="I11" s="2">
        <v>1884.89</v>
      </c>
      <c r="J11" s="2">
        <v>1913.73</v>
      </c>
      <c r="K11" s="2">
        <v>2368.83</v>
      </c>
      <c r="L11" s="2">
        <v>2236.9299999999998</v>
      </c>
      <c r="M11" s="2">
        <v>2515.5</v>
      </c>
      <c r="N11" s="2">
        <v>2446.9</v>
      </c>
      <c r="O11" s="2">
        <v>2459.6999999999998</v>
      </c>
      <c r="P11" s="2">
        <v>2260.1999999999998</v>
      </c>
      <c r="Q11" s="2">
        <v>2279.1</v>
      </c>
      <c r="R11" s="2">
        <v>2298.35</v>
      </c>
      <c r="S11" s="2">
        <v>2318.35</v>
      </c>
      <c r="T11" s="2">
        <v>2378.35</v>
      </c>
      <c r="U11" s="2">
        <v>2379.6999999999998</v>
      </c>
      <c r="V11" s="2">
        <v>2398.89</v>
      </c>
      <c r="W11" s="2">
        <v>2408.6799999999998</v>
      </c>
      <c r="X11" s="2">
        <v>2409.5300000000002</v>
      </c>
      <c r="Y11" s="2">
        <v>2469.3200000000002</v>
      </c>
      <c r="Z11" s="2">
        <v>2479.11</v>
      </c>
      <c r="AA11" s="2">
        <v>2497.92</v>
      </c>
      <c r="AB11" s="2">
        <v>2498.7199999999998</v>
      </c>
      <c r="AC11" s="2">
        <v>2498.7199999999998</v>
      </c>
      <c r="AD11" s="2">
        <v>2567.88</v>
      </c>
      <c r="AE11" s="2">
        <v>2578.1</v>
      </c>
      <c r="AF11" s="2">
        <v>2579.39</v>
      </c>
      <c r="AG11" s="2">
        <v>2589.6</v>
      </c>
      <c r="AH11" s="2">
        <v>2608.6799999999998</v>
      </c>
      <c r="AI11" s="2">
        <v>2618.62</v>
      </c>
      <c r="AJ11" s="2">
        <v>2628.49</v>
      </c>
      <c r="AK11" s="2">
        <v>2630.5</v>
      </c>
      <c r="AL11" s="2">
        <v>2640.7</v>
      </c>
      <c r="AM11" s="2">
        <v>2652.29</v>
      </c>
      <c r="AN11" s="2">
        <v>2671.51</v>
      </c>
      <c r="AO11" s="2">
        <v>2672.75</v>
      </c>
      <c r="AP11" s="2">
        <v>2682.97</v>
      </c>
      <c r="AQ11" s="2">
        <v>2695.01</v>
      </c>
      <c r="AR11" s="2">
        <v>2707.28</v>
      </c>
      <c r="AS11" s="2">
        <v>2719.68</v>
      </c>
      <c r="AT11" s="2">
        <v>2741.07</v>
      </c>
      <c r="AU11" s="2">
        <v>2753.55</v>
      </c>
    </row>
    <row r="12" spans="1:47" x14ac:dyDescent="0.3">
      <c r="A12" s="2" t="s">
        <v>57</v>
      </c>
      <c r="B12" s="2">
        <v>16.75</v>
      </c>
      <c r="C12" s="2">
        <v>20.48</v>
      </c>
      <c r="D12" s="2">
        <v>25.77</v>
      </c>
      <c r="E12" s="2">
        <v>32.72</v>
      </c>
      <c r="F12" s="2">
        <v>94.57</v>
      </c>
      <c r="G12" s="2">
        <v>281.13</v>
      </c>
      <c r="H12" s="2">
        <v>419.4</v>
      </c>
      <c r="I12" s="2">
        <v>647.48</v>
      </c>
      <c r="J12" s="2">
        <v>1027.6300000000001</v>
      </c>
      <c r="K12" s="2">
        <v>1523.48</v>
      </c>
      <c r="L12" s="2">
        <v>2135.48</v>
      </c>
      <c r="M12" s="2">
        <v>2416.06</v>
      </c>
      <c r="N12" s="2">
        <v>2614.46</v>
      </c>
      <c r="O12" s="2">
        <v>2719.86</v>
      </c>
      <c r="P12" s="2">
        <v>2739.86</v>
      </c>
      <c r="Q12" s="2">
        <v>2759.86</v>
      </c>
      <c r="R12" s="2">
        <v>2979.86</v>
      </c>
      <c r="S12" s="2">
        <v>3438.03</v>
      </c>
      <c r="T12" s="2">
        <v>3489.21</v>
      </c>
      <c r="U12" s="2">
        <v>3505.53</v>
      </c>
      <c r="V12" s="2">
        <v>3551.99</v>
      </c>
      <c r="W12" s="2">
        <v>3718.67</v>
      </c>
      <c r="X12" s="2">
        <v>3844.39</v>
      </c>
      <c r="Y12" s="2">
        <v>3860.23</v>
      </c>
      <c r="Z12" s="2">
        <v>4131.04</v>
      </c>
      <c r="AA12" s="2">
        <v>4361.95</v>
      </c>
      <c r="AB12" s="2">
        <v>4620.6000000000004</v>
      </c>
      <c r="AC12" s="2">
        <v>4879.5</v>
      </c>
      <c r="AD12" s="2">
        <v>5178.63</v>
      </c>
      <c r="AE12" s="2">
        <v>5457.05</v>
      </c>
      <c r="AF12" s="2">
        <v>6095.6</v>
      </c>
      <c r="AG12" s="2">
        <v>6505.87</v>
      </c>
      <c r="AH12" s="2">
        <v>6957.49</v>
      </c>
      <c r="AI12" s="2">
        <v>7270.32</v>
      </c>
      <c r="AJ12" s="2">
        <v>7624.17</v>
      </c>
      <c r="AK12" s="2">
        <v>8120.3</v>
      </c>
      <c r="AL12" s="2">
        <v>8438.6299999999992</v>
      </c>
      <c r="AM12" s="2">
        <v>8757.2900000000009</v>
      </c>
      <c r="AN12" s="2">
        <v>9076.5400000000009</v>
      </c>
      <c r="AO12" s="2">
        <v>9396.44</v>
      </c>
      <c r="AP12" s="2">
        <v>9917.69</v>
      </c>
      <c r="AQ12" s="2">
        <v>10220.67</v>
      </c>
      <c r="AR12" s="2">
        <v>10524.05</v>
      </c>
      <c r="AS12" s="2">
        <v>10827.98</v>
      </c>
      <c r="AT12" s="2">
        <v>11132.77</v>
      </c>
      <c r="AU12" s="2">
        <v>11460.69</v>
      </c>
    </row>
    <row r="13" spans="1:47" x14ac:dyDescent="0.3">
      <c r="A13" s="2" t="s">
        <v>58</v>
      </c>
      <c r="B13" s="2">
        <v>12805</v>
      </c>
      <c r="C13" s="2">
        <v>13345</v>
      </c>
      <c r="D13" s="2">
        <v>13345</v>
      </c>
      <c r="E13" s="2">
        <v>13345</v>
      </c>
      <c r="F13" s="2">
        <v>13345</v>
      </c>
      <c r="G13" s="2">
        <v>13345</v>
      </c>
      <c r="H13" s="2">
        <v>13345</v>
      </c>
      <c r="I13" s="2">
        <v>13345</v>
      </c>
      <c r="J13" s="2">
        <v>14345</v>
      </c>
      <c r="K13" s="2">
        <v>14273</v>
      </c>
      <c r="L13" s="2">
        <v>14273</v>
      </c>
      <c r="M13" s="2">
        <v>14273</v>
      </c>
      <c r="N13" s="2">
        <v>13338</v>
      </c>
      <c r="O13" s="2">
        <v>13338</v>
      </c>
      <c r="P13" s="2">
        <v>13338</v>
      </c>
      <c r="Q13" s="2">
        <v>12513</v>
      </c>
      <c r="R13" s="2">
        <v>12513</v>
      </c>
      <c r="S13" s="2">
        <v>11578</v>
      </c>
      <c r="T13" s="2">
        <v>9818</v>
      </c>
      <c r="U13" s="2">
        <v>11578</v>
      </c>
      <c r="V13" s="2">
        <v>9676</v>
      </c>
      <c r="W13" s="2">
        <v>8451</v>
      </c>
      <c r="X13" s="2">
        <v>9389</v>
      </c>
      <c r="Y13" s="2">
        <v>10229</v>
      </c>
      <c r="Z13" s="2">
        <v>9407</v>
      </c>
      <c r="AA13" s="2">
        <v>10247</v>
      </c>
      <c r="AB13" s="2">
        <v>9425</v>
      </c>
      <c r="AC13" s="2">
        <v>10265</v>
      </c>
      <c r="AD13" s="2">
        <v>10270</v>
      </c>
      <c r="AE13" s="2">
        <v>11110</v>
      </c>
      <c r="AF13" s="2">
        <v>11110</v>
      </c>
      <c r="AG13" s="2">
        <v>11110</v>
      </c>
      <c r="AH13" s="2">
        <v>11115</v>
      </c>
      <c r="AI13" s="2">
        <v>11115</v>
      </c>
      <c r="AJ13" s="2">
        <v>11125</v>
      </c>
      <c r="AK13" s="2">
        <v>11145</v>
      </c>
      <c r="AL13" s="2">
        <v>10460</v>
      </c>
      <c r="AM13" s="2">
        <v>10480</v>
      </c>
      <c r="AN13" s="2">
        <v>10500</v>
      </c>
      <c r="AO13" s="2">
        <v>11204</v>
      </c>
      <c r="AP13" s="2">
        <v>11229</v>
      </c>
      <c r="AQ13" s="2">
        <v>11279</v>
      </c>
      <c r="AR13" s="2">
        <v>11379</v>
      </c>
      <c r="AS13" s="2">
        <v>11479</v>
      </c>
      <c r="AT13" s="2">
        <v>11579</v>
      </c>
      <c r="AU13" s="2">
        <v>11579</v>
      </c>
    </row>
    <row r="14" spans="1:47" x14ac:dyDescent="0.3">
      <c r="A14" s="2" t="s">
        <v>59</v>
      </c>
      <c r="B14" s="2">
        <v>15647.64</v>
      </c>
      <c r="C14" s="2">
        <v>15563.64</v>
      </c>
      <c r="D14" s="2">
        <v>15650.64</v>
      </c>
      <c r="E14" s="2">
        <v>15471.64</v>
      </c>
      <c r="F14" s="2">
        <v>15528.64</v>
      </c>
      <c r="G14" s="2">
        <v>13779.64</v>
      </c>
      <c r="H14" s="2">
        <v>13253.64</v>
      </c>
      <c r="I14" s="2">
        <v>12419.64</v>
      </c>
      <c r="J14" s="2">
        <v>11445.94</v>
      </c>
      <c r="K14" s="2">
        <v>9641.64</v>
      </c>
      <c r="L14" s="2">
        <v>9517.44</v>
      </c>
      <c r="M14" s="2">
        <v>9517.44</v>
      </c>
      <c r="N14" s="2">
        <v>9517.44</v>
      </c>
      <c r="O14" s="2">
        <v>8929.44</v>
      </c>
      <c r="P14" s="2">
        <v>8929.44</v>
      </c>
      <c r="Q14" s="2">
        <v>8521.7999999999993</v>
      </c>
      <c r="R14" s="2">
        <v>7368.8</v>
      </c>
      <c r="S14" s="2">
        <v>6038.8</v>
      </c>
      <c r="T14" s="2">
        <v>2844</v>
      </c>
      <c r="U14" s="2">
        <v>2844</v>
      </c>
      <c r="V14" s="2">
        <v>2844</v>
      </c>
      <c r="W14" s="2">
        <v>2553</v>
      </c>
      <c r="X14" s="2">
        <v>2553</v>
      </c>
      <c r="Y14" s="2">
        <v>1978</v>
      </c>
      <c r="Z14" s="2">
        <v>1978</v>
      </c>
      <c r="AA14" s="2">
        <v>1978</v>
      </c>
      <c r="AB14" s="2">
        <v>1978</v>
      </c>
      <c r="AC14" s="2">
        <v>1978</v>
      </c>
      <c r="AD14" s="2">
        <v>1978</v>
      </c>
      <c r="AE14" s="2">
        <v>1978</v>
      </c>
      <c r="AF14" s="2">
        <v>1822</v>
      </c>
      <c r="AG14" s="2">
        <v>1822</v>
      </c>
      <c r="AH14" s="2">
        <v>1546</v>
      </c>
      <c r="AI14" s="2">
        <v>1546</v>
      </c>
      <c r="AJ14" s="2">
        <v>1391</v>
      </c>
      <c r="AK14" s="2">
        <v>1391</v>
      </c>
      <c r="AL14" s="2">
        <v>750</v>
      </c>
      <c r="AM14" s="2">
        <v>750</v>
      </c>
      <c r="AN14" s="2">
        <v>750</v>
      </c>
      <c r="AO14" s="2">
        <v>750</v>
      </c>
      <c r="AP14" s="2">
        <v>750</v>
      </c>
      <c r="AQ14" s="2">
        <v>750</v>
      </c>
      <c r="AR14" s="2">
        <v>750</v>
      </c>
      <c r="AS14" s="2">
        <v>750</v>
      </c>
      <c r="AT14" s="2">
        <v>750</v>
      </c>
      <c r="AU14" s="2">
        <v>750</v>
      </c>
    </row>
    <row r="15" spans="1:47" x14ac:dyDescent="0.3">
      <c r="A15" s="2" t="s">
        <v>60</v>
      </c>
      <c r="B15" s="2">
        <v>13561.11</v>
      </c>
      <c r="C15" s="2">
        <v>13858.78</v>
      </c>
      <c r="D15" s="2">
        <v>13954.9</v>
      </c>
      <c r="E15" s="2">
        <v>15717.1</v>
      </c>
      <c r="F15" s="2">
        <v>15820.33</v>
      </c>
      <c r="G15" s="2">
        <v>18944.95</v>
      </c>
      <c r="H15" s="2">
        <v>19354.650000000001</v>
      </c>
      <c r="I15" s="2">
        <v>19891.080000000002</v>
      </c>
      <c r="J15" s="2">
        <v>20065.77</v>
      </c>
      <c r="K15" s="2">
        <v>20153.21</v>
      </c>
      <c r="L15" s="2">
        <v>21931.08</v>
      </c>
      <c r="M15" s="2">
        <v>21566.92</v>
      </c>
      <c r="N15" s="2">
        <v>22086.92</v>
      </c>
      <c r="O15" s="2">
        <v>22565.919999999998</v>
      </c>
      <c r="P15" s="2">
        <v>22576.92</v>
      </c>
      <c r="Q15" s="2">
        <v>24728.32</v>
      </c>
      <c r="R15" s="2">
        <v>26105.32</v>
      </c>
      <c r="S15" s="2">
        <v>26896.32</v>
      </c>
      <c r="T15" s="2">
        <v>30840.42</v>
      </c>
      <c r="U15" s="2">
        <v>31844.42</v>
      </c>
      <c r="V15" s="2">
        <v>31970.66</v>
      </c>
      <c r="W15" s="2">
        <v>32020.93</v>
      </c>
      <c r="X15" s="2">
        <v>32107.17</v>
      </c>
      <c r="Y15" s="2">
        <v>32822.31</v>
      </c>
      <c r="Z15" s="2">
        <v>33102.379999999997</v>
      </c>
      <c r="AA15" s="2">
        <v>33198.46</v>
      </c>
      <c r="AB15" s="2">
        <v>33437.53</v>
      </c>
      <c r="AC15" s="2">
        <v>33767.61</v>
      </c>
      <c r="AD15" s="2">
        <v>32977.699999999997</v>
      </c>
      <c r="AE15" s="2">
        <v>34526.79</v>
      </c>
      <c r="AF15" s="2">
        <v>34985.86</v>
      </c>
      <c r="AG15" s="2">
        <v>35065.94</v>
      </c>
      <c r="AH15" s="2">
        <v>34181.01</v>
      </c>
      <c r="AI15" s="2">
        <v>34261.089999999997</v>
      </c>
      <c r="AJ15" s="2">
        <v>33631.160000000003</v>
      </c>
      <c r="AK15" s="2">
        <v>33640.22</v>
      </c>
      <c r="AL15" s="2">
        <v>33350.29</v>
      </c>
      <c r="AM15" s="2">
        <v>33350.35</v>
      </c>
      <c r="AN15" s="2">
        <v>33341.410000000003</v>
      </c>
      <c r="AO15" s="2">
        <v>33350.480000000003</v>
      </c>
      <c r="AP15" s="2">
        <v>33350.54</v>
      </c>
      <c r="AQ15" s="2">
        <v>33350.61</v>
      </c>
      <c r="AR15" s="2">
        <v>33350.67</v>
      </c>
      <c r="AS15" s="2">
        <v>33350.74</v>
      </c>
      <c r="AT15" s="2">
        <v>33341.800000000003</v>
      </c>
      <c r="AU15" s="2">
        <v>33341.89</v>
      </c>
    </row>
    <row r="16" spans="1:47" x14ac:dyDescent="0.3">
      <c r="A16" s="2" t="s">
        <v>61</v>
      </c>
      <c r="B16" s="2">
        <v>4770.08</v>
      </c>
      <c r="C16" s="2">
        <v>4519.4399999999996</v>
      </c>
      <c r="D16" s="2">
        <v>4524.4399999999996</v>
      </c>
      <c r="E16" s="2">
        <v>4520.6899999999996</v>
      </c>
      <c r="F16" s="2">
        <v>4474.83</v>
      </c>
      <c r="G16" s="2">
        <v>4609.0200000000004</v>
      </c>
      <c r="H16" s="2">
        <v>3916.28</v>
      </c>
      <c r="I16" s="2">
        <v>3641.15</v>
      </c>
      <c r="J16" s="2">
        <v>3645.15</v>
      </c>
      <c r="K16" s="2">
        <v>3655.7</v>
      </c>
      <c r="L16" s="2">
        <v>3500.7</v>
      </c>
      <c r="M16" s="2">
        <v>3558.68</v>
      </c>
      <c r="N16" s="2">
        <v>3594.53</v>
      </c>
      <c r="O16" s="2">
        <v>3614.53</v>
      </c>
      <c r="P16" s="2">
        <v>3624.53</v>
      </c>
      <c r="Q16" s="2">
        <v>3624.53</v>
      </c>
      <c r="R16" s="2">
        <v>3624.53</v>
      </c>
      <c r="S16" s="2">
        <v>3134.53</v>
      </c>
      <c r="T16" s="2">
        <v>3134.53</v>
      </c>
      <c r="U16" s="2">
        <v>3138.53</v>
      </c>
      <c r="V16" s="2">
        <v>3135.53</v>
      </c>
      <c r="W16" s="2">
        <v>3103.83</v>
      </c>
      <c r="X16" s="2">
        <v>3103.83</v>
      </c>
      <c r="Y16" s="2">
        <v>3107.83</v>
      </c>
      <c r="Z16" s="2">
        <v>3107.83</v>
      </c>
      <c r="AA16" s="2">
        <v>3112.83</v>
      </c>
      <c r="AB16" s="2">
        <v>3117.83</v>
      </c>
      <c r="AC16" s="2">
        <v>3121.83</v>
      </c>
      <c r="AD16" s="2">
        <v>3121.83</v>
      </c>
      <c r="AE16" s="2">
        <v>3121.83</v>
      </c>
      <c r="AF16" s="2">
        <v>3054.79</v>
      </c>
      <c r="AG16" s="2">
        <v>3058.79</v>
      </c>
      <c r="AH16" s="2">
        <v>3058.79</v>
      </c>
      <c r="AI16" s="2">
        <v>3058.79</v>
      </c>
      <c r="AJ16" s="2">
        <v>3058.79</v>
      </c>
      <c r="AK16" s="2">
        <v>3058.79</v>
      </c>
      <c r="AL16" s="2">
        <v>2008.79</v>
      </c>
      <c r="AM16" s="2">
        <v>2008.79</v>
      </c>
      <c r="AN16" s="2">
        <v>2008.79</v>
      </c>
      <c r="AO16" s="2">
        <v>2008.79</v>
      </c>
      <c r="AP16" s="2">
        <v>2008.79</v>
      </c>
      <c r="AQ16" s="2">
        <v>2008.79</v>
      </c>
      <c r="AR16" s="2">
        <v>2008.79</v>
      </c>
      <c r="AS16" s="2">
        <v>2008.79</v>
      </c>
      <c r="AT16" s="2">
        <v>2008.79</v>
      </c>
      <c r="AU16" s="2">
        <v>2008.79</v>
      </c>
    </row>
    <row r="18" spans="1:47" ht="18" x14ac:dyDescent="0.35">
      <c r="A18" s="4" t="s">
        <v>62</v>
      </c>
    </row>
    <row r="19" spans="1:47" x14ac:dyDescent="0.3">
      <c r="A19" s="2" t="s">
        <v>7</v>
      </c>
      <c r="B19" s="2" t="s">
        <v>8</v>
      </c>
      <c r="C19" s="2" t="s">
        <v>9</v>
      </c>
      <c r="D19" s="2" t="s">
        <v>10</v>
      </c>
      <c r="E19" s="2" t="s">
        <v>11</v>
      </c>
      <c r="F19" s="2" t="s">
        <v>12</v>
      </c>
      <c r="G19" s="2" t="s">
        <v>13</v>
      </c>
      <c r="H19" s="2" t="s">
        <v>14</v>
      </c>
      <c r="I19" s="2" t="s">
        <v>15</v>
      </c>
      <c r="J19" s="2" t="s">
        <v>16</v>
      </c>
      <c r="K19" s="2" t="s">
        <v>17</v>
      </c>
      <c r="L19" s="2" t="s">
        <v>18</v>
      </c>
      <c r="M19" s="2" t="s">
        <v>19</v>
      </c>
      <c r="N19" s="2" t="s">
        <v>20</v>
      </c>
      <c r="O19" s="2" t="s">
        <v>21</v>
      </c>
      <c r="P19" s="2" t="s">
        <v>22</v>
      </c>
      <c r="Q19" s="2" t="s">
        <v>23</v>
      </c>
      <c r="R19" s="2" t="s">
        <v>24</v>
      </c>
      <c r="S19" s="2" t="s">
        <v>25</v>
      </c>
      <c r="T19" s="2" t="s">
        <v>26</v>
      </c>
      <c r="U19" s="2" t="s">
        <v>27</v>
      </c>
      <c r="V19" s="2" t="s">
        <v>28</v>
      </c>
      <c r="W19" s="2" t="s">
        <v>29</v>
      </c>
      <c r="X19" s="2" t="s">
        <v>30</v>
      </c>
      <c r="Y19" s="2" t="s">
        <v>31</v>
      </c>
      <c r="Z19" s="2" t="s">
        <v>32</v>
      </c>
      <c r="AA19" s="2" t="s">
        <v>33</v>
      </c>
      <c r="AB19" s="2" t="s">
        <v>34</v>
      </c>
      <c r="AC19" s="2" t="s">
        <v>35</v>
      </c>
      <c r="AD19" s="2" t="s">
        <v>36</v>
      </c>
      <c r="AE19" s="2" t="s">
        <v>37</v>
      </c>
      <c r="AF19" s="2" t="s">
        <v>38</v>
      </c>
      <c r="AG19" s="2" t="s">
        <v>39</v>
      </c>
      <c r="AH19" s="2" t="s">
        <v>40</v>
      </c>
      <c r="AI19" s="2" t="s">
        <v>41</v>
      </c>
      <c r="AJ19" s="2" t="s">
        <v>42</v>
      </c>
      <c r="AK19" s="2" t="s">
        <v>43</v>
      </c>
      <c r="AL19" s="2" t="s">
        <v>44</v>
      </c>
      <c r="AM19" s="2" t="s">
        <v>45</v>
      </c>
      <c r="AN19" s="2" t="s">
        <v>46</v>
      </c>
      <c r="AO19" s="2" t="s">
        <v>47</v>
      </c>
      <c r="AP19" s="2" t="s">
        <v>48</v>
      </c>
      <c r="AQ19" s="2" t="s">
        <v>49</v>
      </c>
      <c r="AR19" s="2" t="s">
        <v>50</v>
      </c>
      <c r="AS19" s="2" t="s">
        <v>51</v>
      </c>
      <c r="AT19" s="2" t="s">
        <v>52</v>
      </c>
      <c r="AU19" s="2" t="s">
        <v>53</v>
      </c>
    </row>
    <row r="20" spans="1:47" x14ac:dyDescent="0.3">
      <c r="A20" s="2" t="s">
        <v>54</v>
      </c>
      <c r="B20" s="2">
        <v>6790.68</v>
      </c>
      <c r="C20" s="2">
        <v>6790.68</v>
      </c>
      <c r="D20" s="2">
        <v>6790.68</v>
      </c>
      <c r="E20" s="2">
        <v>6790.68</v>
      </c>
      <c r="F20" s="2">
        <v>6790.68</v>
      </c>
      <c r="G20" s="2">
        <v>6790.68</v>
      </c>
      <c r="H20" s="2">
        <v>6793.68</v>
      </c>
      <c r="I20" s="2">
        <v>6793.68</v>
      </c>
      <c r="J20" s="2">
        <v>6793.68</v>
      </c>
      <c r="K20" s="2">
        <v>6793.68</v>
      </c>
      <c r="L20" s="2">
        <v>6793.68</v>
      </c>
      <c r="M20" s="2">
        <v>6793.68</v>
      </c>
      <c r="N20" s="2">
        <v>6793.68</v>
      </c>
      <c r="O20" s="2">
        <v>6793.68</v>
      </c>
      <c r="P20" s="2">
        <v>6793.68</v>
      </c>
      <c r="Q20" s="2">
        <v>6793.68</v>
      </c>
      <c r="R20" s="2">
        <v>7617.68</v>
      </c>
      <c r="S20" s="2">
        <v>7617.68</v>
      </c>
      <c r="T20" s="2">
        <v>7617.68</v>
      </c>
      <c r="U20" s="2">
        <v>7617.68</v>
      </c>
      <c r="V20" s="2">
        <v>7617.68</v>
      </c>
      <c r="W20" s="2">
        <v>7617.68</v>
      </c>
      <c r="X20" s="2">
        <v>7617.68</v>
      </c>
      <c r="Y20" s="2">
        <v>7617.68</v>
      </c>
      <c r="Z20" s="2">
        <v>7617.68</v>
      </c>
      <c r="AA20" s="2">
        <v>7617.68</v>
      </c>
      <c r="AB20" s="2">
        <v>7617.68</v>
      </c>
      <c r="AC20" s="2">
        <v>7617.68</v>
      </c>
      <c r="AD20" s="2">
        <v>7617.68</v>
      </c>
      <c r="AE20" s="2">
        <v>7617.68</v>
      </c>
      <c r="AF20" s="2">
        <v>7617.68</v>
      </c>
      <c r="AG20" s="2">
        <v>7617.68</v>
      </c>
      <c r="AH20" s="2">
        <v>7617.68</v>
      </c>
      <c r="AI20" s="2">
        <v>7617.68</v>
      </c>
      <c r="AJ20" s="2">
        <v>7617.68</v>
      </c>
      <c r="AK20" s="2">
        <v>7617.68</v>
      </c>
      <c r="AL20" s="2">
        <v>7617.68</v>
      </c>
      <c r="AM20" s="2">
        <v>7617.68</v>
      </c>
      <c r="AN20" s="2">
        <v>7617.68</v>
      </c>
      <c r="AO20" s="2">
        <v>7617.68</v>
      </c>
      <c r="AP20" s="2">
        <v>7617.68</v>
      </c>
      <c r="AQ20" s="2">
        <v>7617.68</v>
      </c>
      <c r="AR20" s="2">
        <v>7617.68</v>
      </c>
      <c r="AS20" s="2">
        <v>7617.68</v>
      </c>
      <c r="AT20" s="2">
        <v>7617.68</v>
      </c>
      <c r="AU20" s="2">
        <v>7617.68</v>
      </c>
    </row>
    <row r="21" spans="1:47" x14ac:dyDescent="0.3">
      <c r="A21" s="2" t="s">
        <v>55</v>
      </c>
      <c r="B21" s="2">
        <v>0</v>
      </c>
      <c r="C21" s="2">
        <v>0</v>
      </c>
      <c r="D21" s="2">
        <v>0</v>
      </c>
      <c r="E21" s="2">
        <v>0</v>
      </c>
      <c r="F21" s="2">
        <v>54</v>
      </c>
      <c r="G21" s="2">
        <v>54</v>
      </c>
      <c r="H21" s="2">
        <v>54.3</v>
      </c>
      <c r="I21" s="2">
        <v>54.3</v>
      </c>
      <c r="J21" s="2">
        <v>54.3</v>
      </c>
      <c r="K21" s="2">
        <v>54.3</v>
      </c>
      <c r="L21" s="2">
        <v>54.3</v>
      </c>
      <c r="M21" s="2">
        <v>54.3</v>
      </c>
      <c r="N21" s="2">
        <v>54.3</v>
      </c>
      <c r="O21" s="2">
        <v>54.3</v>
      </c>
      <c r="P21" s="2">
        <v>54.3</v>
      </c>
      <c r="Q21" s="2">
        <v>54.3</v>
      </c>
      <c r="R21" s="2">
        <v>54.3</v>
      </c>
      <c r="S21" s="2">
        <v>54.3</v>
      </c>
      <c r="T21" s="2">
        <v>54.3</v>
      </c>
      <c r="U21" s="2">
        <v>54.3</v>
      </c>
      <c r="V21" s="2">
        <v>54.3</v>
      </c>
      <c r="W21" s="2">
        <v>54.3</v>
      </c>
      <c r="X21" s="2">
        <v>54.3</v>
      </c>
      <c r="Y21" s="2">
        <v>54.3</v>
      </c>
      <c r="Z21" s="2">
        <v>54.3</v>
      </c>
      <c r="AA21" s="2">
        <v>54.3</v>
      </c>
      <c r="AB21" s="2">
        <v>54.3</v>
      </c>
      <c r="AC21" s="2">
        <v>54.3</v>
      </c>
      <c r="AD21" s="2">
        <v>54.3</v>
      </c>
      <c r="AE21" s="2">
        <v>54.3</v>
      </c>
      <c r="AF21" s="2">
        <v>54.3</v>
      </c>
      <c r="AG21" s="2">
        <v>54.3</v>
      </c>
      <c r="AH21" s="2">
        <v>54.3</v>
      </c>
      <c r="AI21" s="2">
        <v>54.3</v>
      </c>
      <c r="AJ21" s="2">
        <v>54.3</v>
      </c>
      <c r="AK21" s="2">
        <v>54.3</v>
      </c>
      <c r="AL21" s="2">
        <v>54.3</v>
      </c>
      <c r="AM21" s="2">
        <v>54.3</v>
      </c>
      <c r="AN21" s="2">
        <v>54.3</v>
      </c>
      <c r="AO21" s="2">
        <v>54.3</v>
      </c>
      <c r="AP21" s="2">
        <v>54.3</v>
      </c>
      <c r="AQ21" s="2">
        <v>54.3</v>
      </c>
      <c r="AR21" s="2">
        <v>54.3</v>
      </c>
      <c r="AS21" s="2">
        <v>54.3</v>
      </c>
      <c r="AT21" s="2">
        <v>54.3</v>
      </c>
      <c r="AU21" s="2">
        <v>54.3</v>
      </c>
    </row>
    <row r="22" spans="1:47" x14ac:dyDescent="0.3">
      <c r="A22" s="2" t="s">
        <v>56</v>
      </c>
      <c r="B22" s="2">
        <v>15</v>
      </c>
      <c r="C22" s="2">
        <v>15</v>
      </c>
      <c r="D22" s="2">
        <v>15</v>
      </c>
      <c r="E22" s="2">
        <v>15</v>
      </c>
      <c r="F22" s="2">
        <v>15</v>
      </c>
      <c r="G22" s="2">
        <v>15</v>
      </c>
      <c r="H22" s="2">
        <v>15</v>
      </c>
      <c r="I22" s="2">
        <v>15</v>
      </c>
      <c r="J22" s="2">
        <v>15</v>
      </c>
      <c r="K22" s="2">
        <v>15</v>
      </c>
      <c r="L22" s="2">
        <v>15</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row>
    <row r="23" spans="1:47" x14ac:dyDescent="0.3">
      <c r="A23" s="2" t="s">
        <v>57</v>
      </c>
      <c r="B23" s="2">
        <v>0</v>
      </c>
      <c r="C23" s="2">
        <v>0</v>
      </c>
      <c r="D23" s="2">
        <v>0</v>
      </c>
      <c r="E23" s="2">
        <v>0</v>
      </c>
      <c r="F23" s="2">
        <v>0</v>
      </c>
      <c r="G23" s="2">
        <v>0</v>
      </c>
      <c r="H23" s="2">
        <v>0</v>
      </c>
      <c r="I23" s="2">
        <v>0</v>
      </c>
      <c r="J23" s="2">
        <v>0.02</v>
      </c>
      <c r="K23" s="2">
        <v>0.02</v>
      </c>
      <c r="L23" s="2">
        <v>0.02</v>
      </c>
      <c r="M23" s="2">
        <v>0.02</v>
      </c>
      <c r="N23" s="2">
        <v>0.02</v>
      </c>
      <c r="O23" s="2">
        <v>0.02</v>
      </c>
      <c r="P23" s="2">
        <v>0.02</v>
      </c>
      <c r="Q23" s="2">
        <v>0.02</v>
      </c>
      <c r="R23" s="2">
        <v>0.02</v>
      </c>
      <c r="S23" s="2">
        <v>0.02</v>
      </c>
      <c r="T23" s="2">
        <v>0.02</v>
      </c>
      <c r="U23" s="2">
        <v>0.02</v>
      </c>
      <c r="V23" s="2">
        <v>0.02</v>
      </c>
      <c r="W23" s="2">
        <v>0.02</v>
      </c>
      <c r="X23" s="2">
        <v>0.02</v>
      </c>
      <c r="Y23" s="2">
        <v>0.02</v>
      </c>
      <c r="Z23" s="2">
        <v>0.02</v>
      </c>
      <c r="AA23" s="2">
        <v>0.02</v>
      </c>
      <c r="AB23" s="2">
        <v>0.02</v>
      </c>
      <c r="AC23" s="2">
        <v>0.02</v>
      </c>
      <c r="AD23" s="2">
        <v>0.02</v>
      </c>
      <c r="AE23" s="2">
        <v>0.02</v>
      </c>
      <c r="AF23" s="2">
        <v>0.02</v>
      </c>
      <c r="AG23" s="2">
        <v>0.02</v>
      </c>
      <c r="AH23" s="2">
        <v>0.02</v>
      </c>
      <c r="AI23" s="2">
        <v>0.02</v>
      </c>
      <c r="AJ23" s="2">
        <v>0.02</v>
      </c>
      <c r="AK23" s="2">
        <v>0.02</v>
      </c>
      <c r="AL23" s="2">
        <v>0.02</v>
      </c>
      <c r="AM23" s="2">
        <v>0.02</v>
      </c>
      <c r="AN23" s="2">
        <v>0.02</v>
      </c>
      <c r="AO23" s="2">
        <v>0.02</v>
      </c>
      <c r="AP23" s="2">
        <v>0.02</v>
      </c>
      <c r="AQ23" s="2">
        <v>0.02</v>
      </c>
      <c r="AR23" s="2">
        <v>0.02</v>
      </c>
      <c r="AS23" s="2">
        <v>0.02</v>
      </c>
      <c r="AT23" s="2">
        <v>0.02</v>
      </c>
      <c r="AU23" s="2">
        <v>0.02</v>
      </c>
    </row>
    <row r="24" spans="1:47" x14ac:dyDescent="0.3">
      <c r="A24" s="2" t="s">
        <v>58</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row>
    <row r="25" spans="1:47" x14ac:dyDescent="0.3">
      <c r="A25" s="2" t="s">
        <v>59</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row>
    <row r="26" spans="1:47" x14ac:dyDescent="0.3">
      <c r="A26" s="2" t="s">
        <v>60</v>
      </c>
      <c r="B26" s="2">
        <v>131.5</v>
      </c>
      <c r="C26" s="2">
        <v>131.5</v>
      </c>
      <c r="D26" s="2">
        <v>131.5</v>
      </c>
      <c r="E26" s="2">
        <v>131.5</v>
      </c>
      <c r="F26" s="2">
        <v>131.5</v>
      </c>
      <c r="G26" s="2">
        <v>131.5</v>
      </c>
      <c r="H26" s="2">
        <v>131.5</v>
      </c>
      <c r="I26" s="2">
        <v>131.5</v>
      </c>
      <c r="J26" s="2">
        <v>131.5</v>
      </c>
      <c r="K26" s="2">
        <v>131.5</v>
      </c>
      <c r="L26" s="2">
        <v>131.5</v>
      </c>
      <c r="M26" s="2">
        <v>131.5</v>
      </c>
      <c r="N26" s="2">
        <v>131.5</v>
      </c>
      <c r="O26" s="2">
        <v>251.5</v>
      </c>
      <c r="P26" s="2">
        <v>251.5</v>
      </c>
      <c r="Q26" s="2">
        <v>251.5</v>
      </c>
      <c r="R26" s="2">
        <v>251.5</v>
      </c>
      <c r="S26" s="2">
        <v>251.5</v>
      </c>
      <c r="T26" s="2">
        <v>251.5</v>
      </c>
      <c r="U26" s="2">
        <v>251.5</v>
      </c>
      <c r="V26" s="2">
        <v>251.5</v>
      </c>
      <c r="W26" s="2">
        <v>251.5</v>
      </c>
      <c r="X26" s="2">
        <v>251.5</v>
      </c>
      <c r="Y26" s="2">
        <v>311.5</v>
      </c>
      <c r="Z26" s="2">
        <v>311.5</v>
      </c>
      <c r="AA26" s="2">
        <v>311.5</v>
      </c>
      <c r="AB26" s="2">
        <v>311.5</v>
      </c>
      <c r="AC26" s="2">
        <v>311.5</v>
      </c>
      <c r="AD26" s="2">
        <v>311.5</v>
      </c>
      <c r="AE26" s="2">
        <v>311.5</v>
      </c>
      <c r="AF26" s="2">
        <v>311.5</v>
      </c>
      <c r="AG26" s="2">
        <v>311.5</v>
      </c>
      <c r="AH26" s="2">
        <v>311.5</v>
      </c>
      <c r="AI26" s="2">
        <v>311.5</v>
      </c>
      <c r="AJ26" s="2">
        <v>311.5</v>
      </c>
      <c r="AK26" s="2">
        <v>311.5</v>
      </c>
      <c r="AL26" s="2">
        <v>311.5</v>
      </c>
      <c r="AM26" s="2">
        <v>311.5</v>
      </c>
      <c r="AN26" s="2">
        <v>311.5</v>
      </c>
      <c r="AO26" s="2">
        <v>311.5</v>
      </c>
      <c r="AP26" s="2">
        <v>311.5</v>
      </c>
      <c r="AQ26" s="2">
        <v>311.5</v>
      </c>
      <c r="AR26" s="2">
        <v>311.5</v>
      </c>
      <c r="AS26" s="2">
        <v>311.5</v>
      </c>
      <c r="AT26" s="2">
        <v>311.5</v>
      </c>
      <c r="AU26" s="2">
        <v>311.5</v>
      </c>
    </row>
    <row r="27" spans="1:47" x14ac:dyDescent="0.3">
      <c r="A27" s="2" t="s">
        <v>61</v>
      </c>
      <c r="B27" s="2">
        <v>783.7</v>
      </c>
      <c r="C27" s="2">
        <v>783.7</v>
      </c>
      <c r="D27" s="2">
        <v>783.7</v>
      </c>
      <c r="E27" s="2">
        <v>783.7</v>
      </c>
      <c r="F27" s="2">
        <v>722.29</v>
      </c>
      <c r="G27" s="2">
        <v>722.29</v>
      </c>
      <c r="H27" s="2">
        <v>722.29</v>
      </c>
      <c r="I27" s="2">
        <v>722.29</v>
      </c>
      <c r="J27" s="2">
        <v>722.29</v>
      </c>
      <c r="K27" s="2">
        <v>736.99</v>
      </c>
      <c r="L27" s="2">
        <v>736.99</v>
      </c>
      <c r="M27" s="2">
        <v>736.99</v>
      </c>
      <c r="N27" s="2">
        <v>722.84</v>
      </c>
      <c r="O27" s="2">
        <v>722.84</v>
      </c>
      <c r="P27" s="2">
        <v>722.84</v>
      </c>
      <c r="Q27" s="2">
        <v>722.84</v>
      </c>
      <c r="R27" s="2">
        <v>722.84</v>
      </c>
      <c r="S27" s="2">
        <v>232.84</v>
      </c>
      <c r="T27" s="2">
        <v>232.84</v>
      </c>
      <c r="U27" s="2">
        <v>232.84</v>
      </c>
      <c r="V27" s="2">
        <v>232.84</v>
      </c>
      <c r="W27" s="2">
        <v>232.84</v>
      </c>
      <c r="X27" s="2">
        <v>232.84</v>
      </c>
      <c r="Y27" s="2">
        <v>232.84</v>
      </c>
      <c r="Z27" s="2">
        <v>232.84</v>
      </c>
      <c r="AA27" s="2">
        <v>232.84</v>
      </c>
      <c r="AB27" s="2">
        <v>232.84</v>
      </c>
      <c r="AC27" s="2">
        <v>232.84</v>
      </c>
      <c r="AD27" s="2">
        <v>232.84</v>
      </c>
      <c r="AE27" s="2">
        <v>232.84</v>
      </c>
      <c r="AF27" s="2">
        <v>232.84</v>
      </c>
      <c r="AG27" s="2">
        <v>232.84</v>
      </c>
      <c r="AH27" s="2">
        <v>232.84</v>
      </c>
      <c r="AI27" s="2">
        <v>232.84</v>
      </c>
      <c r="AJ27" s="2">
        <v>232.84</v>
      </c>
      <c r="AK27" s="2">
        <v>232.84</v>
      </c>
      <c r="AL27" s="2">
        <v>232.84</v>
      </c>
      <c r="AM27" s="2">
        <v>232.84</v>
      </c>
      <c r="AN27" s="2">
        <v>232.84</v>
      </c>
      <c r="AO27" s="2">
        <v>232.84</v>
      </c>
      <c r="AP27" s="2">
        <v>232.84</v>
      </c>
      <c r="AQ27" s="2">
        <v>232.84</v>
      </c>
      <c r="AR27" s="2">
        <v>232.84</v>
      </c>
      <c r="AS27" s="2">
        <v>232.84</v>
      </c>
      <c r="AT27" s="2">
        <v>232.84</v>
      </c>
      <c r="AU27" s="2">
        <v>232.84</v>
      </c>
    </row>
    <row r="29" spans="1:47" ht="18" x14ac:dyDescent="0.35">
      <c r="A29" s="4" t="s">
        <v>63</v>
      </c>
    </row>
    <row r="30" spans="1:47" x14ac:dyDescent="0.3">
      <c r="A30" s="2" t="s">
        <v>7</v>
      </c>
      <c r="B30" s="2" t="s">
        <v>8</v>
      </c>
      <c r="C30" s="2" t="s">
        <v>9</v>
      </c>
      <c r="D30" s="2" t="s">
        <v>10</v>
      </c>
      <c r="E30" s="2" t="s">
        <v>11</v>
      </c>
      <c r="F30" s="2" t="s">
        <v>12</v>
      </c>
      <c r="G30" s="2" t="s">
        <v>13</v>
      </c>
      <c r="H30" s="2" t="s">
        <v>14</v>
      </c>
      <c r="I30" s="2" t="s">
        <v>15</v>
      </c>
      <c r="J30" s="2" t="s">
        <v>16</v>
      </c>
      <c r="K30" s="2" t="s">
        <v>17</v>
      </c>
      <c r="L30" s="2" t="s">
        <v>18</v>
      </c>
      <c r="M30" s="2" t="s">
        <v>19</v>
      </c>
      <c r="N30" s="2" t="s">
        <v>20</v>
      </c>
      <c r="O30" s="2" t="s">
        <v>21</v>
      </c>
      <c r="P30" s="2" t="s">
        <v>22</v>
      </c>
      <c r="Q30" s="2" t="s">
        <v>23</v>
      </c>
      <c r="R30" s="2" t="s">
        <v>24</v>
      </c>
      <c r="S30" s="2" t="s">
        <v>25</v>
      </c>
      <c r="T30" s="2" t="s">
        <v>26</v>
      </c>
      <c r="U30" s="2" t="s">
        <v>27</v>
      </c>
      <c r="V30" s="2" t="s">
        <v>28</v>
      </c>
      <c r="W30" s="2" t="s">
        <v>29</v>
      </c>
      <c r="X30" s="2" t="s">
        <v>30</v>
      </c>
      <c r="Y30" s="2" t="s">
        <v>31</v>
      </c>
      <c r="Z30" s="2" t="s">
        <v>32</v>
      </c>
      <c r="AA30" s="2" t="s">
        <v>33</v>
      </c>
      <c r="AB30" s="2" t="s">
        <v>34</v>
      </c>
      <c r="AC30" s="2" t="s">
        <v>35</v>
      </c>
      <c r="AD30" s="2" t="s">
        <v>36</v>
      </c>
      <c r="AE30" s="2" t="s">
        <v>37</v>
      </c>
      <c r="AF30" s="2" t="s">
        <v>38</v>
      </c>
      <c r="AG30" s="2" t="s">
        <v>39</v>
      </c>
      <c r="AH30" s="2" t="s">
        <v>40</v>
      </c>
      <c r="AI30" s="2" t="s">
        <v>41</v>
      </c>
      <c r="AJ30" s="2" t="s">
        <v>42</v>
      </c>
      <c r="AK30" s="2" t="s">
        <v>43</v>
      </c>
      <c r="AL30" s="2" t="s">
        <v>44</v>
      </c>
      <c r="AM30" s="2" t="s">
        <v>45</v>
      </c>
      <c r="AN30" s="2" t="s">
        <v>46</v>
      </c>
      <c r="AO30" s="2" t="s">
        <v>47</v>
      </c>
      <c r="AP30" s="2" t="s">
        <v>48</v>
      </c>
      <c r="AQ30" s="2" t="s">
        <v>49</v>
      </c>
      <c r="AR30" s="2" t="s">
        <v>50</v>
      </c>
      <c r="AS30" s="2" t="s">
        <v>51</v>
      </c>
      <c r="AT30" s="2" t="s">
        <v>52</v>
      </c>
      <c r="AU30" s="2" t="s">
        <v>53</v>
      </c>
    </row>
    <row r="31" spans="1:47" x14ac:dyDescent="0.3">
      <c r="A31" s="2" t="s">
        <v>54</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row>
    <row r="32" spans="1:47" x14ac:dyDescent="0.3">
      <c r="A32" s="2" t="s">
        <v>55</v>
      </c>
      <c r="B32" s="2">
        <v>13</v>
      </c>
      <c r="C32" s="2">
        <v>13</v>
      </c>
      <c r="D32" s="2">
        <v>72</v>
      </c>
      <c r="E32" s="2">
        <v>72</v>
      </c>
      <c r="F32" s="2">
        <v>151</v>
      </c>
      <c r="G32" s="2">
        <v>163</v>
      </c>
      <c r="H32" s="2">
        <v>163</v>
      </c>
      <c r="I32" s="2">
        <v>163</v>
      </c>
      <c r="J32" s="2">
        <v>173</v>
      </c>
      <c r="K32" s="2">
        <v>202.98</v>
      </c>
      <c r="L32" s="2">
        <v>203.28</v>
      </c>
      <c r="M32" s="2">
        <v>203.28</v>
      </c>
      <c r="N32" s="2">
        <v>203.28</v>
      </c>
      <c r="O32" s="2">
        <v>203.28</v>
      </c>
      <c r="P32" s="2">
        <v>203.28</v>
      </c>
      <c r="Q32" s="2">
        <v>203.28</v>
      </c>
      <c r="R32" s="2">
        <v>233.28</v>
      </c>
      <c r="S32" s="2">
        <v>233.28</v>
      </c>
      <c r="T32" s="2">
        <v>235.29</v>
      </c>
      <c r="U32" s="2">
        <v>237.52</v>
      </c>
      <c r="V32" s="2">
        <v>269.86</v>
      </c>
      <c r="W32" s="2">
        <v>272.29000000000002</v>
      </c>
      <c r="X32" s="2">
        <v>274.77</v>
      </c>
      <c r="Y32" s="2">
        <v>277.31</v>
      </c>
      <c r="Z32" s="2">
        <v>279.91000000000003</v>
      </c>
      <c r="AA32" s="2">
        <v>312.56</v>
      </c>
      <c r="AB32" s="2">
        <v>315.27</v>
      </c>
      <c r="AC32" s="2">
        <v>318.04000000000002</v>
      </c>
      <c r="AD32" s="2">
        <v>320.86</v>
      </c>
      <c r="AE32" s="2">
        <v>323.75</v>
      </c>
      <c r="AF32" s="2">
        <v>326.7</v>
      </c>
      <c r="AG32" s="2">
        <v>329.71</v>
      </c>
      <c r="AH32" s="2">
        <v>332.78</v>
      </c>
      <c r="AI32" s="2">
        <v>335.93</v>
      </c>
      <c r="AJ32" s="2">
        <v>339.12</v>
      </c>
      <c r="AK32" s="2">
        <v>342.38</v>
      </c>
      <c r="AL32" s="2">
        <v>345.7</v>
      </c>
      <c r="AM32" s="2">
        <v>349.08</v>
      </c>
      <c r="AN32" s="2">
        <v>352.52</v>
      </c>
      <c r="AO32" s="2">
        <v>356.03</v>
      </c>
      <c r="AP32" s="2">
        <v>359.57</v>
      </c>
      <c r="AQ32" s="2">
        <v>363.12</v>
      </c>
      <c r="AR32" s="2">
        <v>366.73</v>
      </c>
      <c r="AS32" s="2">
        <v>370.38</v>
      </c>
      <c r="AT32" s="2">
        <v>374.05</v>
      </c>
      <c r="AU32" s="2">
        <v>377.95</v>
      </c>
    </row>
    <row r="33" spans="1:47" x14ac:dyDescent="0.3">
      <c r="A33" s="2" t="s">
        <v>56</v>
      </c>
      <c r="B33" s="2">
        <v>2.1</v>
      </c>
      <c r="C33" s="2">
        <v>2.1</v>
      </c>
      <c r="D33" s="2">
        <v>2.1</v>
      </c>
      <c r="E33" s="2">
        <v>2.1</v>
      </c>
      <c r="F33" s="2">
        <v>2.1</v>
      </c>
      <c r="G33" s="2">
        <v>2.1</v>
      </c>
      <c r="H33" s="2">
        <v>2.1</v>
      </c>
      <c r="I33" s="2">
        <v>2.1</v>
      </c>
      <c r="J33" s="2">
        <v>2.1</v>
      </c>
      <c r="K33" s="2">
        <v>2.1</v>
      </c>
      <c r="L33" s="2">
        <v>2.1</v>
      </c>
      <c r="M33" s="2">
        <v>2.1</v>
      </c>
      <c r="N33" s="2">
        <v>2.1</v>
      </c>
      <c r="O33" s="2">
        <v>2.1</v>
      </c>
      <c r="P33" s="2">
        <v>2.1</v>
      </c>
      <c r="Q33" s="2">
        <v>2.1</v>
      </c>
      <c r="R33" s="2">
        <v>2.1</v>
      </c>
      <c r="S33" s="2">
        <v>2.1</v>
      </c>
      <c r="T33" s="2">
        <v>2.1</v>
      </c>
      <c r="U33" s="2">
        <v>2.19</v>
      </c>
      <c r="V33" s="2">
        <v>2.19</v>
      </c>
      <c r="W33" s="2">
        <v>2.19</v>
      </c>
      <c r="X33" s="2">
        <v>2.19</v>
      </c>
      <c r="Y33" s="2">
        <v>2.19</v>
      </c>
      <c r="Z33" s="2">
        <v>2.19</v>
      </c>
      <c r="AA33" s="2">
        <v>2.19</v>
      </c>
      <c r="AB33" s="2">
        <v>2.19</v>
      </c>
      <c r="AC33" s="2">
        <v>2.19</v>
      </c>
      <c r="AD33" s="2">
        <v>2.19</v>
      </c>
      <c r="AE33" s="2">
        <v>2.19</v>
      </c>
      <c r="AF33" s="2">
        <v>2.19</v>
      </c>
      <c r="AG33" s="2">
        <v>2.33</v>
      </c>
      <c r="AH33" s="2">
        <v>2.33</v>
      </c>
      <c r="AI33" s="2">
        <v>2.33</v>
      </c>
      <c r="AJ33" s="2">
        <v>2.33</v>
      </c>
      <c r="AK33" s="2">
        <v>2.48</v>
      </c>
      <c r="AL33" s="2">
        <v>2.48</v>
      </c>
      <c r="AM33" s="2">
        <v>2.48</v>
      </c>
      <c r="AN33" s="2">
        <v>2.48</v>
      </c>
      <c r="AO33" s="2">
        <v>2.48</v>
      </c>
      <c r="AP33" s="2">
        <v>2.48</v>
      </c>
      <c r="AQ33" s="2">
        <v>2.66</v>
      </c>
      <c r="AR33" s="2">
        <v>2.84</v>
      </c>
      <c r="AS33" s="2">
        <v>3.02</v>
      </c>
      <c r="AT33" s="2">
        <v>3.2</v>
      </c>
      <c r="AU33" s="2">
        <v>3.4</v>
      </c>
    </row>
    <row r="34" spans="1:47" x14ac:dyDescent="0.3">
      <c r="A34" s="2" t="s">
        <v>57</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2.0099999999999998</v>
      </c>
      <c r="T34" s="2">
        <v>2.0099999999999998</v>
      </c>
      <c r="U34" s="2">
        <v>4.3499999999999996</v>
      </c>
      <c r="V34" s="2">
        <v>6.78</v>
      </c>
      <c r="W34" s="2">
        <v>9.26</v>
      </c>
      <c r="X34" s="2">
        <v>11.8</v>
      </c>
      <c r="Y34" s="2">
        <v>14.4</v>
      </c>
      <c r="Z34" s="2">
        <v>17.05</v>
      </c>
      <c r="AA34" s="2">
        <v>19.760000000000002</v>
      </c>
      <c r="AB34" s="2">
        <v>22.53</v>
      </c>
      <c r="AC34" s="2">
        <v>25.35</v>
      </c>
      <c r="AD34" s="2">
        <v>28.24</v>
      </c>
      <c r="AE34" s="2">
        <v>31.19</v>
      </c>
      <c r="AF34" s="2">
        <v>34.200000000000003</v>
      </c>
      <c r="AG34" s="2">
        <v>37.270000000000003</v>
      </c>
      <c r="AH34" s="2">
        <v>40.42</v>
      </c>
      <c r="AI34" s="2">
        <v>43.61</v>
      </c>
      <c r="AJ34" s="2">
        <v>46.87</v>
      </c>
      <c r="AK34" s="2">
        <v>50.19</v>
      </c>
      <c r="AL34" s="2">
        <v>53.57</v>
      </c>
      <c r="AM34" s="2">
        <v>57.01</v>
      </c>
      <c r="AN34" s="2">
        <v>60.52</v>
      </c>
      <c r="AO34" s="2">
        <v>64.06</v>
      </c>
      <c r="AP34" s="2">
        <v>67.61</v>
      </c>
      <c r="AQ34" s="2">
        <v>71.22</v>
      </c>
      <c r="AR34" s="2">
        <v>74.87</v>
      </c>
      <c r="AS34" s="2">
        <v>78.540000000000006</v>
      </c>
      <c r="AT34" s="2">
        <v>82.27</v>
      </c>
      <c r="AU34" s="2">
        <v>86.17</v>
      </c>
    </row>
    <row r="35" spans="1:47" x14ac:dyDescent="0.3">
      <c r="A35" s="2" t="s">
        <v>58</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row>
    <row r="36" spans="1:47" x14ac:dyDescent="0.3">
      <c r="A36" s="2" t="s">
        <v>59</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row>
    <row r="37" spans="1:47" x14ac:dyDescent="0.3">
      <c r="A37" s="2" t="s">
        <v>60</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row>
    <row r="38" spans="1:47" x14ac:dyDescent="0.3">
      <c r="A38" s="2" t="s">
        <v>61</v>
      </c>
      <c r="B38" s="2">
        <v>160.5</v>
      </c>
      <c r="C38" s="2">
        <v>160.5</v>
      </c>
      <c r="D38" s="2">
        <v>160.5</v>
      </c>
      <c r="E38" s="2">
        <v>160.44999999999999</v>
      </c>
      <c r="F38" s="2">
        <v>160</v>
      </c>
      <c r="G38" s="2">
        <v>160.44999999999999</v>
      </c>
      <c r="H38" s="2">
        <v>160.44999999999999</v>
      </c>
      <c r="I38" s="2">
        <v>160.44999999999999</v>
      </c>
      <c r="J38" s="2">
        <v>160.44999999999999</v>
      </c>
      <c r="K38" s="2">
        <v>160.44999999999999</v>
      </c>
      <c r="L38" s="2">
        <v>160.44999999999999</v>
      </c>
      <c r="M38" s="2">
        <v>160.44999999999999</v>
      </c>
      <c r="N38" s="2">
        <v>160.44999999999999</v>
      </c>
      <c r="O38" s="2">
        <v>170.45</v>
      </c>
      <c r="P38" s="2">
        <v>170.45</v>
      </c>
      <c r="Q38" s="2">
        <v>170.45</v>
      </c>
      <c r="R38" s="2">
        <v>170.45</v>
      </c>
      <c r="S38" s="2">
        <v>170.45</v>
      </c>
      <c r="T38" s="2">
        <v>170.45</v>
      </c>
      <c r="U38" s="2">
        <v>170.45</v>
      </c>
      <c r="V38" s="2">
        <v>170.45</v>
      </c>
      <c r="W38" s="2">
        <v>170.45</v>
      </c>
      <c r="X38" s="2">
        <v>170.45</v>
      </c>
      <c r="Y38" s="2">
        <v>170.45</v>
      </c>
      <c r="Z38" s="2">
        <v>170.45</v>
      </c>
      <c r="AA38" s="2">
        <v>170.45</v>
      </c>
      <c r="AB38" s="2">
        <v>170.45</v>
      </c>
      <c r="AC38" s="2">
        <v>170.45</v>
      </c>
      <c r="AD38" s="2">
        <v>170.45</v>
      </c>
      <c r="AE38" s="2">
        <v>170.45</v>
      </c>
      <c r="AF38" s="2">
        <v>170.45</v>
      </c>
      <c r="AG38" s="2">
        <v>170.45</v>
      </c>
      <c r="AH38" s="2">
        <v>170.45</v>
      </c>
      <c r="AI38" s="2">
        <v>170.45</v>
      </c>
      <c r="AJ38" s="2">
        <v>170.45</v>
      </c>
      <c r="AK38" s="2">
        <v>170.45</v>
      </c>
      <c r="AL38" s="2">
        <v>170.45</v>
      </c>
      <c r="AM38" s="2">
        <v>170.45</v>
      </c>
      <c r="AN38" s="2">
        <v>170.45</v>
      </c>
      <c r="AO38" s="2">
        <v>170.45</v>
      </c>
      <c r="AP38" s="2">
        <v>170.45</v>
      </c>
      <c r="AQ38" s="2">
        <v>170.45</v>
      </c>
      <c r="AR38" s="2">
        <v>170.45</v>
      </c>
      <c r="AS38" s="2">
        <v>170.45</v>
      </c>
      <c r="AT38" s="2">
        <v>170.45</v>
      </c>
      <c r="AU38" s="2">
        <v>170.45</v>
      </c>
    </row>
    <row r="40" spans="1:47" ht="18" x14ac:dyDescent="0.35">
      <c r="A40" s="4" t="s">
        <v>64</v>
      </c>
    </row>
    <row r="41" spans="1:47" x14ac:dyDescent="0.3">
      <c r="A41" s="2" t="s">
        <v>7</v>
      </c>
      <c r="B41" s="2" t="s">
        <v>8</v>
      </c>
      <c r="C41" s="2" t="s">
        <v>9</v>
      </c>
      <c r="D41" s="2" t="s">
        <v>10</v>
      </c>
      <c r="E41" s="2" t="s">
        <v>11</v>
      </c>
      <c r="F41" s="2" t="s">
        <v>12</v>
      </c>
      <c r="G41" s="2" t="s">
        <v>13</v>
      </c>
      <c r="H41" s="2" t="s">
        <v>14</v>
      </c>
      <c r="I41" s="2" t="s">
        <v>15</v>
      </c>
      <c r="J41" s="2" t="s">
        <v>16</v>
      </c>
      <c r="K41" s="2" t="s">
        <v>17</v>
      </c>
      <c r="L41" s="2" t="s">
        <v>18</v>
      </c>
      <c r="M41" s="2" t="s">
        <v>19</v>
      </c>
      <c r="N41" s="2" t="s">
        <v>20</v>
      </c>
      <c r="O41" s="2" t="s">
        <v>21</v>
      </c>
      <c r="P41" s="2" t="s">
        <v>22</v>
      </c>
      <c r="Q41" s="2" t="s">
        <v>23</v>
      </c>
      <c r="R41" s="2" t="s">
        <v>24</v>
      </c>
      <c r="S41" s="2" t="s">
        <v>25</v>
      </c>
      <c r="T41" s="2" t="s">
        <v>26</v>
      </c>
      <c r="U41" s="2" t="s">
        <v>27</v>
      </c>
      <c r="V41" s="2" t="s">
        <v>28</v>
      </c>
      <c r="W41" s="2" t="s">
        <v>29</v>
      </c>
      <c r="X41" s="2" t="s">
        <v>30</v>
      </c>
      <c r="Y41" s="2" t="s">
        <v>31</v>
      </c>
      <c r="Z41" s="2" t="s">
        <v>32</v>
      </c>
      <c r="AA41" s="2" t="s">
        <v>33</v>
      </c>
      <c r="AB41" s="2" t="s">
        <v>34</v>
      </c>
      <c r="AC41" s="2" t="s">
        <v>35</v>
      </c>
      <c r="AD41" s="2" t="s">
        <v>36</v>
      </c>
      <c r="AE41" s="2" t="s">
        <v>37</v>
      </c>
      <c r="AF41" s="2" t="s">
        <v>38</v>
      </c>
      <c r="AG41" s="2" t="s">
        <v>39</v>
      </c>
      <c r="AH41" s="2" t="s">
        <v>40</v>
      </c>
      <c r="AI41" s="2" t="s">
        <v>41</v>
      </c>
      <c r="AJ41" s="2" t="s">
        <v>42</v>
      </c>
      <c r="AK41" s="2" t="s">
        <v>43</v>
      </c>
      <c r="AL41" s="2" t="s">
        <v>44</v>
      </c>
      <c r="AM41" s="2" t="s">
        <v>45</v>
      </c>
      <c r="AN41" s="2" t="s">
        <v>46</v>
      </c>
      <c r="AO41" s="2" t="s">
        <v>47</v>
      </c>
      <c r="AP41" s="2" t="s">
        <v>48</v>
      </c>
      <c r="AQ41" s="2" t="s">
        <v>49</v>
      </c>
      <c r="AR41" s="2" t="s">
        <v>50</v>
      </c>
      <c r="AS41" s="2" t="s">
        <v>51</v>
      </c>
      <c r="AT41" s="2" t="s">
        <v>52</v>
      </c>
      <c r="AU41" s="2" t="s">
        <v>53</v>
      </c>
    </row>
    <row r="42" spans="1:47" x14ac:dyDescent="0.3">
      <c r="A42" s="2" t="s">
        <v>54</v>
      </c>
      <c r="B42" s="2">
        <v>389.35</v>
      </c>
      <c r="C42" s="2">
        <v>389.35</v>
      </c>
      <c r="D42" s="2">
        <v>389.35</v>
      </c>
      <c r="E42" s="2">
        <v>389.35</v>
      </c>
      <c r="F42" s="2">
        <v>389.35</v>
      </c>
      <c r="G42" s="2">
        <v>389.35</v>
      </c>
      <c r="H42" s="2">
        <v>389.35</v>
      </c>
      <c r="I42" s="2">
        <v>389.35</v>
      </c>
      <c r="J42" s="2">
        <v>389.35</v>
      </c>
      <c r="K42" s="2">
        <v>376.35</v>
      </c>
      <c r="L42" s="2">
        <v>376.35</v>
      </c>
      <c r="M42" s="2">
        <v>376.35</v>
      </c>
      <c r="N42" s="2">
        <v>376.35</v>
      </c>
      <c r="O42" s="2">
        <v>376.35</v>
      </c>
      <c r="P42" s="2">
        <v>376.35</v>
      </c>
      <c r="Q42" s="2">
        <v>376.35</v>
      </c>
      <c r="R42" s="2">
        <v>376.35</v>
      </c>
      <c r="S42" s="2">
        <v>376.35</v>
      </c>
      <c r="T42" s="2">
        <v>376.35</v>
      </c>
      <c r="U42" s="2">
        <v>376.35</v>
      </c>
      <c r="V42" s="2">
        <v>376.35</v>
      </c>
      <c r="W42" s="2">
        <v>376.35</v>
      </c>
      <c r="X42" s="2">
        <v>376.35</v>
      </c>
      <c r="Y42" s="2">
        <v>376.35</v>
      </c>
      <c r="Z42" s="2">
        <v>376.35</v>
      </c>
      <c r="AA42" s="2">
        <v>376.35</v>
      </c>
      <c r="AB42" s="2">
        <v>376.35</v>
      </c>
      <c r="AC42" s="2">
        <v>376.35</v>
      </c>
      <c r="AD42" s="2">
        <v>376.35</v>
      </c>
      <c r="AE42" s="2">
        <v>389.97</v>
      </c>
      <c r="AF42" s="2">
        <v>389.97</v>
      </c>
      <c r="AG42" s="2">
        <v>405.01</v>
      </c>
      <c r="AH42" s="2">
        <v>405.01</v>
      </c>
      <c r="AI42" s="2">
        <v>405.01</v>
      </c>
      <c r="AJ42" s="2">
        <v>405.01</v>
      </c>
      <c r="AK42" s="2">
        <v>419.67</v>
      </c>
      <c r="AL42" s="2">
        <v>419.67</v>
      </c>
      <c r="AM42" s="2">
        <v>419.67</v>
      </c>
      <c r="AN42" s="2">
        <v>419.67</v>
      </c>
      <c r="AO42" s="2">
        <v>435.96</v>
      </c>
      <c r="AP42" s="2">
        <v>452.31</v>
      </c>
      <c r="AQ42" s="2">
        <v>468.6</v>
      </c>
      <c r="AR42" s="2">
        <v>484.54</v>
      </c>
      <c r="AS42" s="2">
        <v>498.9</v>
      </c>
      <c r="AT42" s="2">
        <v>511.81</v>
      </c>
      <c r="AU42" s="2">
        <v>511.81</v>
      </c>
    </row>
    <row r="43" spans="1:47" x14ac:dyDescent="0.3">
      <c r="A43" s="2" t="s">
        <v>55</v>
      </c>
      <c r="B43" s="2">
        <v>34.700000000000003</v>
      </c>
      <c r="C43" s="2">
        <v>37.1</v>
      </c>
      <c r="D43" s="2">
        <v>42.3</v>
      </c>
      <c r="E43" s="2">
        <v>43.2</v>
      </c>
      <c r="F43" s="2">
        <v>43.2</v>
      </c>
      <c r="G43" s="2">
        <v>122.2</v>
      </c>
      <c r="H43" s="2">
        <v>216.6</v>
      </c>
      <c r="I43" s="2">
        <v>320.2</v>
      </c>
      <c r="J43" s="2">
        <v>326.17</v>
      </c>
      <c r="K43" s="2">
        <v>328.17</v>
      </c>
      <c r="L43" s="2">
        <v>534.16999999999996</v>
      </c>
      <c r="M43" s="2">
        <v>596.4</v>
      </c>
      <c r="N43" s="2">
        <v>615.4</v>
      </c>
      <c r="O43" s="2">
        <v>615.4</v>
      </c>
      <c r="P43" s="2">
        <v>615.4</v>
      </c>
      <c r="Q43" s="2">
        <v>615.4</v>
      </c>
      <c r="R43" s="2">
        <v>615.4</v>
      </c>
      <c r="S43" s="2">
        <v>615.4</v>
      </c>
      <c r="T43" s="2">
        <v>627.41</v>
      </c>
      <c r="U43" s="2">
        <v>627.41</v>
      </c>
      <c r="V43" s="2">
        <v>640.65</v>
      </c>
      <c r="W43" s="2">
        <v>654.16</v>
      </c>
      <c r="X43" s="2">
        <v>667.77</v>
      </c>
      <c r="Y43" s="2">
        <v>681.6</v>
      </c>
      <c r="Z43" s="2">
        <v>695.72</v>
      </c>
      <c r="AA43" s="2">
        <v>709.97</v>
      </c>
      <c r="AB43" s="2">
        <v>724.4</v>
      </c>
      <c r="AC43" s="2">
        <v>738.99</v>
      </c>
      <c r="AD43" s="2">
        <v>753.73</v>
      </c>
      <c r="AE43" s="2">
        <v>768.67</v>
      </c>
      <c r="AF43" s="2">
        <v>783.72</v>
      </c>
      <c r="AG43" s="2">
        <v>799.05</v>
      </c>
      <c r="AH43" s="2">
        <v>814.57</v>
      </c>
      <c r="AI43" s="2">
        <v>830.3</v>
      </c>
      <c r="AJ43" s="2">
        <v>846.14</v>
      </c>
      <c r="AK43" s="2">
        <v>862.19</v>
      </c>
      <c r="AL43" s="2">
        <v>878.33</v>
      </c>
      <c r="AM43" s="2">
        <v>894.58</v>
      </c>
      <c r="AN43" s="2">
        <v>910.86</v>
      </c>
      <c r="AO43" s="2">
        <v>942.5</v>
      </c>
      <c r="AP43" s="2">
        <v>974.32</v>
      </c>
      <c r="AQ43" s="2">
        <v>1006.92</v>
      </c>
      <c r="AR43" s="2">
        <v>1039.56</v>
      </c>
      <c r="AS43" s="2">
        <v>1072.27</v>
      </c>
      <c r="AT43" s="2">
        <v>1105.05</v>
      </c>
      <c r="AU43" s="2">
        <v>1138.45</v>
      </c>
    </row>
    <row r="44" spans="1:47" x14ac:dyDescent="0.3">
      <c r="A44" s="2" t="s">
        <v>56</v>
      </c>
      <c r="B44" s="2">
        <v>68.62</v>
      </c>
      <c r="C44" s="2">
        <v>66.12</v>
      </c>
      <c r="D44" s="2">
        <v>66.12</v>
      </c>
      <c r="E44" s="2">
        <v>66.12</v>
      </c>
      <c r="F44" s="2">
        <v>66.12</v>
      </c>
      <c r="G44" s="2">
        <v>66.12</v>
      </c>
      <c r="H44" s="2">
        <v>66.12</v>
      </c>
      <c r="I44" s="2">
        <v>66.12</v>
      </c>
      <c r="J44" s="2">
        <v>66.12</v>
      </c>
      <c r="K44" s="2">
        <v>112.56</v>
      </c>
      <c r="L44" s="2">
        <v>112.56</v>
      </c>
      <c r="M44" s="2">
        <v>112.56</v>
      </c>
      <c r="N44" s="2">
        <v>112.56</v>
      </c>
      <c r="O44" s="2">
        <v>112.56</v>
      </c>
      <c r="P44" s="2">
        <v>112.56</v>
      </c>
      <c r="Q44" s="2">
        <v>112.56</v>
      </c>
      <c r="R44" s="2">
        <v>112.56</v>
      </c>
      <c r="S44" s="2">
        <v>112.56</v>
      </c>
      <c r="T44" s="2">
        <v>112.56</v>
      </c>
      <c r="U44" s="2">
        <v>112.56</v>
      </c>
      <c r="V44" s="2">
        <v>112.56</v>
      </c>
      <c r="W44" s="2">
        <v>112.56</v>
      </c>
      <c r="X44" s="2">
        <v>112.56</v>
      </c>
      <c r="Y44" s="2">
        <v>112.56</v>
      </c>
      <c r="Z44" s="2">
        <v>112.56</v>
      </c>
      <c r="AA44" s="2">
        <v>112.56</v>
      </c>
      <c r="AB44" s="2">
        <v>112.56</v>
      </c>
      <c r="AC44" s="2">
        <v>112.56</v>
      </c>
      <c r="AD44" s="2">
        <v>112.56</v>
      </c>
      <c r="AE44" s="2">
        <v>112.56</v>
      </c>
      <c r="AF44" s="2">
        <v>112.56</v>
      </c>
      <c r="AG44" s="2">
        <v>112.56</v>
      </c>
      <c r="AH44" s="2">
        <v>112.56</v>
      </c>
      <c r="AI44" s="2">
        <v>112.56</v>
      </c>
      <c r="AJ44" s="2">
        <v>112.56</v>
      </c>
      <c r="AK44" s="2">
        <v>112.56</v>
      </c>
      <c r="AL44" s="2">
        <v>112.56</v>
      </c>
      <c r="AM44" s="2">
        <v>112.56</v>
      </c>
      <c r="AN44" s="2">
        <v>112.56</v>
      </c>
      <c r="AO44" s="2">
        <v>112.56</v>
      </c>
      <c r="AP44" s="2">
        <v>112.56</v>
      </c>
      <c r="AQ44" s="2">
        <v>113.37</v>
      </c>
      <c r="AR44" s="2">
        <v>114.19</v>
      </c>
      <c r="AS44" s="2">
        <v>115.01</v>
      </c>
      <c r="AT44" s="2">
        <v>115.83</v>
      </c>
      <c r="AU44" s="2">
        <v>116.66</v>
      </c>
    </row>
    <row r="45" spans="1:47" x14ac:dyDescent="0.3">
      <c r="A45" s="2" t="s">
        <v>57</v>
      </c>
      <c r="B45" s="2">
        <v>0</v>
      </c>
      <c r="C45" s="2">
        <v>0</v>
      </c>
      <c r="D45" s="2">
        <v>0</v>
      </c>
      <c r="E45" s="2">
        <v>0</v>
      </c>
      <c r="F45" s="2">
        <v>0</v>
      </c>
      <c r="G45" s="2">
        <v>0</v>
      </c>
      <c r="H45" s="2">
        <v>0</v>
      </c>
      <c r="I45" s="2">
        <v>0</v>
      </c>
      <c r="J45" s="2">
        <v>0.37</v>
      </c>
      <c r="K45" s="2">
        <v>0.37</v>
      </c>
      <c r="L45" s="2">
        <v>0.37</v>
      </c>
      <c r="M45" s="2">
        <v>0.37</v>
      </c>
      <c r="N45" s="2">
        <v>0.37</v>
      </c>
      <c r="O45" s="2">
        <v>0.37</v>
      </c>
      <c r="P45" s="2">
        <v>0.37</v>
      </c>
      <c r="Q45" s="2">
        <v>0.37</v>
      </c>
      <c r="R45" s="2">
        <v>0.37</v>
      </c>
      <c r="S45" s="2">
        <v>0.37</v>
      </c>
      <c r="T45" s="2">
        <v>0.37</v>
      </c>
      <c r="U45" s="2">
        <v>0.37</v>
      </c>
      <c r="V45" s="2">
        <v>0.37</v>
      </c>
      <c r="W45" s="2">
        <v>10.37</v>
      </c>
      <c r="X45" s="2">
        <v>20.37</v>
      </c>
      <c r="Y45" s="2">
        <v>20.37</v>
      </c>
      <c r="Z45" s="2">
        <v>30.37</v>
      </c>
      <c r="AA45" s="2">
        <v>40.369999999999997</v>
      </c>
      <c r="AB45" s="2">
        <v>50.37</v>
      </c>
      <c r="AC45" s="2">
        <v>60.37</v>
      </c>
      <c r="AD45" s="2">
        <v>70.37</v>
      </c>
      <c r="AE45" s="2">
        <v>80.37</v>
      </c>
      <c r="AF45" s="2">
        <v>80.37</v>
      </c>
      <c r="AG45" s="2">
        <v>90.37</v>
      </c>
      <c r="AH45" s="2">
        <v>100.37</v>
      </c>
      <c r="AI45" s="2">
        <v>110.37</v>
      </c>
      <c r="AJ45" s="2">
        <v>120.37</v>
      </c>
      <c r="AK45" s="2">
        <v>130.37</v>
      </c>
      <c r="AL45" s="2">
        <v>140.37</v>
      </c>
      <c r="AM45" s="2">
        <v>150.37</v>
      </c>
      <c r="AN45" s="2">
        <v>160.37</v>
      </c>
      <c r="AO45" s="2">
        <v>170.37</v>
      </c>
      <c r="AP45" s="2">
        <v>180.37</v>
      </c>
      <c r="AQ45" s="2">
        <v>190.37</v>
      </c>
      <c r="AR45" s="2">
        <v>200.37</v>
      </c>
      <c r="AS45" s="2">
        <v>210.37</v>
      </c>
      <c r="AT45" s="2">
        <v>220.37</v>
      </c>
      <c r="AU45" s="2">
        <v>230.37</v>
      </c>
    </row>
    <row r="46" spans="1:47" x14ac:dyDescent="0.3">
      <c r="A46" s="2" t="s">
        <v>58</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row>
    <row r="47" spans="1:47" x14ac:dyDescent="0.3">
      <c r="A47" s="2" t="s">
        <v>59</v>
      </c>
      <c r="B47" s="2">
        <v>1288</v>
      </c>
      <c r="C47" s="2">
        <v>1288</v>
      </c>
      <c r="D47" s="2">
        <v>1288</v>
      </c>
      <c r="E47" s="2">
        <v>1288</v>
      </c>
      <c r="F47" s="2">
        <v>1288</v>
      </c>
      <c r="G47" s="2">
        <v>1288</v>
      </c>
      <c r="H47" s="2">
        <v>1288</v>
      </c>
      <c r="I47" s="2">
        <v>1288</v>
      </c>
      <c r="J47" s="2">
        <v>1252</v>
      </c>
      <c r="K47" s="2">
        <v>1252</v>
      </c>
      <c r="L47" s="2">
        <v>1252</v>
      </c>
      <c r="M47" s="2">
        <v>1252</v>
      </c>
      <c r="N47" s="2">
        <v>1252</v>
      </c>
      <c r="O47" s="2">
        <v>1252</v>
      </c>
      <c r="P47" s="2">
        <v>1252</v>
      </c>
      <c r="Q47" s="2">
        <v>1097</v>
      </c>
      <c r="R47" s="2">
        <v>1097</v>
      </c>
      <c r="S47" s="2">
        <v>1097</v>
      </c>
      <c r="T47" s="2">
        <v>1097</v>
      </c>
      <c r="U47" s="2">
        <v>1097</v>
      </c>
      <c r="V47" s="2">
        <v>1097</v>
      </c>
      <c r="W47" s="2">
        <v>1097</v>
      </c>
      <c r="X47" s="2">
        <v>1097</v>
      </c>
      <c r="Y47" s="2">
        <v>1097</v>
      </c>
      <c r="Z47" s="2">
        <v>1097</v>
      </c>
      <c r="AA47" s="2">
        <v>1097</v>
      </c>
      <c r="AB47" s="2">
        <v>1097</v>
      </c>
      <c r="AC47" s="2">
        <v>1097</v>
      </c>
      <c r="AD47" s="2">
        <v>1097</v>
      </c>
      <c r="AE47" s="2">
        <v>1097</v>
      </c>
      <c r="AF47" s="2">
        <v>941</v>
      </c>
      <c r="AG47" s="2">
        <v>941</v>
      </c>
      <c r="AH47" s="2">
        <v>941</v>
      </c>
      <c r="AI47" s="2">
        <v>941</v>
      </c>
      <c r="AJ47" s="2">
        <v>786</v>
      </c>
      <c r="AK47" s="2">
        <v>786</v>
      </c>
      <c r="AL47" s="2">
        <v>635</v>
      </c>
      <c r="AM47" s="2">
        <v>635</v>
      </c>
      <c r="AN47" s="2">
        <v>635</v>
      </c>
      <c r="AO47" s="2">
        <v>635</v>
      </c>
      <c r="AP47" s="2">
        <v>635</v>
      </c>
      <c r="AQ47" s="2">
        <v>635</v>
      </c>
      <c r="AR47" s="2">
        <v>635</v>
      </c>
      <c r="AS47" s="2">
        <v>635</v>
      </c>
      <c r="AT47" s="2">
        <v>635</v>
      </c>
      <c r="AU47" s="2">
        <v>635</v>
      </c>
    </row>
    <row r="48" spans="1:47" x14ac:dyDescent="0.3">
      <c r="A48" s="2" t="s">
        <v>60</v>
      </c>
      <c r="B48" s="2">
        <v>381</v>
      </c>
      <c r="C48" s="2">
        <v>381</v>
      </c>
      <c r="D48" s="2">
        <v>381</v>
      </c>
      <c r="E48" s="2">
        <v>381</v>
      </c>
      <c r="F48" s="2">
        <v>430</v>
      </c>
      <c r="G48" s="2">
        <v>381</v>
      </c>
      <c r="H48" s="2">
        <v>482</v>
      </c>
      <c r="I48" s="2">
        <v>482</v>
      </c>
      <c r="J48" s="2">
        <v>482</v>
      </c>
      <c r="K48" s="2">
        <v>482</v>
      </c>
      <c r="L48" s="2">
        <v>482</v>
      </c>
      <c r="M48" s="2">
        <v>482.01</v>
      </c>
      <c r="N48" s="2">
        <v>482.01</v>
      </c>
      <c r="O48" s="2">
        <v>482.01</v>
      </c>
      <c r="P48" s="2">
        <v>482.01</v>
      </c>
      <c r="Q48" s="2">
        <v>482.01</v>
      </c>
      <c r="R48" s="2">
        <v>482.01</v>
      </c>
      <c r="S48" s="2">
        <v>482.01</v>
      </c>
      <c r="T48" s="2">
        <v>482.01</v>
      </c>
      <c r="U48" s="2">
        <v>482.01</v>
      </c>
      <c r="V48" s="2">
        <v>502.01</v>
      </c>
      <c r="W48" s="2">
        <v>502.01</v>
      </c>
      <c r="X48" s="2">
        <v>502.01</v>
      </c>
      <c r="Y48" s="2">
        <v>502.01</v>
      </c>
      <c r="Z48" s="2">
        <v>502.01</v>
      </c>
      <c r="AA48" s="2">
        <v>502.01</v>
      </c>
      <c r="AB48" s="2">
        <v>502.01</v>
      </c>
      <c r="AC48" s="2">
        <v>603.01</v>
      </c>
      <c r="AD48" s="2">
        <v>603.01</v>
      </c>
      <c r="AE48" s="2">
        <v>603.01</v>
      </c>
      <c r="AF48" s="2">
        <v>653.01</v>
      </c>
      <c r="AG48" s="2">
        <v>653.01</v>
      </c>
      <c r="AH48" s="2">
        <v>653.01</v>
      </c>
      <c r="AI48" s="2">
        <v>653.01</v>
      </c>
      <c r="AJ48" s="2">
        <v>703.01</v>
      </c>
      <c r="AK48" s="2">
        <v>703.01</v>
      </c>
      <c r="AL48" s="2">
        <v>703.01</v>
      </c>
      <c r="AM48" s="2">
        <v>703.01</v>
      </c>
      <c r="AN48" s="2">
        <v>703.01</v>
      </c>
      <c r="AO48" s="2">
        <v>703.01</v>
      </c>
      <c r="AP48" s="2">
        <v>703.01</v>
      </c>
      <c r="AQ48" s="2">
        <v>703.01</v>
      </c>
      <c r="AR48" s="2">
        <v>703.01</v>
      </c>
      <c r="AS48" s="2">
        <v>703.01</v>
      </c>
      <c r="AT48" s="2">
        <v>703.01</v>
      </c>
      <c r="AU48" s="2">
        <v>703.01</v>
      </c>
    </row>
    <row r="49" spans="1:47" x14ac:dyDescent="0.3">
      <c r="A49" s="2" t="s">
        <v>61</v>
      </c>
      <c r="B49" s="2">
        <v>222.3</v>
      </c>
      <c r="C49" s="2">
        <v>222.3</v>
      </c>
      <c r="D49" s="2">
        <v>222.3</v>
      </c>
      <c r="E49" s="2">
        <v>222.3</v>
      </c>
      <c r="F49" s="2">
        <v>222.3</v>
      </c>
      <c r="G49" s="2">
        <v>222.3</v>
      </c>
      <c r="H49" s="2">
        <v>222.3</v>
      </c>
      <c r="I49" s="2">
        <v>222.3</v>
      </c>
      <c r="J49" s="2">
        <v>222.3</v>
      </c>
      <c r="K49" s="2">
        <v>222.3</v>
      </c>
      <c r="L49" s="2">
        <v>222.3</v>
      </c>
      <c r="M49" s="2">
        <v>222.3</v>
      </c>
      <c r="N49" s="2">
        <v>222.3</v>
      </c>
      <c r="O49" s="2">
        <v>222.3</v>
      </c>
      <c r="P49" s="2">
        <v>222.3</v>
      </c>
      <c r="Q49" s="2">
        <v>222.3</v>
      </c>
      <c r="R49" s="2">
        <v>222.3</v>
      </c>
      <c r="S49" s="2">
        <v>222.3</v>
      </c>
      <c r="T49" s="2">
        <v>222.3</v>
      </c>
      <c r="U49" s="2">
        <v>222.3</v>
      </c>
      <c r="V49" s="2">
        <v>222.3</v>
      </c>
      <c r="W49" s="2">
        <v>222.3</v>
      </c>
      <c r="X49" s="2">
        <v>222.3</v>
      </c>
      <c r="Y49" s="2">
        <v>222.3</v>
      </c>
      <c r="Z49" s="2">
        <v>222.3</v>
      </c>
      <c r="AA49" s="2">
        <v>222.3</v>
      </c>
      <c r="AB49" s="2">
        <v>222.3</v>
      </c>
      <c r="AC49" s="2">
        <v>222.3</v>
      </c>
      <c r="AD49" s="2">
        <v>222.3</v>
      </c>
      <c r="AE49" s="2">
        <v>222.3</v>
      </c>
      <c r="AF49" s="2">
        <v>222.3</v>
      </c>
      <c r="AG49" s="2">
        <v>222.3</v>
      </c>
      <c r="AH49" s="2">
        <v>222.3</v>
      </c>
      <c r="AI49" s="2">
        <v>222.3</v>
      </c>
      <c r="AJ49" s="2">
        <v>222.3</v>
      </c>
      <c r="AK49" s="2">
        <v>222.3</v>
      </c>
      <c r="AL49" s="2">
        <v>222.3</v>
      </c>
      <c r="AM49" s="2">
        <v>222.3</v>
      </c>
      <c r="AN49" s="2">
        <v>222.3</v>
      </c>
      <c r="AO49" s="2">
        <v>222.3</v>
      </c>
      <c r="AP49" s="2">
        <v>222.3</v>
      </c>
      <c r="AQ49" s="2">
        <v>222.3</v>
      </c>
      <c r="AR49" s="2">
        <v>222.3</v>
      </c>
      <c r="AS49" s="2">
        <v>222.3</v>
      </c>
      <c r="AT49" s="2">
        <v>222.3</v>
      </c>
      <c r="AU49" s="2">
        <v>222.3</v>
      </c>
    </row>
    <row r="51" spans="1:47" ht="18" x14ac:dyDescent="0.35">
      <c r="A51" s="4" t="s">
        <v>65</v>
      </c>
    </row>
    <row r="52" spans="1:47" x14ac:dyDescent="0.3">
      <c r="A52" s="2" t="s">
        <v>7</v>
      </c>
      <c r="B52" s="2" t="s">
        <v>8</v>
      </c>
      <c r="C52" s="2" t="s">
        <v>9</v>
      </c>
      <c r="D52" s="2" t="s">
        <v>10</v>
      </c>
      <c r="E52" s="2" t="s">
        <v>11</v>
      </c>
      <c r="F52" s="2" t="s">
        <v>12</v>
      </c>
      <c r="G52" s="2" t="s">
        <v>13</v>
      </c>
      <c r="H52" s="2" t="s">
        <v>14</v>
      </c>
      <c r="I52" s="2" t="s">
        <v>15</v>
      </c>
      <c r="J52" s="2" t="s">
        <v>16</v>
      </c>
      <c r="K52" s="2" t="s">
        <v>17</v>
      </c>
      <c r="L52" s="2" t="s">
        <v>18</v>
      </c>
      <c r="M52" s="2" t="s">
        <v>19</v>
      </c>
      <c r="N52" s="2" t="s">
        <v>20</v>
      </c>
      <c r="O52" s="2" t="s">
        <v>21</v>
      </c>
      <c r="P52" s="2" t="s">
        <v>22</v>
      </c>
      <c r="Q52" s="2" t="s">
        <v>23</v>
      </c>
      <c r="R52" s="2" t="s">
        <v>24</v>
      </c>
      <c r="S52" s="2" t="s">
        <v>25</v>
      </c>
      <c r="T52" s="2" t="s">
        <v>26</v>
      </c>
      <c r="U52" s="2" t="s">
        <v>27</v>
      </c>
      <c r="V52" s="2" t="s">
        <v>28</v>
      </c>
      <c r="W52" s="2" t="s">
        <v>29</v>
      </c>
      <c r="X52" s="2" t="s">
        <v>30</v>
      </c>
      <c r="Y52" s="2" t="s">
        <v>31</v>
      </c>
      <c r="Z52" s="2" t="s">
        <v>32</v>
      </c>
      <c r="AA52" s="2" t="s">
        <v>33</v>
      </c>
      <c r="AB52" s="2" t="s">
        <v>34</v>
      </c>
      <c r="AC52" s="2" t="s">
        <v>35</v>
      </c>
      <c r="AD52" s="2" t="s">
        <v>36</v>
      </c>
      <c r="AE52" s="2" t="s">
        <v>37</v>
      </c>
      <c r="AF52" s="2" t="s">
        <v>38</v>
      </c>
      <c r="AG52" s="2" t="s">
        <v>39</v>
      </c>
      <c r="AH52" s="2" t="s">
        <v>40</v>
      </c>
      <c r="AI52" s="2" t="s">
        <v>41</v>
      </c>
      <c r="AJ52" s="2" t="s">
        <v>42</v>
      </c>
      <c r="AK52" s="2" t="s">
        <v>43</v>
      </c>
      <c r="AL52" s="2" t="s">
        <v>44</v>
      </c>
      <c r="AM52" s="2" t="s">
        <v>45</v>
      </c>
      <c r="AN52" s="2" t="s">
        <v>46</v>
      </c>
      <c r="AO52" s="2" t="s">
        <v>47</v>
      </c>
      <c r="AP52" s="2" t="s">
        <v>48</v>
      </c>
      <c r="AQ52" s="2" t="s">
        <v>49</v>
      </c>
      <c r="AR52" s="2" t="s">
        <v>50</v>
      </c>
      <c r="AS52" s="2" t="s">
        <v>51</v>
      </c>
      <c r="AT52" s="2" t="s">
        <v>52</v>
      </c>
      <c r="AU52" s="2" t="s">
        <v>53</v>
      </c>
    </row>
    <row r="53" spans="1:47" x14ac:dyDescent="0.3">
      <c r="A53" s="2" t="s">
        <v>54</v>
      </c>
      <c r="B53" s="2">
        <v>953.13</v>
      </c>
      <c r="C53" s="2">
        <v>953.13</v>
      </c>
      <c r="D53" s="2">
        <v>953.13</v>
      </c>
      <c r="E53" s="2">
        <v>953.13</v>
      </c>
      <c r="F53" s="2">
        <v>953.13</v>
      </c>
      <c r="G53" s="2">
        <v>953.13</v>
      </c>
      <c r="H53" s="2">
        <v>960.98</v>
      </c>
      <c r="I53" s="2">
        <v>960.98</v>
      </c>
      <c r="J53" s="2">
        <v>960.98</v>
      </c>
      <c r="K53" s="2">
        <v>960.98</v>
      </c>
      <c r="L53" s="2">
        <v>960.98</v>
      </c>
      <c r="M53" s="2">
        <v>960.98</v>
      </c>
      <c r="N53" s="2">
        <v>960.98</v>
      </c>
      <c r="O53" s="2">
        <v>960.98</v>
      </c>
      <c r="P53" s="2">
        <v>960.98</v>
      </c>
      <c r="Q53" s="2">
        <v>960.98</v>
      </c>
      <c r="R53" s="2">
        <v>960.98</v>
      </c>
      <c r="S53" s="2">
        <v>960.98</v>
      </c>
      <c r="T53" s="2">
        <v>960.98</v>
      </c>
      <c r="U53" s="2">
        <v>970.96</v>
      </c>
      <c r="V53" s="2">
        <v>970.96</v>
      </c>
      <c r="W53" s="2">
        <v>980.12</v>
      </c>
      <c r="X53" s="2">
        <v>980.12</v>
      </c>
      <c r="Y53" s="2">
        <v>990.27</v>
      </c>
      <c r="Z53" s="2">
        <v>999.64</v>
      </c>
      <c r="AA53" s="2">
        <v>999.64</v>
      </c>
      <c r="AB53" s="2">
        <v>999.64</v>
      </c>
      <c r="AC53" s="2">
        <v>999.64</v>
      </c>
      <c r="AD53" s="2">
        <v>999.64</v>
      </c>
      <c r="AE53" s="2">
        <v>999.64</v>
      </c>
      <c r="AF53" s="2">
        <v>999.64</v>
      </c>
      <c r="AG53" s="2">
        <v>1010.08</v>
      </c>
      <c r="AH53" s="2">
        <v>1010.08</v>
      </c>
      <c r="AI53" s="2">
        <v>1019.48</v>
      </c>
      <c r="AJ53" s="2">
        <v>1027.94</v>
      </c>
      <c r="AK53" s="2">
        <v>1035.56</v>
      </c>
      <c r="AL53" s="2">
        <v>1035.56</v>
      </c>
      <c r="AM53" s="2">
        <v>1035.56</v>
      </c>
      <c r="AN53" s="2">
        <v>1035.56</v>
      </c>
      <c r="AO53" s="2">
        <v>1035.56</v>
      </c>
      <c r="AP53" s="2">
        <v>1035.56</v>
      </c>
      <c r="AQ53" s="2">
        <v>1042.4100000000001</v>
      </c>
      <c r="AR53" s="2">
        <v>1048.58</v>
      </c>
      <c r="AS53" s="2">
        <v>1054.1300000000001</v>
      </c>
      <c r="AT53" s="2">
        <v>1054.1300000000001</v>
      </c>
      <c r="AU53" s="2">
        <v>1054.1300000000001</v>
      </c>
    </row>
    <row r="54" spans="1:47" x14ac:dyDescent="0.3">
      <c r="A54" s="2" t="s">
        <v>55</v>
      </c>
      <c r="B54" s="2">
        <v>0</v>
      </c>
      <c r="C54" s="2">
        <v>0</v>
      </c>
      <c r="D54" s="2">
        <v>0</v>
      </c>
      <c r="E54" s="2">
        <v>96</v>
      </c>
      <c r="F54" s="2">
        <v>195</v>
      </c>
      <c r="G54" s="2">
        <v>195</v>
      </c>
      <c r="H54" s="2">
        <v>294</v>
      </c>
      <c r="I54" s="2">
        <v>294</v>
      </c>
      <c r="J54" s="2">
        <v>294</v>
      </c>
      <c r="K54" s="2">
        <v>294</v>
      </c>
      <c r="L54" s="2">
        <v>294</v>
      </c>
      <c r="M54" s="2">
        <v>294</v>
      </c>
      <c r="N54" s="2">
        <v>294</v>
      </c>
      <c r="O54" s="2">
        <v>294</v>
      </c>
      <c r="P54" s="2">
        <v>294</v>
      </c>
      <c r="Q54" s="2">
        <v>294</v>
      </c>
      <c r="R54" s="2">
        <v>294</v>
      </c>
      <c r="S54" s="2">
        <v>329</v>
      </c>
      <c r="T54" s="2">
        <v>338.98</v>
      </c>
      <c r="U54" s="2">
        <v>348.64</v>
      </c>
      <c r="V54" s="2">
        <v>358.47</v>
      </c>
      <c r="W54" s="2">
        <v>368.51</v>
      </c>
      <c r="X54" s="2">
        <v>378.66</v>
      </c>
      <c r="Y54" s="2">
        <v>388.89</v>
      </c>
      <c r="Z54" s="2">
        <v>399.23</v>
      </c>
      <c r="AA54" s="2">
        <v>409.67</v>
      </c>
      <c r="AB54" s="2">
        <v>420.23</v>
      </c>
      <c r="AC54" s="2">
        <v>430.9</v>
      </c>
      <c r="AD54" s="2">
        <v>471.67</v>
      </c>
      <c r="AE54" s="2">
        <v>482.5</v>
      </c>
      <c r="AF54" s="2">
        <v>493.36</v>
      </c>
      <c r="AG54" s="2">
        <v>515.12</v>
      </c>
      <c r="AH54" s="2">
        <v>536.41999999999996</v>
      </c>
      <c r="AI54" s="2">
        <v>558.29999999999995</v>
      </c>
      <c r="AJ54" s="2">
        <v>580.17999999999995</v>
      </c>
      <c r="AK54" s="2">
        <v>602.08000000000004</v>
      </c>
      <c r="AL54" s="2">
        <v>613.02</v>
      </c>
      <c r="AM54" s="2">
        <v>634.53</v>
      </c>
      <c r="AN54" s="2">
        <v>656.15</v>
      </c>
      <c r="AO54" s="2">
        <v>677.85</v>
      </c>
      <c r="AP54" s="2">
        <v>699.29</v>
      </c>
      <c r="AQ54" s="2">
        <v>720.27</v>
      </c>
      <c r="AR54" s="2">
        <v>740.93</v>
      </c>
      <c r="AS54" s="2">
        <v>761.33</v>
      </c>
      <c r="AT54" s="2">
        <v>781.55</v>
      </c>
      <c r="AU54" s="2">
        <v>801.03</v>
      </c>
    </row>
    <row r="55" spans="1:47" x14ac:dyDescent="0.3">
      <c r="A55" s="2" t="s">
        <v>56</v>
      </c>
      <c r="B55" s="2">
        <v>127.37</v>
      </c>
      <c r="C55" s="2">
        <v>127.37</v>
      </c>
      <c r="D55" s="2">
        <v>127.37</v>
      </c>
      <c r="E55" s="2">
        <v>127.37</v>
      </c>
      <c r="F55" s="2">
        <v>127.37</v>
      </c>
      <c r="G55" s="2">
        <v>127.37</v>
      </c>
      <c r="H55" s="2">
        <v>127.37</v>
      </c>
      <c r="I55" s="2">
        <v>127.37</v>
      </c>
      <c r="J55" s="2">
        <v>127.37</v>
      </c>
      <c r="K55" s="2">
        <v>127.37</v>
      </c>
      <c r="L55" s="2">
        <v>127.37</v>
      </c>
      <c r="M55" s="2">
        <v>127.3</v>
      </c>
      <c r="N55" s="2">
        <v>127.3</v>
      </c>
      <c r="O55" s="2">
        <v>127.3</v>
      </c>
      <c r="P55" s="2">
        <v>127.3</v>
      </c>
      <c r="Q55" s="2">
        <v>127.3</v>
      </c>
      <c r="R55" s="2">
        <v>127.3</v>
      </c>
      <c r="S55" s="2">
        <v>127.3</v>
      </c>
      <c r="T55" s="2">
        <v>127.3</v>
      </c>
      <c r="U55" s="2">
        <v>127.3</v>
      </c>
      <c r="V55" s="2">
        <v>127.3</v>
      </c>
      <c r="W55" s="2">
        <v>127.3</v>
      </c>
      <c r="X55" s="2">
        <v>127.3</v>
      </c>
      <c r="Y55" s="2">
        <v>127.3</v>
      </c>
      <c r="Z55" s="2">
        <v>127.3</v>
      </c>
      <c r="AA55" s="2">
        <v>127.3</v>
      </c>
      <c r="AB55" s="2">
        <v>127.3</v>
      </c>
      <c r="AC55" s="2">
        <v>127.3</v>
      </c>
      <c r="AD55" s="2">
        <v>127.3</v>
      </c>
      <c r="AE55" s="2">
        <v>127.3</v>
      </c>
      <c r="AF55" s="2">
        <v>127.3</v>
      </c>
      <c r="AG55" s="2">
        <v>127.3</v>
      </c>
      <c r="AH55" s="2">
        <v>127.3</v>
      </c>
      <c r="AI55" s="2">
        <v>127.3</v>
      </c>
      <c r="AJ55" s="2">
        <v>127.3</v>
      </c>
      <c r="AK55" s="2">
        <v>128.34</v>
      </c>
      <c r="AL55" s="2">
        <v>128.34</v>
      </c>
      <c r="AM55" s="2">
        <v>128.34</v>
      </c>
      <c r="AN55" s="2">
        <v>128.34</v>
      </c>
      <c r="AO55" s="2">
        <v>128.34</v>
      </c>
      <c r="AP55" s="2">
        <v>128.34</v>
      </c>
      <c r="AQ55" s="2">
        <v>129.4</v>
      </c>
      <c r="AR55" s="2">
        <v>130.44</v>
      </c>
      <c r="AS55" s="2">
        <v>131.47</v>
      </c>
      <c r="AT55" s="2">
        <v>132.47999999999999</v>
      </c>
      <c r="AU55" s="2">
        <v>133.44999999999999</v>
      </c>
    </row>
    <row r="56" spans="1:47" x14ac:dyDescent="0.3">
      <c r="A56" s="2" t="s">
        <v>57</v>
      </c>
      <c r="B56" s="2">
        <v>0</v>
      </c>
      <c r="C56" s="2">
        <v>0</v>
      </c>
      <c r="D56" s="2">
        <v>0</v>
      </c>
      <c r="E56" s="2">
        <v>0</v>
      </c>
      <c r="F56" s="2">
        <v>0</v>
      </c>
      <c r="G56" s="2">
        <v>0</v>
      </c>
      <c r="H56" s="2">
        <v>0</v>
      </c>
      <c r="I56" s="2">
        <v>0</v>
      </c>
      <c r="J56" s="2">
        <v>0.16</v>
      </c>
      <c r="K56" s="2">
        <v>0.16</v>
      </c>
      <c r="L56" s="2">
        <v>0.16</v>
      </c>
      <c r="M56" s="2">
        <v>0.16</v>
      </c>
      <c r="N56" s="2">
        <v>0.16</v>
      </c>
      <c r="O56" s="2">
        <v>0.16</v>
      </c>
      <c r="P56" s="2">
        <v>0.16</v>
      </c>
      <c r="Q56" s="2">
        <v>0.16</v>
      </c>
      <c r="R56" s="2">
        <v>0.16</v>
      </c>
      <c r="S56" s="2">
        <v>2.16</v>
      </c>
      <c r="T56" s="2">
        <v>2.16</v>
      </c>
      <c r="U56" s="2">
        <v>4.16</v>
      </c>
      <c r="V56" s="2">
        <v>36.159999999999997</v>
      </c>
      <c r="W56" s="2">
        <v>38.159999999999997</v>
      </c>
      <c r="X56" s="2">
        <v>40.159999999999997</v>
      </c>
      <c r="Y56" s="2">
        <v>42.16</v>
      </c>
      <c r="Z56" s="2">
        <v>44.16</v>
      </c>
      <c r="AA56" s="2">
        <v>46.16</v>
      </c>
      <c r="AB56" s="2">
        <v>48.16</v>
      </c>
      <c r="AC56" s="2">
        <v>50.16</v>
      </c>
      <c r="AD56" s="2">
        <v>52.16</v>
      </c>
      <c r="AE56" s="2">
        <v>54.16</v>
      </c>
      <c r="AF56" s="2">
        <v>56.16</v>
      </c>
      <c r="AG56" s="2">
        <v>58.16</v>
      </c>
      <c r="AH56" s="2">
        <v>60.16</v>
      </c>
      <c r="AI56" s="2">
        <v>62.16</v>
      </c>
      <c r="AJ56" s="2">
        <v>64.16</v>
      </c>
      <c r="AK56" s="2">
        <v>66.16</v>
      </c>
      <c r="AL56" s="2">
        <v>68.16</v>
      </c>
      <c r="AM56" s="2">
        <v>70.16</v>
      </c>
      <c r="AN56" s="2">
        <v>72.16</v>
      </c>
      <c r="AO56" s="2">
        <v>74.16</v>
      </c>
      <c r="AP56" s="2">
        <v>76.16</v>
      </c>
      <c r="AQ56" s="2">
        <v>78.16</v>
      </c>
      <c r="AR56" s="2">
        <v>80.16</v>
      </c>
      <c r="AS56" s="2">
        <v>82.16</v>
      </c>
      <c r="AT56" s="2">
        <v>84.16</v>
      </c>
      <c r="AU56" s="2">
        <v>86.16</v>
      </c>
    </row>
    <row r="57" spans="1:47" x14ac:dyDescent="0.3">
      <c r="A57" s="2" t="s">
        <v>58</v>
      </c>
      <c r="B57" s="2">
        <v>680</v>
      </c>
      <c r="C57" s="2">
        <v>680</v>
      </c>
      <c r="D57" s="2">
        <v>680</v>
      </c>
      <c r="E57" s="2">
        <v>680</v>
      </c>
      <c r="F57" s="2">
        <v>680</v>
      </c>
      <c r="G57" s="2">
        <v>680</v>
      </c>
      <c r="H57" s="2">
        <v>680</v>
      </c>
      <c r="I57" s="2">
        <v>680</v>
      </c>
      <c r="J57" s="2">
        <v>705</v>
      </c>
      <c r="K57" s="2">
        <v>705</v>
      </c>
      <c r="L57" s="2">
        <v>705</v>
      </c>
      <c r="M57" s="2">
        <v>705</v>
      </c>
      <c r="N57" s="2">
        <v>705</v>
      </c>
      <c r="O57" s="2">
        <v>705</v>
      </c>
      <c r="P57" s="2">
        <v>705</v>
      </c>
      <c r="Q57" s="2">
        <v>705</v>
      </c>
      <c r="R57" s="2">
        <v>705</v>
      </c>
      <c r="S57" s="2">
        <v>705</v>
      </c>
      <c r="T57" s="2">
        <v>705</v>
      </c>
      <c r="U57" s="2">
        <v>705</v>
      </c>
      <c r="V57" s="2">
        <v>705</v>
      </c>
      <c r="W57" s="2">
        <v>705</v>
      </c>
      <c r="X57" s="2">
        <v>705</v>
      </c>
      <c r="Y57" s="2">
        <v>705</v>
      </c>
      <c r="Z57" s="2">
        <v>705</v>
      </c>
      <c r="AA57" s="2">
        <v>705</v>
      </c>
      <c r="AB57" s="2">
        <v>705</v>
      </c>
      <c r="AC57" s="2">
        <v>705</v>
      </c>
      <c r="AD57" s="2">
        <v>705</v>
      </c>
      <c r="AE57" s="2">
        <v>705</v>
      </c>
      <c r="AF57" s="2">
        <v>705</v>
      </c>
      <c r="AG57" s="2">
        <v>705</v>
      </c>
      <c r="AH57" s="2">
        <v>705</v>
      </c>
      <c r="AI57" s="2">
        <v>705</v>
      </c>
      <c r="AJ57" s="2">
        <v>705</v>
      </c>
      <c r="AK57" s="2">
        <v>705</v>
      </c>
      <c r="AL57" s="2">
        <v>0</v>
      </c>
      <c r="AM57" s="2">
        <v>0</v>
      </c>
      <c r="AN57" s="2">
        <v>0</v>
      </c>
      <c r="AO57" s="2">
        <v>679</v>
      </c>
      <c r="AP57" s="2">
        <v>679</v>
      </c>
      <c r="AQ57" s="2">
        <v>679</v>
      </c>
      <c r="AR57" s="2">
        <v>679</v>
      </c>
      <c r="AS57" s="2">
        <v>679</v>
      </c>
      <c r="AT57" s="2">
        <v>679</v>
      </c>
      <c r="AU57" s="2">
        <v>679</v>
      </c>
    </row>
    <row r="58" spans="1:47" x14ac:dyDescent="0.3">
      <c r="A58" s="2" t="s">
        <v>59</v>
      </c>
      <c r="B58" s="2">
        <v>541</v>
      </c>
      <c r="C58" s="2">
        <v>541</v>
      </c>
      <c r="D58" s="2">
        <v>541</v>
      </c>
      <c r="E58" s="2">
        <v>541</v>
      </c>
      <c r="F58" s="2">
        <v>541</v>
      </c>
      <c r="G58" s="2">
        <v>490</v>
      </c>
      <c r="H58" s="2">
        <v>490</v>
      </c>
      <c r="I58" s="2">
        <v>490</v>
      </c>
      <c r="J58" s="2">
        <v>490</v>
      </c>
      <c r="K58" s="2">
        <v>490</v>
      </c>
      <c r="L58" s="2">
        <v>490</v>
      </c>
      <c r="M58" s="2">
        <v>490</v>
      </c>
      <c r="N58" s="2">
        <v>490</v>
      </c>
      <c r="O58" s="2">
        <v>490</v>
      </c>
      <c r="P58" s="2">
        <v>490</v>
      </c>
      <c r="Q58" s="2">
        <v>490</v>
      </c>
      <c r="R58" s="2">
        <v>490</v>
      </c>
      <c r="S58" s="2">
        <v>490</v>
      </c>
      <c r="T58" s="2">
        <v>490</v>
      </c>
      <c r="U58" s="2">
        <v>490</v>
      </c>
      <c r="V58" s="2">
        <v>490</v>
      </c>
      <c r="W58" s="2">
        <v>490</v>
      </c>
      <c r="X58" s="2">
        <v>490</v>
      </c>
      <c r="Y58" s="2">
        <v>490</v>
      </c>
      <c r="Z58" s="2">
        <v>490</v>
      </c>
      <c r="AA58" s="2">
        <v>490</v>
      </c>
      <c r="AB58" s="2">
        <v>490</v>
      </c>
      <c r="AC58" s="2">
        <v>490</v>
      </c>
      <c r="AD58" s="2">
        <v>490</v>
      </c>
      <c r="AE58" s="2">
        <v>490</v>
      </c>
      <c r="AF58" s="2">
        <v>490</v>
      </c>
      <c r="AG58" s="2">
        <v>490</v>
      </c>
      <c r="AH58" s="2">
        <v>490</v>
      </c>
      <c r="AI58" s="2">
        <v>490</v>
      </c>
      <c r="AJ58" s="2">
        <v>490</v>
      </c>
      <c r="AK58" s="2">
        <v>490</v>
      </c>
      <c r="AL58" s="2">
        <v>0</v>
      </c>
      <c r="AM58" s="2">
        <v>0</v>
      </c>
      <c r="AN58" s="2">
        <v>0</v>
      </c>
      <c r="AO58" s="2">
        <v>0</v>
      </c>
      <c r="AP58" s="2">
        <v>0</v>
      </c>
      <c r="AQ58" s="2">
        <v>0</v>
      </c>
      <c r="AR58" s="2">
        <v>0</v>
      </c>
      <c r="AS58" s="2">
        <v>0</v>
      </c>
      <c r="AT58" s="2">
        <v>0</v>
      </c>
      <c r="AU58" s="2">
        <v>0</v>
      </c>
    </row>
    <row r="59" spans="1:47" x14ac:dyDescent="0.3">
      <c r="A59" s="2" t="s">
        <v>60</v>
      </c>
      <c r="B59" s="2">
        <v>340</v>
      </c>
      <c r="C59" s="2">
        <v>340</v>
      </c>
      <c r="D59" s="2">
        <v>340</v>
      </c>
      <c r="E59" s="2">
        <v>340</v>
      </c>
      <c r="F59" s="2">
        <v>350</v>
      </c>
      <c r="G59" s="2">
        <v>350</v>
      </c>
      <c r="H59" s="2">
        <v>350</v>
      </c>
      <c r="I59" s="2">
        <v>350</v>
      </c>
      <c r="J59" s="2">
        <v>350</v>
      </c>
      <c r="K59" s="2">
        <v>350</v>
      </c>
      <c r="L59" s="2">
        <v>350</v>
      </c>
      <c r="M59" s="2">
        <v>350</v>
      </c>
      <c r="N59" s="2">
        <v>350</v>
      </c>
      <c r="O59" s="2">
        <v>350</v>
      </c>
      <c r="P59" s="2">
        <v>350</v>
      </c>
      <c r="Q59" s="2">
        <v>350</v>
      </c>
      <c r="R59" s="2">
        <v>350</v>
      </c>
      <c r="S59" s="2">
        <v>350</v>
      </c>
      <c r="T59" s="2">
        <v>350</v>
      </c>
      <c r="U59" s="2">
        <v>350</v>
      </c>
      <c r="V59" s="2">
        <v>350.01</v>
      </c>
      <c r="W59" s="2">
        <v>350.02</v>
      </c>
      <c r="X59" s="2">
        <v>290.02999999999997</v>
      </c>
      <c r="Y59" s="2">
        <v>290.02999999999997</v>
      </c>
      <c r="Z59" s="2">
        <v>290.02999999999997</v>
      </c>
      <c r="AA59" s="2">
        <v>290.02999999999997</v>
      </c>
      <c r="AB59" s="2">
        <v>290.04000000000002</v>
      </c>
      <c r="AC59" s="2">
        <v>290.04000000000002</v>
      </c>
      <c r="AD59" s="2">
        <v>290.04000000000002</v>
      </c>
      <c r="AE59" s="2">
        <v>290.04000000000002</v>
      </c>
      <c r="AF59" s="2">
        <v>290.04000000000002</v>
      </c>
      <c r="AG59" s="2">
        <v>290.04000000000002</v>
      </c>
      <c r="AH59" s="2">
        <v>290.04000000000002</v>
      </c>
      <c r="AI59" s="2">
        <v>290.04000000000002</v>
      </c>
      <c r="AJ59" s="2">
        <v>290.04000000000002</v>
      </c>
      <c r="AK59" s="2">
        <v>290.04000000000002</v>
      </c>
      <c r="AL59" s="2">
        <v>0.04</v>
      </c>
      <c r="AM59" s="2">
        <v>0.04</v>
      </c>
      <c r="AN59" s="2">
        <v>0.04</v>
      </c>
      <c r="AO59" s="2">
        <v>0.04</v>
      </c>
      <c r="AP59" s="2">
        <v>0.04</v>
      </c>
      <c r="AQ59" s="2">
        <v>0.04</v>
      </c>
      <c r="AR59" s="2">
        <v>0.04</v>
      </c>
      <c r="AS59" s="2">
        <v>0.04</v>
      </c>
      <c r="AT59" s="2">
        <v>0.04</v>
      </c>
      <c r="AU59" s="2">
        <v>0.04</v>
      </c>
    </row>
    <row r="60" spans="1:47" x14ac:dyDescent="0.3">
      <c r="A60" s="2" t="s">
        <v>61</v>
      </c>
      <c r="B60" s="2">
        <v>1593.04</v>
      </c>
      <c r="C60" s="2">
        <v>1593.04</v>
      </c>
      <c r="D60" s="2">
        <v>1593.04</v>
      </c>
      <c r="E60" s="2">
        <v>1593.04</v>
      </c>
      <c r="F60" s="2">
        <v>1593.04</v>
      </c>
      <c r="G60" s="2">
        <v>1593.04</v>
      </c>
      <c r="H60" s="2">
        <v>1593.04</v>
      </c>
      <c r="I60" s="2">
        <v>1593.04</v>
      </c>
      <c r="J60" s="2">
        <v>1593.04</v>
      </c>
      <c r="K60" s="2">
        <v>1593.04</v>
      </c>
      <c r="L60" s="2">
        <v>1593.04</v>
      </c>
      <c r="M60" s="2">
        <v>1593.04</v>
      </c>
      <c r="N60" s="2">
        <v>1593.04</v>
      </c>
      <c r="O60" s="2">
        <v>1593.04</v>
      </c>
      <c r="P60" s="2">
        <v>1593.04</v>
      </c>
      <c r="Q60" s="2">
        <v>1593.04</v>
      </c>
      <c r="R60" s="2">
        <v>1593.04</v>
      </c>
      <c r="S60" s="2">
        <v>1593.04</v>
      </c>
      <c r="T60" s="2">
        <v>1593.04</v>
      </c>
      <c r="U60" s="2">
        <v>1593.04</v>
      </c>
      <c r="V60" s="2">
        <v>1593.04</v>
      </c>
      <c r="W60" s="2">
        <v>1564.34</v>
      </c>
      <c r="X60" s="2">
        <v>1564.34</v>
      </c>
      <c r="Y60" s="2">
        <v>1564.34</v>
      </c>
      <c r="Z60" s="2">
        <v>1564.34</v>
      </c>
      <c r="AA60" s="2">
        <v>1564.34</v>
      </c>
      <c r="AB60" s="2">
        <v>1564.34</v>
      </c>
      <c r="AC60" s="2">
        <v>1564.34</v>
      </c>
      <c r="AD60" s="2">
        <v>1564.34</v>
      </c>
      <c r="AE60" s="2">
        <v>1564.34</v>
      </c>
      <c r="AF60" s="2">
        <v>1564.34</v>
      </c>
      <c r="AG60" s="2">
        <v>1564.34</v>
      </c>
      <c r="AH60" s="2">
        <v>1564.34</v>
      </c>
      <c r="AI60" s="2">
        <v>1564.34</v>
      </c>
      <c r="AJ60" s="2">
        <v>1564.34</v>
      </c>
      <c r="AK60" s="2">
        <v>1564.34</v>
      </c>
      <c r="AL60" s="2">
        <v>514.34</v>
      </c>
      <c r="AM60" s="2">
        <v>514.34</v>
      </c>
      <c r="AN60" s="2">
        <v>514.34</v>
      </c>
      <c r="AO60" s="2">
        <v>514.34</v>
      </c>
      <c r="AP60" s="2">
        <v>514.34</v>
      </c>
      <c r="AQ60" s="2">
        <v>514.34</v>
      </c>
      <c r="AR60" s="2">
        <v>514.34</v>
      </c>
      <c r="AS60" s="2">
        <v>514.34</v>
      </c>
      <c r="AT60" s="2">
        <v>514.34</v>
      </c>
      <c r="AU60" s="2">
        <v>514.34</v>
      </c>
    </row>
    <row r="62" spans="1:47" ht="18" x14ac:dyDescent="0.35">
      <c r="A62" s="4" t="s">
        <v>66</v>
      </c>
    </row>
    <row r="63" spans="1:47" x14ac:dyDescent="0.3">
      <c r="A63" s="2" t="s">
        <v>7</v>
      </c>
      <c r="B63" s="2" t="s">
        <v>8</v>
      </c>
      <c r="C63" s="2" t="s">
        <v>9</v>
      </c>
      <c r="D63" s="2" t="s">
        <v>10</v>
      </c>
      <c r="E63" s="2" t="s">
        <v>11</v>
      </c>
      <c r="F63" s="2" t="s">
        <v>12</v>
      </c>
      <c r="G63" s="2" t="s">
        <v>13</v>
      </c>
      <c r="H63" s="2" t="s">
        <v>14</v>
      </c>
      <c r="I63" s="2" t="s">
        <v>15</v>
      </c>
      <c r="J63" s="2" t="s">
        <v>16</v>
      </c>
      <c r="K63" s="2" t="s">
        <v>17</v>
      </c>
      <c r="L63" s="2" t="s">
        <v>18</v>
      </c>
      <c r="M63" s="2" t="s">
        <v>19</v>
      </c>
      <c r="N63" s="2" t="s">
        <v>20</v>
      </c>
      <c r="O63" s="2" t="s">
        <v>21</v>
      </c>
      <c r="P63" s="2" t="s">
        <v>22</v>
      </c>
      <c r="Q63" s="2" t="s">
        <v>23</v>
      </c>
      <c r="R63" s="2" t="s">
        <v>24</v>
      </c>
      <c r="S63" s="2" t="s">
        <v>25</v>
      </c>
      <c r="T63" s="2" t="s">
        <v>26</v>
      </c>
      <c r="U63" s="2" t="s">
        <v>27</v>
      </c>
      <c r="V63" s="2" t="s">
        <v>28</v>
      </c>
      <c r="W63" s="2" t="s">
        <v>29</v>
      </c>
      <c r="X63" s="2" t="s">
        <v>30</v>
      </c>
      <c r="Y63" s="2" t="s">
        <v>31</v>
      </c>
      <c r="Z63" s="2" t="s">
        <v>32</v>
      </c>
      <c r="AA63" s="2" t="s">
        <v>33</v>
      </c>
      <c r="AB63" s="2" t="s">
        <v>34</v>
      </c>
      <c r="AC63" s="2" t="s">
        <v>35</v>
      </c>
      <c r="AD63" s="2" t="s">
        <v>36</v>
      </c>
      <c r="AE63" s="2" t="s">
        <v>37</v>
      </c>
      <c r="AF63" s="2" t="s">
        <v>38</v>
      </c>
      <c r="AG63" s="2" t="s">
        <v>39</v>
      </c>
      <c r="AH63" s="2" t="s">
        <v>40</v>
      </c>
      <c r="AI63" s="2" t="s">
        <v>41</v>
      </c>
      <c r="AJ63" s="2" t="s">
        <v>42</v>
      </c>
      <c r="AK63" s="2" t="s">
        <v>43</v>
      </c>
      <c r="AL63" s="2" t="s">
        <v>44</v>
      </c>
      <c r="AM63" s="2" t="s">
        <v>45</v>
      </c>
      <c r="AN63" s="2" t="s">
        <v>46</v>
      </c>
      <c r="AO63" s="2" t="s">
        <v>47</v>
      </c>
      <c r="AP63" s="2" t="s">
        <v>48</v>
      </c>
      <c r="AQ63" s="2" t="s">
        <v>49</v>
      </c>
      <c r="AR63" s="2" t="s">
        <v>50</v>
      </c>
      <c r="AS63" s="2" t="s">
        <v>51</v>
      </c>
      <c r="AT63" s="2" t="s">
        <v>52</v>
      </c>
      <c r="AU63" s="2" t="s">
        <v>53</v>
      </c>
    </row>
    <row r="64" spans="1:47" x14ac:dyDescent="0.3">
      <c r="A64" s="2" t="s">
        <v>54</v>
      </c>
      <c r="B64" s="2">
        <v>36473</v>
      </c>
      <c r="C64" s="2">
        <v>36686</v>
      </c>
      <c r="D64" s="2">
        <v>37440</v>
      </c>
      <c r="E64" s="2">
        <v>38265</v>
      </c>
      <c r="F64" s="2">
        <v>38414.01</v>
      </c>
      <c r="G64" s="2">
        <v>38426.01</v>
      </c>
      <c r="H64" s="2">
        <v>38184</v>
      </c>
      <c r="I64" s="2">
        <v>39217</v>
      </c>
      <c r="J64" s="2">
        <v>38433</v>
      </c>
      <c r="K64" s="2">
        <v>40034</v>
      </c>
      <c r="L64" s="2">
        <v>40212</v>
      </c>
      <c r="M64" s="2">
        <v>40396.949999999997</v>
      </c>
      <c r="N64" s="2">
        <v>40442.15</v>
      </c>
      <c r="O64" s="2">
        <v>40853.15</v>
      </c>
      <c r="P64" s="2">
        <v>40853.15</v>
      </c>
      <c r="Q64" s="2">
        <v>40853.15</v>
      </c>
      <c r="R64" s="2">
        <v>40853.15</v>
      </c>
      <c r="S64" s="2">
        <v>41253.15</v>
      </c>
      <c r="T64" s="2">
        <v>41253.15</v>
      </c>
      <c r="U64" s="2">
        <v>41340.01</v>
      </c>
      <c r="V64" s="2">
        <v>41418.19</v>
      </c>
      <c r="W64" s="2">
        <v>41488.54</v>
      </c>
      <c r="X64" s="2">
        <v>41551.86</v>
      </c>
      <c r="Y64" s="2">
        <v>41608.85</v>
      </c>
      <c r="Z64" s="2">
        <v>41660.14</v>
      </c>
      <c r="AA64" s="2">
        <v>41706.300000000003</v>
      </c>
      <c r="AB64" s="2">
        <v>41747.85</v>
      </c>
      <c r="AC64" s="2">
        <v>41747.85</v>
      </c>
      <c r="AD64" s="2">
        <v>41785.24</v>
      </c>
      <c r="AE64" s="2">
        <v>41818.89</v>
      </c>
      <c r="AF64" s="2">
        <v>41849.18</v>
      </c>
      <c r="AG64" s="2">
        <v>41876.43</v>
      </c>
      <c r="AH64" s="2">
        <v>41900.959999999999</v>
      </c>
      <c r="AI64" s="2">
        <v>41923.040000000001</v>
      </c>
      <c r="AJ64" s="2">
        <v>41942.910000000003</v>
      </c>
      <c r="AK64" s="2">
        <v>41960.800000000003</v>
      </c>
      <c r="AL64" s="2">
        <v>41960.800000000003</v>
      </c>
      <c r="AM64" s="2">
        <v>41976.89</v>
      </c>
      <c r="AN64" s="2">
        <v>41991.38</v>
      </c>
      <c r="AO64" s="2">
        <v>42004.42</v>
      </c>
      <c r="AP64" s="2">
        <v>42004.42</v>
      </c>
      <c r="AQ64" s="2">
        <v>42016.15</v>
      </c>
      <c r="AR64" s="2">
        <v>42016.15</v>
      </c>
      <c r="AS64" s="2">
        <v>42016.15</v>
      </c>
      <c r="AT64" s="2">
        <v>42016.15</v>
      </c>
      <c r="AU64" s="2">
        <v>42016.15</v>
      </c>
    </row>
    <row r="65" spans="1:47" x14ac:dyDescent="0.3">
      <c r="A65" s="2" t="s">
        <v>55</v>
      </c>
      <c r="B65" s="2">
        <v>207</v>
      </c>
      <c r="C65" s="2">
        <v>317</v>
      </c>
      <c r="D65" s="2">
        <v>417</v>
      </c>
      <c r="E65" s="2">
        <v>527</v>
      </c>
      <c r="F65" s="2">
        <v>660</v>
      </c>
      <c r="G65" s="2">
        <v>663.97</v>
      </c>
      <c r="H65" s="2">
        <v>923</v>
      </c>
      <c r="I65" s="2">
        <v>1199.57</v>
      </c>
      <c r="J65" s="2">
        <v>2187.4</v>
      </c>
      <c r="K65" s="2">
        <v>2648.4</v>
      </c>
      <c r="L65" s="2">
        <v>3045.4</v>
      </c>
      <c r="M65" s="2">
        <v>3332.72</v>
      </c>
      <c r="N65" s="2">
        <v>3732.37</v>
      </c>
      <c r="O65" s="2">
        <v>3879.57</v>
      </c>
      <c r="P65" s="2">
        <v>4303.97</v>
      </c>
      <c r="Q65" s="2">
        <v>4329.97</v>
      </c>
      <c r="R65" s="2">
        <v>4329.97</v>
      </c>
      <c r="S65" s="2">
        <v>4329.97</v>
      </c>
      <c r="T65" s="2">
        <v>4429.97</v>
      </c>
      <c r="U65" s="2">
        <v>4729.97</v>
      </c>
      <c r="V65" s="2">
        <v>4827.92</v>
      </c>
      <c r="W65" s="2">
        <v>4926.3900000000003</v>
      </c>
      <c r="X65" s="2">
        <v>5024.33</v>
      </c>
      <c r="Y65" s="2">
        <v>5122.2299999999996</v>
      </c>
      <c r="Z65" s="2">
        <v>5220.25</v>
      </c>
      <c r="AA65" s="2">
        <v>5318.27</v>
      </c>
      <c r="AB65" s="2">
        <v>5418.27</v>
      </c>
      <c r="AC65" s="2">
        <v>5518.27</v>
      </c>
      <c r="AD65" s="2">
        <v>5618.27</v>
      </c>
      <c r="AE65" s="2">
        <v>5718.27</v>
      </c>
      <c r="AF65" s="2">
        <v>5818.27</v>
      </c>
      <c r="AG65" s="2">
        <v>5918.27</v>
      </c>
      <c r="AH65" s="2">
        <v>6017.68</v>
      </c>
      <c r="AI65" s="2">
        <v>6116.36</v>
      </c>
      <c r="AJ65" s="2">
        <v>6214.52</v>
      </c>
      <c r="AK65" s="2">
        <v>6314.52</v>
      </c>
      <c r="AL65" s="2">
        <v>6414.52</v>
      </c>
      <c r="AM65" s="2">
        <v>6514.52</v>
      </c>
      <c r="AN65" s="2">
        <v>6614.52</v>
      </c>
      <c r="AO65" s="2">
        <v>6714.52</v>
      </c>
      <c r="AP65" s="2">
        <v>6814.48</v>
      </c>
      <c r="AQ65" s="2">
        <v>6914.48</v>
      </c>
      <c r="AR65" s="2">
        <v>7014.48</v>
      </c>
      <c r="AS65" s="2">
        <v>7114.48</v>
      </c>
      <c r="AT65" s="2">
        <v>7214.48</v>
      </c>
      <c r="AU65" s="2">
        <v>7314.48</v>
      </c>
    </row>
    <row r="66" spans="1:47" x14ac:dyDescent="0.3">
      <c r="A66" s="2" t="s">
        <v>56</v>
      </c>
      <c r="B66" s="2">
        <v>278</v>
      </c>
      <c r="C66" s="2">
        <v>278</v>
      </c>
      <c r="D66" s="2">
        <v>278</v>
      </c>
      <c r="E66" s="2">
        <v>230</v>
      </c>
      <c r="F66" s="2">
        <v>230</v>
      </c>
      <c r="G66" s="2">
        <v>230</v>
      </c>
      <c r="H66" s="2">
        <v>240</v>
      </c>
      <c r="I66" s="2">
        <v>240</v>
      </c>
      <c r="J66" s="2">
        <v>240</v>
      </c>
      <c r="K66" s="2">
        <v>240</v>
      </c>
      <c r="L66" s="2">
        <v>245</v>
      </c>
      <c r="M66" s="2">
        <v>244.84</v>
      </c>
      <c r="N66" s="2">
        <v>244.84</v>
      </c>
      <c r="O66" s="2">
        <v>266.64</v>
      </c>
      <c r="P66" s="2">
        <v>266.64</v>
      </c>
      <c r="Q66" s="2">
        <v>276.54000000000002</v>
      </c>
      <c r="R66" s="2">
        <v>295.79000000000002</v>
      </c>
      <c r="S66" s="2">
        <v>295.79000000000002</v>
      </c>
      <c r="T66" s="2">
        <v>295.79000000000002</v>
      </c>
      <c r="U66" s="2">
        <v>306.05</v>
      </c>
      <c r="V66" s="2">
        <v>316.23</v>
      </c>
      <c r="W66" s="2">
        <v>326.02999999999997</v>
      </c>
      <c r="X66" s="2">
        <v>335.88</v>
      </c>
      <c r="Y66" s="2">
        <v>345.67</v>
      </c>
      <c r="Z66" s="2">
        <v>355.46</v>
      </c>
      <c r="AA66" s="2">
        <v>365.26</v>
      </c>
      <c r="AB66" s="2">
        <v>375.06</v>
      </c>
      <c r="AC66" s="2">
        <v>375.06</v>
      </c>
      <c r="AD66" s="2">
        <v>385.22</v>
      </c>
      <c r="AE66" s="2">
        <v>395.44</v>
      </c>
      <c r="AF66" s="2">
        <v>405.74</v>
      </c>
      <c r="AG66" s="2">
        <v>415.81</v>
      </c>
      <c r="AH66" s="2">
        <v>425.89</v>
      </c>
      <c r="AI66" s="2">
        <v>435.83</v>
      </c>
      <c r="AJ66" s="2">
        <v>445.7</v>
      </c>
      <c r="AK66" s="2">
        <v>455.52</v>
      </c>
      <c r="AL66" s="2">
        <v>465.72</v>
      </c>
      <c r="AM66" s="2">
        <v>475.92</v>
      </c>
      <c r="AN66" s="2">
        <v>486.13</v>
      </c>
      <c r="AO66" s="2">
        <v>496.37</v>
      </c>
      <c r="AP66" s="2">
        <v>506.59</v>
      </c>
      <c r="AQ66" s="2">
        <v>516.59</v>
      </c>
      <c r="AR66" s="2">
        <v>526.82000000000005</v>
      </c>
      <c r="AS66" s="2">
        <v>537.20000000000005</v>
      </c>
      <c r="AT66" s="2">
        <v>547.57000000000005</v>
      </c>
      <c r="AU66" s="2">
        <v>558.04999999999995</v>
      </c>
    </row>
    <row r="67" spans="1:47" x14ac:dyDescent="0.3">
      <c r="A67" s="2" t="s">
        <v>57</v>
      </c>
      <c r="B67" s="2">
        <v>0</v>
      </c>
      <c r="C67" s="2">
        <v>0</v>
      </c>
      <c r="D67" s="2">
        <v>0</v>
      </c>
      <c r="E67" s="2">
        <v>0</v>
      </c>
      <c r="F67" s="2">
        <v>0</v>
      </c>
      <c r="G67" s="2">
        <v>0</v>
      </c>
      <c r="H67" s="2">
        <v>0</v>
      </c>
      <c r="I67" s="2">
        <v>0</v>
      </c>
      <c r="J67" s="2">
        <v>0.3</v>
      </c>
      <c r="K67" s="2">
        <v>0.3</v>
      </c>
      <c r="L67" s="2">
        <v>0.3</v>
      </c>
      <c r="M67" s="2">
        <v>0.3</v>
      </c>
      <c r="N67" s="2">
        <v>0.3</v>
      </c>
      <c r="O67" s="2">
        <v>0.3</v>
      </c>
      <c r="P67" s="2">
        <v>0.3</v>
      </c>
      <c r="Q67" s="2">
        <v>0.3</v>
      </c>
      <c r="R67" s="2">
        <v>0.3</v>
      </c>
      <c r="S67" s="2">
        <v>10.3</v>
      </c>
      <c r="T67" s="2">
        <v>20.3</v>
      </c>
      <c r="U67" s="2">
        <v>30.3</v>
      </c>
      <c r="V67" s="2">
        <v>40.299999999999997</v>
      </c>
      <c r="W67" s="2">
        <v>50.3</v>
      </c>
      <c r="X67" s="2">
        <v>60.3</v>
      </c>
      <c r="Y67" s="2">
        <v>70.3</v>
      </c>
      <c r="Z67" s="2">
        <v>80.3</v>
      </c>
      <c r="AA67" s="2">
        <v>90.3</v>
      </c>
      <c r="AB67" s="2">
        <v>100.3</v>
      </c>
      <c r="AC67" s="2">
        <v>110.3</v>
      </c>
      <c r="AD67" s="2">
        <v>120.3</v>
      </c>
      <c r="AE67" s="2">
        <v>149.38</v>
      </c>
      <c r="AF67" s="2">
        <v>179.54</v>
      </c>
      <c r="AG67" s="2">
        <v>209.69</v>
      </c>
      <c r="AH67" s="2">
        <v>239.57</v>
      </c>
      <c r="AI67" s="2">
        <v>269.31</v>
      </c>
      <c r="AJ67" s="2">
        <v>298.94</v>
      </c>
      <c r="AK67" s="2">
        <v>308.94</v>
      </c>
      <c r="AL67" s="2">
        <v>339.34</v>
      </c>
      <c r="AM67" s="2">
        <v>369.77</v>
      </c>
      <c r="AN67" s="2">
        <v>400.25</v>
      </c>
      <c r="AO67" s="2">
        <v>430.69</v>
      </c>
      <c r="AP67" s="2">
        <v>460.68</v>
      </c>
      <c r="AQ67" s="2">
        <v>470.68</v>
      </c>
      <c r="AR67" s="2">
        <v>480.68</v>
      </c>
      <c r="AS67" s="2">
        <v>490.68</v>
      </c>
      <c r="AT67" s="2">
        <v>500.68</v>
      </c>
      <c r="AU67" s="2">
        <v>530.83000000000004</v>
      </c>
    </row>
    <row r="68" spans="1:47" x14ac:dyDescent="0.3">
      <c r="A68" s="2" t="s">
        <v>58</v>
      </c>
      <c r="B68" s="2">
        <v>675</v>
      </c>
      <c r="C68" s="2">
        <v>675</v>
      </c>
      <c r="D68" s="2">
        <v>675</v>
      </c>
      <c r="E68" s="2">
        <v>675</v>
      </c>
      <c r="F68" s="2">
        <v>675</v>
      </c>
      <c r="G68" s="2">
        <v>675</v>
      </c>
      <c r="H68" s="2">
        <v>675</v>
      </c>
      <c r="I68" s="2">
        <v>675</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row>
    <row r="69" spans="1:47" x14ac:dyDescent="0.3">
      <c r="A69" s="2" t="s">
        <v>59</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row>
    <row r="70" spans="1:47" x14ac:dyDescent="0.3">
      <c r="A70" s="2" t="s">
        <v>60</v>
      </c>
      <c r="B70" s="2">
        <v>31.05</v>
      </c>
      <c r="C70" s="2">
        <v>591.04999999999995</v>
      </c>
      <c r="D70" s="2">
        <v>591.04999999999995</v>
      </c>
      <c r="E70" s="2">
        <v>591.04999999999995</v>
      </c>
      <c r="F70" s="2">
        <v>591.04999999999995</v>
      </c>
      <c r="G70" s="2">
        <v>589.45000000000005</v>
      </c>
      <c r="H70" s="2">
        <v>564.45000000000005</v>
      </c>
      <c r="I70" s="2">
        <v>564.45000000000005</v>
      </c>
      <c r="J70" s="2">
        <v>564.53</v>
      </c>
      <c r="K70" s="2">
        <v>560.53</v>
      </c>
      <c r="L70" s="2">
        <v>560.53</v>
      </c>
      <c r="M70" s="2">
        <v>649.13</v>
      </c>
      <c r="N70" s="2">
        <v>649.13</v>
      </c>
      <c r="O70" s="2">
        <v>649.13</v>
      </c>
      <c r="P70" s="2">
        <v>649.13</v>
      </c>
      <c r="Q70" s="2">
        <v>649.13</v>
      </c>
      <c r="R70" s="2">
        <v>649.13</v>
      </c>
      <c r="S70" s="2">
        <v>649.13</v>
      </c>
      <c r="T70" s="2">
        <v>649.13</v>
      </c>
      <c r="U70" s="2">
        <v>649.13</v>
      </c>
      <c r="V70" s="2">
        <v>649.14</v>
      </c>
      <c r="W70" s="2">
        <v>649.14</v>
      </c>
      <c r="X70" s="2">
        <v>649.15</v>
      </c>
      <c r="Y70" s="2">
        <v>649.15</v>
      </c>
      <c r="Z70" s="2">
        <v>649.15</v>
      </c>
      <c r="AA70" s="2">
        <v>649.15</v>
      </c>
      <c r="AB70" s="2">
        <v>649.15</v>
      </c>
      <c r="AC70" s="2">
        <v>649.15</v>
      </c>
      <c r="AD70" s="2">
        <v>649.15</v>
      </c>
      <c r="AE70" s="2">
        <v>649.16</v>
      </c>
      <c r="AF70" s="2">
        <v>649.16</v>
      </c>
      <c r="AG70" s="2">
        <v>649.16</v>
      </c>
      <c r="AH70" s="2">
        <v>649.16</v>
      </c>
      <c r="AI70" s="2">
        <v>649.16</v>
      </c>
      <c r="AJ70" s="2">
        <v>649.16</v>
      </c>
      <c r="AK70" s="2">
        <v>649.16</v>
      </c>
      <c r="AL70" s="2">
        <v>649.16</v>
      </c>
      <c r="AM70" s="2">
        <v>649.16</v>
      </c>
      <c r="AN70" s="2">
        <v>649.16</v>
      </c>
      <c r="AO70" s="2">
        <v>649.16999999999996</v>
      </c>
      <c r="AP70" s="2">
        <v>649.16999999999996</v>
      </c>
      <c r="AQ70" s="2">
        <v>649.16999999999996</v>
      </c>
      <c r="AR70" s="2">
        <v>649.16999999999996</v>
      </c>
      <c r="AS70" s="2">
        <v>649.16999999999996</v>
      </c>
      <c r="AT70" s="2">
        <v>649.16999999999996</v>
      </c>
      <c r="AU70" s="2">
        <v>649.16999999999996</v>
      </c>
    </row>
    <row r="71" spans="1:47" x14ac:dyDescent="0.3">
      <c r="A71" s="2" t="s">
        <v>61</v>
      </c>
      <c r="B71" s="2">
        <v>1594.63</v>
      </c>
      <c r="C71" s="2">
        <v>1382.99</v>
      </c>
      <c r="D71" s="2">
        <v>1382.99</v>
      </c>
      <c r="E71" s="2">
        <v>1382.99</v>
      </c>
      <c r="F71" s="2">
        <v>1382.99</v>
      </c>
      <c r="G71" s="2">
        <v>1382.99</v>
      </c>
      <c r="H71" s="2">
        <v>723.28</v>
      </c>
      <c r="I71" s="2">
        <v>415.12</v>
      </c>
      <c r="J71" s="2">
        <v>415.12</v>
      </c>
      <c r="K71" s="2">
        <v>415.12</v>
      </c>
      <c r="L71" s="2">
        <v>253.12</v>
      </c>
      <c r="M71" s="2">
        <v>311.04000000000002</v>
      </c>
      <c r="N71" s="2">
        <v>311.04000000000002</v>
      </c>
      <c r="O71" s="2">
        <v>311.04000000000002</v>
      </c>
      <c r="P71" s="2">
        <v>311.04000000000002</v>
      </c>
      <c r="Q71" s="2">
        <v>311.04000000000002</v>
      </c>
      <c r="R71" s="2">
        <v>311.04000000000002</v>
      </c>
      <c r="S71" s="2">
        <v>311.04000000000002</v>
      </c>
      <c r="T71" s="2">
        <v>311.04000000000002</v>
      </c>
      <c r="U71" s="2">
        <v>311.04000000000002</v>
      </c>
      <c r="V71" s="2">
        <v>311.04000000000002</v>
      </c>
      <c r="W71" s="2">
        <v>311.04000000000002</v>
      </c>
      <c r="X71" s="2">
        <v>311.04000000000002</v>
      </c>
      <c r="Y71" s="2">
        <v>311.04000000000002</v>
      </c>
      <c r="Z71" s="2">
        <v>311.04000000000002</v>
      </c>
      <c r="AA71" s="2">
        <v>311.04000000000002</v>
      </c>
      <c r="AB71" s="2">
        <v>311.04000000000002</v>
      </c>
      <c r="AC71" s="2">
        <v>311.04000000000002</v>
      </c>
      <c r="AD71" s="2">
        <v>311.04000000000002</v>
      </c>
      <c r="AE71" s="2">
        <v>311.04000000000002</v>
      </c>
      <c r="AF71" s="2">
        <v>244</v>
      </c>
      <c r="AG71" s="2">
        <v>244</v>
      </c>
      <c r="AH71" s="2">
        <v>244</v>
      </c>
      <c r="AI71" s="2">
        <v>244</v>
      </c>
      <c r="AJ71" s="2">
        <v>244</v>
      </c>
      <c r="AK71" s="2">
        <v>244</v>
      </c>
      <c r="AL71" s="2">
        <v>244</v>
      </c>
      <c r="AM71" s="2">
        <v>244</v>
      </c>
      <c r="AN71" s="2">
        <v>244</v>
      </c>
      <c r="AO71" s="2">
        <v>244</v>
      </c>
      <c r="AP71" s="2">
        <v>244</v>
      </c>
      <c r="AQ71" s="2">
        <v>244</v>
      </c>
      <c r="AR71" s="2">
        <v>244</v>
      </c>
      <c r="AS71" s="2">
        <v>244</v>
      </c>
      <c r="AT71" s="2">
        <v>244</v>
      </c>
      <c r="AU71" s="2">
        <v>244</v>
      </c>
    </row>
    <row r="73" spans="1:47" ht="18" x14ac:dyDescent="0.35">
      <c r="A73" s="4" t="s">
        <v>67</v>
      </c>
    </row>
    <row r="74" spans="1:47" x14ac:dyDescent="0.3">
      <c r="A74" s="2" t="s">
        <v>7</v>
      </c>
      <c r="B74" s="2" t="s">
        <v>8</v>
      </c>
      <c r="C74" s="2" t="s">
        <v>9</v>
      </c>
      <c r="D74" s="2" t="s">
        <v>10</v>
      </c>
      <c r="E74" s="2" t="s">
        <v>11</v>
      </c>
      <c r="F74" s="2" t="s">
        <v>12</v>
      </c>
      <c r="G74" s="2" t="s">
        <v>13</v>
      </c>
      <c r="H74" s="2" t="s">
        <v>14</v>
      </c>
      <c r="I74" s="2" t="s">
        <v>15</v>
      </c>
      <c r="J74" s="2" t="s">
        <v>16</v>
      </c>
      <c r="K74" s="2" t="s">
        <v>17</v>
      </c>
      <c r="L74" s="2" t="s">
        <v>18</v>
      </c>
      <c r="M74" s="2" t="s">
        <v>19</v>
      </c>
      <c r="N74" s="2" t="s">
        <v>20</v>
      </c>
      <c r="O74" s="2" t="s">
        <v>21</v>
      </c>
      <c r="P74" s="2" t="s">
        <v>22</v>
      </c>
      <c r="Q74" s="2" t="s">
        <v>23</v>
      </c>
      <c r="R74" s="2" t="s">
        <v>24</v>
      </c>
      <c r="S74" s="2" t="s">
        <v>25</v>
      </c>
      <c r="T74" s="2" t="s">
        <v>26</v>
      </c>
      <c r="U74" s="2" t="s">
        <v>27</v>
      </c>
      <c r="V74" s="2" t="s">
        <v>28</v>
      </c>
      <c r="W74" s="2" t="s">
        <v>29</v>
      </c>
      <c r="X74" s="2" t="s">
        <v>30</v>
      </c>
      <c r="Y74" s="2" t="s">
        <v>31</v>
      </c>
      <c r="Z74" s="2" t="s">
        <v>32</v>
      </c>
      <c r="AA74" s="2" t="s">
        <v>33</v>
      </c>
      <c r="AB74" s="2" t="s">
        <v>34</v>
      </c>
      <c r="AC74" s="2" t="s">
        <v>35</v>
      </c>
      <c r="AD74" s="2" t="s">
        <v>36</v>
      </c>
      <c r="AE74" s="2" t="s">
        <v>37</v>
      </c>
      <c r="AF74" s="2" t="s">
        <v>38</v>
      </c>
      <c r="AG74" s="2" t="s">
        <v>39</v>
      </c>
      <c r="AH74" s="2" t="s">
        <v>40</v>
      </c>
      <c r="AI74" s="2" t="s">
        <v>41</v>
      </c>
      <c r="AJ74" s="2" t="s">
        <v>42</v>
      </c>
      <c r="AK74" s="2" t="s">
        <v>43</v>
      </c>
      <c r="AL74" s="2" t="s">
        <v>44</v>
      </c>
      <c r="AM74" s="2" t="s">
        <v>45</v>
      </c>
      <c r="AN74" s="2" t="s">
        <v>46</v>
      </c>
      <c r="AO74" s="2" t="s">
        <v>47</v>
      </c>
      <c r="AP74" s="2" t="s">
        <v>48</v>
      </c>
      <c r="AQ74" s="2" t="s">
        <v>49</v>
      </c>
      <c r="AR74" s="2" t="s">
        <v>50</v>
      </c>
      <c r="AS74" s="2" t="s">
        <v>51</v>
      </c>
      <c r="AT74" s="2" t="s">
        <v>52</v>
      </c>
      <c r="AU74" s="2" t="s">
        <v>53</v>
      </c>
    </row>
    <row r="75" spans="1:47" x14ac:dyDescent="0.3">
      <c r="A75" s="2" t="s">
        <v>54</v>
      </c>
      <c r="B75" s="2">
        <v>8505</v>
      </c>
      <c r="C75" s="2">
        <v>8410</v>
      </c>
      <c r="D75" s="2">
        <v>8410</v>
      </c>
      <c r="E75" s="2">
        <v>8416</v>
      </c>
      <c r="F75" s="2">
        <v>8424</v>
      </c>
      <c r="G75" s="2">
        <v>8463</v>
      </c>
      <c r="H75" s="2">
        <v>8524</v>
      </c>
      <c r="I75" s="2">
        <v>8524</v>
      </c>
      <c r="J75" s="2">
        <v>8565</v>
      </c>
      <c r="K75" s="2">
        <v>8972</v>
      </c>
      <c r="L75" s="2">
        <v>9023</v>
      </c>
      <c r="M75" s="2">
        <v>9105.2999999999993</v>
      </c>
      <c r="N75" s="2">
        <v>9161.2999999999993</v>
      </c>
      <c r="O75" s="2">
        <v>9161.2999999999993</v>
      </c>
      <c r="P75" s="2">
        <v>9161.2999999999993</v>
      </c>
      <c r="Q75" s="2">
        <v>9161.2999999999993</v>
      </c>
      <c r="R75" s="2">
        <v>9161.2999999999993</v>
      </c>
      <c r="S75" s="2">
        <v>9161.2999999999993</v>
      </c>
      <c r="T75" s="2">
        <v>9161.2999999999993</v>
      </c>
      <c r="U75" s="2">
        <v>9161.2999999999993</v>
      </c>
      <c r="V75" s="2">
        <v>9161.2999999999993</v>
      </c>
      <c r="W75" s="2">
        <v>9161.2999999999993</v>
      </c>
      <c r="X75" s="2">
        <v>9161.2999999999993</v>
      </c>
      <c r="Y75" s="2">
        <v>9161.2999999999993</v>
      </c>
      <c r="Z75" s="2">
        <v>9161.2999999999993</v>
      </c>
      <c r="AA75" s="2">
        <v>9161.2999999999993</v>
      </c>
      <c r="AB75" s="2">
        <v>9161.2999999999993</v>
      </c>
      <c r="AC75" s="2">
        <v>9161.2999999999993</v>
      </c>
      <c r="AD75" s="2">
        <v>9161.2999999999993</v>
      </c>
      <c r="AE75" s="2">
        <v>9161.2999999999993</v>
      </c>
      <c r="AF75" s="2">
        <v>9161.2999999999993</v>
      </c>
      <c r="AG75" s="2">
        <v>9313.84</v>
      </c>
      <c r="AH75" s="2">
        <v>9313.84</v>
      </c>
      <c r="AI75" s="2">
        <v>9313.84</v>
      </c>
      <c r="AJ75" s="2">
        <v>9313.84</v>
      </c>
      <c r="AK75" s="2">
        <v>9313.84</v>
      </c>
      <c r="AL75" s="2">
        <v>9313.84</v>
      </c>
      <c r="AM75" s="2">
        <v>9313.84</v>
      </c>
      <c r="AN75" s="2">
        <v>9313.84</v>
      </c>
      <c r="AO75" s="2">
        <v>9313.84</v>
      </c>
      <c r="AP75" s="2">
        <v>9313.84</v>
      </c>
      <c r="AQ75" s="2">
        <v>9313.84</v>
      </c>
      <c r="AR75" s="2">
        <v>9451.1200000000008</v>
      </c>
      <c r="AS75" s="2">
        <v>9574.68</v>
      </c>
      <c r="AT75" s="2">
        <v>9685.8799999999992</v>
      </c>
      <c r="AU75" s="2">
        <v>9766.9500000000007</v>
      </c>
    </row>
    <row r="76" spans="1:47" x14ac:dyDescent="0.3">
      <c r="A76" s="2" t="s">
        <v>55</v>
      </c>
      <c r="B76" s="2">
        <v>15</v>
      </c>
      <c r="C76" s="2">
        <v>414</v>
      </c>
      <c r="D76" s="2">
        <v>491</v>
      </c>
      <c r="E76" s="2">
        <v>782</v>
      </c>
      <c r="F76" s="2">
        <v>1168</v>
      </c>
      <c r="G76" s="2">
        <v>1447</v>
      </c>
      <c r="H76" s="2">
        <v>1970</v>
      </c>
      <c r="I76" s="2">
        <v>2053</v>
      </c>
      <c r="J76" s="2">
        <v>2491</v>
      </c>
      <c r="K76" s="2">
        <v>3490</v>
      </c>
      <c r="L76" s="2">
        <v>4374</v>
      </c>
      <c r="M76" s="2">
        <v>4841.45</v>
      </c>
      <c r="N76" s="2">
        <v>5115.45</v>
      </c>
      <c r="O76" s="2">
        <v>5076.45</v>
      </c>
      <c r="P76" s="2">
        <v>5076.45</v>
      </c>
      <c r="Q76" s="2">
        <v>5376.45</v>
      </c>
      <c r="R76" s="2">
        <v>5536.45</v>
      </c>
      <c r="S76" s="2">
        <v>5536.45</v>
      </c>
      <c r="T76" s="2">
        <v>5536.45</v>
      </c>
      <c r="U76" s="2">
        <v>5536.45</v>
      </c>
      <c r="V76" s="2">
        <v>5536.45</v>
      </c>
      <c r="W76" s="2">
        <v>5536.45</v>
      </c>
      <c r="X76" s="2">
        <v>5586.45</v>
      </c>
      <c r="Y76" s="2">
        <v>5586.45</v>
      </c>
      <c r="Z76" s="2">
        <v>5636.45</v>
      </c>
      <c r="AA76" s="2">
        <v>5686.45</v>
      </c>
      <c r="AB76" s="2">
        <v>5736.45</v>
      </c>
      <c r="AC76" s="2">
        <v>5786.45</v>
      </c>
      <c r="AD76" s="2">
        <v>5836.45</v>
      </c>
      <c r="AE76" s="2">
        <v>5886.45</v>
      </c>
      <c r="AF76" s="2">
        <v>5936.45</v>
      </c>
      <c r="AG76" s="2">
        <v>5986.45</v>
      </c>
      <c r="AH76" s="2">
        <v>6036.45</v>
      </c>
      <c r="AI76" s="2">
        <v>6086.45</v>
      </c>
      <c r="AJ76" s="2">
        <v>6136.45</v>
      </c>
      <c r="AK76" s="2">
        <v>6186.45</v>
      </c>
      <c r="AL76" s="2">
        <v>6236.45</v>
      </c>
      <c r="AM76" s="2">
        <v>6286.45</v>
      </c>
      <c r="AN76" s="2">
        <v>6336.45</v>
      </c>
      <c r="AO76" s="2">
        <v>6386.45</v>
      </c>
      <c r="AP76" s="2">
        <v>6436.45</v>
      </c>
      <c r="AQ76" s="2">
        <v>6486.45</v>
      </c>
      <c r="AR76" s="2">
        <v>6536.45</v>
      </c>
      <c r="AS76" s="2">
        <v>6586.45</v>
      </c>
      <c r="AT76" s="2">
        <v>6636.45</v>
      </c>
      <c r="AU76" s="2">
        <v>6686.45</v>
      </c>
    </row>
    <row r="77" spans="1:47" x14ac:dyDescent="0.3">
      <c r="A77" s="2" t="s">
        <v>56</v>
      </c>
      <c r="B77" s="2">
        <v>209</v>
      </c>
      <c r="C77" s="2">
        <v>176</v>
      </c>
      <c r="D77" s="2">
        <v>176</v>
      </c>
      <c r="E77" s="2">
        <v>148</v>
      </c>
      <c r="F77" s="2">
        <v>207</v>
      </c>
      <c r="G77" s="2">
        <v>207</v>
      </c>
      <c r="H77" s="2">
        <v>207</v>
      </c>
      <c r="I77" s="2">
        <v>207</v>
      </c>
      <c r="J77" s="2">
        <v>207</v>
      </c>
      <c r="K77" s="2">
        <v>592</v>
      </c>
      <c r="L77" s="2">
        <v>465.4</v>
      </c>
      <c r="M77" s="2">
        <v>801.3</v>
      </c>
      <c r="N77" s="2">
        <v>692.7</v>
      </c>
      <c r="O77" s="2">
        <v>692.7</v>
      </c>
      <c r="P77" s="2">
        <v>492.7</v>
      </c>
      <c r="Q77" s="2">
        <v>492.7</v>
      </c>
      <c r="R77" s="2">
        <v>492.7</v>
      </c>
      <c r="S77" s="2">
        <v>492.7</v>
      </c>
      <c r="T77" s="2">
        <v>492.7</v>
      </c>
      <c r="U77" s="2">
        <v>492.7</v>
      </c>
      <c r="V77" s="2">
        <v>492.7</v>
      </c>
      <c r="W77" s="2">
        <v>492.7</v>
      </c>
      <c r="X77" s="2">
        <v>492.7</v>
      </c>
      <c r="Y77" s="2">
        <v>492.7</v>
      </c>
      <c r="Z77" s="2">
        <v>492.7</v>
      </c>
      <c r="AA77" s="2">
        <v>492.7</v>
      </c>
      <c r="AB77" s="2">
        <v>492.7</v>
      </c>
      <c r="AC77" s="2">
        <v>492.7</v>
      </c>
      <c r="AD77" s="2">
        <v>492.7</v>
      </c>
      <c r="AE77" s="2">
        <v>492.7</v>
      </c>
      <c r="AF77" s="2">
        <v>492.7</v>
      </c>
      <c r="AG77" s="2">
        <v>492.7</v>
      </c>
      <c r="AH77" s="2">
        <v>492.7</v>
      </c>
      <c r="AI77" s="2">
        <v>492.7</v>
      </c>
      <c r="AJ77" s="2">
        <v>492.7</v>
      </c>
      <c r="AK77" s="2">
        <v>492.7</v>
      </c>
      <c r="AL77" s="2">
        <v>492.7</v>
      </c>
      <c r="AM77" s="2">
        <v>492.7</v>
      </c>
      <c r="AN77" s="2">
        <v>492.7</v>
      </c>
      <c r="AO77" s="2">
        <v>492.7</v>
      </c>
      <c r="AP77" s="2">
        <v>492.7</v>
      </c>
      <c r="AQ77" s="2">
        <v>492.7</v>
      </c>
      <c r="AR77" s="2">
        <v>492.7</v>
      </c>
      <c r="AS77" s="2">
        <v>492.7</v>
      </c>
      <c r="AT77" s="2">
        <v>492.7</v>
      </c>
      <c r="AU77" s="2">
        <v>492.7</v>
      </c>
    </row>
    <row r="78" spans="1:47" x14ac:dyDescent="0.3">
      <c r="A78" s="2" t="s">
        <v>57</v>
      </c>
      <c r="B78" s="2">
        <v>16.75</v>
      </c>
      <c r="C78" s="2">
        <v>20.48</v>
      </c>
      <c r="D78" s="2">
        <v>25.77</v>
      </c>
      <c r="E78" s="2">
        <v>32.72</v>
      </c>
      <c r="F78" s="2">
        <v>94.57</v>
      </c>
      <c r="G78" s="2">
        <v>281.13</v>
      </c>
      <c r="H78" s="2">
        <v>419.4</v>
      </c>
      <c r="I78" s="2">
        <v>645.29999999999995</v>
      </c>
      <c r="J78" s="2">
        <v>1018.7</v>
      </c>
      <c r="K78" s="2">
        <v>1509.4</v>
      </c>
      <c r="L78" s="2">
        <v>2119</v>
      </c>
      <c r="M78" s="2">
        <v>2400.46</v>
      </c>
      <c r="N78" s="2">
        <v>2580.46</v>
      </c>
      <c r="O78" s="2">
        <v>2669.46</v>
      </c>
      <c r="P78" s="2">
        <v>2669.46</v>
      </c>
      <c r="Q78" s="2">
        <v>2669.46</v>
      </c>
      <c r="R78" s="2">
        <v>2669.46</v>
      </c>
      <c r="S78" s="2">
        <v>2669.46</v>
      </c>
      <c r="T78" s="2">
        <v>2669.46</v>
      </c>
      <c r="U78" s="2">
        <v>2669.46</v>
      </c>
      <c r="V78" s="2">
        <v>2669.46</v>
      </c>
      <c r="W78" s="2">
        <v>2669.46</v>
      </c>
      <c r="X78" s="2">
        <v>2669.46</v>
      </c>
      <c r="Y78" s="2">
        <v>2669.46</v>
      </c>
      <c r="Z78" s="2">
        <v>2769.46</v>
      </c>
      <c r="AA78" s="2">
        <v>2869.46</v>
      </c>
      <c r="AB78" s="2">
        <v>2969.46</v>
      </c>
      <c r="AC78" s="2">
        <v>3069.46</v>
      </c>
      <c r="AD78" s="2">
        <v>3169.46</v>
      </c>
      <c r="AE78" s="2">
        <v>3269.46</v>
      </c>
      <c r="AF78" s="2">
        <v>3369.46</v>
      </c>
      <c r="AG78" s="2">
        <v>3469.46</v>
      </c>
      <c r="AH78" s="2">
        <v>3569.46</v>
      </c>
      <c r="AI78" s="2">
        <v>3669.46</v>
      </c>
      <c r="AJ78" s="2">
        <v>3769.46</v>
      </c>
      <c r="AK78" s="2">
        <v>3869.46</v>
      </c>
      <c r="AL78" s="2">
        <v>3969.46</v>
      </c>
      <c r="AM78" s="2">
        <v>4069.46</v>
      </c>
      <c r="AN78" s="2">
        <v>4169.46</v>
      </c>
      <c r="AO78" s="2">
        <v>4269.46</v>
      </c>
      <c r="AP78" s="2">
        <v>4369.46</v>
      </c>
      <c r="AQ78" s="2">
        <v>4469.46</v>
      </c>
      <c r="AR78" s="2">
        <v>4569.46</v>
      </c>
      <c r="AS78" s="2">
        <v>4669.46</v>
      </c>
      <c r="AT78" s="2">
        <v>4769.46</v>
      </c>
      <c r="AU78" s="2">
        <v>4869.46</v>
      </c>
    </row>
    <row r="79" spans="1:47" x14ac:dyDescent="0.3">
      <c r="A79" s="2" t="s">
        <v>58</v>
      </c>
      <c r="B79" s="2">
        <v>11450</v>
      </c>
      <c r="C79" s="2">
        <v>11990</v>
      </c>
      <c r="D79" s="2">
        <v>11990</v>
      </c>
      <c r="E79" s="2">
        <v>11990</v>
      </c>
      <c r="F79" s="2">
        <v>11990</v>
      </c>
      <c r="G79" s="2">
        <v>11990</v>
      </c>
      <c r="H79" s="2">
        <v>11990</v>
      </c>
      <c r="I79" s="2">
        <v>11990</v>
      </c>
      <c r="J79" s="2">
        <v>13640</v>
      </c>
      <c r="K79" s="2">
        <v>13568</v>
      </c>
      <c r="L79" s="2">
        <v>13568</v>
      </c>
      <c r="M79" s="2">
        <v>13568</v>
      </c>
      <c r="N79" s="2">
        <v>12633</v>
      </c>
      <c r="O79" s="2">
        <v>12633</v>
      </c>
      <c r="P79" s="2">
        <v>12633</v>
      </c>
      <c r="Q79" s="2">
        <v>11808</v>
      </c>
      <c r="R79" s="2">
        <v>11808</v>
      </c>
      <c r="S79" s="2">
        <v>10873</v>
      </c>
      <c r="T79" s="2">
        <v>9113</v>
      </c>
      <c r="U79" s="2">
        <v>10873</v>
      </c>
      <c r="V79" s="2">
        <v>8971</v>
      </c>
      <c r="W79" s="2">
        <v>7746</v>
      </c>
      <c r="X79" s="2">
        <v>8684</v>
      </c>
      <c r="Y79" s="2">
        <v>9524</v>
      </c>
      <c r="Z79" s="2">
        <v>8702</v>
      </c>
      <c r="AA79" s="2">
        <v>9542</v>
      </c>
      <c r="AB79" s="2">
        <v>8720</v>
      </c>
      <c r="AC79" s="2">
        <v>9560</v>
      </c>
      <c r="AD79" s="2">
        <v>9565</v>
      </c>
      <c r="AE79" s="2">
        <v>10405</v>
      </c>
      <c r="AF79" s="2">
        <v>10405</v>
      </c>
      <c r="AG79" s="2">
        <v>10405</v>
      </c>
      <c r="AH79" s="2">
        <v>10410</v>
      </c>
      <c r="AI79" s="2">
        <v>10410</v>
      </c>
      <c r="AJ79" s="2">
        <v>10420</v>
      </c>
      <c r="AK79" s="2">
        <v>10440</v>
      </c>
      <c r="AL79" s="2">
        <v>10460</v>
      </c>
      <c r="AM79" s="2">
        <v>10480</v>
      </c>
      <c r="AN79" s="2">
        <v>10500</v>
      </c>
      <c r="AO79" s="2">
        <v>10525</v>
      </c>
      <c r="AP79" s="2">
        <v>10550</v>
      </c>
      <c r="AQ79" s="2">
        <v>10600</v>
      </c>
      <c r="AR79" s="2">
        <v>10700</v>
      </c>
      <c r="AS79" s="2">
        <v>10800</v>
      </c>
      <c r="AT79" s="2">
        <v>10900</v>
      </c>
      <c r="AU79" s="2">
        <v>10900</v>
      </c>
    </row>
    <row r="80" spans="1:47" x14ac:dyDescent="0.3">
      <c r="A80" s="2" t="s">
        <v>59</v>
      </c>
      <c r="B80" s="2">
        <v>6226</v>
      </c>
      <c r="C80" s="2">
        <v>6118</v>
      </c>
      <c r="D80" s="2">
        <v>6128</v>
      </c>
      <c r="E80" s="2">
        <v>5949</v>
      </c>
      <c r="F80" s="2">
        <v>5949</v>
      </c>
      <c r="G80" s="2">
        <v>4487</v>
      </c>
      <c r="H80" s="2">
        <v>4064</v>
      </c>
      <c r="I80" s="2">
        <v>3296</v>
      </c>
      <c r="J80" s="2">
        <v>2291</v>
      </c>
      <c r="K80" s="2">
        <v>153</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row>
    <row r="81" spans="1:47" x14ac:dyDescent="0.3">
      <c r="A81" s="2" t="s">
        <v>60</v>
      </c>
      <c r="B81" s="2">
        <v>4916.91</v>
      </c>
      <c r="C81" s="2">
        <v>5007.2700000000004</v>
      </c>
      <c r="D81" s="2">
        <v>5005.4399999999996</v>
      </c>
      <c r="E81" s="2">
        <v>6361.94</v>
      </c>
      <c r="F81" s="2">
        <v>6022.17</v>
      </c>
      <c r="G81" s="2">
        <v>8870.89</v>
      </c>
      <c r="H81" s="2">
        <v>9094.02</v>
      </c>
      <c r="I81" s="2">
        <v>9276.02</v>
      </c>
      <c r="J81" s="2">
        <v>9314.02</v>
      </c>
      <c r="K81" s="2">
        <v>8949.34</v>
      </c>
      <c r="L81" s="2">
        <v>9556.34</v>
      </c>
      <c r="M81" s="2">
        <v>9629.6299999999992</v>
      </c>
      <c r="N81" s="2">
        <v>9918.6299999999992</v>
      </c>
      <c r="O81" s="2">
        <v>9918.6299999999992</v>
      </c>
      <c r="P81" s="2">
        <v>9918.6299999999992</v>
      </c>
      <c r="Q81" s="2">
        <v>10903.63</v>
      </c>
      <c r="R81" s="2">
        <v>10903.63</v>
      </c>
      <c r="S81" s="2">
        <v>10903.63</v>
      </c>
      <c r="T81" s="2">
        <v>10903.63</v>
      </c>
      <c r="U81" s="2">
        <v>10903.63</v>
      </c>
      <c r="V81" s="2">
        <v>10903.63</v>
      </c>
      <c r="W81" s="2">
        <v>10903.63</v>
      </c>
      <c r="X81" s="2">
        <v>10903.63</v>
      </c>
      <c r="Y81" s="2">
        <v>10903.63</v>
      </c>
      <c r="Z81" s="2">
        <v>10903.63</v>
      </c>
      <c r="AA81" s="2">
        <v>10903.63</v>
      </c>
      <c r="AB81" s="2">
        <v>10903.63</v>
      </c>
      <c r="AC81" s="2">
        <v>10903.63</v>
      </c>
      <c r="AD81" s="2">
        <v>10903.63</v>
      </c>
      <c r="AE81" s="2">
        <v>10903.63</v>
      </c>
      <c r="AF81" s="2">
        <v>10903.63</v>
      </c>
      <c r="AG81" s="2">
        <v>10903.63</v>
      </c>
      <c r="AH81" s="2">
        <v>10903.63</v>
      </c>
      <c r="AI81" s="2">
        <v>10903.63</v>
      </c>
      <c r="AJ81" s="2">
        <v>10903.63</v>
      </c>
      <c r="AK81" s="2">
        <v>10903.63</v>
      </c>
      <c r="AL81" s="2">
        <v>10903.63</v>
      </c>
      <c r="AM81" s="2">
        <v>10903.63</v>
      </c>
      <c r="AN81" s="2">
        <v>10903.63</v>
      </c>
      <c r="AO81" s="2">
        <v>10903.63</v>
      </c>
      <c r="AP81" s="2">
        <v>10903.63</v>
      </c>
      <c r="AQ81" s="2">
        <v>10903.63</v>
      </c>
      <c r="AR81" s="2">
        <v>10903.63</v>
      </c>
      <c r="AS81" s="2">
        <v>10903.63</v>
      </c>
      <c r="AT81" s="2">
        <v>10903.63</v>
      </c>
      <c r="AU81" s="2">
        <v>10903.63</v>
      </c>
    </row>
    <row r="82" spans="1:47" x14ac:dyDescent="0.3">
      <c r="A82" s="2" t="s">
        <v>61</v>
      </c>
      <c r="B82" s="2">
        <v>115.81</v>
      </c>
      <c r="C82" s="2">
        <v>115.81</v>
      </c>
      <c r="D82" s="2">
        <v>115.81</v>
      </c>
      <c r="E82" s="2">
        <v>115.81</v>
      </c>
      <c r="F82" s="2">
        <v>115.81</v>
      </c>
      <c r="G82" s="2">
        <v>249.32</v>
      </c>
      <c r="H82" s="2">
        <v>249.32</v>
      </c>
      <c r="I82" s="2">
        <v>249.32</v>
      </c>
      <c r="J82" s="2">
        <v>249.32</v>
      </c>
      <c r="K82" s="2">
        <v>250.45</v>
      </c>
      <c r="L82" s="2">
        <v>250.45</v>
      </c>
      <c r="M82" s="2">
        <v>250.45</v>
      </c>
      <c r="N82" s="2">
        <v>250.45</v>
      </c>
      <c r="O82" s="2">
        <v>250.45</v>
      </c>
      <c r="P82" s="2">
        <v>250.45</v>
      </c>
      <c r="Q82" s="2">
        <v>250.45</v>
      </c>
      <c r="R82" s="2">
        <v>250.45</v>
      </c>
      <c r="S82" s="2">
        <v>250.45</v>
      </c>
      <c r="T82" s="2">
        <v>250.45</v>
      </c>
      <c r="U82" s="2">
        <v>250.45</v>
      </c>
      <c r="V82" s="2">
        <v>250.45</v>
      </c>
      <c r="W82" s="2">
        <v>250.45</v>
      </c>
      <c r="X82" s="2">
        <v>250.45</v>
      </c>
      <c r="Y82" s="2">
        <v>250.45</v>
      </c>
      <c r="Z82" s="2">
        <v>250.45</v>
      </c>
      <c r="AA82" s="2">
        <v>250.45</v>
      </c>
      <c r="AB82" s="2">
        <v>250.45</v>
      </c>
      <c r="AC82" s="2">
        <v>250.45</v>
      </c>
      <c r="AD82" s="2">
        <v>250.45</v>
      </c>
      <c r="AE82" s="2">
        <v>250.45</v>
      </c>
      <c r="AF82" s="2">
        <v>250.45</v>
      </c>
      <c r="AG82" s="2">
        <v>250.45</v>
      </c>
      <c r="AH82" s="2">
        <v>250.45</v>
      </c>
      <c r="AI82" s="2">
        <v>250.45</v>
      </c>
      <c r="AJ82" s="2">
        <v>250.45</v>
      </c>
      <c r="AK82" s="2">
        <v>250.45</v>
      </c>
      <c r="AL82" s="2">
        <v>250.45</v>
      </c>
      <c r="AM82" s="2">
        <v>250.45</v>
      </c>
      <c r="AN82" s="2">
        <v>250.45</v>
      </c>
      <c r="AO82" s="2">
        <v>250.45</v>
      </c>
      <c r="AP82" s="2">
        <v>250.45</v>
      </c>
      <c r="AQ82" s="2">
        <v>250.45</v>
      </c>
      <c r="AR82" s="2">
        <v>250.45</v>
      </c>
      <c r="AS82" s="2">
        <v>250.45</v>
      </c>
      <c r="AT82" s="2">
        <v>250.45</v>
      </c>
      <c r="AU82" s="2">
        <v>250.45</v>
      </c>
    </row>
    <row r="84" spans="1:47" ht="18" x14ac:dyDescent="0.35">
      <c r="A84" s="4" t="s">
        <v>68</v>
      </c>
    </row>
    <row r="85" spans="1:47" x14ac:dyDescent="0.3">
      <c r="A85" s="2" t="s">
        <v>7</v>
      </c>
      <c r="B85" s="2" t="s">
        <v>8</v>
      </c>
      <c r="C85" s="2" t="s">
        <v>9</v>
      </c>
      <c r="D85" s="2" t="s">
        <v>10</v>
      </c>
      <c r="E85" s="2" t="s">
        <v>11</v>
      </c>
      <c r="F85" s="2" t="s">
        <v>12</v>
      </c>
      <c r="G85" s="2" t="s">
        <v>13</v>
      </c>
      <c r="H85" s="2" t="s">
        <v>14</v>
      </c>
      <c r="I85" s="2" t="s">
        <v>15</v>
      </c>
      <c r="J85" s="2" t="s">
        <v>16</v>
      </c>
      <c r="K85" s="2" t="s">
        <v>17</v>
      </c>
      <c r="L85" s="2" t="s">
        <v>18</v>
      </c>
      <c r="M85" s="2" t="s">
        <v>19</v>
      </c>
      <c r="N85" s="2" t="s">
        <v>20</v>
      </c>
      <c r="O85" s="2" t="s">
        <v>21</v>
      </c>
      <c r="P85" s="2" t="s">
        <v>22</v>
      </c>
      <c r="Q85" s="2" t="s">
        <v>23</v>
      </c>
      <c r="R85" s="2" t="s">
        <v>24</v>
      </c>
      <c r="S85" s="2" t="s">
        <v>25</v>
      </c>
      <c r="T85" s="2" t="s">
        <v>26</v>
      </c>
      <c r="U85" s="2" t="s">
        <v>27</v>
      </c>
      <c r="V85" s="2" t="s">
        <v>28</v>
      </c>
      <c r="W85" s="2" t="s">
        <v>29</v>
      </c>
      <c r="X85" s="2" t="s">
        <v>30</v>
      </c>
      <c r="Y85" s="2" t="s">
        <v>31</v>
      </c>
      <c r="Z85" s="2" t="s">
        <v>32</v>
      </c>
      <c r="AA85" s="2" t="s">
        <v>33</v>
      </c>
      <c r="AB85" s="2" t="s">
        <v>34</v>
      </c>
      <c r="AC85" s="2" t="s">
        <v>35</v>
      </c>
      <c r="AD85" s="2" t="s">
        <v>36</v>
      </c>
      <c r="AE85" s="2" t="s">
        <v>37</v>
      </c>
      <c r="AF85" s="2" t="s">
        <v>38</v>
      </c>
      <c r="AG85" s="2" t="s">
        <v>39</v>
      </c>
      <c r="AH85" s="2" t="s">
        <v>40</v>
      </c>
      <c r="AI85" s="2" t="s">
        <v>41</v>
      </c>
      <c r="AJ85" s="2" t="s">
        <v>42</v>
      </c>
      <c r="AK85" s="2" t="s">
        <v>43</v>
      </c>
      <c r="AL85" s="2" t="s">
        <v>44</v>
      </c>
      <c r="AM85" s="2" t="s">
        <v>45</v>
      </c>
      <c r="AN85" s="2" t="s">
        <v>46</v>
      </c>
      <c r="AO85" s="2" t="s">
        <v>47</v>
      </c>
      <c r="AP85" s="2" t="s">
        <v>48</v>
      </c>
      <c r="AQ85" s="2" t="s">
        <v>49</v>
      </c>
      <c r="AR85" s="2" t="s">
        <v>50</v>
      </c>
      <c r="AS85" s="2" t="s">
        <v>51</v>
      </c>
      <c r="AT85" s="2" t="s">
        <v>52</v>
      </c>
      <c r="AU85" s="2" t="s">
        <v>53</v>
      </c>
    </row>
    <row r="86" spans="1:47" x14ac:dyDescent="0.3">
      <c r="A86" s="2" t="s">
        <v>54</v>
      </c>
      <c r="B86" s="2">
        <v>5053.63</v>
      </c>
      <c r="C86" s="2">
        <v>5053.63</v>
      </c>
      <c r="D86" s="2">
        <v>5053.63</v>
      </c>
      <c r="E86" s="2">
        <v>5053.63</v>
      </c>
      <c r="F86" s="2">
        <v>5053.63</v>
      </c>
      <c r="G86" s="2">
        <v>5053.63</v>
      </c>
      <c r="H86" s="2">
        <v>5053.63</v>
      </c>
      <c r="I86" s="2">
        <v>5053.63</v>
      </c>
      <c r="J86" s="2">
        <v>5254.63</v>
      </c>
      <c r="K86" s="2">
        <v>5313.05</v>
      </c>
      <c r="L86" s="2">
        <v>5349.16</v>
      </c>
      <c r="M86" s="2">
        <v>5349.16</v>
      </c>
      <c r="N86" s="2">
        <v>5349.16</v>
      </c>
      <c r="O86" s="2">
        <v>5349.16</v>
      </c>
      <c r="P86" s="2">
        <v>5349.16</v>
      </c>
      <c r="Q86" s="2">
        <v>5349.16</v>
      </c>
      <c r="R86" s="2">
        <v>5449.16</v>
      </c>
      <c r="S86" s="2">
        <v>6049.16</v>
      </c>
      <c r="T86" s="2">
        <v>6049.16</v>
      </c>
      <c r="U86" s="2">
        <v>6049.16</v>
      </c>
      <c r="V86" s="2">
        <v>6049.16</v>
      </c>
      <c r="W86" s="2">
        <v>6049.16</v>
      </c>
      <c r="X86" s="2">
        <v>6049.16</v>
      </c>
      <c r="Y86" s="2">
        <v>6049.16</v>
      </c>
      <c r="Z86" s="2">
        <v>6049.16</v>
      </c>
      <c r="AA86" s="2">
        <v>6049.16</v>
      </c>
      <c r="AB86" s="2">
        <v>6049.16</v>
      </c>
      <c r="AC86" s="2">
        <v>6049.16</v>
      </c>
      <c r="AD86" s="2">
        <v>6049.16</v>
      </c>
      <c r="AE86" s="2">
        <v>6072.76</v>
      </c>
      <c r="AF86" s="2">
        <v>6094</v>
      </c>
      <c r="AG86" s="2">
        <v>6113.12</v>
      </c>
      <c r="AH86" s="2">
        <v>6130.32</v>
      </c>
      <c r="AI86" s="2">
        <v>6130.32</v>
      </c>
      <c r="AJ86" s="2">
        <v>6130.32</v>
      </c>
      <c r="AK86" s="2">
        <v>6145.8</v>
      </c>
      <c r="AL86" s="2">
        <v>6145.8</v>
      </c>
      <c r="AM86" s="2">
        <v>6145.8</v>
      </c>
      <c r="AN86" s="2">
        <v>6145.8</v>
      </c>
      <c r="AO86" s="2">
        <v>6145.8</v>
      </c>
      <c r="AP86" s="2">
        <v>6145.8</v>
      </c>
      <c r="AQ86" s="2">
        <v>6159.74</v>
      </c>
      <c r="AR86" s="2">
        <v>6159.74</v>
      </c>
      <c r="AS86" s="2">
        <v>6159.74</v>
      </c>
      <c r="AT86" s="2">
        <v>6159.74</v>
      </c>
      <c r="AU86" s="2">
        <v>6159.74</v>
      </c>
    </row>
    <row r="87" spans="1:47" x14ac:dyDescent="0.3">
      <c r="A87" s="2" t="s">
        <v>55</v>
      </c>
      <c r="B87" s="2">
        <v>20</v>
      </c>
      <c r="C87" s="2">
        <v>103.95</v>
      </c>
      <c r="D87" s="2">
        <v>103.95</v>
      </c>
      <c r="E87" s="2">
        <v>103.95</v>
      </c>
      <c r="F87" s="2">
        <v>103.95</v>
      </c>
      <c r="G87" s="2">
        <v>103.95</v>
      </c>
      <c r="H87" s="2">
        <v>241.95</v>
      </c>
      <c r="I87" s="2">
        <v>258.45</v>
      </c>
      <c r="J87" s="2">
        <v>258.45</v>
      </c>
      <c r="K87" s="2">
        <v>258.45</v>
      </c>
      <c r="L87" s="2">
        <v>258.45</v>
      </c>
      <c r="M87" s="2">
        <v>258.45</v>
      </c>
      <c r="N87" s="2">
        <v>258.45</v>
      </c>
      <c r="O87" s="2">
        <v>258.45</v>
      </c>
      <c r="P87" s="2">
        <v>258.45</v>
      </c>
      <c r="Q87" s="2">
        <v>258.45</v>
      </c>
      <c r="R87" s="2">
        <v>258.45</v>
      </c>
      <c r="S87" s="2">
        <v>258.45</v>
      </c>
      <c r="T87" s="2">
        <v>258.45</v>
      </c>
      <c r="U87" s="2">
        <v>258.45</v>
      </c>
      <c r="V87" s="2">
        <v>258.45</v>
      </c>
      <c r="W87" s="2">
        <v>292.49</v>
      </c>
      <c r="X87" s="2">
        <v>327.45999999999998</v>
      </c>
      <c r="Y87" s="2">
        <v>363.26</v>
      </c>
      <c r="Z87" s="2">
        <v>399.77</v>
      </c>
      <c r="AA87" s="2">
        <v>436.72</v>
      </c>
      <c r="AB87" s="2">
        <v>474.15</v>
      </c>
      <c r="AC87" s="2">
        <v>512.04999999999995</v>
      </c>
      <c r="AD87" s="2">
        <v>550.21</v>
      </c>
      <c r="AE87" s="2">
        <v>588.65</v>
      </c>
      <c r="AF87" s="2">
        <v>627.38</v>
      </c>
      <c r="AG87" s="2">
        <v>666.34</v>
      </c>
      <c r="AH87" s="2">
        <v>705.55</v>
      </c>
      <c r="AI87" s="2">
        <v>744.91</v>
      </c>
      <c r="AJ87" s="2">
        <v>784.41</v>
      </c>
      <c r="AK87" s="2">
        <v>823.96</v>
      </c>
      <c r="AL87" s="2">
        <v>863.56</v>
      </c>
      <c r="AM87" s="2">
        <v>903.22</v>
      </c>
      <c r="AN87" s="2">
        <v>942.9</v>
      </c>
      <c r="AO87" s="2">
        <v>982.64</v>
      </c>
      <c r="AP87" s="2">
        <v>1022.43</v>
      </c>
      <c r="AQ87" s="2">
        <v>1062.29</v>
      </c>
      <c r="AR87" s="2">
        <v>1102.22</v>
      </c>
      <c r="AS87" s="2">
        <v>1142.24</v>
      </c>
      <c r="AT87" s="2">
        <v>1182.3399999999999</v>
      </c>
      <c r="AU87" s="2">
        <v>1222.92</v>
      </c>
    </row>
    <row r="88" spans="1:47" x14ac:dyDescent="0.3">
      <c r="A88" s="2" t="s">
        <v>56</v>
      </c>
      <c r="B88" s="2">
        <v>22</v>
      </c>
      <c r="C88" s="2">
        <v>22</v>
      </c>
      <c r="D88" s="2">
        <v>22</v>
      </c>
      <c r="E88" s="2">
        <v>22</v>
      </c>
      <c r="F88" s="2">
        <v>22</v>
      </c>
      <c r="G88" s="2">
        <v>22</v>
      </c>
      <c r="H88" s="2">
        <v>22</v>
      </c>
      <c r="I88" s="2">
        <v>22</v>
      </c>
      <c r="J88" s="2">
        <v>22</v>
      </c>
      <c r="K88" s="2">
        <v>22</v>
      </c>
      <c r="L88" s="2">
        <v>22</v>
      </c>
      <c r="M88" s="2">
        <v>22</v>
      </c>
      <c r="N88" s="2">
        <v>22</v>
      </c>
      <c r="O88" s="2">
        <v>22</v>
      </c>
      <c r="P88" s="2">
        <v>22</v>
      </c>
      <c r="Q88" s="2">
        <v>22</v>
      </c>
      <c r="R88" s="2">
        <v>22</v>
      </c>
      <c r="S88" s="2">
        <v>22</v>
      </c>
      <c r="T88" s="2">
        <v>22</v>
      </c>
      <c r="U88" s="2">
        <v>22</v>
      </c>
      <c r="V88" s="2">
        <v>22</v>
      </c>
      <c r="W88" s="2">
        <v>22</v>
      </c>
      <c r="X88" s="2">
        <v>22</v>
      </c>
      <c r="Y88" s="2">
        <v>22</v>
      </c>
      <c r="Z88" s="2">
        <v>22</v>
      </c>
      <c r="AA88" s="2">
        <v>22</v>
      </c>
      <c r="AB88" s="2">
        <v>22</v>
      </c>
      <c r="AC88" s="2">
        <v>22</v>
      </c>
      <c r="AD88" s="2">
        <v>22</v>
      </c>
      <c r="AE88" s="2">
        <v>22</v>
      </c>
      <c r="AF88" s="2">
        <v>22</v>
      </c>
      <c r="AG88" s="2">
        <v>22</v>
      </c>
      <c r="AH88" s="2">
        <v>22</v>
      </c>
      <c r="AI88" s="2">
        <v>22</v>
      </c>
      <c r="AJ88" s="2">
        <v>22</v>
      </c>
      <c r="AK88" s="2">
        <v>22</v>
      </c>
      <c r="AL88" s="2">
        <v>22</v>
      </c>
      <c r="AM88" s="2">
        <v>22</v>
      </c>
      <c r="AN88" s="2">
        <v>22</v>
      </c>
      <c r="AO88" s="2">
        <v>22</v>
      </c>
      <c r="AP88" s="2">
        <v>22</v>
      </c>
      <c r="AQ88" s="2">
        <v>22</v>
      </c>
      <c r="AR88" s="2">
        <v>22</v>
      </c>
      <c r="AS88" s="2">
        <v>22</v>
      </c>
      <c r="AT88" s="2">
        <v>22</v>
      </c>
      <c r="AU88" s="2">
        <v>22</v>
      </c>
    </row>
    <row r="89" spans="1:47" x14ac:dyDescent="0.3">
      <c r="A89" s="2" t="s">
        <v>57</v>
      </c>
      <c r="B89" s="2">
        <v>0</v>
      </c>
      <c r="C89" s="2">
        <v>0</v>
      </c>
      <c r="D89" s="2">
        <v>0</v>
      </c>
      <c r="E89" s="2">
        <v>0</v>
      </c>
      <c r="F89" s="2">
        <v>0</v>
      </c>
      <c r="G89" s="2">
        <v>0</v>
      </c>
      <c r="H89" s="2">
        <v>0</v>
      </c>
      <c r="I89" s="2">
        <v>0</v>
      </c>
      <c r="J89" s="2">
        <v>1</v>
      </c>
      <c r="K89" s="2">
        <v>2</v>
      </c>
      <c r="L89" s="2">
        <v>3</v>
      </c>
      <c r="M89" s="2">
        <v>4</v>
      </c>
      <c r="N89" s="2">
        <v>5</v>
      </c>
      <c r="O89" s="2">
        <v>6</v>
      </c>
      <c r="P89" s="2">
        <v>6</v>
      </c>
      <c r="Q89" s="2">
        <v>6</v>
      </c>
      <c r="R89" s="2">
        <v>6</v>
      </c>
      <c r="S89" s="2">
        <v>6</v>
      </c>
      <c r="T89" s="2">
        <v>6</v>
      </c>
      <c r="U89" s="2">
        <v>6</v>
      </c>
      <c r="V89" s="2">
        <v>6</v>
      </c>
      <c r="W89" s="2">
        <v>6</v>
      </c>
      <c r="X89" s="2">
        <v>6</v>
      </c>
      <c r="Y89" s="2">
        <v>6</v>
      </c>
      <c r="Z89" s="2">
        <v>11</v>
      </c>
      <c r="AA89" s="2">
        <v>16</v>
      </c>
      <c r="AB89" s="2">
        <v>21</v>
      </c>
      <c r="AC89" s="2">
        <v>26</v>
      </c>
      <c r="AD89" s="2">
        <v>31</v>
      </c>
      <c r="AE89" s="2">
        <v>36</v>
      </c>
      <c r="AF89" s="2">
        <v>41</v>
      </c>
      <c r="AG89" s="2">
        <v>46</v>
      </c>
      <c r="AH89" s="2">
        <v>51</v>
      </c>
      <c r="AI89" s="2">
        <v>56</v>
      </c>
      <c r="AJ89" s="2">
        <v>61</v>
      </c>
      <c r="AK89" s="2">
        <v>66</v>
      </c>
      <c r="AL89" s="2">
        <v>71</v>
      </c>
      <c r="AM89" s="2">
        <v>76</v>
      </c>
      <c r="AN89" s="2">
        <v>81</v>
      </c>
      <c r="AO89" s="2">
        <v>86</v>
      </c>
      <c r="AP89" s="2">
        <v>91</v>
      </c>
      <c r="AQ89" s="2">
        <v>96</v>
      </c>
      <c r="AR89" s="2">
        <v>101</v>
      </c>
      <c r="AS89" s="2">
        <v>106</v>
      </c>
      <c r="AT89" s="2">
        <v>111</v>
      </c>
      <c r="AU89" s="2">
        <v>116</v>
      </c>
    </row>
    <row r="90" spans="1:47" x14ac:dyDescent="0.3">
      <c r="A90" s="2" t="s">
        <v>58</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row>
    <row r="91" spans="1:47" x14ac:dyDescent="0.3">
      <c r="A91" s="2" t="s">
        <v>59</v>
      </c>
      <c r="B91" s="2">
        <v>97.64</v>
      </c>
      <c r="C91" s="2">
        <v>97.64</v>
      </c>
      <c r="D91" s="2">
        <v>97.64</v>
      </c>
      <c r="E91" s="2">
        <v>97.64</v>
      </c>
      <c r="F91" s="2">
        <v>97.64</v>
      </c>
      <c r="G91" s="2">
        <v>97.64</v>
      </c>
      <c r="H91" s="2">
        <v>97.64</v>
      </c>
      <c r="I91" s="2">
        <v>97.64</v>
      </c>
      <c r="J91" s="2">
        <v>97.64</v>
      </c>
      <c r="K91" s="2">
        <v>97.64</v>
      </c>
      <c r="L91" s="2">
        <v>97.64</v>
      </c>
      <c r="M91" s="2">
        <v>97.64</v>
      </c>
      <c r="N91" s="2">
        <v>97.64</v>
      </c>
      <c r="O91" s="2">
        <v>97.64</v>
      </c>
      <c r="P91" s="2">
        <v>97.64</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row>
    <row r="92" spans="1:47" x14ac:dyDescent="0.3">
      <c r="A92" s="2" t="s">
        <v>60</v>
      </c>
      <c r="B92" s="2">
        <v>400.38</v>
      </c>
      <c r="C92" s="2">
        <v>400</v>
      </c>
      <c r="D92" s="2">
        <v>400</v>
      </c>
      <c r="E92" s="2">
        <v>400</v>
      </c>
      <c r="F92" s="2">
        <v>400</v>
      </c>
      <c r="G92" s="2">
        <v>400</v>
      </c>
      <c r="H92" s="2">
        <v>400</v>
      </c>
      <c r="I92" s="2">
        <v>400</v>
      </c>
      <c r="J92" s="2">
        <v>400</v>
      </c>
      <c r="K92" s="2">
        <v>407.68</v>
      </c>
      <c r="L92" s="2">
        <v>407.68</v>
      </c>
      <c r="M92" s="2">
        <v>402.61</v>
      </c>
      <c r="N92" s="2">
        <v>402.61</v>
      </c>
      <c r="O92" s="2">
        <v>402.61</v>
      </c>
      <c r="P92" s="2">
        <v>402.61</v>
      </c>
      <c r="Q92" s="2">
        <v>402.61</v>
      </c>
      <c r="R92" s="2">
        <v>402.61</v>
      </c>
      <c r="S92" s="2">
        <v>402.61</v>
      </c>
      <c r="T92" s="2">
        <v>402.61</v>
      </c>
      <c r="U92" s="2">
        <v>402.61</v>
      </c>
      <c r="V92" s="2">
        <v>402.61</v>
      </c>
      <c r="W92" s="2">
        <v>402.61</v>
      </c>
      <c r="X92" s="2">
        <v>402.61</v>
      </c>
      <c r="Y92" s="2">
        <v>402.61</v>
      </c>
      <c r="Z92" s="2">
        <v>402.61</v>
      </c>
      <c r="AA92" s="2">
        <v>402.61</v>
      </c>
      <c r="AB92" s="2">
        <v>402.61</v>
      </c>
      <c r="AC92" s="2">
        <v>402.61</v>
      </c>
      <c r="AD92" s="2">
        <v>402.61</v>
      </c>
      <c r="AE92" s="2">
        <v>402.61</v>
      </c>
      <c r="AF92" s="2">
        <v>402.61</v>
      </c>
      <c r="AG92" s="2">
        <v>402.61</v>
      </c>
      <c r="AH92" s="2">
        <v>402.61</v>
      </c>
      <c r="AI92" s="2">
        <v>402.61</v>
      </c>
      <c r="AJ92" s="2">
        <v>402.61</v>
      </c>
      <c r="AK92" s="2">
        <v>402.61</v>
      </c>
      <c r="AL92" s="2">
        <v>402.61</v>
      </c>
      <c r="AM92" s="2">
        <v>402.61</v>
      </c>
      <c r="AN92" s="2">
        <v>402.61</v>
      </c>
      <c r="AO92" s="2">
        <v>402.61</v>
      </c>
      <c r="AP92" s="2">
        <v>402.61</v>
      </c>
      <c r="AQ92" s="2">
        <v>402.61</v>
      </c>
      <c r="AR92" s="2">
        <v>402.61</v>
      </c>
      <c r="AS92" s="2">
        <v>402.61</v>
      </c>
      <c r="AT92" s="2">
        <v>402.61</v>
      </c>
      <c r="AU92" s="2">
        <v>402.61</v>
      </c>
    </row>
    <row r="93" spans="1:47" x14ac:dyDescent="0.3">
      <c r="A93" s="2" t="s">
        <v>61</v>
      </c>
      <c r="B93" s="2">
        <v>0</v>
      </c>
      <c r="C93" s="2">
        <v>0</v>
      </c>
      <c r="D93" s="2">
        <v>0</v>
      </c>
      <c r="E93" s="2">
        <v>0</v>
      </c>
      <c r="F93" s="2">
        <v>0</v>
      </c>
      <c r="G93" s="2">
        <v>0</v>
      </c>
      <c r="H93" s="2">
        <v>0</v>
      </c>
      <c r="I93" s="2">
        <v>0</v>
      </c>
      <c r="J93" s="2">
        <v>0</v>
      </c>
      <c r="K93" s="2">
        <v>4.93</v>
      </c>
      <c r="L93" s="2">
        <v>4.93</v>
      </c>
      <c r="M93" s="2">
        <v>4.93</v>
      </c>
      <c r="N93" s="2">
        <v>4.93</v>
      </c>
      <c r="O93" s="2">
        <v>4.93</v>
      </c>
      <c r="P93" s="2">
        <v>4.93</v>
      </c>
      <c r="Q93" s="2">
        <v>4.93</v>
      </c>
      <c r="R93" s="2">
        <v>4.93</v>
      </c>
      <c r="S93" s="2">
        <v>4.93</v>
      </c>
      <c r="T93" s="2">
        <v>4.93</v>
      </c>
      <c r="U93" s="2">
        <v>4.93</v>
      </c>
      <c r="V93" s="2">
        <v>4.93</v>
      </c>
      <c r="W93" s="2">
        <v>4.93</v>
      </c>
      <c r="X93" s="2">
        <v>4.93</v>
      </c>
      <c r="Y93" s="2">
        <v>4.93</v>
      </c>
      <c r="Z93" s="2">
        <v>4.93</v>
      </c>
      <c r="AA93" s="2">
        <v>4.93</v>
      </c>
      <c r="AB93" s="2">
        <v>4.93</v>
      </c>
      <c r="AC93" s="2">
        <v>4.93</v>
      </c>
      <c r="AD93" s="2">
        <v>4.93</v>
      </c>
      <c r="AE93" s="2">
        <v>4.93</v>
      </c>
      <c r="AF93" s="2">
        <v>4.93</v>
      </c>
      <c r="AG93" s="2">
        <v>4.93</v>
      </c>
      <c r="AH93" s="2">
        <v>4.93</v>
      </c>
      <c r="AI93" s="2">
        <v>4.93</v>
      </c>
      <c r="AJ93" s="2">
        <v>4.93</v>
      </c>
      <c r="AK93" s="2">
        <v>4.93</v>
      </c>
      <c r="AL93" s="2">
        <v>4.93</v>
      </c>
      <c r="AM93" s="2">
        <v>4.93</v>
      </c>
      <c r="AN93" s="2">
        <v>4.93</v>
      </c>
      <c r="AO93" s="2">
        <v>4.93</v>
      </c>
      <c r="AP93" s="2">
        <v>4.93</v>
      </c>
      <c r="AQ93" s="2">
        <v>4.93</v>
      </c>
      <c r="AR93" s="2">
        <v>4.93</v>
      </c>
      <c r="AS93" s="2">
        <v>4.93</v>
      </c>
      <c r="AT93" s="2">
        <v>4.93</v>
      </c>
      <c r="AU93" s="2">
        <v>4.93</v>
      </c>
    </row>
    <row r="95" spans="1:47" ht="18" x14ac:dyDescent="0.35">
      <c r="A95" s="4" t="s">
        <v>69</v>
      </c>
    </row>
    <row r="96" spans="1:47" x14ac:dyDescent="0.3">
      <c r="A96" s="2" t="s">
        <v>7</v>
      </c>
      <c r="B96" s="2" t="s">
        <v>8</v>
      </c>
      <c r="C96" s="2" t="s">
        <v>9</v>
      </c>
      <c r="D96" s="2" t="s">
        <v>10</v>
      </c>
      <c r="E96" s="2" t="s">
        <v>11</v>
      </c>
      <c r="F96" s="2" t="s">
        <v>12</v>
      </c>
      <c r="G96" s="2" t="s">
        <v>13</v>
      </c>
      <c r="H96" s="2" t="s">
        <v>14</v>
      </c>
      <c r="I96" s="2" t="s">
        <v>15</v>
      </c>
      <c r="J96" s="2" t="s">
        <v>16</v>
      </c>
      <c r="K96" s="2" t="s">
        <v>17</v>
      </c>
      <c r="L96" s="2" t="s">
        <v>18</v>
      </c>
      <c r="M96" s="2" t="s">
        <v>19</v>
      </c>
      <c r="N96" s="2" t="s">
        <v>20</v>
      </c>
      <c r="O96" s="2" t="s">
        <v>21</v>
      </c>
      <c r="P96" s="2" t="s">
        <v>22</v>
      </c>
      <c r="Q96" s="2" t="s">
        <v>23</v>
      </c>
      <c r="R96" s="2" t="s">
        <v>24</v>
      </c>
      <c r="S96" s="2" t="s">
        <v>25</v>
      </c>
      <c r="T96" s="2" t="s">
        <v>26</v>
      </c>
      <c r="U96" s="2" t="s">
        <v>27</v>
      </c>
      <c r="V96" s="2" t="s">
        <v>28</v>
      </c>
      <c r="W96" s="2" t="s">
        <v>29</v>
      </c>
      <c r="X96" s="2" t="s">
        <v>30</v>
      </c>
      <c r="Y96" s="2" t="s">
        <v>31</v>
      </c>
      <c r="Z96" s="2" t="s">
        <v>32</v>
      </c>
      <c r="AA96" s="2" t="s">
        <v>33</v>
      </c>
      <c r="AB96" s="2" t="s">
        <v>34</v>
      </c>
      <c r="AC96" s="2" t="s">
        <v>35</v>
      </c>
      <c r="AD96" s="2" t="s">
        <v>36</v>
      </c>
      <c r="AE96" s="2" t="s">
        <v>37</v>
      </c>
      <c r="AF96" s="2" t="s">
        <v>38</v>
      </c>
      <c r="AG96" s="2" t="s">
        <v>39</v>
      </c>
      <c r="AH96" s="2" t="s">
        <v>40</v>
      </c>
      <c r="AI96" s="2" t="s">
        <v>41</v>
      </c>
      <c r="AJ96" s="2" t="s">
        <v>42</v>
      </c>
      <c r="AK96" s="2" t="s">
        <v>43</v>
      </c>
      <c r="AL96" s="2" t="s">
        <v>44</v>
      </c>
      <c r="AM96" s="2" t="s">
        <v>45</v>
      </c>
      <c r="AN96" s="2" t="s">
        <v>46</v>
      </c>
      <c r="AO96" s="2" t="s">
        <v>47</v>
      </c>
      <c r="AP96" s="2" t="s">
        <v>48</v>
      </c>
      <c r="AQ96" s="2" t="s">
        <v>49</v>
      </c>
      <c r="AR96" s="2" t="s">
        <v>50</v>
      </c>
      <c r="AS96" s="2" t="s">
        <v>51</v>
      </c>
      <c r="AT96" s="2" t="s">
        <v>52</v>
      </c>
      <c r="AU96" s="2" t="s">
        <v>53</v>
      </c>
    </row>
    <row r="97" spans="1:47" x14ac:dyDescent="0.3">
      <c r="A97" s="2" t="s">
        <v>54</v>
      </c>
      <c r="B97" s="2">
        <v>869</v>
      </c>
      <c r="C97" s="2">
        <v>874</v>
      </c>
      <c r="D97" s="2">
        <v>874</v>
      </c>
      <c r="E97" s="2">
        <v>874</v>
      </c>
      <c r="F97" s="2">
        <v>874</v>
      </c>
      <c r="G97" s="2">
        <v>874</v>
      </c>
      <c r="H97" s="2">
        <v>879</v>
      </c>
      <c r="I97" s="2">
        <v>894</v>
      </c>
      <c r="J97" s="2">
        <v>894</v>
      </c>
      <c r="K97" s="2">
        <v>894</v>
      </c>
      <c r="L97" s="2">
        <v>894</v>
      </c>
      <c r="M97" s="2">
        <v>894.35</v>
      </c>
      <c r="N97" s="2">
        <v>894.35</v>
      </c>
      <c r="O97" s="2">
        <v>894.35</v>
      </c>
      <c r="P97" s="2">
        <v>894.35</v>
      </c>
      <c r="Q97" s="2">
        <v>894.35</v>
      </c>
      <c r="R97" s="2">
        <v>894.35</v>
      </c>
      <c r="S97" s="2">
        <v>894.35</v>
      </c>
      <c r="T97" s="2">
        <v>894.35</v>
      </c>
      <c r="U97" s="2">
        <v>894.35</v>
      </c>
      <c r="V97" s="2">
        <v>894.35</v>
      </c>
      <c r="W97" s="2">
        <v>894.35</v>
      </c>
      <c r="X97" s="2">
        <v>894.35</v>
      </c>
      <c r="Y97" s="2">
        <v>894.35</v>
      </c>
      <c r="Z97" s="2">
        <v>894.35</v>
      </c>
      <c r="AA97" s="2">
        <v>894.35</v>
      </c>
      <c r="AB97" s="2">
        <v>894.35</v>
      </c>
      <c r="AC97" s="2">
        <v>894.35</v>
      </c>
      <c r="AD97" s="2">
        <v>894.35</v>
      </c>
      <c r="AE97" s="2">
        <v>894.35</v>
      </c>
      <c r="AF97" s="2">
        <v>894.35</v>
      </c>
      <c r="AG97" s="2">
        <v>894.35</v>
      </c>
      <c r="AH97" s="2">
        <v>894.35</v>
      </c>
      <c r="AI97" s="2">
        <v>894.35</v>
      </c>
      <c r="AJ97" s="2">
        <v>894.35</v>
      </c>
      <c r="AK97" s="2">
        <v>894.35</v>
      </c>
      <c r="AL97" s="2">
        <v>894.35</v>
      </c>
      <c r="AM97" s="2">
        <v>894.35</v>
      </c>
      <c r="AN97" s="2">
        <v>894.35</v>
      </c>
      <c r="AO97" s="2">
        <v>894.35</v>
      </c>
      <c r="AP97" s="2">
        <v>894.35</v>
      </c>
      <c r="AQ97" s="2">
        <v>894.35</v>
      </c>
      <c r="AR97" s="2">
        <v>894.35</v>
      </c>
      <c r="AS97" s="2">
        <v>894.35</v>
      </c>
      <c r="AT97" s="2">
        <v>894.35</v>
      </c>
      <c r="AU97" s="2">
        <v>894.35</v>
      </c>
    </row>
    <row r="98" spans="1:47" x14ac:dyDescent="0.3">
      <c r="A98" s="2" t="s">
        <v>55</v>
      </c>
      <c r="B98" s="2">
        <v>251</v>
      </c>
      <c r="C98" s="2">
        <v>386</v>
      </c>
      <c r="D98" s="2">
        <v>525</v>
      </c>
      <c r="E98" s="2">
        <v>525</v>
      </c>
      <c r="F98" s="2">
        <v>591</v>
      </c>
      <c r="G98" s="2">
        <v>723</v>
      </c>
      <c r="H98" s="2">
        <v>865</v>
      </c>
      <c r="I98" s="2">
        <v>1088</v>
      </c>
      <c r="J98" s="2">
        <v>1088</v>
      </c>
      <c r="K98" s="2">
        <v>1434</v>
      </c>
      <c r="L98" s="2">
        <v>1463</v>
      </c>
      <c r="M98" s="2">
        <v>1466.76</v>
      </c>
      <c r="N98" s="2">
        <v>1466.76</v>
      </c>
      <c r="O98" s="2">
        <v>1466.76</v>
      </c>
      <c r="P98" s="2">
        <v>1466.76</v>
      </c>
      <c r="Q98" s="2">
        <v>1466.76</v>
      </c>
      <c r="R98" s="2">
        <v>1466.76</v>
      </c>
      <c r="S98" s="2">
        <v>2786.76</v>
      </c>
      <c r="T98" s="2">
        <v>2786.76</v>
      </c>
      <c r="U98" s="2">
        <v>2786.76</v>
      </c>
      <c r="V98" s="2">
        <v>2786.76</v>
      </c>
      <c r="W98" s="2">
        <v>2786.76</v>
      </c>
      <c r="X98" s="2">
        <v>2956.76</v>
      </c>
      <c r="Y98" s="2">
        <v>3056.76</v>
      </c>
      <c r="Z98" s="2">
        <v>3156.76</v>
      </c>
      <c r="AA98" s="2">
        <v>3556.76</v>
      </c>
      <c r="AB98" s="2">
        <v>3856.76</v>
      </c>
      <c r="AC98" s="2">
        <v>4256.76</v>
      </c>
      <c r="AD98" s="2">
        <v>4356.76</v>
      </c>
      <c r="AE98" s="2">
        <v>4456.76</v>
      </c>
      <c r="AF98" s="2">
        <v>4456.76</v>
      </c>
      <c r="AG98" s="2">
        <v>4556.76</v>
      </c>
      <c r="AH98" s="2">
        <v>4556.76</v>
      </c>
      <c r="AI98" s="2">
        <v>4656.76</v>
      </c>
      <c r="AJ98" s="2">
        <v>4656.76</v>
      </c>
      <c r="AK98" s="2">
        <v>4756.76</v>
      </c>
      <c r="AL98" s="2">
        <v>4756.76</v>
      </c>
      <c r="AM98" s="2">
        <v>4956.76</v>
      </c>
      <c r="AN98" s="2">
        <v>4956.76</v>
      </c>
      <c r="AO98" s="2">
        <v>5156.76</v>
      </c>
      <c r="AP98" s="2">
        <v>5156.76</v>
      </c>
      <c r="AQ98" s="2">
        <v>5356.76</v>
      </c>
      <c r="AR98" s="2">
        <v>5356.76</v>
      </c>
      <c r="AS98" s="2">
        <v>5556.76</v>
      </c>
      <c r="AT98" s="2">
        <v>5556.76</v>
      </c>
      <c r="AU98" s="2">
        <v>5556.76</v>
      </c>
    </row>
    <row r="99" spans="1:47" x14ac:dyDescent="0.3">
      <c r="A99" s="2" t="s">
        <v>56</v>
      </c>
      <c r="B99" s="2">
        <v>271</v>
      </c>
      <c r="C99" s="2">
        <v>313.10000000000002</v>
      </c>
      <c r="D99" s="2">
        <v>313.10000000000002</v>
      </c>
      <c r="E99" s="2">
        <v>313.10000000000002</v>
      </c>
      <c r="F99" s="2">
        <v>323.2</v>
      </c>
      <c r="G99" s="2">
        <v>340.2</v>
      </c>
      <c r="H99" s="2">
        <v>358.7</v>
      </c>
      <c r="I99" s="2">
        <v>413.8</v>
      </c>
      <c r="J99" s="2">
        <v>416.65</v>
      </c>
      <c r="K99" s="2">
        <v>438.3</v>
      </c>
      <c r="L99" s="2">
        <v>428</v>
      </c>
      <c r="M99" s="2">
        <v>281.61</v>
      </c>
      <c r="N99" s="2">
        <v>281.61</v>
      </c>
      <c r="O99" s="2">
        <v>272.61</v>
      </c>
      <c r="P99" s="2">
        <v>272.61</v>
      </c>
      <c r="Q99" s="2">
        <v>281.61</v>
      </c>
      <c r="R99" s="2">
        <v>281.61</v>
      </c>
      <c r="S99" s="2">
        <v>301.61</v>
      </c>
      <c r="T99" s="2">
        <v>351.61</v>
      </c>
      <c r="U99" s="2">
        <v>342.61</v>
      </c>
      <c r="V99" s="2">
        <v>351.61</v>
      </c>
      <c r="W99" s="2">
        <v>351.61</v>
      </c>
      <c r="X99" s="2">
        <v>342.61</v>
      </c>
      <c r="Y99" s="2">
        <v>392.61</v>
      </c>
      <c r="Z99" s="2">
        <v>392.61</v>
      </c>
      <c r="AA99" s="2">
        <v>401.61</v>
      </c>
      <c r="AB99" s="2">
        <v>392.61</v>
      </c>
      <c r="AC99" s="2">
        <v>392.61</v>
      </c>
      <c r="AD99" s="2">
        <v>451.61</v>
      </c>
      <c r="AE99" s="2">
        <v>451.61</v>
      </c>
      <c r="AF99" s="2">
        <v>442.61</v>
      </c>
      <c r="AG99" s="2">
        <v>442.61</v>
      </c>
      <c r="AH99" s="2">
        <v>451.61</v>
      </c>
      <c r="AI99" s="2">
        <v>451.61</v>
      </c>
      <c r="AJ99" s="2">
        <v>451.61</v>
      </c>
      <c r="AK99" s="2">
        <v>442.61</v>
      </c>
      <c r="AL99" s="2">
        <v>442.61</v>
      </c>
      <c r="AM99" s="2">
        <v>442.61</v>
      </c>
      <c r="AN99" s="2">
        <v>451.61</v>
      </c>
      <c r="AO99" s="2">
        <v>442.61</v>
      </c>
      <c r="AP99" s="2">
        <v>442.61</v>
      </c>
      <c r="AQ99" s="2">
        <v>442.61</v>
      </c>
      <c r="AR99" s="2">
        <v>442.61</v>
      </c>
      <c r="AS99" s="2">
        <v>442.61</v>
      </c>
      <c r="AT99" s="2">
        <v>451.61</v>
      </c>
      <c r="AU99" s="2">
        <v>451.61</v>
      </c>
    </row>
    <row r="100" spans="1:47" x14ac:dyDescent="0.3">
      <c r="A100" s="2" t="s">
        <v>57</v>
      </c>
      <c r="B100" s="2">
        <v>0</v>
      </c>
      <c r="C100" s="2">
        <v>0</v>
      </c>
      <c r="D100" s="2">
        <v>0</v>
      </c>
      <c r="E100" s="2">
        <v>0</v>
      </c>
      <c r="F100" s="2">
        <v>0</v>
      </c>
      <c r="G100" s="2">
        <v>0</v>
      </c>
      <c r="H100" s="2">
        <v>0</v>
      </c>
      <c r="I100" s="2">
        <v>2.1800000000000002</v>
      </c>
      <c r="J100" s="2">
        <v>4.47</v>
      </c>
      <c r="K100" s="2">
        <v>4.47</v>
      </c>
      <c r="L100" s="2">
        <v>4.47</v>
      </c>
      <c r="M100" s="2">
        <v>4.47</v>
      </c>
      <c r="N100" s="2">
        <v>21.47</v>
      </c>
      <c r="O100" s="2">
        <v>36.47</v>
      </c>
      <c r="P100" s="2">
        <v>36.47</v>
      </c>
      <c r="Q100" s="2">
        <v>36.47</v>
      </c>
      <c r="R100" s="2">
        <v>236.47</v>
      </c>
      <c r="S100" s="2">
        <v>636.47</v>
      </c>
      <c r="T100" s="2">
        <v>636.47</v>
      </c>
      <c r="U100" s="2">
        <v>636.47</v>
      </c>
      <c r="V100" s="2">
        <v>636.47</v>
      </c>
      <c r="W100" s="2">
        <v>736.47</v>
      </c>
      <c r="X100" s="2">
        <v>836.47</v>
      </c>
      <c r="Y100" s="2">
        <v>836.47</v>
      </c>
      <c r="Z100" s="2">
        <v>936.47</v>
      </c>
      <c r="AA100" s="2">
        <v>1036.47</v>
      </c>
      <c r="AB100" s="2">
        <v>1136.47</v>
      </c>
      <c r="AC100" s="2">
        <v>1236.47</v>
      </c>
      <c r="AD100" s="2">
        <v>1336.47</v>
      </c>
      <c r="AE100" s="2">
        <v>1436.47</v>
      </c>
      <c r="AF100" s="2">
        <v>1736.47</v>
      </c>
      <c r="AG100" s="2">
        <v>1836.47</v>
      </c>
      <c r="AH100" s="2">
        <v>1936.47</v>
      </c>
      <c r="AI100" s="2">
        <v>1936.47</v>
      </c>
      <c r="AJ100" s="2">
        <v>1936.47</v>
      </c>
      <c r="AK100" s="2">
        <v>2136.4699999999998</v>
      </c>
      <c r="AL100" s="2">
        <v>2136.4699999999998</v>
      </c>
      <c r="AM100" s="2">
        <v>2136.4699999999998</v>
      </c>
      <c r="AN100" s="2">
        <v>2136.4699999999998</v>
      </c>
      <c r="AO100" s="2">
        <v>2136.4699999999998</v>
      </c>
      <c r="AP100" s="2">
        <v>2336.4699999999998</v>
      </c>
      <c r="AQ100" s="2">
        <v>2336.4699999999998</v>
      </c>
      <c r="AR100" s="2">
        <v>2336.4699999999998</v>
      </c>
      <c r="AS100" s="2">
        <v>2336.4699999999998</v>
      </c>
      <c r="AT100" s="2">
        <v>2336.4699999999998</v>
      </c>
      <c r="AU100" s="2">
        <v>2336.4699999999998</v>
      </c>
    </row>
    <row r="101" spans="1:47" x14ac:dyDescent="0.3">
      <c r="A101" s="2" t="s">
        <v>58</v>
      </c>
      <c r="B101" s="2">
        <v>0</v>
      </c>
      <c r="C101" s="2">
        <v>0</v>
      </c>
      <c r="D101" s="2">
        <v>0</v>
      </c>
      <c r="E101" s="2">
        <v>0</v>
      </c>
      <c r="F101" s="2">
        <v>0</v>
      </c>
      <c r="G101" s="2">
        <v>0</v>
      </c>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row>
    <row r="102" spans="1:47" x14ac:dyDescent="0.3">
      <c r="A102" s="2" t="s">
        <v>59</v>
      </c>
      <c r="B102" s="2">
        <v>5696</v>
      </c>
      <c r="C102" s="2">
        <v>5720</v>
      </c>
      <c r="D102" s="2">
        <v>5774</v>
      </c>
      <c r="E102" s="2">
        <v>5774</v>
      </c>
      <c r="F102" s="2">
        <v>5827</v>
      </c>
      <c r="G102" s="2">
        <v>5591</v>
      </c>
      <c r="H102" s="2">
        <v>5488</v>
      </c>
      <c r="I102" s="2">
        <v>5546</v>
      </c>
      <c r="J102" s="2">
        <v>5679.3</v>
      </c>
      <c r="K102" s="2">
        <v>6114</v>
      </c>
      <c r="L102" s="2">
        <v>6142.8</v>
      </c>
      <c r="M102" s="2">
        <v>6142.8</v>
      </c>
      <c r="N102" s="2">
        <v>6142.8</v>
      </c>
      <c r="O102" s="2">
        <v>5554.8</v>
      </c>
      <c r="P102" s="2">
        <v>5554.8</v>
      </c>
      <c r="Q102" s="2">
        <v>5399.8</v>
      </c>
      <c r="R102" s="2">
        <v>4385.8</v>
      </c>
      <c r="S102" s="2">
        <v>3194.8</v>
      </c>
      <c r="T102" s="2">
        <v>0</v>
      </c>
      <c r="U102" s="2">
        <v>0</v>
      </c>
      <c r="V102" s="2">
        <v>0</v>
      </c>
      <c r="W102" s="2">
        <v>0</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row>
    <row r="103" spans="1:47" x14ac:dyDescent="0.3">
      <c r="A103" s="2" t="s">
        <v>60</v>
      </c>
      <c r="B103" s="2">
        <v>4904</v>
      </c>
      <c r="C103" s="2">
        <v>4452.6899999999996</v>
      </c>
      <c r="D103" s="2">
        <v>4558.4399999999996</v>
      </c>
      <c r="E103" s="2">
        <v>4956.4399999999996</v>
      </c>
      <c r="F103" s="2">
        <v>5247.44</v>
      </c>
      <c r="G103" s="2">
        <v>5326.44</v>
      </c>
      <c r="H103" s="2">
        <v>5385</v>
      </c>
      <c r="I103" s="2">
        <v>5791.44</v>
      </c>
      <c r="J103" s="2">
        <v>5945</v>
      </c>
      <c r="K103" s="2">
        <v>6241.44</v>
      </c>
      <c r="L103" s="2">
        <v>7177.96</v>
      </c>
      <c r="M103" s="2">
        <v>7510.15</v>
      </c>
      <c r="N103" s="2">
        <v>7741.15</v>
      </c>
      <c r="O103" s="2">
        <v>8100.15</v>
      </c>
      <c r="P103" s="2">
        <v>8100.15</v>
      </c>
      <c r="Q103" s="2">
        <v>8912.15</v>
      </c>
      <c r="R103" s="2">
        <v>10289.15</v>
      </c>
      <c r="S103" s="2">
        <v>11080.15</v>
      </c>
      <c r="T103" s="2">
        <v>15024.25</v>
      </c>
      <c r="U103" s="2">
        <v>15763.25</v>
      </c>
      <c r="V103" s="2">
        <v>15764.43</v>
      </c>
      <c r="W103" s="2">
        <v>15814.62</v>
      </c>
      <c r="X103" s="2">
        <v>15960.83</v>
      </c>
      <c r="Y103" s="2">
        <v>16615.95</v>
      </c>
      <c r="Z103" s="2">
        <v>16896.02</v>
      </c>
      <c r="AA103" s="2">
        <v>16992.080000000002</v>
      </c>
      <c r="AB103" s="2">
        <v>17221.14</v>
      </c>
      <c r="AC103" s="2">
        <v>17450.2</v>
      </c>
      <c r="AD103" s="2">
        <v>16660.259999999998</v>
      </c>
      <c r="AE103" s="2">
        <v>18209.330000000002</v>
      </c>
      <c r="AF103" s="2">
        <v>18618.39</v>
      </c>
      <c r="AG103" s="2">
        <v>18698.45</v>
      </c>
      <c r="AH103" s="2">
        <v>17813.5</v>
      </c>
      <c r="AI103" s="2">
        <v>17893.560000000001</v>
      </c>
      <c r="AJ103" s="2">
        <v>17213.61</v>
      </c>
      <c r="AK103" s="2">
        <v>17222.66</v>
      </c>
      <c r="AL103" s="2">
        <v>17222.71</v>
      </c>
      <c r="AM103" s="2">
        <v>17222.75</v>
      </c>
      <c r="AN103" s="2">
        <v>17213.8</v>
      </c>
      <c r="AO103" s="2">
        <v>17222.849999999999</v>
      </c>
      <c r="AP103" s="2">
        <v>17222.900000000001</v>
      </c>
      <c r="AQ103" s="2">
        <v>17222.95</v>
      </c>
      <c r="AR103" s="2">
        <v>17223</v>
      </c>
      <c r="AS103" s="2">
        <v>17223.05</v>
      </c>
      <c r="AT103" s="2">
        <v>17214.099999999999</v>
      </c>
      <c r="AU103" s="2">
        <v>17214.169999999998</v>
      </c>
    </row>
    <row r="104" spans="1:47" x14ac:dyDescent="0.3">
      <c r="A104" s="2" t="s">
        <v>61</v>
      </c>
      <c r="B104" s="2">
        <v>7.15</v>
      </c>
      <c r="C104" s="2">
        <v>7.15</v>
      </c>
      <c r="D104" s="2">
        <v>7.15</v>
      </c>
      <c r="E104" s="2">
        <v>7.15</v>
      </c>
      <c r="F104" s="2">
        <v>7.15</v>
      </c>
      <c r="G104" s="2">
        <v>7.15</v>
      </c>
      <c r="H104" s="2">
        <v>7.15</v>
      </c>
      <c r="I104" s="2">
        <v>7.15</v>
      </c>
      <c r="J104" s="2">
        <v>7.15</v>
      </c>
      <c r="K104" s="2">
        <v>7.15</v>
      </c>
      <c r="L104" s="2">
        <v>7.15</v>
      </c>
      <c r="M104" s="2">
        <v>7.15</v>
      </c>
      <c r="N104" s="2">
        <v>7.15</v>
      </c>
      <c r="O104" s="2">
        <v>7.15</v>
      </c>
      <c r="P104" s="2">
        <v>7.15</v>
      </c>
      <c r="Q104" s="2">
        <v>7.15</v>
      </c>
      <c r="R104" s="2">
        <v>7.15</v>
      </c>
      <c r="S104" s="2">
        <v>7.15</v>
      </c>
      <c r="T104" s="2">
        <v>7.15</v>
      </c>
      <c r="U104" s="2">
        <v>7.15</v>
      </c>
      <c r="V104" s="2">
        <v>7.15</v>
      </c>
      <c r="W104" s="2">
        <v>7.15</v>
      </c>
      <c r="X104" s="2">
        <v>7.15</v>
      </c>
      <c r="Y104" s="2">
        <v>7.15</v>
      </c>
      <c r="Z104" s="2">
        <v>7.15</v>
      </c>
      <c r="AA104" s="2">
        <v>7.15</v>
      </c>
      <c r="AB104" s="2">
        <v>7.15</v>
      </c>
      <c r="AC104" s="2">
        <v>7.15</v>
      </c>
      <c r="AD104" s="2">
        <v>7.15</v>
      </c>
      <c r="AE104" s="2">
        <v>7.15</v>
      </c>
      <c r="AF104" s="2">
        <v>7.15</v>
      </c>
      <c r="AG104" s="2">
        <v>7.15</v>
      </c>
      <c r="AH104" s="2">
        <v>7.15</v>
      </c>
      <c r="AI104" s="2">
        <v>7.15</v>
      </c>
      <c r="AJ104" s="2">
        <v>7.15</v>
      </c>
      <c r="AK104" s="2">
        <v>7.15</v>
      </c>
      <c r="AL104" s="2">
        <v>7.15</v>
      </c>
      <c r="AM104" s="2">
        <v>7.15</v>
      </c>
      <c r="AN104" s="2">
        <v>7.15</v>
      </c>
      <c r="AO104" s="2">
        <v>7.15</v>
      </c>
      <c r="AP104" s="2">
        <v>7.15</v>
      </c>
      <c r="AQ104" s="2">
        <v>7.15</v>
      </c>
      <c r="AR104" s="2">
        <v>7.15</v>
      </c>
      <c r="AS104" s="2">
        <v>7.15</v>
      </c>
      <c r="AT104" s="2">
        <v>7.15</v>
      </c>
      <c r="AU104" s="2">
        <v>7.15</v>
      </c>
    </row>
    <row r="106" spans="1:47" ht="18" x14ac:dyDescent="0.35">
      <c r="A106" s="4" t="s">
        <v>70</v>
      </c>
    </row>
    <row r="107" spans="1:47" x14ac:dyDescent="0.3">
      <c r="A107" s="2" t="s">
        <v>7</v>
      </c>
      <c r="B107" s="2" t="s">
        <v>8</v>
      </c>
      <c r="C107" s="2" t="s">
        <v>9</v>
      </c>
      <c r="D107" s="2" t="s">
        <v>10</v>
      </c>
      <c r="E107" s="2" t="s">
        <v>11</v>
      </c>
      <c r="F107" s="2" t="s">
        <v>12</v>
      </c>
      <c r="G107" s="2" t="s">
        <v>13</v>
      </c>
      <c r="H107" s="2" t="s">
        <v>14</v>
      </c>
      <c r="I107" s="2" t="s">
        <v>15</v>
      </c>
      <c r="J107" s="2" t="s">
        <v>16</v>
      </c>
      <c r="K107" s="2" t="s">
        <v>17</v>
      </c>
      <c r="L107" s="2" t="s">
        <v>18</v>
      </c>
      <c r="M107" s="2" t="s">
        <v>19</v>
      </c>
      <c r="N107" s="2" t="s">
        <v>20</v>
      </c>
      <c r="O107" s="2" t="s">
        <v>21</v>
      </c>
      <c r="P107" s="2" t="s">
        <v>22</v>
      </c>
      <c r="Q107" s="2" t="s">
        <v>23</v>
      </c>
      <c r="R107" s="2" t="s">
        <v>24</v>
      </c>
      <c r="S107" s="2" t="s">
        <v>25</v>
      </c>
      <c r="T107" s="2" t="s">
        <v>26</v>
      </c>
      <c r="U107" s="2" t="s">
        <v>27</v>
      </c>
      <c r="V107" s="2" t="s">
        <v>28</v>
      </c>
      <c r="W107" s="2" t="s">
        <v>29</v>
      </c>
      <c r="X107" s="2" t="s">
        <v>30</v>
      </c>
      <c r="Y107" s="2" t="s">
        <v>31</v>
      </c>
      <c r="Z107" s="2" t="s">
        <v>32</v>
      </c>
      <c r="AA107" s="2" t="s">
        <v>33</v>
      </c>
      <c r="AB107" s="2" t="s">
        <v>34</v>
      </c>
      <c r="AC107" s="2" t="s">
        <v>35</v>
      </c>
      <c r="AD107" s="2" t="s">
        <v>36</v>
      </c>
      <c r="AE107" s="2" t="s">
        <v>37</v>
      </c>
      <c r="AF107" s="2" t="s">
        <v>38</v>
      </c>
      <c r="AG107" s="2" t="s">
        <v>39</v>
      </c>
      <c r="AH107" s="2" t="s">
        <v>40</v>
      </c>
      <c r="AI107" s="2" t="s">
        <v>41</v>
      </c>
      <c r="AJ107" s="2" t="s">
        <v>42</v>
      </c>
      <c r="AK107" s="2" t="s">
        <v>43</v>
      </c>
      <c r="AL107" s="2" t="s">
        <v>44</v>
      </c>
      <c r="AM107" s="2" t="s">
        <v>45</v>
      </c>
      <c r="AN107" s="2" t="s">
        <v>46</v>
      </c>
      <c r="AO107" s="2" t="s">
        <v>47</v>
      </c>
      <c r="AP107" s="2" t="s">
        <v>48</v>
      </c>
      <c r="AQ107" s="2" t="s">
        <v>49</v>
      </c>
      <c r="AR107" s="2" t="s">
        <v>50</v>
      </c>
      <c r="AS107" s="2" t="s">
        <v>51</v>
      </c>
      <c r="AT107" s="2" t="s">
        <v>52</v>
      </c>
      <c r="AU107" s="2" t="s">
        <v>53</v>
      </c>
    </row>
    <row r="108" spans="1:47" x14ac:dyDescent="0.3">
      <c r="A108" s="2" t="s">
        <v>54</v>
      </c>
      <c r="B108" s="2">
        <v>12847</v>
      </c>
      <c r="C108" s="2">
        <v>12614</v>
      </c>
      <c r="D108" s="2">
        <v>12661</v>
      </c>
      <c r="E108" s="2">
        <v>12733</v>
      </c>
      <c r="F108" s="2">
        <v>12858</v>
      </c>
      <c r="G108" s="2">
        <v>13202</v>
      </c>
      <c r="H108" s="2">
        <v>13673</v>
      </c>
      <c r="I108" s="2">
        <v>13673</v>
      </c>
      <c r="J108" s="2">
        <v>13687</v>
      </c>
      <c r="K108" s="2">
        <v>14207</v>
      </c>
      <c r="L108" s="2">
        <v>15029</v>
      </c>
      <c r="M108" s="2">
        <v>15708.87</v>
      </c>
      <c r="N108" s="2">
        <v>15905.47</v>
      </c>
      <c r="O108" s="2">
        <v>15955.47</v>
      </c>
      <c r="P108" s="2">
        <v>15955.47</v>
      </c>
      <c r="Q108" s="2">
        <v>15955.47</v>
      </c>
      <c r="R108" s="2">
        <v>15955.47</v>
      </c>
      <c r="S108" s="2">
        <v>15955.47</v>
      </c>
      <c r="T108" s="2">
        <v>15955.47</v>
      </c>
      <c r="U108" s="2">
        <v>15955.47</v>
      </c>
      <c r="V108" s="2">
        <v>17055.47</v>
      </c>
      <c r="W108" s="2">
        <v>17060.47</v>
      </c>
      <c r="X108" s="2">
        <v>17075.47</v>
      </c>
      <c r="Y108" s="2">
        <v>17090.47</v>
      </c>
      <c r="Z108" s="2">
        <v>17105.47</v>
      </c>
      <c r="AA108" s="2">
        <v>17120.47</v>
      </c>
      <c r="AB108" s="2">
        <v>17135.47</v>
      </c>
      <c r="AC108" s="2">
        <v>17150.47</v>
      </c>
      <c r="AD108" s="2">
        <v>17165.47</v>
      </c>
      <c r="AE108" s="2">
        <v>17180.47</v>
      </c>
      <c r="AF108" s="2">
        <v>17195.47</v>
      </c>
      <c r="AG108" s="2">
        <v>17210.47</v>
      </c>
      <c r="AH108" s="2">
        <v>17225.47</v>
      </c>
      <c r="AI108" s="2">
        <v>17240.47</v>
      </c>
      <c r="AJ108" s="2">
        <v>17255.47</v>
      </c>
      <c r="AK108" s="2">
        <v>17270.47</v>
      </c>
      <c r="AL108" s="2">
        <v>17285.47</v>
      </c>
      <c r="AM108" s="2">
        <v>17300.47</v>
      </c>
      <c r="AN108" s="2">
        <v>17406.91</v>
      </c>
      <c r="AO108" s="2">
        <v>17504.21</v>
      </c>
      <c r="AP108" s="2">
        <v>17519.21</v>
      </c>
      <c r="AQ108" s="2">
        <v>17534.21</v>
      </c>
      <c r="AR108" s="2">
        <v>17549.21</v>
      </c>
      <c r="AS108" s="2">
        <v>17564.21</v>
      </c>
      <c r="AT108" s="2">
        <v>17579.21</v>
      </c>
      <c r="AU108" s="2">
        <v>17594.21</v>
      </c>
    </row>
    <row r="109" spans="1:47" x14ac:dyDescent="0.3">
      <c r="A109" s="2" t="s">
        <v>55</v>
      </c>
      <c r="B109" s="2">
        <v>0</v>
      </c>
      <c r="C109" s="2">
        <v>0</v>
      </c>
      <c r="D109" s="2">
        <v>0</v>
      </c>
      <c r="E109" s="2">
        <v>0</v>
      </c>
      <c r="F109" s="2">
        <v>102</v>
      </c>
      <c r="G109" s="2">
        <v>102</v>
      </c>
      <c r="H109" s="2">
        <v>246</v>
      </c>
      <c r="I109" s="2">
        <v>246</v>
      </c>
      <c r="J109" s="2">
        <v>388</v>
      </c>
      <c r="K109" s="2">
        <v>488</v>
      </c>
      <c r="L109" s="2">
        <v>488</v>
      </c>
      <c r="M109" s="2">
        <v>488.25</v>
      </c>
      <c r="N109" s="2">
        <v>702.25</v>
      </c>
      <c r="O109" s="2">
        <v>702.25</v>
      </c>
      <c r="P109" s="2">
        <v>702.25</v>
      </c>
      <c r="Q109" s="2">
        <v>702.25</v>
      </c>
      <c r="R109" s="2">
        <v>702.25</v>
      </c>
      <c r="S109" s="2">
        <v>702.25</v>
      </c>
      <c r="T109" s="2">
        <v>702.25</v>
      </c>
      <c r="U109" s="2">
        <v>752.25</v>
      </c>
      <c r="V109" s="2">
        <v>802.25</v>
      </c>
      <c r="W109" s="2">
        <v>802.25</v>
      </c>
      <c r="X109" s="2">
        <v>802.25</v>
      </c>
      <c r="Y109" s="2">
        <v>852.25</v>
      </c>
      <c r="Z109" s="2">
        <v>852.25</v>
      </c>
      <c r="AA109" s="2">
        <v>902.25</v>
      </c>
      <c r="AB109" s="2">
        <v>952.25</v>
      </c>
      <c r="AC109" s="2">
        <v>1002.25</v>
      </c>
      <c r="AD109" s="2">
        <v>1052.25</v>
      </c>
      <c r="AE109" s="2">
        <v>1102.25</v>
      </c>
      <c r="AF109" s="2">
        <v>1152.25</v>
      </c>
      <c r="AG109" s="2">
        <v>1202.25</v>
      </c>
      <c r="AH109" s="2">
        <v>1252.25</v>
      </c>
      <c r="AI109" s="2">
        <v>1302.25</v>
      </c>
      <c r="AJ109" s="2">
        <v>1352.25</v>
      </c>
      <c r="AK109" s="2">
        <v>1402.25</v>
      </c>
      <c r="AL109" s="2">
        <v>1452.25</v>
      </c>
      <c r="AM109" s="2">
        <v>1502.25</v>
      </c>
      <c r="AN109" s="2">
        <v>1552.25</v>
      </c>
      <c r="AO109" s="2">
        <v>1602.25</v>
      </c>
      <c r="AP109" s="2">
        <v>1652.25</v>
      </c>
      <c r="AQ109" s="2">
        <v>1702.25</v>
      </c>
      <c r="AR109" s="2">
        <v>1752.25</v>
      </c>
      <c r="AS109" s="2">
        <v>1802.25</v>
      </c>
      <c r="AT109" s="2">
        <v>1852.25</v>
      </c>
      <c r="AU109" s="2">
        <v>1902.25</v>
      </c>
    </row>
    <row r="110" spans="1:47" x14ac:dyDescent="0.3">
      <c r="A110" s="2" t="s">
        <v>56</v>
      </c>
      <c r="B110" s="2">
        <v>742.5</v>
      </c>
      <c r="C110" s="2">
        <v>742.5</v>
      </c>
      <c r="D110" s="2">
        <v>742.5</v>
      </c>
      <c r="E110" s="2">
        <v>742.5</v>
      </c>
      <c r="F110" s="2">
        <v>742.5</v>
      </c>
      <c r="G110" s="2">
        <v>790.5</v>
      </c>
      <c r="H110" s="2">
        <v>791.5</v>
      </c>
      <c r="I110" s="2">
        <v>791.5</v>
      </c>
      <c r="J110" s="2">
        <v>817.5</v>
      </c>
      <c r="K110" s="2">
        <v>817.5</v>
      </c>
      <c r="L110" s="2">
        <v>817.5</v>
      </c>
      <c r="M110" s="2">
        <v>887.79</v>
      </c>
      <c r="N110" s="2">
        <v>927.79</v>
      </c>
      <c r="O110" s="2">
        <v>927.79</v>
      </c>
      <c r="P110" s="2">
        <v>927.79</v>
      </c>
      <c r="Q110" s="2">
        <v>927.79</v>
      </c>
      <c r="R110" s="2">
        <v>927.79</v>
      </c>
      <c r="S110" s="2">
        <v>927.79</v>
      </c>
      <c r="T110" s="2">
        <v>927.79</v>
      </c>
      <c r="U110" s="2">
        <v>927.79</v>
      </c>
      <c r="V110" s="2">
        <v>927.79</v>
      </c>
      <c r="W110" s="2">
        <v>927.79</v>
      </c>
      <c r="X110" s="2">
        <v>927.79</v>
      </c>
      <c r="Y110" s="2">
        <v>927.79</v>
      </c>
      <c r="Z110" s="2">
        <v>927.79</v>
      </c>
      <c r="AA110" s="2">
        <v>927.79</v>
      </c>
      <c r="AB110" s="2">
        <v>927.79</v>
      </c>
      <c r="AC110" s="2">
        <v>927.79</v>
      </c>
      <c r="AD110" s="2">
        <v>927.79</v>
      </c>
      <c r="AE110" s="2">
        <v>927.79</v>
      </c>
      <c r="AF110" s="2">
        <v>927.79</v>
      </c>
      <c r="AG110" s="2">
        <v>927.79</v>
      </c>
      <c r="AH110" s="2">
        <v>927.79</v>
      </c>
      <c r="AI110" s="2">
        <v>927.79</v>
      </c>
      <c r="AJ110" s="2">
        <v>927.79</v>
      </c>
      <c r="AK110" s="2">
        <v>927.79</v>
      </c>
      <c r="AL110" s="2">
        <v>927.79</v>
      </c>
      <c r="AM110" s="2">
        <v>927.79</v>
      </c>
      <c r="AN110" s="2">
        <v>927.79</v>
      </c>
      <c r="AO110" s="2">
        <v>927.79</v>
      </c>
      <c r="AP110" s="2">
        <v>927.79</v>
      </c>
      <c r="AQ110" s="2">
        <v>927.79</v>
      </c>
      <c r="AR110" s="2">
        <v>927.79</v>
      </c>
      <c r="AS110" s="2">
        <v>927.79</v>
      </c>
      <c r="AT110" s="2">
        <v>927.79</v>
      </c>
      <c r="AU110" s="2">
        <v>927.79</v>
      </c>
    </row>
    <row r="111" spans="1:47" x14ac:dyDescent="0.3">
      <c r="A111" s="2" t="s">
        <v>57</v>
      </c>
      <c r="B111" s="2">
        <v>0</v>
      </c>
      <c r="C111" s="2">
        <v>0</v>
      </c>
      <c r="D111" s="2">
        <v>0</v>
      </c>
      <c r="E111" s="2">
        <v>0</v>
      </c>
      <c r="F111" s="2">
        <v>0</v>
      </c>
      <c r="G111" s="2">
        <v>0</v>
      </c>
      <c r="H111" s="2">
        <v>0</v>
      </c>
      <c r="I111" s="2">
        <v>0</v>
      </c>
      <c r="J111" s="2">
        <v>2.2799999999999998</v>
      </c>
      <c r="K111" s="2">
        <v>2.2799999999999998</v>
      </c>
      <c r="L111" s="2">
        <v>3.28</v>
      </c>
      <c r="M111" s="2">
        <v>3.28</v>
      </c>
      <c r="N111" s="2">
        <v>3.28</v>
      </c>
      <c r="O111" s="2">
        <v>3.28</v>
      </c>
      <c r="P111" s="2">
        <v>23.28</v>
      </c>
      <c r="Q111" s="2">
        <v>23.28</v>
      </c>
      <c r="R111" s="2">
        <v>23.28</v>
      </c>
      <c r="S111" s="2">
        <v>23.28</v>
      </c>
      <c r="T111" s="2">
        <v>63.28</v>
      </c>
      <c r="U111" s="2">
        <v>63.28</v>
      </c>
      <c r="V111" s="2">
        <v>63.28</v>
      </c>
      <c r="W111" s="2">
        <v>103.28</v>
      </c>
      <c r="X111" s="2">
        <v>103.28</v>
      </c>
      <c r="Y111" s="2">
        <v>103.28</v>
      </c>
      <c r="Z111" s="2">
        <v>143.28</v>
      </c>
      <c r="AA111" s="2">
        <v>143.28</v>
      </c>
      <c r="AB111" s="2">
        <v>143.28</v>
      </c>
      <c r="AC111" s="2">
        <v>143.28</v>
      </c>
      <c r="AD111" s="2">
        <v>183.28</v>
      </c>
      <c r="AE111" s="2">
        <v>183.28</v>
      </c>
      <c r="AF111" s="2">
        <v>352.18</v>
      </c>
      <c r="AG111" s="2">
        <v>482.64</v>
      </c>
      <c r="AH111" s="2">
        <v>654.58000000000004</v>
      </c>
      <c r="AI111" s="2">
        <v>787.77</v>
      </c>
      <c r="AJ111" s="2">
        <v>962</v>
      </c>
      <c r="AK111" s="2">
        <v>1098.1400000000001</v>
      </c>
      <c r="AL111" s="2">
        <v>1235.98</v>
      </c>
      <c r="AM111" s="2">
        <v>1374.03</v>
      </c>
      <c r="AN111" s="2">
        <v>1512.48</v>
      </c>
      <c r="AO111" s="2">
        <v>1651.52</v>
      </c>
      <c r="AP111" s="2">
        <v>1792.23</v>
      </c>
      <c r="AQ111" s="2">
        <v>1934.5</v>
      </c>
      <c r="AR111" s="2">
        <v>2077.0100000000002</v>
      </c>
      <c r="AS111" s="2">
        <v>2219.9499999999998</v>
      </c>
      <c r="AT111" s="2">
        <v>2363.5500000000002</v>
      </c>
      <c r="AU111" s="2">
        <v>2509.44</v>
      </c>
    </row>
    <row r="112" spans="1:47" x14ac:dyDescent="0.3">
      <c r="A112" s="2" t="s">
        <v>58</v>
      </c>
      <c r="B112" s="2">
        <v>0</v>
      </c>
      <c r="C112" s="2">
        <v>0</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row>
    <row r="113" spans="1:47" x14ac:dyDescent="0.3">
      <c r="A113" s="2" t="s">
        <v>59</v>
      </c>
      <c r="B113" s="2">
        <v>0</v>
      </c>
      <c r="C113" s="2">
        <v>0</v>
      </c>
      <c r="D113" s="2">
        <v>0</v>
      </c>
      <c r="E113" s="2">
        <v>0</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row>
    <row r="114" spans="1:47" x14ac:dyDescent="0.3">
      <c r="A114" s="2" t="s">
        <v>60</v>
      </c>
      <c r="B114" s="2">
        <v>1375.52</v>
      </c>
      <c r="C114" s="2">
        <v>1474.52</v>
      </c>
      <c r="D114" s="2">
        <v>1474.52</v>
      </c>
      <c r="E114" s="2">
        <v>1474.52</v>
      </c>
      <c r="F114" s="2">
        <v>1474.52</v>
      </c>
      <c r="G114" s="2">
        <v>1474.52</v>
      </c>
      <c r="H114" s="2">
        <v>1526.53</v>
      </c>
      <c r="I114" s="2">
        <v>1474.52</v>
      </c>
      <c r="J114" s="2">
        <v>1523.52</v>
      </c>
      <c r="K114" s="2">
        <v>1523.52</v>
      </c>
      <c r="L114" s="2">
        <v>1523.52</v>
      </c>
      <c r="M114" s="2">
        <v>520.33000000000004</v>
      </c>
      <c r="N114" s="2">
        <v>520.33000000000004</v>
      </c>
      <c r="O114" s="2">
        <v>520.33000000000004</v>
      </c>
      <c r="P114" s="2">
        <v>520.33000000000004</v>
      </c>
      <c r="Q114" s="2">
        <v>520.33000000000004</v>
      </c>
      <c r="R114" s="2">
        <v>520.33000000000004</v>
      </c>
      <c r="S114" s="2">
        <v>520.33000000000004</v>
      </c>
      <c r="T114" s="2">
        <v>520.33000000000004</v>
      </c>
      <c r="U114" s="2">
        <v>520.33000000000004</v>
      </c>
      <c r="V114" s="2">
        <v>620.33000000000004</v>
      </c>
      <c r="W114" s="2">
        <v>620.33000000000004</v>
      </c>
      <c r="X114" s="2">
        <v>620.33000000000004</v>
      </c>
      <c r="Y114" s="2">
        <v>620.33000000000004</v>
      </c>
      <c r="Z114" s="2">
        <v>620.33000000000004</v>
      </c>
      <c r="AA114" s="2">
        <v>620.33000000000004</v>
      </c>
      <c r="AB114" s="2">
        <v>630.33000000000004</v>
      </c>
      <c r="AC114" s="2">
        <v>630.33000000000004</v>
      </c>
      <c r="AD114" s="2">
        <v>630.33000000000004</v>
      </c>
      <c r="AE114" s="2">
        <v>630.33000000000004</v>
      </c>
      <c r="AF114" s="2">
        <v>630.33000000000004</v>
      </c>
      <c r="AG114" s="2">
        <v>630.33000000000004</v>
      </c>
      <c r="AH114" s="2">
        <v>630.33000000000004</v>
      </c>
      <c r="AI114" s="2">
        <v>630.33000000000004</v>
      </c>
      <c r="AJ114" s="2">
        <v>630.33000000000004</v>
      </c>
      <c r="AK114" s="2">
        <v>630.33000000000004</v>
      </c>
      <c r="AL114" s="2">
        <v>630.33000000000004</v>
      </c>
      <c r="AM114" s="2">
        <v>630.33000000000004</v>
      </c>
      <c r="AN114" s="2">
        <v>630.33000000000004</v>
      </c>
      <c r="AO114" s="2">
        <v>630.33000000000004</v>
      </c>
      <c r="AP114" s="2">
        <v>630.33000000000004</v>
      </c>
      <c r="AQ114" s="2">
        <v>630.33000000000004</v>
      </c>
      <c r="AR114" s="2">
        <v>630.33000000000004</v>
      </c>
      <c r="AS114" s="2">
        <v>630.33000000000004</v>
      </c>
      <c r="AT114" s="2">
        <v>630.33000000000004</v>
      </c>
      <c r="AU114" s="2">
        <v>630.33000000000004</v>
      </c>
    </row>
    <row r="115" spans="1:47" x14ac:dyDescent="0.3">
      <c r="A115" s="2" t="s">
        <v>61</v>
      </c>
      <c r="B115" s="2">
        <v>82.46</v>
      </c>
      <c r="C115" s="2">
        <v>82.46</v>
      </c>
      <c r="D115" s="2">
        <v>82.46</v>
      </c>
      <c r="E115" s="2">
        <v>82.46</v>
      </c>
      <c r="F115" s="2">
        <v>82.46</v>
      </c>
      <c r="G115" s="2">
        <v>82.46</v>
      </c>
      <c r="H115" s="2">
        <v>49.43</v>
      </c>
      <c r="I115" s="2">
        <v>82.46</v>
      </c>
      <c r="J115" s="2">
        <v>82.46</v>
      </c>
      <c r="K115" s="2">
        <v>82.46</v>
      </c>
      <c r="L115" s="2">
        <v>82.46</v>
      </c>
      <c r="M115" s="2">
        <v>82.46</v>
      </c>
      <c r="N115" s="2">
        <v>122.46</v>
      </c>
      <c r="O115" s="2">
        <v>122.46</v>
      </c>
      <c r="P115" s="2">
        <v>122.46</v>
      </c>
      <c r="Q115" s="2">
        <v>122.46</v>
      </c>
      <c r="R115" s="2">
        <v>122.46</v>
      </c>
      <c r="S115" s="2">
        <v>122.46</v>
      </c>
      <c r="T115" s="2">
        <v>122.46</v>
      </c>
      <c r="U115" s="2">
        <v>122.46</v>
      </c>
      <c r="V115" s="2">
        <v>122.46</v>
      </c>
      <c r="W115" s="2">
        <v>122.46</v>
      </c>
      <c r="X115" s="2">
        <v>122.46</v>
      </c>
      <c r="Y115" s="2">
        <v>122.46</v>
      </c>
      <c r="Z115" s="2">
        <v>122.46</v>
      </c>
      <c r="AA115" s="2">
        <v>122.46</v>
      </c>
      <c r="AB115" s="2">
        <v>122.46</v>
      </c>
      <c r="AC115" s="2">
        <v>122.46</v>
      </c>
      <c r="AD115" s="2">
        <v>122.46</v>
      </c>
      <c r="AE115" s="2">
        <v>122.46</v>
      </c>
      <c r="AF115" s="2">
        <v>122.46</v>
      </c>
      <c r="AG115" s="2">
        <v>122.46</v>
      </c>
      <c r="AH115" s="2">
        <v>122.46</v>
      </c>
      <c r="AI115" s="2">
        <v>122.46</v>
      </c>
      <c r="AJ115" s="2">
        <v>122.46</v>
      </c>
      <c r="AK115" s="2">
        <v>122.46</v>
      </c>
      <c r="AL115" s="2">
        <v>122.46</v>
      </c>
      <c r="AM115" s="2">
        <v>122.46</v>
      </c>
      <c r="AN115" s="2">
        <v>122.46</v>
      </c>
      <c r="AO115" s="2">
        <v>122.46</v>
      </c>
      <c r="AP115" s="2">
        <v>122.46</v>
      </c>
      <c r="AQ115" s="2">
        <v>122.46</v>
      </c>
      <c r="AR115" s="2">
        <v>122.46</v>
      </c>
      <c r="AS115" s="2">
        <v>122.46</v>
      </c>
      <c r="AT115" s="2">
        <v>122.46</v>
      </c>
      <c r="AU115" s="2">
        <v>122.46</v>
      </c>
    </row>
    <row r="117" spans="1:47" ht="18" x14ac:dyDescent="0.35">
      <c r="A117" s="4" t="s">
        <v>71</v>
      </c>
    </row>
    <row r="118" spans="1:47" x14ac:dyDescent="0.3">
      <c r="A118" s="2" t="s">
        <v>7</v>
      </c>
      <c r="B118" s="2" t="s">
        <v>8</v>
      </c>
      <c r="C118" s="2" t="s">
        <v>9</v>
      </c>
      <c r="D118" s="2" t="s">
        <v>10</v>
      </c>
      <c r="E118" s="2" t="s">
        <v>11</v>
      </c>
      <c r="F118" s="2" t="s">
        <v>12</v>
      </c>
      <c r="G118" s="2" t="s">
        <v>13</v>
      </c>
      <c r="H118" s="2" t="s">
        <v>14</v>
      </c>
      <c r="I118" s="2" t="s">
        <v>15</v>
      </c>
      <c r="J118" s="2" t="s">
        <v>16</v>
      </c>
      <c r="K118" s="2" t="s">
        <v>17</v>
      </c>
      <c r="L118" s="2" t="s">
        <v>18</v>
      </c>
      <c r="M118" s="2" t="s">
        <v>19</v>
      </c>
      <c r="N118" s="2" t="s">
        <v>20</v>
      </c>
      <c r="O118" s="2" t="s">
        <v>21</v>
      </c>
      <c r="P118" s="2" t="s">
        <v>22</v>
      </c>
      <c r="Q118" s="2" t="s">
        <v>23</v>
      </c>
      <c r="R118" s="2" t="s">
        <v>24</v>
      </c>
      <c r="S118" s="2" t="s">
        <v>25</v>
      </c>
      <c r="T118" s="2" t="s">
        <v>26</v>
      </c>
      <c r="U118" s="2" t="s">
        <v>27</v>
      </c>
      <c r="V118" s="2" t="s">
        <v>28</v>
      </c>
      <c r="W118" s="2" t="s">
        <v>29</v>
      </c>
      <c r="X118" s="2" t="s">
        <v>30</v>
      </c>
      <c r="Y118" s="2" t="s">
        <v>31</v>
      </c>
      <c r="Z118" s="2" t="s">
        <v>32</v>
      </c>
      <c r="AA118" s="2" t="s">
        <v>33</v>
      </c>
      <c r="AB118" s="2" t="s">
        <v>34</v>
      </c>
      <c r="AC118" s="2" t="s">
        <v>35</v>
      </c>
      <c r="AD118" s="2" t="s">
        <v>36</v>
      </c>
      <c r="AE118" s="2" t="s">
        <v>37</v>
      </c>
      <c r="AF118" s="2" t="s">
        <v>38</v>
      </c>
      <c r="AG118" s="2" t="s">
        <v>39</v>
      </c>
      <c r="AH118" s="2" t="s">
        <v>40</v>
      </c>
      <c r="AI118" s="2" t="s">
        <v>41</v>
      </c>
      <c r="AJ118" s="2" t="s">
        <v>42</v>
      </c>
      <c r="AK118" s="2" t="s">
        <v>43</v>
      </c>
      <c r="AL118" s="2" t="s">
        <v>44</v>
      </c>
      <c r="AM118" s="2" t="s">
        <v>45</v>
      </c>
      <c r="AN118" s="2" t="s">
        <v>46</v>
      </c>
      <c r="AO118" s="2" t="s">
        <v>47</v>
      </c>
      <c r="AP118" s="2" t="s">
        <v>48</v>
      </c>
      <c r="AQ118" s="2" t="s">
        <v>49</v>
      </c>
      <c r="AR118" s="2" t="s">
        <v>50</v>
      </c>
      <c r="AS118" s="2" t="s">
        <v>51</v>
      </c>
      <c r="AT118" s="2" t="s">
        <v>52</v>
      </c>
      <c r="AU118" s="2" t="s">
        <v>53</v>
      </c>
    </row>
    <row r="119" spans="1:47" x14ac:dyDescent="0.3">
      <c r="A119" s="2" t="s">
        <v>54</v>
      </c>
      <c r="B119" s="2">
        <v>863.81</v>
      </c>
      <c r="C119" s="2">
        <v>863.81</v>
      </c>
      <c r="D119" s="2">
        <v>863.81</v>
      </c>
      <c r="E119" s="2">
        <v>863.81</v>
      </c>
      <c r="F119" s="2">
        <v>863.81</v>
      </c>
      <c r="G119" s="2">
        <v>863.81</v>
      </c>
      <c r="H119" s="2">
        <v>863.81</v>
      </c>
      <c r="I119" s="2">
        <v>863.81</v>
      </c>
      <c r="J119" s="2">
        <v>863.81</v>
      </c>
      <c r="K119" s="2">
        <v>863.81</v>
      </c>
      <c r="L119" s="2">
        <v>889.06</v>
      </c>
      <c r="M119" s="2">
        <v>889.06</v>
      </c>
      <c r="N119" s="2">
        <v>889.06</v>
      </c>
      <c r="O119" s="2">
        <v>889.06</v>
      </c>
      <c r="P119" s="2">
        <v>889.06</v>
      </c>
      <c r="Q119" s="2">
        <v>889.06</v>
      </c>
      <c r="R119" s="2">
        <v>889.06</v>
      </c>
      <c r="S119" s="2">
        <v>889.06</v>
      </c>
      <c r="T119" s="2">
        <v>889.06</v>
      </c>
      <c r="U119" s="2">
        <v>898.16</v>
      </c>
      <c r="V119" s="2">
        <v>923.16</v>
      </c>
      <c r="W119" s="2">
        <v>923.16</v>
      </c>
      <c r="X119" s="2">
        <v>923.16</v>
      </c>
      <c r="Y119" s="2">
        <v>923.16</v>
      </c>
      <c r="Z119" s="2">
        <v>923.16</v>
      </c>
      <c r="AA119" s="2">
        <v>923.16</v>
      </c>
      <c r="AB119" s="2">
        <v>923.16</v>
      </c>
      <c r="AC119" s="2">
        <v>948.16</v>
      </c>
      <c r="AD119" s="2">
        <v>956.35</v>
      </c>
      <c r="AE119" s="2">
        <v>963.72</v>
      </c>
      <c r="AF119" s="2">
        <v>970.35</v>
      </c>
      <c r="AG119" s="2">
        <v>970.35</v>
      </c>
      <c r="AH119" s="2">
        <v>970.35</v>
      </c>
      <c r="AI119" s="2">
        <v>976.33</v>
      </c>
      <c r="AJ119" s="2">
        <v>976.33</v>
      </c>
      <c r="AK119" s="2">
        <v>976.33</v>
      </c>
      <c r="AL119" s="2">
        <v>976.33</v>
      </c>
      <c r="AM119" s="2">
        <v>981.7</v>
      </c>
      <c r="AN119" s="2">
        <v>981.7</v>
      </c>
      <c r="AO119" s="2">
        <v>981.7</v>
      </c>
      <c r="AP119" s="2">
        <v>981.7</v>
      </c>
      <c r="AQ119" s="2">
        <v>981.7</v>
      </c>
      <c r="AR119" s="2">
        <v>981.7</v>
      </c>
      <c r="AS119" s="2">
        <v>981.7</v>
      </c>
      <c r="AT119" s="2">
        <v>981.7</v>
      </c>
      <c r="AU119" s="2">
        <v>981.7</v>
      </c>
    </row>
    <row r="120" spans="1:47" x14ac:dyDescent="0.3">
      <c r="A120" s="2" t="s">
        <v>55</v>
      </c>
      <c r="B120" s="2">
        <v>15.86</v>
      </c>
      <c r="C120" s="2">
        <v>171.18</v>
      </c>
      <c r="D120" s="2">
        <v>171.18</v>
      </c>
      <c r="E120" s="2">
        <v>171.18</v>
      </c>
      <c r="F120" s="2">
        <v>171.18</v>
      </c>
      <c r="G120" s="2">
        <v>171.18</v>
      </c>
      <c r="H120" s="2">
        <v>196.68</v>
      </c>
      <c r="I120" s="2">
        <v>196.68</v>
      </c>
      <c r="J120" s="2">
        <v>196.68</v>
      </c>
      <c r="K120" s="2">
        <v>196.68</v>
      </c>
      <c r="L120" s="2">
        <v>221.18</v>
      </c>
      <c r="M120" s="2">
        <v>221.18</v>
      </c>
      <c r="N120" s="2">
        <v>221.18</v>
      </c>
      <c r="O120" s="2">
        <v>221.18</v>
      </c>
      <c r="P120" s="2">
        <v>221.18</v>
      </c>
      <c r="Q120" s="2">
        <v>221.18</v>
      </c>
      <c r="R120" s="2">
        <v>221.18</v>
      </c>
      <c r="S120" s="2">
        <v>221.18</v>
      </c>
      <c r="T120" s="2">
        <v>244.38</v>
      </c>
      <c r="U120" s="2">
        <v>344.38</v>
      </c>
      <c r="V120" s="2">
        <v>712.38</v>
      </c>
      <c r="W120" s="2">
        <v>712.38</v>
      </c>
      <c r="X120" s="2">
        <v>738.64</v>
      </c>
      <c r="Y120" s="2">
        <v>888.64</v>
      </c>
      <c r="Z120" s="2">
        <v>888.64</v>
      </c>
      <c r="AA120" s="2">
        <v>916.74</v>
      </c>
      <c r="AB120" s="2">
        <v>945.17</v>
      </c>
      <c r="AC120" s="2">
        <v>1073.79</v>
      </c>
      <c r="AD120" s="2">
        <v>1102.6099999999999</v>
      </c>
      <c r="AE120" s="2">
        <v>1331.58</v>
      </c>
      <c r="AF120" s="2">
        <v>1360.7</v>
      </c>
      <c r="AG120" s="2">
        <v>1389.92</v>
      </c>
      <c r="AH120" s="2">
        <v>1419.23</v>
      </c>
      <c r="AI120" s="2">
        <v>1648.62</v>
      </c>
      <c r="AJ120" s="2">
        <v>1678.06</v>
      </c>
      <c r="AK120" s="2">
        <v>1807.51</v>
      </c>
      <c r="AL120" s="2">
        <v>1836.9</v>
      </c>
      <c r="AM120" s="2">
        <v>1966.33</v>
      </c>
      <c r="AN120" s="2">
        <v>1995.78</v>
      </c>
      <c r="AO120" s="2">
        <v>2175.3200000000002</v>
      </c>
      <c r="AP120" s="2">
        <v>2204.9299999999998</v>
      </c>
      <c r="AQ120" s="2">
        <v>2384.64</v>
      </c>
      <c r="AR120" s="2">
        <v>2414.44</v>
      </c>
      <c r="AS120" s="2">
        <v>2594.37</v>
      </c>
      <c r="AT120" s="2">
        <v>2624.4</v>
      </c>
      <c r="AU120" s="2">
        <v>2655.08</v>
      </c>
    </row>
    <row r="121" spans="1:47" x14ac:dyDescent="0.3">
      <c r="A121" s="2" t="s">
        <v>56</v>
      </c>
      <c r="B121" s="2">
        <v>0</v>
      </c>
      <c r="C121" s="2">
        <v>0</v>
      </c>
      <c r="D121" s="2">
        <v>0</v>
      </c>
      <c r="E121" s="2">
        <v>0</v>
      </c>
      <c r="F121" s="2">
        <v>0</v>
      </c>
      <c r="G121" s="2">
        <v>0</v>
      </c>
      <c r="H121" s="2">
        <v>0</v>
      </c>
      <c r="I121" s="2">
        <v>0</v>
      </c>
      <c r="J121" s="2">
        <v>0</v>
      </c>
      <c r="K121" s="2">
        <v>2</v>
      </c>
      <c r="L121" s="2">
        <v>2</v>
      </c>
      <c r="M121" s="2">
        <v>36</v>
      </c>
      <c r="N121" s="2">
        <v>36</v>
      </c>
      <c r="O121" s="2">
        <v>36</v>
      </c>
      <c r="P121" s="2">
        <v>36</v>
      </c>
      <c r="Q121" s="2">
        <v>36</v>
      </c>
      <c r="R121" s="2">
        <v>36</v>
      </c>
      <c r="S121" s="2">
        <v>36</v>
      </c>
      <c r="T121" s="2">
        <v>46</v>
      </c>
      <c r="U121" s="2">
        <v>46</v>
      </c>
      <c r="V121" s="2">
        <v>46</v>
      </c>
      <c r="W121" s="2">
        <v>46</v>
      </c>
      <c r="X121" s="2">
        <v>46</v>
      </c>
      <c r="Y121" s="2">
        <v>46</v>
      </c>
      <c r="Z121" s="2">
        <v>46</v>
      </c>
      <c r="AA121" s="2">
        <v>46</v>
      </c>
      <c r="AB121" s="2">
        <v>46</v>
      </c>
      <c r="AC121" s="2">
        <v>46</v>
      </c>
      <c r="AD121" s="2">
        <v>46</v>
      </c>
      <c r="AE121" s="2">
        <v>46</v>
      </c>
      <c r="AF121" s="2">
        <v>46</v>
      </c>
      <c r="AG121" s="2">
        <v>46</v>
      </c>
      <c r="AH121" s="2">
        <v>46</v>
      </c>
      <c r="AI121" s="2">
        <v>46</v>
      </c>
      <c r="AJ121" s="2">
        <v>46</v>
      </c>
      <c r="AK121" s="2">
        <v>46</v>
      </c>
      <c r="AL121" s="2">
        <v>46</v>
      </c>
      <c r="AM121" s="2">
        <v>47.39</v>
      </c>
      <c r="AN121" s="2">
        <v>47.39</v>
      </c>
      <c r="AO121" s="2">
        <v>47.39</v>
      </c>
      <c r="AP121" s="2">
        <v>47.39</v>
      </c>
      <c r="AQ121" s="2">
        <v>47.39</v>
      </c>
      <c r="AR121" s="2">
        <v>47.39</v>
      </c>
      <c r="AS121" s="2">
        <v>47.39</v>
      </c>
      <c r="AT121" s="2">
        <v>47.39</v>
      </c>
      <c r="AU121" s="2">
        <v>47.39</v>
      </c>
    </row>
    <row r="122" spans="1:47" x14ac:dyDescent="0.3">
      <c r="A122" s="2" t="s">
        <v>57</v>
      </c>
      <c r="B122" s="2">
        <v>0</v>
      </c>
      <c r="C122" s="2">
        <v>0</v>
      </c>
      <c r="D122" s="2">
        <v>0</v>
      </c>
      <c r="E122" s="2">
        <v>0</v>
      </c>
      <c r="F122" s="2">
        <v>0</v>
      </c>
      <c r="G122" s="2">
        <v>0</v>
      </c>
      <c r="H122" s="2">
        <v>0</v>
      </c>
      <c r="I122" s="2">
        <v>0</v>
      </c>
      <c r="J122" s="2">
        <v>0</v>
      </c>
      <c r="K122" s="2">
        <v>4</v>
      </c>
      <c r="L122" s="2">
        <v>4</v>
      </c>
      <c r="M122" s="2">
        <v>1.72</v>
      </c>
      <c r="N122" s="2">
        <v>1.72</v>
      </c>
      <c r="O122" s="2">
        <v>1.72</v>
      </c>
      <c r="P122" s="2">
        <v>1.72</v>
      </c>
      <c r="Q122" s="2">
        <v>21.72</v>
      </c>
      <c r="R122" s="2">
        <v>41.72</v>
      </c>
      <c r="S122" s="2">
        <v>84.92</v>
      </c>
      <c r="T122" s="2">
        <v>84.92</v>
      </c>
      <c r="U122" s="2">
        <v>84.92</v>
      </c>
      <c r="V122" s="2">
        <v>84.92</v>
      </c>
      <c r="W122" s="2">
        <v>84.92</v>
      </c>
      <c r="X122" s="2">
        <v>84.92</v>
      </c>
      <c r="Y122" s="2">
        <v>84.92</v>
      </c>
      <c r="Z122" s="2">
        <v>84.92</v>
      </c>
      <c r="AA122" s="2">
        <v>84.92</v>
      </c>
      <c r="AB122" s="2">
        <v>113.55</v>
      </c>
      <c r="AC122" s="2">
        <v>142.36000000000001</v>
      </c>
      <c r="AD122" s="2">
        <v>171.33</v>
      </c>
      <c r="AE122" s="2">
        <v>200.45</v>
      </c>
      <c r="AF122" s="2">
        <v>229.68</v>
      </c>
      <c r="AG122" s="2">
        <v>258.98</v>
      </c>
      <c r="AH122" s="2">
        <v>288.37</v>
      </c>
      <c r="AI122" s="2">
        <v>317.81</v>
      </c>
      <c r="AJ122" s="2">
        <v>347.26</v>
      </c>
      <c r="AK122" s="2">
        <v>376.66</v>
      </c>
      <c r="AL122" s="2">
        <v>406.09</v>
      </c>
      <c r="AM122" s="2">
        <v>435.54</v>
      </c>
      <c r="AN122" s="2">
        <v>465.07</v>
      </c>
      <c r="AO122" s="2">
        <v>494.68</v>
      </c>
      <c r="AP122" s="2">
        <v>524.39</v>
      </c>
      <c r="AQ122" s="2">
        <v>554.20000000000005</v>
      </c>
      <c r="AR122" s="2">
        <v>584.12</v>
      </c>
      <c r="AS122" s="2">
        <v>614.16</v>
      </c>
      <c r="AT122" s="2">
        <v>644.30999999999995</v>
      </c>
      <c r="AU122" s="2">
        <v>674.98</v>
      </c>
    </row>
    <row r="123" spans="1:47" x14ac:dyDescent="0.3">
      <c r="A123" s="2" t="s">
        <v>58</v>
      </c>
      <c r="B123" s="2">
        <v>0</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row>
    <row r="124" spans="1:47" x14ac:dyDescent="0.3">
      <c r="A124" s="2" t="s">
        <v>59</v>
      </c>
      <c r="B124" s="2">
        <v>1799</v>
      </c>
      <c r="C124" s="2">
        <v>1799</v>
      </c>
      <c r="D124" s="2">
        <v>1822</v>
      </c>
      <c r="E124" s="2">
        <v>1822</v>
      </c>
      <c r="F124" s="2">
        <v>1826</v>
      </c>
      <c r="G124" s="2">
        <v>1826</v>
      </c>
      <c r="H124" s="2">
        <v>1826</v>
      </c>
      <c r="I124" s="2">
        <v>1702</v>
      </c>
      <c r="J124" s="2">
        <v>1636</v>
      </c>
      <c r="K124" s="2">
        <v>1535</v>
      </c>
      <c r="L124" s="2">
        <v>1535</v>
      </c>
      <c r="M124" s="2">
        <v>1535</v>
      </c>
      <c r="N124" s="2">
        <v>1535</v>
      </c>
      <c r="O124" s="2">
        <v>1535</v>
      </c>
      <c r="P124" s="2">
        <v>1535</v>
      </c>
      <c r="Q124" s="2">
        <v>1535</v>
      </c>
      <c r="R124" s="2">
        <v>1396</v>
      </c>
      <c r="S124" s="2">
        <v>1257</v>
      </c>
      <c r="T124" s="2">
        <v>1257</v>
      </c>
      <c r="U124" s="2">
        <v>1257</v>
      </c>
      <c r="V124" s="2">
        <v>1257</v>
      </c>
      <c r="W124" s="2">
        <v>966</v>
      </c>
      <c r="X124" s="2">
        <v>966</v>
      </c>
      <c r="Y124" s="2">
        <v>391</v>
      </c>
      <c r="Z124" s="2">
        <v>391</v>
      </c>
      <c r="AA124" s="2">
        <v>391</v>
      </c>
      <c r="AB124" s="2">
        <v>391</v>
      </c>
      <c r="AC124" s="2">
        <v>391</v>
      </c>
      <c r="AD124" s="2">
        <v>391</v>
      </c>
      <c r="AE124" s="2">
        <v>391</v>
      </c>
      <c r="AF124" s="2">
        <v>391</v>
      </c>
      <c r="AG124" s="2">
        <v>391</v>
      </c>
      <c r="AH124" s="2">
        <v>115</v>
      </c>
      <c r="AI124" s="2">
        <v>115</v>
      </c>
      <c r="AJ124" s="2">
        <v>115</v>
      </c>
      <c r="AK124" s="2">
        <v>115</v>
      </c>
      <c r="AL124" s="2">
        <v>115</v>
      </c>
      <c r="AM124" s="2">
        <v>115</v>
      </c>
      <c r="AN124" s="2">
        <v>115</v>
      </c>
      <c r="AO124" s="2">
        <v>115</v>
      </c>
      <c r="AP124" s="2">
        <v>115</v>
      </c>
      <c r="AQ124" s="2">
        <v>115</v>
      </c>
      <c r="AR124" s="2">
        <v>115</v>
      </c>
      <c r="AS124" s="2">
        <v>115</v>
      </c>
      <c r="AT124" s="2">
        <v>115</v>
      </c>
      <c r="AU124" s="2">
        <v>115</v>
      </c>
    </row>
    <row r="125" spans="1:47" x14ac:dyDescent="0.3">
      <c r="A125" s="2" t="s">
        <v>60</v>
      </c>
      <c r="B125" s="2">
        <v>1053.45</v>
      </c>
      <c r="C125" s="2">
        <v>1053.45</v>
      </c>
      <c r="D125" s="2">
        <v>1053.45</v>
      </c>
      <c r="E125" s="2">
        <v>1053.45</v>
      </c>
      <c r="F125" s="2">
        <v>1146.45</v>
      </c>
      <c r="G125" s="2">
        <v>1393.95</v>
      </c>
      <c r="H125" s="2">
        <v>1393.95</v>
      </c>
      <c r="I125" s="2">
        <v>1393.95</v>
      </c>
      <c r="J125" s="2">
        <v>1328</v>
      </c>
      <c r="K125" s="2">
        <v>1480</v>
      </c>
      <c r="L125" s="2">
        <v>1709.95</v>
      </c>
      <c r="M125" s="2">
        <v>1859.96</v>
      </c>
      <c r="N125" s="2">
        <v>1859.96</v>
      </c>
      <c r="O125" s="2">
        <v>1859.96</v>
      </c>
      <c r="P125" s="2">
        <v>1859.96</v>
      </c>
      <c r="Q125" s="2">
        <v>2209.96</v>
      </c>
      <c r="R125" s="2">
        <v>2209.96</v>
      </c>
      <c r="S125" s="2">
        <v>2209.96</v>
      </c>
      <c r="T125" s="2">
        <v>2209.96</v>
      </c>
      <c r="U125" s="2">
        <v>2469.96</v>
      </c>
      <c r="V125" s="2">
        <v>2470</v>
      </c>
      <c r="W125" s="2">
        <v>2470.06</v>
      </c>
      <c r="X125" s="2">
        <v>2470.09</v>
      </c>
      <c r="Y125" s="2">
        <v>2470.1</v>
      </c>
      <c r="Z125" s="2">
        <v>2470.1</v>
      </c>
      <c r="AA125" s="2">
        <v>2470.11</v>
      </c>
      <c r="AB125" s="2">
        <v>2470.12</v>
      </c>
      <c r="AC125" s="2">
        <v>2470.14</v>
      </c>
      <c r="AD125" s="2">
        <v>2470.16</v>
      </c>
      <c r="AE125" s="2">
        <v>2470.1799999999998</v>
      </c>
      <c r="AF125" s="2">
        <v>2470.1999999999998</v>
      </c>
      <c r="AG125" s="2">
        <v>2470.21</v>
      </c>
      <c r="AH125" s="2">
        <v>2470.23</v>
      </c>
      <c r="AI125" s="2">
        <v>2470.25</v>
      </c>
      <c r="AJ125" s="2">
        <v>2470.2600000000002</v>
      </c>
      <c r="AK125" s="2">
        <v>2470.2800000000002</v>
      </c>
      <c r="AL125" s="2">
        <v>2470.29</v>
      </c>
      <c r="AM125" s="2">
        <v>2470.31</v>
      </c>
      <c r="AN125" s="2">
        <v>2470.3200000000002</v>
      </c>
      <c r="AO125" s="2">
        <v>2470.34</v>
      </c>
      <c r="AP125" s="2">
        <v>2470.35</v>
      </c>
      <c r="AQ125" s="2">
        <v>2470.37</v>
      </c>
      <c r="AR125" s="2">
        <v>2470.38</v>
      </c>
      <c r="AS125" s="2">
        <v>2470.4</v>
      </c>
      <c r="AT125" s="2">
        <v>2470.41</v>
      </c>
      <c r="AU125" s="2">
        <v>2470.42</v>
      </c>
    </row>
    <row r="126" spans="1:47" x14ac:dyDescent="0.3">
      <c r="A126" s="2" t="s">
        <v>61</v>
      </c>
      <c r="B126" s="2">
        <v>1.17</v>
      </c>
      <c r="C126" s="2">
        <v>1.17</v>
      </c>
      <c r="D126" s="2">
        <v>1.17</v>
      </c>
      <c r="E126" s="2">
        <v>1.17</v>
      </c>
      <c r="F126" s="2">
        <v>1.17</v>
      </c>
      <c r="G126" s="2">
        <v>1.17</v>
      </c>
      <c r="H126" s="2">
        <v>1.17</v>
      </c>
      <c r="I126" s="2">
        <v>1.17</v>
      </c>
      <c r="J126" s="2">
        <v>1.17</v>
      </c>
      <c r="K126" s="2">
        <v>16.96</v>
      </c>
      <c r="L126" s="2">
        <v>16.96</v>
      </c>
      <c r="M126" s="2">
        <v>16.96</v>
      </c>
      <c r="N126" s="2">
        <v>16.96</v>
      </c>
      <c r="O126" s="2">
        <v>16.96</v>
      </c>
      <c r="P126" s="2">
        <v>16.96</v>
      </c>
      <c r="Q126" s="2">
        <v>16.96</v>
      </c>
      <c r="R126" s="2">
        <v>16.96</v>
      </c>
      <c r="S126" s="2">
        <v>16.96</v>
      </c>
      <c r="T126" s="2">
        <v>16.96</v>
      </c>
      <c r="U126" s="2">
        <v>16.96</v>
      </c>
      <c r="V126" s="2">
        <v>16.96</v>
      </c>
      <c r="W126" s="2">
        <v>16.96</v>
      </c>
      <c r="X126" s="2">
        <v>16.96</v>
      </c>
      <c r="Y126" s="2">
        <v>16.96</v>
      </c>
      <c r="Z126" s="2">
        <v>16.96</v>
      </c>
      <c r="AA126" s="2">
        <v>16.96</v>
      </c>
      <c r="AB126" s="2">
        <v>16.96</v>
      </c>
      <c r="AC126" s="2">
        <v>16.96</v>
      </c>
      <c r="AD126" s="2">
        <v>16.96</v>
      </c>
      <c r="AE126" s="2">
        <v>16.96</v>
      </c>
      <c r="AF126" s="2">
        <v>16.96</v>
      </c>
      <c r="AG126" s="2">
        <v>16.96</v>
      </c>
      <c r="AH126" s="2">
        <v>16.96</v>
      </c>
      <c r="AI126" s="2">
        <v>16.96</v>
      </c>
      <c r="AJ126" s="2">
        <v>16.96</v>
      </c>
      <c r="AK126" s="2">
        <v>16.96</v>
      </c>
      <c r="AL126" s="2">
        <v>16.96</v>
      </c>
      <c r="AM126" s="2">
        <v>16.96</v>
      </c>
      <c r="AN126" s="2">
        <v>16.96</v>
      </c>
      <c r="AO126" s="2">
        <v>16.96</v>
      </c>
      <c r="AP126" s="2">
        <v>16.96</v>
      </c>
      <c r="AQ126" s="2">
        <v>16.96</v>
      </c>
      <c r="AR126" s="2">
        <v>16.96</v>
      </c>
      <c r="AS126" s="2">
        <v>16.96</v>
      </c>
      <c r="AT126" s="2">
        <v>16.96</v>
      </c>
      <c r="AU126" s="2">
        <v>16.96</v>
      </c>
    </row>
    <row r="128" spans="1:47" ht="18" x14ac:dyDescent="0.35">
      <c r="A128" s="4" t="s">
        <v>72</v>
      </c>
    </row>
    <row r="129" spans="1:47" x14ac:dyDescent="0.3">
      <c r="A129" s="2" t="s">
        <v>7</v>
      </c>
      <c r="B129" s="2" t="s">
        <v>8</v>
      </c>
      <c r="C129" s="2" t="s">
        <v>9</v>
      </c>
      <c r="D129" s="2" t="s">
        <v>10</v>
      </c>
      <c r="E129" s="2" t="s">
        <v>11</v>
      </c>
      <c r="F129" s="2" t="s">
        <v>12</v>
      </c>
      <c r="G129" s="2" t="s">
        <v>13</v>
      </c>
      <c r="H129" s="2" t="s">
        <v>14</v>
      </c>
      <c r="I129" s="2" t="s">
        <v>15</v>
      </c>
      <c r="J129" s="2" t="s">
        <v>16</v>
      </c>
      <c r="K129" s="2" t="s">
        <v>17</v>
      </c>
      <c r="L129" s="2" t="s">
        <v>18</v>
      </c>
      <c r="M129" s="2" t="s">
        <v>19</v>
      </c>
      <c r="N129" s="2" t="s">
        <v>20</v>
      </c>
      <c r="O129" s="2" t="s">
        <v>21</v>
      </c>
      <c r="P129" s="2" t="s">
        <v>22</v>
      </c>
      <c r="Q129" s="2" t="s">
        <v>23</v>
      </c>
      <c r="R129" s="2" t="s">
        <v>24</v>
      </c>
      <c r="S129" s="2" t="s">
        <v>25</v>
      </c>
      <c r="T129" s="2" t="s">
        <v>26</v>
      </c>
      <c r="U129" s="2" t="s">
        <v>27</v>
      </c>
      <c r="V129" s="2" t="s">
        <v>28</v>
      </c>
      <c r="W129" s="2" t="s">
        <v>29</v>
      </c>
      <c r="X129" s="2" t="s">
        <v>30</v>
      </c>
      <c r="Y129" s="2" t="s">
        <v>31</v>
      </c>
      <c r="Z129" s="2" t="s">
        <v>32</v>
      </c>
      <c r="AA129" s="2" t="s">
        <v>33</v>
      </c>
      <c r="AB129" s="2" t="s">
        <v>34</v>
      </c>
      <c r="AC129" s="2" t="s">
        <v>35</v>
      </c>
      <c r="AD129" s="2" t="s">
        <v>36</v>
      </c>
      <c r="AE129" s="2" t="s">
        <v>37</v>
      </c>
      <c r="AF129" s="2" t="s">
        <v>38</v>
      </c>
      <c r="AG129" s="2" t="s">
        <v>39</v>
      </c>
      <c r="AH129" s="2" t="s">
        <v>40</v>
      </c>
      <c r="AI129" s="2" t="s">
        <v>41</v>
      </c>
      <c r="AJ129" s="2" t="s">
        <v>42</v>
      </c>
      <c r="AK129" s="2" t="s">
        <v>43</v>
      </c>
      <c r="AL129" s="2" t="s">
        <v>44</v>
      </c>
      <c r="AM129" s="2" t="s">
        <v>45</v>
      </c>
      <c r="AN129" s="2" t="s">
        <v>46</v>
      </c>
      <c r="AO129" s="2" t="s">
        <v>47</v>
      </c>
      <c r="AP129" s="2" t="s">
        <v>48</v>
      </c>
      <c r="AQ129" s="2" t="s">
        <v>49</v>
      </c>
      <c r="AR129" s="2" t="s">
        <v>50</v>
      </c>
      <c r="AS129" s="2" t="s">
        <v>51</v>
      </c>
      <c r="AT129" s="2" t="s">
        <v>52</v>
      </c>
      <c r="AU129" s="2" t="s">
        <v>53</v>
      </c>
    </row>
    <row r="130" spans="1:47" x14ac:dyDescent="0.3">
      <c r="A130" s="2" t="s">
        <v>54</v>
      </c>
      <c r="B130" s="2">
        <v>77.900000000000006</v>
      </c>
      <c r="C130" s="2">
        <v>77.900000000000006</v>
      </c>
      <c r="D130" s="2">
        <v>77.900000000000006</v>
      </c>
      <c r="E130" s="2">
        <v>77.900000000000006</v>
      </c>
      <c r="F130" s="2">
        <v>77.900000000000006</v>
      </c>
      <c r="G130" s="2">
        <v>77.900000000000006</v>
      </c>
      <c r="H130" s="2">
        <v>87.9</v>
      </c>
      <c r="I130" s="2">
        <v>95.2</v>
      </c>
      <c r="J130" s="2">
        <v>94.5</v>
      </c>
      <c r="K130" s="2">
        <v>94.5</v>
      </c>
      <c r="L130" s="2">
        <v>94.5</v>
      </c>
      <c r="M130" s="2">
        <v>94.5</v>
      </c>
      <c r="N130" s="2">
        <v>94.5</v>
      </c>
      <c r="O130" s="2">
        <v>94.5</v>
      </c>
      <c r="P130" s="2">
        <v>94.5</v>
      </c>
      <c r="Q130" s="2">
        <v>94.5</v>
      </c>
      <c r="R130" s="2">
        <v>94.5</v>
      </c>
      <c r="S130" s="2">
        <v>99.5</v>
      </c>
      <c r="T130" s="2">
        <v>99.5</v>
      </c>
      <c r="U130" s="2">
        <v>99.5</v>
      </c>
      <c r="V130" s="2">
        <v>109.5</v>
      </c>
      <c r="W130" s="2">
        <v>109.5</v>
      </c>
      <c r="X130" s="2">
        <v>124.5</v>
      </c>
      <c r="Y130" s="2">
        <v>149.5</v>
      </c>
      <c r="Z130" s="2">
        <v>154.5</v>
      </c>
      <c r="AA130" s="2">
        <v>154.5</v>
      </c>
      <c r="AB130" s="2">
        <v>154.5</v>
      </c>
      <c r="AC130" s="2">
        <v>154.5</v>
      </c>
      <c r="AD130" s="2">
        <v>154.5</v>
      </c>
      <c r="AE130" s="2">
        <v>154.5</v>
      </c>
      <c r="AF130" s="2">
        <v>154.5</v>
      </c>
      <c r="AG130" s="2">
        <v>154.5</v>
      </c>
      <c r="AH130" s="2">
        <v>154.5</v>
      </c>
      <c r="AI130" s="2">
        <v>154.5</v>
      </c>
      <c r="AJ130" s="2">
        <v>154.5</v>
      </c>
      <c r="AK130" s="2">
        <v>154.5</v>
      </c>
      <c r="AL130" s="2">
        <v>154.5</v>
      </c>
      <c r="AM130" s="2">
        <v>154.5</v>
      </c>
      <c r="AN130" s="2">
        <v>154.5</v>
      </c>
      <c r="AO130" s="2">
        <v>154.5</v>
      </c>
      <c r="AP130" s="2">
        <v>154.5</v>
      </c>
      <c r="AQ130" s="2">
        <v>154.5</v>
      </c>
      <c r="AR130" s="2">
        <v>154.5</v>
      </c>
      <c r="AS130" s="2">
        <v>154.5</v>
      </c>
      <c r="AT130" s="2">
        <v>154.5</v>
      </c>
      <c r="AU130" s="2">
        <v>154.5</v>
      </c>
    </row>
    <row r="131" spans="1:47" x14ac:dyDescent="0.3">
      <c r="A131" s="2" t="s">
        <v>55</v>
      </c>
      <c r="B131" s="2">
        <v>0.81</v>
      </c>
      <c r="C131" s="2">
        <v>0.81</v>
      </c>
      <c r="D131" s="2">
        <v>0.81</v>
      </c>
      <c r="E131" s="2">
        <v>0.81</v>
      </c>
      <c r="F131" s="2">
        <v>0.81</v>
      </c>
      <c r="G131" s="2">
        <v>0.81</v>
      </c>
      <c r="H131" s="2">
        <v>0.81</v>
      </c>
      <c r="I131" s="2">
        <v>0.81</v>
      </c>
      <c r="J131" s="2">
        <v>0.81</v>
      </c>
      <c r="K131" s="2">
        <v>0.81</v>
      </c>
      <c r="L131" s="2">
        <v>0.81</v>
      </c>
      <c r="M131" s="2">
        <v>0.81</v>
      </c>
      <c r="N131" s="2">
        <v>0.81</v>
      </c>
      <c r="O131" s="2">
        <v>0.81</v>
      </c>
      <c r="P131" s="2">
        <v>0.81</v>
      </c>
      <c r="Q131" s="2">
        <v>0.81</v>
      </c>
      <c r="R131" s="2">
        <v>0.81</v>
      </c>
      <c r="S131" s="2">
        <v>0.81</v>
      </c>
      <c r="T131" s="2">
        <v>1.52</v>
      </c>
      <c r="U131" s="2">
        <v>2.3199999999999998</v>
      </c>
      <c r="V131" s="2">
        <v>8.1199999999999992</v>
      </c>
      <c r="W131" s="2">
        <v>9</v>
      </c>
      <c r="X131" s="2">
        <v>10.01</v>
      </c>
      <c r="Y131" s="2">
        <v>10.92</v>
      </c>
      <c r="Z131" s="2">
        <v>11.81</v>
      </c>
      <c r="AA131" s="2">
        <v>12.72</v>
      </c>
      <c r="AB131" s="2">
        <v>13.65</v>
      </c>
      <c r="AC131" s="2">
        <v>13.65</v>
      </c>
      <c r="AD131" s="2">
        <v>13.65</v>
      </c>
      <c r="AE131" s="2">
        <v>13.65</v>
      </c>
      <c r="AF131" s="2">
        <v>13.65</v>
      </c>
      <c r="AG131" s="2">
        <v>13.65</v>
      </c>
      <c r="AH131" s="2">
        <v>13.65</v>
      </c>
      <c r="AI131" s="2">
        <v>13.65</v>
      </c>
      <c r="AJ131" s="2">
        <v>13.65</v>
      </c>
      <c r="AK131" s="2">
        <v>13.65</v>
      </c>
      <c r="AL131" s="2">
        <v>13.65</v>
      </c>
      <c r="AM131" s="2">
        <v>13.65</v>
      </c>
      <c r="AN131" s="2">
        <v>13.65</v>
      </c>
      <c r="AO131" s="2">
        <v>13.65</v>
      </c>
      <c r="AP131" s="2">
        <v>13.65</v>
      </c>
      <c r="AQ131" s="2">
        <v>13.65</v>
      </c>
      <c r="AR131" s="2">
        <v>13.65</v>
      </c>
      <c r="AS131" s="2">
        <v>13.65</v>
      </c>
      <c r="AT131" s="2">
        <v>13.65</v>
      </c>
      <c r="AU131" s="2">
        <v>13.65</v>
      </c>
    </row>
    <row r="132" spans="1:47" x14ac:dyDescent="0.3">
      <c r="A132" s="2" t="s">
        <v>56</v>
      </c>
      <c r="B132" s="2">
        <v>0</v>
      </c>
      <c r="C132" s="2">
        <v>0</v>
      </c>
      <c r="D132" s="2">
        <v>0</v>
      </c>
      <c r="E132" s="2">
        <v>0</v>
      </c>
      <c r="F132" s="2">
        <v>0</v>
      </c>
      <c r="G132" s="2">
        <v>0</v>
      </c>
      <c r="H132" s="2">
        <v>0</v>
      </c>
      <c r="I132" s="2">
        <v>0</v>
      </c>
      <c r="J132" s="2">
        <v>0</v>
      </c>
      <c r="K132" s="2">
        <v>0</v>
      </c>
      <c r="L132" s="2">
        <v>0</v>
      </c>
      <c r="M132" s="2">
        <v>0</v>
      </c>
      <c r="N132" s="2">
        <v>0</v>
      </c>
      <c r="O132" s="2">
        <v>0</v>
      </c>
      <c r="P132" s="2">
        <v>0.5</v>
      </c>
      <c r="Q132" s="2">
        <v>0.5</v>
      </c>
      <c r="R132" s="2">
        <v>0.5</v>
      </c>
      <c r="S132" s="2">
        <v>0.5</v>
      </c>
      <c r="T132" s="2">
        <v>0.5</v>
      </c>
      <c r="U132" s="2">
        <v>0.5</v>
      </c>
      <c r="V132" s="2">
        <v>0.5</v>
      </c>
      <c r="W132" s="2">
        <v>0.5</v>
      </c>
      <c r="X132" s="2">
        <v>0.5</v>
      </c>
      <c r="Y132" s="2">
        <v>0.5</v>
      </c>
      <c r="Z132" s="2">
        <v>0.5</v>
      </c>
      <c r="AA132" s="2">
        <v>0.5</v>
      </c>
      <c r="AB132" s="2">
        <v>0.5</v>
      </c>
      <c r="AC132" s="2">
        <v>0.5</v>
      </c>
      <c r="AD132" s="2">
        <v>0.5</v>
      </c>
      <c r="AE132" s="2">
        <v>0.5</v>
      </c>
      <c r="AF132" s="2">
        <v>0.5</v>
      </c>
      <c r="AG132" s="2">
        <v>0.5</v>
      </c>
      <c r="AH132" s="2">
        <v>0.5</v>
      </c>
      <c r="AI132" s="2">
        <v>0.5</v>
      </c>
      <c r="AJ132" s="2">
        <v>0.5</v>
      </c>
      <c r="AK132" s="2">
        <v>0.5</v>
      </c>
      <c r="AL132" s="2">
        <v>0.5</v>
      </c>
      <c r="AM132" s="2">
        <v>0.5</v>
      </c>
      <c r="AN132" s="2">
        <v>0.5</v>
      </c>
      <c r="AO132" s="2">
        <v>0.5</v>
      </c>
      <c r="AP132" s="2">
        <v>0.5</v>
      </c>
      <c r="AQ132" s="2">
        <v>0.5</v>
      </c>
      <c r="AR132" s="2">
        <v>0.5</v>
      </c>
      <c r="AS132" s="2">
        <v>0.5</v>
      </c>
      <c r="AT132" s="2">
        <v>0.5</v>
      </c>
      <c r="AU132" s="2">
        <v>0.5</v>
      </c>
    </row>
    <row r="133" spans="1:47" x14ac:dyDescent="0.3">
      <c r="A133" s="2" t="s">
        <v>57</v>
      </c>
      <c r="B133" s="2">
        <v>0</v>
      </c>
      <c r="C133" s="2">
        <v>0</v>
      </c>
      <c r="D133" s="2">
        <v>0</v>
      </c>
      <c r="E133" s="2">
        <v>0</v>
      </c>
      <c r="F133" s="2">
        <v>0</v>
      </c>
      <c r="G133" s="2">
        <v>0</v>
      </c>
      <c r="H133" s="2">
        <v>0</v>
      </c>
      <c r="I133" s="2">
        <v>0</v>
      </c>
      <c r="J133" s="2">
        <v>0.04</v>
      </c>
      <c r="K133" s="2">
        <v>0.04</v>
      </c>
      <c r="L133" s="2">
        <v>0.04</v>
      </c>
      <c r="M133" s="2">
        <v>0.04</v>
      </c>
      <c r="N133" s="2">
        <v>0.04</v>
      </c>
      <c r="O133" s="2">
        <v>0.04</v>
      </c>
      <c r="P133" s="2">
        <v>0.04</v>
      </c>
      <c r="Q133" s="2">
        <v>0.04</v>
      </c>
      <c r="R133" s="2">
        <v>0.04</v>
      </c>
      <c r="S133" s="2">
        <v>0.75</v>
      </c>
      <c r="T133" s="2">
        <v>0.75</v>
      </c>
      <c r="U133" s="2">
        <v>1.55</v>
      </c>
      <c r="V133" s="2">
        <v>2.4300000000000002</v>
      </c>
      <c r="W133" s="2">
        <v>3.44</v>
      </c>
      <c r="X133" s="2">
        <v>4.3499999999999996</v>
      </c>
      <c r="Y133" s="2">
        <v>5.33</v>
      </c>
      <c r="Z133" s="2">
        <v>6.24</v>
      </c>
      <c r="AA133" s="2">
        <v>7.17</v>
      </c>
      <c r="AB133" s="2">
        <v>7.17</v>
      </c>
      <c r="AC133" s="2">
        <v>7.17</v>
      </c>
      <c r="AD133" s="2">
        <v>7.17</v>
      </c>
      <c r="AE133" s="2">
        <v>7.17</v>
      </c>
      <c r="AF133" s="2">
        <v>7.17</v>
      </c>
      <c r="AG133" s="2">
        <v>7.17</v>
      </c>
      <c r="AH133" s="2">
        <v>7.17</v>
      </c>
      <c r="AI133" s="2">
        <v>7.17</v>
      </c>
      <c r="AJ133" s="2">
        <v>7.17</v>
      </c>
      <c r="AK133" s="2">
        <v>7.17</v>
      </c>
      <c r="AL133" s="2">
        <v>7.17</v>
      </c>
      <c r="AM133" s="2">
        <v>7.17</v>
      </c>
      <c r="AN133" s="2">
        <v>7.17</v>
      </c>
      <c r="AO133" s="2">
        <v>7.17</v>
      </c>
      <c r="AP133" s="2">
        <v>7.17</v>
      </c>
      <c r="AQ133" s="2">
        <v>7.17</v>
      </c>
      <c r="AR133" s="2">
        <v>7.17</v>
      </c>
      <c r="AS133" s="2">
        <v>7.17</v>
      </c>
      <c r="AT133" s="2">
        <v>7.17</v>
      </c>
      <c r="AU133" s="2">
        <v>7.17</v>
      </c>
    </row>
    <row r="134" spans="1:47" x14ac:dyDescent="0.3">
      <c r="A134" s="2" t="s">
        <v>58</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row>
    <row r="135" spans="1:47" x14ac:dyDescent="0.3">
      <c r="A135" s="2" t="s">
        <v>59</v>
      </c>
      <c r="B135" s="2">
        <v>0</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row>
    <row r="136" spans="1:47" x14ac:dyDescent="0.3">
      <c r="A136" s="2" t="s">
        <v>60</v>
      </c>
      <c r="B136" s="2">
        <v>0</v>
      </c>
      <c r="C136" s="2">
        <v>0</v>
      </c>
      <c r="D136" s="2">
        <v>0</v>
      </c>
      <c r="E136" s="2">
        <v>0</v>
      </c>
      <c r="F136" s="2">
        <v>0</v>
      </c>
      <c r="G136" s="2">
        <v>0</v>
      </c>
      <c r="H136" s="2">
        <v>0</v>
      </c>
      <c r="I136" s="2">
        <v>0</v>
      </c>
      <c r="J136" s="2">
        <v>0</v>
      </c>
      <c r="K136" s="2">
        <v>0</v>
      </c>
      <c r="L136" s="2">
        <v>4.4000000000000004</v>
      </c>
      <c r="M136" s="2">
        <v>4.4000000000000004</v>
      </c>
      <c r="N136" s="2">
        <v>4.4000000000000004</v>
      </c>
      <c r="O136" s="2">
        <v>4.4000000000000004</v>
      </c>
      <c r="P136" s="2">
        <v>15.4</v>
      </c>
      <c r="Q136" s="2">
        <v>19.8</v>
      </c>
      <c r="R136" s="2">
        <v>19.8</v>
      </c>
      <c r="S136" s="2">
        <v>19.8</v>
      </c>
      <c r="T136" s="2">
        <v>19.8</v>
      </c>
      <c r="U136" s="2">
        <v>19.8</v>
      </c>
      <c r="V136" s="2">
        <v>19.8</v>
      </c>
      <c r="W136" s="2">
        <v>19.8</v>
      </c>
      <c r="X136" s="2">
        <v>19.8</v>
      </c>
      <c r="Y136" s="2">
        <v>19.8</v>
      </c>
      <c r="Z136" s="2">
        <v>19.8</v>
      </c>
      <c r="AA136" s="2">
        <v>19.8</v>
      </c>
      <c r="AB136" s="2">
        <v>19.8</v>
      </c>
      <c r="AC136" s="2">
        <v>19.8</v>
      </c>
      <c r="AD136" s="2">
        <v>19.8</v>
      </c>
      <c r="AE136" s="2">
        <v>19.8</v>
      </c>
      <c r="AF136" s="2">
        <v>19.8</v>
      </c>
      <c r="AG136" s="2">
        <v>19.8</v>
      </c>
      <c r="AH136" s="2">
        <v>19.8</v>
      </c>
      <c r="AI136" s="2">
        <v>19.8</v>
      </c>
      <c r="AJ136" s="2">
        <v>19.8</v>
      </c>
      <c r="AK136" s="2">
        <v>19.8</v>
      </c>
      <c r="AL136" s="2">
        <v>19.8</v>
      </c>
      <c r="AM136" s="2">
        <v>19.8</v>
      </c>
      <c r="AN136" s="2">
        <v>19.8</v>
      </c>
      <c r="AO136" s="2">
        <v>19.8</v>
      </c>
      <c r="AP136" s="2">
        <v>19.8</v>
      </c>
      <c r="AQ136" s="2">
        <v>19.8</v>
      </c>
      <c r="AR136" s="2">
        <v>19.8</v>
      </c>
      <c r="AS136" s="2">
        <v>19.8</v>
      </c>
      <c r="AT136" s="2">
        <v>19.8</v>
      </c>
      <c r="AU136" s="2">
        <v>19.8</v>
      </c>
    </row>
    <row r="137" spans="1:47" x14ac:dyDescent="0.3">
      <c r="A137" s="2" t="s">
        <v>61</v>
      </c>
      <c r="B137" s="2">
        <v>33.340000000000003</v>
      </c>
      <c r="C137" s="2">
        <v>33.340000000000003</v>
      </c>
      <c r="D137" s="2">
        <v>33.340000000000003</v>
      </c>
      <c r="E137" s="2">
        <v>33.340000000000003</v>
      </c>
      <c r="F137" s="2">
        <v>33.340000000000003</v>
      </c>
      <c r="G137" s="2">
        <v>33.57</v>
      </c>
      <c r="H137" s="2">
        <v>33.57</v>
      </c>
      <c r="I137" s="2">
        <v>33.57</v>
      </c>
      <c r="J137" s="2">
        <v>33.57</v>
      </c>
      <c r="K137" s="2">
        <v>33.57</v>
      </c>
      <c r="L137" s="2">
        <v>24.57</v>
      </c>
      <c r="M137" s="2">
        <v>24.57</v>
      </c>
      <c r="N137" s="2">
        <v>24.57</v>
      </c>
      <c r="O137" s="2">
        <v>24.57</v>
      </c>
      <c r="P137" s="2">
        <v>24.57</v>
      </c>
      <c r="Q137" s="2">
        <v>24.57</v>
      </c>
      <c r="R137" s="2">
        <v>24.57</v>
      </c>
      <c r="S137" s="2">
        <v>24.57</v>
      </c>
      <c r="T137" s="2">
        <v>24.57</v>
      </c>
      <c r="U137" s="2">
        <v>24.57</v>
      </c>
      <c r="V137" s="2">
        <v>21.57</v>
      </c>
      <c r="W137" s="2">
        <v>18.57</v>
      </c>
      <c r="X137" s="2">
        <v>18.57</v>
      </c>
      <c r="Y137" s="2">
        <v>18.57</v>
      </c>
      <c r="Z137" s="2">
        <v>18.57</v>
      </c>
      <c r="AA137" s="2">
        <v>18.57</v>
      </c>
      <c r="AB137" s="2">
        <v>23.57</v>
      </c>
      <c r="AC137" s="2">
        <v>23.57</v>
      </c>
      <c r="AD137" s="2">
        <v>23.57</v>
      </c>
      <c r="AE137" s="2">
        <v>23.57</v>
      </c>
      <c r="AF137" s="2">
        <v>23.57</v>
      </c>
      <c r="AG137" s="2">
        <v>23.57</v>
      </c>
      <c r="AH137" s="2">
        <v>23.57</v>
      </c>
      <c r="AI137" s="2">
        <v>23.57</v>
      </c>
      <c r="AJ137" s="2">
        <v>23.57</v>
      </c>
      <c r="AK137" s="2">
        <v>23.57</v>
      </c>
      <c r="AL137" s="2">
        <v>23.57</v>
      </c>
      <c r="AM137" s="2">
        <v>23.57</v>
      </c>
      <c r="AN137" s="2">
        <v>23.57</v>
      </c>
      <c r="AO137" s="2">
        <v>23.57</v>
      </c>
      <c r="AP137" s="2">
        <v>23.57</v>
      </c>
      <c r="AQ137" s="2">
        <v>23.57</v>
      </c>
      <c r="AR137" s="2">
        <v>23.57</v>
      </c>
      <c r="AS137" s="2">
        <v>23.57</v>
      </c>
      <c r="AT137" s="2">
        <v>23.57</v>
      </c>
      <c r="AU137" s="2">
        <v>23.57</v>
      </c>
    </row>
    <row r="139" spans="1:47" ht="18" x14ac:dyDescent="0.35">
      <c r="A139" s="4" t="s">
        <v>73</v>
      </c>
    </row>
    <row r="140" spans="1:47" x14ac:dyDescent="0.3">
      <c r="A140" s="2" t="s">
        <v>7</v>
      </c>
      <c r="B140" s="2" t="s">
        <v>8</v>
      </c>
      <c r="C140" s="2" t="s">
        <v>9</v>
      </c>
      <c r="D140" s="2" t="s">
        <v>10</v>
      </c>
      <c r="E140" s="2" t="s">
        <v>11</v>
      </c>
      <c r="F140" s="2" t="s">
        <v>12</v>
      </c>
      <c r="G140" s="2" t="s">
        <v>13</v>
      </c>
      <c r="H140" s="2" t="s">
        <v>14</v>
      </c>
      <c r="I140" s="2" t="s">
        <v>15</v>
      </c>
      <c r="J140" s="2" t="s">
        <v>16</v>
      </c>
      <c r="K140" s="2" t="s">
        <v>17</v>
      </c>
      <c r="L140" s="2" t="s">
        <v>18</v>
      </c>
      <c r="M140" s="2" t="s">
        <v>19</v>
      </c>
      <c r="N140" s="2" t="s">
        <v>20</v>
      </c>
      <c r="O140" s="2" t="s">
        <v>21</v>
      </c>
      <c r="P140" s="2" t="s">
        <v>22</v>
      </c>
      <c r="Q140" s="2" t="s">
        <v>23</v>
      </c>
      <c r="R140" s="2" t="s">
        <v>24</v>
      </c>
      <c r="S140" s="2" t="s">
        <v>25</v>
      </c>
      <c r="T140" s="2" t="s">
        <v>26</v>
      </c>
      <c r="U140" s="2" t="s">
        <v>27</v>
      </c>
      <c r="V140" s="2" t="s">
        <v>28</v>
      </c>
      <c r="W140" s="2" t="s">
        <v>29</v>
      </c>
      <c r="X140" s="2" t="s">
        <v>30</v>
      </c>
      <c r="Y140" s="2" t="s">
        <v>31</v>
      </c>
      <c r="Z140" s="2" t="s">
        <v>32</v>
      </c>
      <c r="AA140" s="2" t="s">
        <v>33</v>
      </c>
      <c r="AB140" s="2" t="s">
        <v>34</v>
      </c>
      <c r="AC140" s="2" t="s">
        <v>35</v>
      </c>
      <c r="AD140" s="2" t="s">
        <v>36</v>
      </c>
      <c r="AE140" s="2" t="s">
        <v>37</v>
      </c>
      <c r="AF140" s="2" t="s">
        <v>38</v>
      </c>
      <c r="AG140" s="2" t="s">
        <v>39</v>
      </c>
      <c r="AH140" s="2" t="s">
        <v>40</v>
      </c>
      <c r="AI140" s="2" t="s">
        <v>41</v>
      </c>
      <c r="AJ140" s="2" t="s">
        <v>42</v>
      </c>
      <c r="AK140" s="2" t="s">
        <v>43</v>
      </c>
      <c r="AL140" s="2" t="s">
        <v>44</v>
      </c>
      <c r="AM140" s="2" t="s">
        <v>45</v>
      </c>
      <c r="AN140" s="2" t="s">
        <v>46</v>
      </c>
      <c r="AO140" s="2" t="s">
        <v>47</v>
      </c>
      <c r="AP140" s="2" t="s">
        <v>48</v>
      </c>
      <c r="AQ140" s="2" t="s">
        <v>49</v>
      </c>
      <c r="AR140" s="2" t="s">
        <v>50</v>
      </c>
      <c r="AS140" s="2" t="s">
        <v>51</v>
      </c>
      <c r="AT140" s="2" t="s">
        <v>52</v>
      </c>
      <c r="AU140" s="2" t="s">
        <v>53</v>
      </c>
    </row>
    <row r="141" spans="1:47" x14ac:dyDescent="0.3">
      <c r="A141" s="2" t="s">
        <v>54</v>
      </c>
      <c r="B141" s="2">
        <v>55.48</v>
      </c>
      <c r="C141" s="2">
        <v>55.48</v>
      </c>
      <c r="D141" s="2">
        <v>55.48</v>
      </c>
      <c r="E141" s="2">
        <v>55.48</v>
      </c>
      <c r="F141" s="2">
        <v>55.48</v>
      </c>
      <c r="G141" s="2">
        <v>55.48</v>
      </c>
      <c r="H141" s="2">
        <v>55.48</v>
      </c>
      <c r="I141" s="2">
        <v>55.48</v>
      </c>
      <c r="J141" s="2">
        <v>55.48</v>
      </c>
      <c r="K141" s="2">
        <v>55.48</v>
      </c>
      <c r="L141" s="2">
        <v>55.48</v>
      </c>
      <c r="M141" s="2">
        <v>55.48</v>
      </c>
      <c r="N141" s="2">
        <v>55.48</v>
      </c>
      <c r="O141" s="2">
        <v>55.48</v>
      </c>
      <c r="P141" s="2">
        <v>55.48</v>
      </c>
      <c r="Q141" s="2">
        <v>55.48</v>
      </c>
      <c r="R141" s="2">
        <v>55.48</v>
      </c>
      <c r="S141" s="2">
        <v>55.48</v>
      </c>
      <c r="T141" s="2">
        <v>55.48</v>
      </c>
      <c r="U141" s="2">
        <v>115.48</v>
      </c>
      <c r="V141" s="2">
        <v>115.48</v>
      </c>
      <c r="W141" s="2">
        <v>115.48</v>
      </c>
      <c r="X141" s="2">
        <v>115.48</v>
      </c>
      <c r="Y141" s="2">
        <v>115.48</v>
      </c>
      <c r="Z141" s="2">
        <v>115.48</v>
      </c>
      <c r="AA141" s="2">
        <v>115.48</v>
      </c>
      <c r="AB141" s="2">
        <v>115.48</v>
      </c>
      <c r="AC141" s="2">
        <v>115.48</v>
      </c>
      <c r="AD141" s="2">
        <v>115.48</v>
      </c>
      <c r="AE141" s="2">
        <v>115.48</v>
      </c>
      <c r="AF141" s="2">
        <v>115.48</v>
      </c>
      <c r="AG141" s="2">
        <v>115.48</v>
      </c>
      <c r="AH141" s="2">
        <v>115.48</v>
      </c>
      <c r="AI141" s="2">
        <v>115.48</v>
      </c>
      <c r="AJ141" s="2">
        <v>115.48</v>
      </c>
      <c r="AK141" s="2">
        <v>115.48</v>
      </c>
      <c r="AL141" s="2">
        <v>115.48</v>
      </c>
      <c r="AM141" s="2">
        <v>115.48</v>
      </c>
      <c r="AN141" s="2">
        <v>115.48</v>
      </c>
      <c r="AO141" s="2">
        <v>115.48</v>
      </c>
      <c r="AP141" s="2">
        <v>115.48</v>
      </c>
      <c r="AQ141" s="2">
        <v>115.48</v>
      </c>
      <c r="AR141" s="2">
        <v>115.48</v>
      </c>
      <c r="AS141" s="2">
        <v>115.48</v>
      </c>
      <c r="AT141" s="2">
        <v>115.48</v>
      </c>
      <c r="AU141" s="2">
        <v>115.48</v>
      </c>
    </row>
    <row r="142" spans="1:47" x14ac:dyDescent="0.3">
      <c r="A142" s="2" t="s">
        <v>55</v>
      </c>
      <c r="B142" s="2">
        <v>0</v>
      </c>
      <c r="C142" s="2">
        <v>0</v>
      </c>
      <c r="D142" s="2">
        <v>0</v>
      </c>
      <c r="E142" s="2">
        <v>0</v>
      </c>
      <c r="F142" s="2">
        <v>0</v>
      </c>
      <c r="G142" s="2">
        <v>0</v>
      </c>
      <c r="H142" s="2">
        <v>0</v>
      </c>
      <c r="I142" s="2">
        <v>9.1999999999999993</v>
      </c>
      <c r="J142" s="2">
        <v>9.1999999999999993</v>
      </c>
      <c r="K142" s="2">
        <v>9.1999999999999993</v>
      </c>
      <c r="L142" s="2">
        <v>9.1999999999999993</v>
      </c>
      <c r="M142" s="2">
        <v>9.1999999999999993</v>
      </c>
      <c r="N142" s="2">
        <v>9.1999999999999993</v>
      </c>
      <c r="O142" s="2">
        <v>9.1999999999999993</v>
      </c>
      <c r="P142" s="2">
        <v>9.1999999999999993</v>
      </c>
      <c r="Q142" s="2">
        <v>9.1999999999999993</v>
      </c>
      <c r="R142" s="2">
        <v>9.1999999999999993</v>
      </c>
      <c r="S142" s="2">
        <v>13.2</v>
      </c>
      <c r="T142" s="2">
        <v>4</v>
      </c>
      <c r="U142" s="2">
        <v>4.92</v>
      </c>
      <c r="V142" s="2">
        <v>5.83</v>
      </c>
      <c r="W142" s="2">
        <v>6.73</v>
      </c>
      <c r="X142" s="2">
        <v>7.67</v>
      </c>
      <c r="Y142" s="2">
        <v>7.67</v>
      </c>
      <c r="Z142" s="2">
        <v>7.67</v>
      </c>
      <c r="AA142" s="2">
        <v>7.67</v>
      </c>
      <c r="AB142" s="2">
        <v>7.67</v>
      </c>
      <c r="AC142" s="2">
        <v>7.67</v>
      </c>
      <c r="AD142" s="2">
        <v>7.67</v>
      </c>
      <c r="AE142" s="2">
        <v>7.67</v>
      </c>
      <c r="AF142" s="2">
        <v>7.67</v>
      </c>
      <c r="AG142" s="2">
        <v>7.67</v>
      </c>
      <c r="AH142" s="2">
        <v>7.67</v>
      </c>
      <c r="AI142" s="2">
        <v>7.67</v>
      </c>
      <c r="AJ142" s="2">
        <v>7.67</v>
      </c>
      <c r="AK142" s="2">
        <v>7.67</v>
      </c>
      <c r="AL142" s="2">
        <v>7.67</v>
      </c>
      <c r="AM142" s="2">
        <v>7.67</v>
      </c>
      <c r="AN142" s="2">
        <v>7.67</v>
      </c>
      <c r="AO142" s="2">
        <v>7.67</v>
      </c>
      <c r="AP142" s="2">
        <v>7.67</v>
      </c>
      <c r="AQ142" s="2">
        <v>7.67</v>
      </c>
      <c r="AR142" s="2">
        <v>7.67</v>
      </c>
      <c r="AS142" s="2">
        <v>7.67</v>
      </c>
      <c r="AT142" s="2">
        <v>7.67</v>
      </c>
      <c r="AU142" s="2">
        <v>7.67</v>
      </c>
    </row>
    <row r="143" spans="1:47" x14ac:dyDescent="0.3">
      <c r="A143" s="2" t="s">
        <v>56</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row>
    <row r="144" spans="1:47" x14ac:dyDescent="0.3">
      <c r="A144" s="2" t="s">
        <v>57</v>
      </c>
      <c r="B144" s="2">
        <v>0</v>
      </c>
      <c r="C144" s="2">
        <v>0</v>
      </c>
      <c r="D144" s="2">
        <v>0</v>
      </c>
      <c r="E144" s="2">
        <v>0</v>
      </c>
      <c r="F144" s="2">
        <v>0</v>
      </c>
      <c r="G144" s="2">
        <v>0</v>
      </c>
      <c r="H144" s="2">
        <v>0</v>
      </c>
      <c r="I144" s="2">
        <v>0</v>
      </c>
      <c r="J144" s="2">
        <v>0.27</v>
      </c>
      <c r="K144" s="2">
        <v>0.42</v>
      </c>
      <c r="L144" s="2">
        <v>0.82</v>
      </c>
      <c r="M144" s="2">
        <v>1.22</v>
      </c>
      <c r="N144" s="2">
        <v>1.62</v>
      </c>
      <c r="O144" s="2">
        <v>2.02</v>
      </c>
      <c r="P144" s="2">
        <v>2.02</v>
      </c>
      <c r="Q144" s="2">
        <v>2.02</v>
      </c>
      <c r="R144" s="2">
        <v>2.02</v>
      </c>
      <c r="S144" s="2">
        <v>2.02</v>
      </c>
      <c r="T144" s="2">
        <v>2.94</v>
      </c>
      <c r="U144" s="2">
        <v>3.85</v>
      </c>
      <c r="V144" s="2">
        <v>4.75</v>
      </c>
      <c r="W144" s="2">
        <v>5.69</v>
      </c>
      <c r="X144" s="2">
        <v>5.69</v>
      </c>
      <c r="Y144" s="2">
        <v>5.69</v>
      </c>
      <c r="Z144" s="2">
        <v>5.69</v>
      </c>
      <c r="AA144" s="2">
        <v>5.69</v>
      </c>
      <c r="AB144" s="2">
        <v>5.69</v>
      </c>
      <c r="AC144" s="2">
        <v>5.69</v>
      </c>
      <c r="AD144" s="2">
        <v>5.69</v>
      </c>
      <c r="AE144" s="2">
        <v>5.69</v>
      </c>
      <c r="AF144" s="2">
        <v>5.69</v>
      </c>
      <c r="AG144" s="2">
        <v>5.69</v>
      </c>
      <c r="AH144" s="2">
        <v>5.69</v>
      </c>
      <c r="AI144" s="2">
        <v>5.69</v>
      </c>
      <c r="AJ144" s="2">
        <v>5.69</v>
      </c>
      <c r="AK144" s="2">
        <v>5.69</v>
      </c>
      <c r="AL144" s="2">
        <v>5.69</v>
      </c>
      <c r="AM144" s="2">
        <v>5.69</v>
      </c>
      <c r="AN144" s="2">
        <v>5.69</v>
      </c>
      <c r="AO144" s="2">
        <v>5.69</v>
      </c>
      <c r="AP144" s="2">
        <v>5.69</v>
      </c>
      <c r="AQ144" s="2">
        <v>5.69</v>
      </c>
      <c r="AR144" s="2">
        <v>5.69</v>
      </c>
      <c r="AS144" s="2">
        <v>5.69</v>
      </c>
      <c r="AT144" s="2">
        <v>5.69</v>
      </c>
      <c r="AU144" s="2">
        <v>5.69</v>
      </c>
    </row>
    <row r="145" spans="1:47" x14ac:dyDescent="0.3">
      <c r="A145" s="2" t="s">
        <v>58</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row>
    <row r="146" spans="1:47" x14ac:dyDescent="0.3">
      <c r="A146" s="2" t="s">
        <v>59</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0</v>
      </c>
      <c r="AU146" s="2">
        <v>0</v>
      </c>
    </row>
    <row r="147" spans="1:47" x14ac:dyDescent="0.3">
      <c r="A147" s="2" t="s">
        <v>60</v>
      </c>
      <c r="B147" s="2">
        <v>27.3</v>
      </c>
      <c r="C147" s="2">
        <v>27.3</v>
      </c>
      <c r="D147" s="2">
        <v>19.5</v>
      </c>
      <c r="E147" s="2">
        <v>27.2</v>
      </c>
      <c r="F147" s="2">
        <v>27.2</v>
      </c>
      <c r="G147" s="2">
        <v>27.2</v>
      </c>
      <c r="H147" s="2">
        <v>27.2</v>
      </c>
      <c r="I147" s="2">
        <v>27.2</v>
      </c>
      <c r="J147" s="2">
        <v>27.2</v>
      </c>
      <c r="K147" s="2">
        <v>27.2</v>
      </c>
      <c r="L147" s="2">
        <v>27.2</v>
      </c>
      <c r="M147" s="2">
        <v>27.2</v>
      </c>
      <c r="N147" s="2">
        <v>27.2</v>
      </c>
      <c r="O147" s="2">
        <v>27.2</v>
      </c>
      <c r="P147" s="2">
        <v>27.2</v>
      </c>
      <c r="Q147" s="2">
        <v>27.2</v>
      </c>
      <c r="R147" s="2">
        <v>27.2</v>
      </c>
      <c r="S147" s="2">
        <v>27.2</v>
      </c>
      <c r="T147" s="2">
        <v>27.2</v>
      </c>
      <c r="U147" s="2">
        <v>32.200000000000003</v>
      </c>
      <c r="V147" s="2">
        <v>37.200000000000003</v>
      </c>
      <c r="W147" s="2">
        <v>37.200000000000003</v>
      </c>
      <c r="X147" s="2">
        <v>37.200000000000003</v>
      </c>
      <c r="Y147" s="2">
        <v>37.200000000000003</v>
      </c>
      <c r="Z147" s="2">
        <v>37.200000000000003</v>
      </c>
      <c r="AA147" s="2">
        <v>37.200000000000003</v>
      </c>
      <c r="AB147" s="2">
        <v>37.200000000000003</v>
      </c>
      <c r="AC147" s="2">
        <v>37.200000000000003</v>
      </c>
      <c r="AD147" s="2">
        <v>37.200000000000003</v>
      </c>
      <c r="AE147" s="2">
        <v>37.200000000000003</v>
      </c>
      <c r="AF147" s="2">
        <v>37.200000000000003</v>
      </c>
      <c r="AG147" s="2">
        <v>37.200000000000003</v>
      </c>
      <c r="AH147" s="2">
        <v>37.200000000000003</v>
      </c>
      <c r="AI147" s="2">
        <v>37.200000000000003</v>
      </c>
      <c r="AJ147" s="2">
        <v>37.200000000000003</v>
      </c>
      <c r="AK147" s="2">
        <v>37.200000000000003</v>
      </c>
      <c r="AL147" s="2">
        <v>37.200000000000003</v>
      </c>
      <c r="AM147" s="2">
        <v>37.200000000000003</v>
      </c>
      <c r="AN147" s="2">
        <v>37.200000000000003</v>
      </c>
      <c r="AO147" s="2">
        <v>37.200000000000003</v>
      </c>
      <c r="AP147" s="2">
        <v>37.200000000000003</v>
      </c>
      <c r="AQ147" s="2">
        <v>37.200000000000003</v>
      </c>
      <c r="AR147" s="2">
        <v>37.200000000000003</v>
      </c>
      <c r="AS147" s="2">
        <v>37.200000000000003</v>
      </c>
      <c r="AT147" s="2">
        <v>37.200000000000003</v>
      </c>
      <c r="AU147" s="2">
        <v>37.200000000000003</v>
      </c>
    </row>
    <row r="148" spans="1:47" x14ac:dyDescent="0.3">
      <c r="A148" s="2" t="s">
        <v>61</v>
      </c>
      <c r="B148" s="2">
        <v>121.7</v>
      </c>
      <c r="C148" s="2">
        <v>82.7</v>
      </c>
      <c r="D148" s="2">
        <v>87.7</v>
      </c>
      <c r="E148" s="2">
        <v>84</v>
      </c>
      <c r="F148" s="2">
        <v>100</v>
      </c>
      <c r="G148" s="2">
        <v>100</v>
      </c>
      <c r="H148" s="2">
        <v>100</v>
      </c>
      <c r="I148" s="2">
        <v>100</v>
      </c>
      <c r="J148" s="2">
        <v>104</v>
      </c>
      <c r="K148" s="2">
        <v>78</v>
      </c>
      <c r="L148" s="2">
        <v>94</v>
      </c>
      <c r="M148" s="2">
        <v>94.06</v>
      </c>
      <c r="N148" s="2">
        <v>104.06</v>
      </c>
      <c r="O148" s="2">
        <v>114.06</v>
      </c>
      <c r="P148" s="2">
        <v>124.06</v>
      </c>
      <c r="Q148" s="2">
        <v>124.06</v>
      </c>
      <c r="R148" s="2">
        <v>124.06</v>
      </c>
      <c r="S148" s="2">
        <v>124.06</v>
      </c>
      <c r="T148" s="2">
        <v>124.06</v>
      </c>
      <c r="U148" s="2">
        <v>124.06</v>
      </c>
      <c r="V148" s="2">
        <v>124.06</v>
      </c>
      <c r="W148" s="2">
        <v>124.06</v>
      </c>
      <c r="X148" s="2">
        <v>124.06</v>
      </c>
      <c r="Y148" s="2">
        <v>124.06</v>
      </c>
      <c r="Z148" s="2">
        <v>124.06</v>
      </c>
      <c r="AA148" s="2">
        <v>129.06</v>
      </c>
      <c r="AB148" s="2">
        <v>129.06</v>
      </c>
      <c r="AC148" s="2">
        <v>129.06</v>
      </c>
      <c r="AD148" s="2">
        <v>129.06</v>
      </c>
      <c r="AE148" s="2">
        <v>129.06</v>
      </c>
      <c r="AF148" s="2">
        <v>129.06</v>
      </c>
      <c r="AG148" s="2">
        <v>129.06</v>
      </c>
      <c r="AH148" s="2">
        <v>129.06</v>
      </c>
      <c r="AI148" s="2">
        <v>129.06</v>
      </c>
      <c r="AJ148" s="2">
        <v>129.06</v>
      </c>
      <c r="AK148" s="2">
        <v>129.06</v>
      </c>
      <c r="AL148" s="2">
        <v>129.06</v>
      </c>
      <c r="AM148" s="2">
        <v>129.06</v>
      </c>
      <c r="AN148" s="2">
        <v>129.06</v>
      </c>
      <c r="AO148" s="2">
        <v>129.06</v>
      </c>
      <c r="AP148" s="2">
        <v>129.06</v>
      </c>
      <c r="AQ148" s="2">
        <v>129.06</v>
      </c>
      <c r="AR148" s="2">
        <v>129.06</v>
      </c>
      <c r="AS148" s="2">
        <v>129.06</v>
      </c>
      <c r="AT148" s="2">
        <v>129.06</v>
      </c>
      <c r="AU148" s="2">
        <v>129.06</v>
      </c>
    </row>
    <row r="150" spans="1:47" ht="18" x14ac:dyDescent="0.35">
      <c r="A150" s="4" t="s">
        <v>74</v>
      </c>
    </row>
    <row r="151" spans="1:47" x14ac:dyDescent="0.3">
      <c r="A151" s="2" t="s">
        <v>7</v>
      </c>
      <c r="B151" s="2" t="s">
        <v>8</v>
      </c>
      <c r="C151" s="2" t="s">
        <v>9</v>
      </c>
      <c r="D151" s="2" t="s">
        <v>10</v>
      </c>
      <c r="E151" s="2" t="s">
        <v>11</v>
      </c>
      <c r="F151" s="2" t="s">
        <v>12</v>
      </c>
      <c r="G151" s="2" t="s">
        <v>13</v>
      </c>
      <c r="H151" s="2" t="s">
        <v>14</v>
      </c>
      <c r="I151" s="2" t="s">
        <v>15</v>
      </c>
      <c r="J151" s="2" t="s">
        <v>16</v>
      </c>
      <c r="K151" s="2" t="s">
        <v>17</v>
      </c>
      <c r="L151" s="2" t="s">
        <v>18</v>
      </c>
      <c r="M151" s="2" t="s">
        <v>19</v>
      </c>
      <c r="N151" s="2" t="s">
        <v>20</v>
      </c>
      <c r="O151" s="2" t="s">
        <v>21</v>
      </c>
      <c r="P151" s="2" t="s">
        <v>22</v>
      </c>
      <c r="Q151" s="2" t="s">
        <v>23</v>
      </c>
      <c r="R151" s="2" t="s">
        <v>24</v>
      </c>
      <c r="S151" s="2" t="s">
        <v>25</v>
      </c>
      <c r="T151" s="2" t="s">
        <v>26</v>
      </c>
      <c r="U151" s="2" t="s">
        <v>27</v>
      </c>
      <c r="V151" s="2" t="s">
        <v>28</v>
      </c>
      <c r="W151" s="2" t="s">
        <v>29</v>
      </c>
      <c r="X151" s="2" t="s">
        <v>30</v>
      </c>
      <c r="Y151" s="2" t="s">
        <v>31</v>
      </c>
      <c r="Z151" s="2" t="s">
        <v>32</v>
      </c>
      <c r="AA151" s="2" t="s">
        <v>33</v>
      </c>
      <c r="AB151" s="2" t="s">
        <v>34</v>
      </c>
      <c r="AC151" s="2" t="s">
        <v>35</v>
      </c>
      <c r="AD151" s="2" t="s">
        <v>36</v>
      </c>
      <c r="AE151" s="2" t="s">
        <v>37</v>
      </c>
      <c r="AF151" s="2" t="s">
        <v>38</v>
      </c>
      <c r="AG151" s="2" t="s">
        <v>39</v>
      </c>
      <c r="AH151" s="2" t="s">
        <v>40</v>
      </c>
      <c r="AI151" s="2" t="s">
        <v>41</v>
      </c>
      <c r="AJ151" s="2" t="s">
        <v>42</v>
      </c>
      <c r="AK151" s="2" t="s">
        <v>43</v>
      </c>
      <c r="AL151" s="2" t="s">
        <v>44</v>
      </c>
      <c r="AM151" s="2" t="s">
        <v>45</v>
      </c>
      <c r="AN151" s="2" t="s">
        <v>46</v>
      </c>
      <c r="AO151" s="2" t="s">
        <v>47</v>
      </c>
      <c r="AP151" s="2" t="s">
        <v>48</v>
      </c>
      <c r="AQ151" s="2" t="s">
        <v>49</v>
      </c>
      <c r="AR151" s="2" t="s">
        <v>50</v>
      </c>
      <c r="AS151" s="2" t="s">
        <v>51</v>
      </c>
      <c r="AT151" s="2" t="s">
        <v>52</v>
      </c>
      <c r="AU151" s="2" t="s">
        <v>53</v>
      </c>
    </row>
    <row r="152" spans="1:47" x14ac:dyDescent="0.3">
      <c r="A152" s="2" t="s">
        <v>54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row>
    <row r="153" spans="1:47" x14ac:dyDescent="0.3">
      <c r="A153" s="2" t="s">
        <v>55</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0.25</v>
      </c>
      <c r="U153" s="2">
        <v>0.51</v>
      </c>
      <c r="V153" s="2">
        <v>0.78</v>
      </c>
      <c r="W153" s="2">
        <v>1.03</v>
      </c>
      <c r="X153" s="2">
        <v>1.29</v>
      </c>
      <c r="Y153" s="2">
        <v>1.55</v>
      </c>
      <c r="Z153" s="2">
        <v>1.81</v>
      </c>
      <c r="AA153" s="2">
        <v>2.0699999999999998</v>
      </c>
      <c r="AB153" s="2">
        <v>2.33</v>
      </c>
      <c r="AC153" s="2">
        <v>2.59</v>
      </c>
      <c r="AD153" s="2">
        <v>2.86</v>
      </c>
      <c r="AE153" s="2">
        <v>3.12</v>
      </c>
      <c r="AF153" s="2">
        <v>3.39</v>
      </c>
      <c r="AG153" s="2">
        <v>3.66</v>
      </c>
      <c r="AH153" s="2">
        <v>3.93</v>
      </c>
      <c r="AI153" s="2">
        <v>4.2</v>
      </c>
      <c r="AJ153" s="2">
        <v>4.47</v>
      </c>
      <c r="AK153" s="2">
        <v>4.74</v>
      </c>
      <c r="AL153" s="2">
        <v>5.0199999999999996</v>
      </c>
      <c r="AM153" s="2">
        <v>5.3</v>
      </c>
      <c r="AN153" s="2">
        <v>5.58</v>
      </c>
      <c r="AO153" s="2">
        <v>5.86</v>
      </c>
      <c r="AP153" s="2">
        <v>6.14</v>
      </c>
      <c r="AQ153" s="2">
        <v>6.43</v>
      </c>
      <c r="AR153" s="2">
        <v>6.72</v>
      </c>
      <c r="AS153" s="2">
        <v>7.01</v>
      </c>
      <c r="AT153" s="2">
        <v>7.3</v>
      </c>
      <c r="AU153" s="2">
        <v>7.61</v>
      </c>
    </row>
    <row r="154" spans="1:47" x14ac:dyDescent="0.3">
      <c r="A154" s="2" t="s">
        <v>56</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row>
    <row r="155" spans="1:47" x14ac:dyDescent="0.3">
      <c r="A155" s="2" t="s">
        <v>57</v>
      </c>
      <c r="B155" s="2">
        <v>0</v>
      </c>
      <c r="C155" s="2">
        <v>0</v>
      </c>
      <c r="D155" s="2">
        <v>0</v>
      </c>
      <c r="E155" s="2">
        <v>0</v>
      </c>
      <c r="F155" s="2">
        <v>0</v>
      </c>
      <c r="G155" s="2">
        <v>0</v>
      </c>
      <c r="H155" s="2">
        <v>0</v>
      </c>
      <c r="I155" s="2">
        <v>0</v>
      </c>
      <c r="J155" s="2">
        <v>0.03</v>
      </c>
      <c r="K155" s="2">
        <v>0.03</v>
      </c>
      <c r="L155" s="2">
        <v>0.03</v>
      </c>
      <c r="M155" s="2">
        <v>0.03</v>
      </c>
      <c r="N155" s="2">
        <v>0.03</v>
      </c>
      <c r="O155" s="2">
        <v>0.03</v>
      </c>
      <c r="P155" s="2">
        <v>0.03</v>
      </c>
      <c r="Q155" s="2">
        <v>0.03</v>
      </c>
      <c r="R155" s="2">
        <v>0.03</v>
      </c>
      <c r="S155" s="2">
        <v>0.28999999999999998</v>
      </c>
      <c r="T155" s="2">
        <v>0.55000000000000004</v>
      </c>
      <c r="U155" s="2">
        <v>0.81</v>
      </c>
      <c r="V155" s="2">
        <v>1.07</v>
      </c>
      <c r="W155" s="2">
        <v>1.32</v>
      </c>
      <c r="X155" s="2">
        <v>1.58</v>
      </c>
      <c r="Y155" s="2">
        <v>1.84</v>
      </c>
      <c r="Z155" s="2">
        <v>2.1</v>
      </c>
      <c r="AA155" s="2">
        <v>2.36</v>
      </c>
      <c r="AB155" s="2">
        <v>2.63</v>
      </c>
      <c r="AC155" s="2">
        <v>2.89</v>
      </c>
      <c r="AD155" s="2">
        <v>3.16</v>
      </c>
      <c r="AE155" s="2">
        <v>3.42</v>
      </c>
      <c r="AF155" s="2">
        <v>3.69</v>
      </c>
      <c r="AG155" s="2">
        <v>3.96</v>
      </c>
      <c r="AH155" s="2">
        <v>4.2300000000000004</v>
      </c>
      <c r="AI155" s="2">
        <v>4.5</v>
      </c>
      <c r="AJ155" s="2">
        <v>4.78</v>
      </c>
      <c r="AK155" s="2">
        <v>5.05</v>
      </c>
      <c r="AL155" s="2">
        <v>5.33</v>
      </c>
      <c r="AM155" s="2">
        <v>5.61</v>
      </c>
      <c r="AN155" s="2">
        <v>5.89</v>
      </c>
      <c r="AO155" s="2">
        <v>6.17</v>
      </c>
      <c r="AP155" s="2">
        <v>6.46</v>
      </c>
      <c r="AQ155" s="2">
        <v>6.75</v>
      </c>
      <c r="AR155" s="2">
        <v>7.04</v>
      </c>
      <c r="AS155" s="2">
        <v>7.34</v>
      </c>
      <c r="AT155" s="2">
        <v>7.63</v>
      </c>
      <c r="AU155" s="2">
        <v>7.94</v>
      </c>
    </row>
    <row r="156" spans="1:47" x14ac:dyDescent="0.3">
      <c r="A156" s="2" t="s">
        <v>58</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row>
    <row r="157" spans="1:47" x14ac:dyDescent="0.3">
      <c r="A157" s="2" t="s">
        <v>59</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row>
    <row r="158" spans="1:47" x14ac:dyDescent="0.3">
      <c r="A158" s="2" t="s">
        <v>60</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row>
    <row r="159" spans="1:47" x14ac:dyDescent="0.3">
      <c r="A159" s="2" t="s">
        <v>61</v>
      </c>
      <c r="B159" s="2">
        <v>54.28</v>
      </c>
      <c r="C159" s="2">
        <v>54.28</v>
      </c>
      <c r="D159" s="2">
        <v>54.28</v>
      </c>
      <c r="E159" s="2">
        <v>54.28</v>
      </c>
      <c r="F159" s="2">
        <v>54.28</v>
      </c>
      <c r="G159" s="2">
        <v>54.28</v>
      </c>
      <c r="H159" s="2">
        <v>54.28</v>
      </c>
      <c r="I159" s="2">
        <v>54.28</v>
      </c>
      <c r="J159" s="2">
        <v>54.28</v>
      </c>
      <c r="K159" s="2">
        <v>54.28</v>
      </c>
      <c r="L159" s="2">
        <v>54.28</v>
      </c>
      <c r="M159" s="2">
        <v>54.28</v>
      </c>
      <c r="N159" s="2">
        <v>54.28</v>
      </c>
      <c r="O159" s="2">
        <v>54.28</v>
      </c>
      <c r="P159" s="2">
        <v>54.28</v>
      </c>
      <c r="Q159" s="2">
        <v>54.28</v>
      </c>
      <c r="R159" s="2">
        <v>54.28</v>
      </c>
      <c r="S159" s="2">
        <v>54.28</v>
      </c>
      <c r="T159" s="2">
        <v>54.28</v>
      </c>
      <c r="U159" s="2">
        <v>58.28</v>
      </c>
      <c r="V159" s="2">
        <v>58.28</v>
      </c>
      <c r="W159" s="2">
        <v>58.28</v>
      </c>
      <c r="X159" s="2">
        <v>58.28</v>
      </c>
      <c r="Y159" s="2">
        <v>62.28</v>
      </c>
      <c r="Z159" s="2">
        <v>62.28</v>
      </c>
      <c r="AA159" s="2">
        <v>62.28</v>
      </c>
      <c r="AB159" s="2">
        <v>62.28</v>
      </c>
      <c r="AC159" s="2">
        <v>66.28</v>
      </c>
      <c r="AD159" s="2">
        <v>66.28</v>
      </c>
      <c r="AE159" s="2">
        <v>66.28</v>
      </c>
      <c r="AF159" s="2">
        <v>66.28</v>
      </c>
      <c r="AG159" s="2">
        <v>70.28</v>
      </c>
      <c r="AH159" s="2">
        <v>70.28</v>
      </c>
      <c r="AI159" s="2">
        <v>70.28</v>
      </c>
      <c r="AJ159" s="2">
        <v>70.28</v>
      </c>
      <c r="AK159" s="2">
        <v>70.28</v>
      </c>
      <c r="AL159" s="2">
        <v>70.28</v>
      </c>
      <c r="AM159" s="2">
        <v>70.28</v>
      </c>
      <c r="AN159" s="2">
        <v>70.28</v>
      </c>
      <c r="AO159" s="2">
        <v>70.28</v>
      </c>
      <c r="AP159" s="2">
        <v>70.28</v>
      </c>
      <c r="AQ159" s="2">
        <v>70.28</v>
      </c>
      <c r="AR159" s="2">
        <v>70.28</v>
      </c>
      <c r="AS159" s="2">
        <v>70.28</v>
      </c>
      <c r="AT159" s="2">
        <v>70.28</v>
      </c>
      <c r="AU159" s="2">
        <v>70.28</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35AA-7988-435A-B2B7-F33061EB8E58}">
  <dimension ref="A1:AU159"/>
  <sheetViews>
    <sheetView workbookViewId="0">
      <pane xSplit="1" topLeftCell="B1" activePane="topRight" state="frozen"/>
      <selection pane="topRight" activeCell="E12" sqref="E12"/>
    </sheetView>
  </sheetViews>
  <sheetFormatPr defaultColWidth="8.88671875" defaultRowHeight="14.4" x14ac:dyDescent="0.3"/>
  <cols>
    <col min="1" max="1" width="25.77734375" style="2" customWidth="1"/>
    <col min="2" max="11" width="8.88671875" style="2"/>
    <col min="12" max="15" width="9.109375" style="2" bestFit="1" customWidth="1"/>
    <col min="16" max="16" width="11.88671875" style="2" bestFit="1" customWidth="1"/>
    <col min="17" max="16384" width="8.88671875" style="2"/>
  </cols>
  <sheetData>
    <row r="1" spans="1:47" ht="21" x14ac:dyDescent="0.4">
      <c r="A1" s="1" t="s">
        <v>81</v>
      </c>
    </row>
    <row r="2" spans="1:47" x14ac:dyDescent="0.3">
      <c r="A2" s="8" t="s">
        <v>78</v>
      </c>
    </row>
    <row r="3" spans="1:47" ht="21" x14ac:dyDescent="0.4">
      <c r="A3" s="1" t="s">
        <v>2</v>
      </c>
    </row>
    <row r="4" spans="1:47" ht="21" x14ac:dyDescent="0.4">
      <c r="A4" s="10" t="s">
        <v>79</v>
      </c>
      <c r="B4" s="9" t="s">
        <v>80</v>
      </c>
    </row>
    <row r="5" spans="1:47" ht="21" x14ac:dyDescent="0.4">
      <c r="A5" s="9" t="s">
        <v>4</v>
      </c>
      <c r="B5" s="9" t="s">
        <v>77</v>
      </c>
    </row>
    <row r="7" spans="1:47" ht="18" x14ac:dyDescent="0.35">
      <c r="A7" s="4" t="s">
        <v>6</v>
      </c>
    </row>
    <row r="8" spans="1:47" x14ac:dyDescent="0.3">
      <c r="A8" s="2" t="s">
        <v>7</v>
      </c>
      <c r="B8" s="2" t="s">
        <v>8</v>
      </c>
      <c r="C8" s="2" t="s">
        <v>9</v>
      </c>
      <c r="D8" s="2" t="s">
        <v>10</v>
      </c>
      <c r="E8" s="2" t="s">
        <v>11</v>
      </c>
      <c r="F8" s="2" t="s">
        <v>12</v>
      </c>
      <c r="G8" s="2" t="s">
        <v>13</v>
      </c>
      <c r="H8" s="2" t="s">
        <v>14</v>
      </c>
      <c r="I8" s="2" t="s">
        <v>15</v>
      </c>
      <c r="J8" s="2" t="s">
        <v>16</v>
      </c>
      <c r="K8" s="2" t="s">
        <v>17</v>
      </c>
      <c r="L8" s="2" t="s">
        <v>18</v>
      </c>
      <c r="M8" s="2" t="s">
        <v>19</v>
      </c>
      <c r="N8" s="2" t="s">
        <v>20</v>
      </c>
      <c r="O8" s="2" t="s">
        <v>21</v>
      </c>
      <c r="P8" s="2" t="s">
        <v>22</v>
      </c>
      <c r="Q8" s="2" t="s">
        <v>23</v>
      </c>
      <c r="R8" s="2" t="s">
        <v>24</v>
      </c>
      <c r="S8" s="2" t="s">
        <v>25</v>
      </c>
      <c r="T8" s="2" t="s">
        <v>26</v>
      </c>
      <c r="U8" s="2" t="s">
        <v>27</v>
      </c>
      <c r="V8" s="2" t="s">
        <v>28</v>
      </c>
      <c r="W8" s="2" t="s">
        <v>29</v>
      </c>
      <c r="X8" s="2" t="s">
        <v>30</v>
      </c>
      <c r="Y8" s="2" t="s">
        <v>31</v>
      </c>
      <c r="Z8" s="2" t="s">
        <v>32</v>
      </c>
      <c r="AA8" s="2" t="s">
        <v>33</v>
      </c>
      <c r="AB8" s="2" t="s">
        <v>34</v>
      </c>
      <c r="AC8" s="2" t="s">
        <v>35</v>
      </c>
      <c r="AD8" s="2" t="s">
        <v>36</v>
      </c>
      <c r="AE8" s="2" t="s">
        <v>37</v>
      </c>
      <c r="AF8" s="2" t="s">
        <v>38</v>
      </c>
      <c r="AG8" s="2" t="s">
        <v>39</v>
      </c>
      <c r="AH8" s="2" t="s">
        <v>40</v>
      </c>
      <c r="AI8" s="2" t="s">
        <v>41</v>
      </c>
      <c r="AJ8" s="2" t="s">
        <v>42</v>
      </c>
      <c r="AK8" s="2" t="s">
        <v>43</v>
      </c>
      <c r="AL8" s="2" t="s">
        <v>44</v>
      </c>
      <c r="AM8" s="2" t="s">
        <v>45</v>
      </c>
      <c r="AN8" s="2" t="s">
        <v>46</v>
      </c>
      <c r="AO8" s="2" t="s">
        <v>47</v>
      </c>
      <c r="AP8" s="2" t="s">
        <v>48</v>
      </c>
      <c r="AQ8" s="2" t="s">
        <v>49</v>
      </c>
      <c r="AR8" s="2" t="s">
        <v>50</v>
      </c>
      <c r="AS8" s="2" t="s">
        <v>51</v>
      </c>
      <c r="AT8" s="2" t="s">
        <v>52</v>
      </c>
      <c r="AU8" s="2" t="s">
        <v>53</v>
      </c>
    </row>
    <row r="9" spans="1:47" x14ac:dyDescent="0.3">
      <c r="A9" s="2" t="s">
        <v>54</v>
      </c>
      <c r="B9" s="11">
        <f>IFERROR((CAN_gen[[#This Row],[2005]]*1000)/(CAN_cap[[#This Row],[2005]]*8760), 0)</f>
        <v>0.56136366881066824</v>
      </c>
      <c r="C9" s="11">
        <f>IFERROR((CAN_gen[[#This Row],[2006]]*1000)/(CAN_cap[[#This Row],[2006]]*8760), 0)</f>
        <v>0.54769137438154736</v>
      </c>
      <c r="D9" s="11">
        <f>IFERROR((CAN_gen[[#This Row],[2007]]*1000)/(CAN_cap[[#This Row],[2007]]*8760), 0)</f>
        <v>0.56449755226210963</v>
      </c>
      <c r="E9" s="11">
        <f>IFERROR((CAN_gen[[#This Row],[2008]]*1000)/(CAN_cap[[#This Row],[2008]]*8760), 0)</f>
        <v>0.57301024845260029</v>
      </c>
      <c r="F9" s="11">
        <f>IFERROR((CAN_gen[[#This Row],[2009]]*1000)/(CAN_cap[[#This Row],[2009]]*8760), 0)</f>
        <v>0.55740194299527779</v>
      </c>
      <c r="G9" s="11">
        <f>IFERROR((CAN_gen[[#This Row],[2010]]*1000)/(CAN_cap[[#This Row],[2010]]*8760), 0)</f>
        <v>0.52853535329506707</v>
      </c>
      <c r="H9" s="11">
        <f>IFERROR((CAN_gen[[#This Row],[2011]]*1000)/(CAN_cap[[#This Row],[2011]]*8760), 0)</f>
        <v>0.56265157335395011</v>
      </c>
      <c r="I9" s="11">
        <f>IFERROR((CAN_gen[[#This Row],[2012]]*1000)/(CAN_cap[[#This Row],[2012]]*8760), 0)</f>
        <v>0.56057144701662154</v>
      </c>
      <c r="J9" s="11">
        <f>IFERROR((CAN_gen[[#This Row],[2013]]*1000)/(CAN_cap[[#This Row],[2013]]*8760), 0)</f>
        <v>0.58195121058744392</v>
      </c>
      <c r="K9" s="11">
        <f>IFERROR((CAN_gen[[#This Row],[2014]]*1000)/(CAN_cap[[#This Row],[2014]]*8760), 0)</f>
        <v>0.55037887541253294</v>
      </c>
      <c r="L9" s="11">
        <f>IFERROR((CAN_gen[[#This Row],[2015]]*1000)/(CAN_cap[[#This Row],[2015]]*8760), 0)</f>
        <v>0.54228279213938091</v>
      </c>
      <c r="M9" s="11">
        <f>IFERROR((CAN_gen[[#This Row],[2016]]*1000)/(CAN_cap[[#This Row],[2016]]*8760), 0)</f>
        <v>0.54045749178498603</v>
      </c>
      <c r="N9" s="11">
        <f>IFERROR((CAN_gen[[#This Row],[2017]]*1000)/(CAN_cap[[#This Row],[2017]]*8760), 0)</f>
        <v>0.55125125578777601</v>
      </c>
      <c r="O9" s="11">
        <f>IFERROR((CAN_gen[[#This Row],[2018]]*1000)/(CAN_cap[[#This Row],[2018]]*8760), 0)</f>
        <v>0.5360549337744609</v>
      </c>
      <c r="P9" s="11">
        <f>IFERROR((CAN_gen[[#This Row],[2019]]*1000)/(CAN_cap[[#This Row],[2019]]*8760), 0)</f>
        <v>0.52740654940409049</v>
      </c>
      <c r="Q9" s="11">
        <f>IFERROR((CAN_gen[[#This Row],[2020]]*1000)/(CAN_cap[[#This Row],[2020]]*8760), 0)</f>
        <v>0.53185207369775445</v>
      </c>
      <c r="R9" s="11">
        <f>IFERROR((CAN_gen[[#This Row],[2021]]*1000)/(CAN_cap[[#This Row],[2021]]*8760), 0)</f>
        <v>0.52694850641725444</v>
      </c>
      <c r="S9" s="11">
        <f>IFERROR((CAN_gen[[#This Row],[2022]]*1000)/(CAN_cap[[#This Row],[2022]]*8760), 0)</f>
        <v>0.54417905207832085</v>
      </c>
      <c r="T9" s="11">
        <f>IFERROR((CAN_gen[[#This Row],[2023]]*1000)/(CAN_cap[[#This Row],[2023]]*8760), 0)</f>
        <v>0.54435101291802057</v>
      </c>
      <c r="U9" s="11">
        <f>IFERROR((CAN_gen[[#This Row],[2024]]*1000)/(CAN_cap[[#This Row],[2024]]*8760), 0)</f>
        <v>0.54408635083394175</v>
      </c>
      <c r="V9" s="11">
        <f>IFERROR((CAN_gen[[#This Row],[2025]]*1000)/(CAN_cap[[#This Row],[2025]]*8760), 0)</f>
        <v>0.5438799152846292</v>
      </c>
      <c r="W9" s="11">
        <f>IFERROR((CAN_gen[[#This Row],[2026]]*1000)/(CAN_cap[[#This Row],[2026]]*8760), 0)</f>
        <v>0.54386539129293521</v>
      </c>
      <c r="X9" s="11">
        <f>IFERROR((CAN_gen[[#This Row],[2027]]*1000)/(CAN_cap[[#This Row],[2027]]*8760), 0)</f>
        <v>0.54765888868223789</v>
      </c>
      <c r="Y9" s="11">
        <f>IFERROR((CAN_gen[[#This Row],[2028]]*1000)/(CAN_cap[[#This Row],[2028]]*8760), 0)</f>
        <v>0.5480367751737667</v>
      </c>
      <c r="Z9" s="11">
        <f>IFERROR((CAN_gen[[#This Row],[2029]]*1000)/(CAN_cap[[#This Row],[2029]]*8760), 0)</f>
        <v>0.54799150253783713</v>
      </c>
      <c r="AA9" s="11">
        <f>IFERROR((CAN_gen[[#This Row],[2030]]*1000)/(CAN_cap[[#This Row],[2030]]*8760), 0)</f>
        <v>0.54843140446519234</v>
      </c>
      <c r="AB9" s="11">
        <f>IFERROR((CAN_gen[[#This Row],[2031]]*1000)/(CAN_cap[[#This Row],[2031]]*8760), 0)</f>
        <v>0.54831898360809372</v>
      </c>
      <c r="AC9" s="11">
        <f>IFERROR((CAN_gen[[#This Row],[2032]]*1000)/(CAN_cap[[#This Row],[2032]]*8760), 0)</f>
        <v>0.5485336824761321</v>
      </c>
      <c r="AD9" s="11">
        <f>IFERROR((CAN_gen[[#This Row],[2033]]*1000)/(CAN_cap[[#This Row],[2033]]*8760), 0)</f>
        <v>0.54900114883484241</v>
      </c>
      <c r="AE9" s="11">
        <f>IFERROR((CAN_gen[[#This Row],[2034]]*1000)/(CAN_cap[[#This Row],[2034]]*8760), 0)</f>
        <v>0.54943732467266526</v>
      </c>
      <c r="AF9" s="11">
        <f>IFERROR((CAN_gen[[#This Row],[2035]]*1000)/(CAN_cap[[#This Row],[2035]]*8760), 0)</f>
        <v>0.54983296298985807</v>
      </c>
      <c r="AG9" s="11">
        <f>IFERROR((CAN_gen[[#This Row],[2036]]*1000)/(CAN_cap[[#This Row],[2036]]*8760), 0)</f>
        <v>0.55010085722195545</v>
      </c>
      <c r="AH9" s="11">
        <f>IFERROR((CAN_gen[[#This Row],[2037]]*1000)/(CAN_cap[[#This Row],[2037]]*8760), 0)</f>
        <v>0.55064238767046891</v>
      </c>
      <c r="AI9" s="11">
        <f>IFERROR((CAN_gen[[#This Row],[2038]]*1000)/(CAN_cap[[#This Row],[2038]]*8760), 0)</f>
        <v>0.55107816937187359</v>
      </c>
      <c r="AJ9" s="11">
        <f>IFERROR((CAN_gen[[#This Row],[2039]]*1000)/(CAN_cap[[#This Row],[2039]]*8760), 0)</f>
        <v>0.55155067428845228</v>
      </c>
      <c r="AK9" s="11">
        <f>IFERROR((CAN_gen[[#This Row],[2040]]*1000)/(CAN_cap[[#This Row],[2040]]*8760), 0)</f>
        <v>0.55201338014535706</v>
      </c>
      <c r="AL9" s="11">
        <f>IFERROR((CAN_gen[[#This Row],[2041]]*1000)/(CAN_cap[[#This Row],[2041]]*8760), 0)</f>
        <v>0.55254996813380464</v>
      </c>
      <c r="AM9" s="11">
        <f>IFERROR((CAN_gen[[#This Row],[2042]]*1000)/(CAN_cap[[#This Row],[2042]]*8760), 0)</f>
        <v>0.55298394438049492</v>
      </c>
      <c r="AN9" s="11">
        <f>IFERROR((CAN_gen[[#This Row],[2043]]*1000)/(CAN_cap[[#This Row],[2043]]*8760), 0)</f>
        <v>0.55339300673390401</v>
      </c>
      <c r="AO9" s="11">
        <f>IFERROR((CAN_gen[[#This Row],[2044]]*1000)/(CAN_cap[[#This Row],[2044]]*8760), 0)</f>
        <v>0.55379853261833056</v>
      </c>
      <c r="AP9" s="11">
        <f>IFERROR((CAN_gen[[#This Row],[2045]]*1000)/(CAN_cap[[#This Row],[2045]]*8760), 0)</f>
        <v>0.55432190435552042</v>
      </c>
      <c r="AQ9" s="11">
        <f>IFERROR((CAN_gen[[#This Row],[2046]]*1000)/(CAN_cap[[#This Row],[2046]]*8760), 0)</f>
        <v>0.55482258015917574</v>
      </c>
      <c r="AR9" s="11">
        <f>IFERROR((CAN_gen[[#This Row],[2047]]*1000)/(CAN_cap[[#This Row],[2047]]*8760), 0)</f>
        <v>0.55520161679216551</v>
      </c>
      <c r="AS9" s="11">
        <f>IFERROR((CAN_gen[[#This Row],[2048]]*1000)/(CAN_cap[[#This Row],[2048]]*8760), 0)</f>
        <v>0.55556348553739909</v>
      </c>
      <c r="AT9" s="11">
        <f>IFERROR((CAN_gen[[#This Row],[2049]]*1000)/(CAN_cap[[#This Row],[2049]]*8760), 0)</f>
        <v>0.55597354207877847</v>
      </c>
      <c r="AU9" s="11">
        <f>IFERROR((CAN_gen[[#This Row],[2050]]*1000)/(CAN_cap[[#This Row],[2050]]*8760), 0)</f>
        <v>0.55644000872527766</v>
      </c>
    </row>
    <row r="10" spans="1:47" x14ac:dyDescent="0.3">
      <c r="A10" s="2" t="s">
        <v>55</v>
      </c>
      <c r="B10" s="11">
        <f>IFERROR((CAN_gen[[#This Row],[2005]]*1000)/(CAN_cap[[#This Row],[2005]]*8760), 0)</f>
        <v>0.29767368814547579</v>
      </c>
      <c r="C10" s="11">
        <f>IFERROR((CAN_gen[[#This Row],[2006]]*1000)/(CAN_cap[[#This Row],[2006]]*8760), 0)</f>
        <v>0.20009523907165036</v>
      </c>
      <c r="D10" s="11">
        <f>IFERROR((CAN_gen[[#This Row],[2007]]*1000)/(CAN_cap[[#This Row],[2007]]*8760), 0)</f>
        <v>0.23062273403792474</v>
      </c>
      <c r="E10" s="11">
        <f>IFERROR((CAN_gen[[#This Row],[2008]]*1000)/(CAN_cap[[#This Row],[2008]]*8760), 0)</f>
        <v>0.23190856107038887</v>
      </c>
      <c r="F10" s="11">
        <f>IFERROR((CAN_gen[[#This Row],[2009]]*1000)/(CAN_cap[[#This Row],[2009]]*8760), 0)</f>
        <v>0.24772134120254627</v>
      </c>
      <c r="G10" s="11">
        <f>IFERROR((CAN_gen[[#This Row],[2010]]*1000)/(CAN_cap[[#This Row],[2010]]*8760), 0)</f>
        <v>0.25457854247320344</v>
      </c>
      <c r="H10" s="11">
        <f>IFERROR((CAN_gen[[#This Row],[2011]]*1000)/(CAN_cap[[#This Row],[2011]]*8760), 0)</f>
        <v>0.25657283072970516</v>
      </c>
      <c r="I10" s="11">
        <f>IFERROR((CAN_gen[[#This Row],[2012]]*1000)/(CAN_cap[[#This Row],[2012]]*8760), 0)</f>
        <v>0.26615444047610481</v>
      </c>
      <c r="J10" s="11">
        <f>IFERROR((CAN_gen[[#This Row],[2013]]*1000)/(CAN_cap[[#This Row],[2013]]*8760), 0)</f>
        <v>0.26822305058025125</v>
      </c>
      <c r="K10" s="11">
        <f>IFERROR((CAN_gen[[#This Row],[2014]]*1000)/(CAN_cap[[#This Row],[2014]]*8760), 0)</f>
        <v>0.26077311014160409</v>
      </c>
      <c r="L10" s="11">
        <f>IFERROR((CAN_gen[[#This Row],[2015]]*1000)/(CAN_cap[[#This Row],[2015]]*8760), 0)</f>
        <v>0.27838073194931295</v>
      </c>
      <c r="M10" s="11">
        <f>IFERROR((CAN_gen[[#This Row],[2016]]*1000)/(CAN_cap[[#This Row],[2016]]*8760), 0)</f>
        <v>0.29709780152283577</v>
      </c>
      <c r="N10" s="11">
        <f>IFERROR((CAN_gen[[#This Row],[2017]]*1000)/(CAN_cap[[#This Row],[2017]]*8760), 0)</f>
        <v>0.28100488579376681</v>
      </c>
      <c r="O10" s="11">
        <f>IFERROR((CAN_gen[[#This Row],[2018]]*1000)/(CAN_cap[[#This Row],[2018]]*8760), 0)</f>
        <v>0.29306791787534597</v>
      </c>
      <c r="P10" s="11">
        <f>IFERROR((CAN_gen[[#This Row],[2019]]*1000)/(CAN_cap[[#This Row],[2019]]*8760), 0)</f>
        <v>0.27949172804584393</v>
      </c>
      <c r="Q10" s="11">
        <f>IFERROR((CAN_gen[[#This Row],[2020]]*1000)/(CAN_cap[[#This Row],[2020]]*8760), 0)</f>
        <v>0.29857662965171861</v>
      </c>
      <c r="R10" s="11">
        <f>IFERROR((CAN_gen[[#This Row],[2021]]*1000)/(CAN_cap[[#This Row],[2021]]*8760), 0)</f>
        <v>0.30947182815566032</v>
      </c>
      <c r="S10" s="11">
        <f>IFERROR((CAN_gen[[#This Row],[2022]]*1000)/(CAN_cap[[#This Row],[2022]]*8760), 0)</f>
        <v>0.37014571751034314</v>
      </c>
      <c r="T10" s="11">
        <f>IFERROR((CAN_gen[[#This Row],[2023]]*1000)/(CAN_cap[[#This Row],[2023]]*8760), 0)</f>
        <v>0.37060950454676461</v>
      </c>
      <c r="U10" s="11">
        <f>IFERROR((CAN_gen[[#This Row],[2024]]*1000)/(CAN_cap[[#This Row],[2024]]*8760), 0)</f>
        <v>0.37908179469186354</v>
      </c>
      <c r="V10" s="11">
        <f>IFERROR((CAN_gen[[#This Row],[2025]]*1000)/(CAN_cap[[#This Row],[2025]]*8760), 0)</f>
        <v>0.38111770737430856</v>
      </c>
      <c r="W10" s="11">
        <f>IFERROR((CAN_gen[[#This Row],[2026]]*1000)/(CAN_cap[[#This Row],[2026]]*8760), 0)</f>
        <v>0.38128941719600601</v>
      </c>
      <c r="X10" s="11">
        <f>IFERROR((CAN_gen[[#This Row],[2027]]*1000)/(CAN_cap[[#This Row],[2027]]*8760), 0)</f>
        <v>0.38778937011426656</v>
      </c>
      <c r="Y10" s="11">
        <f>IFERROR((CAN_gen[[#This Row],[2028]]*1000)/(CAN_cap[[#This Row],[2028]]*8760), 0)</f>
        <v>0.3915847105028345</v>
      </c>
      <c r="Z10" s="11">
        <f>IFERROR((CAN_gen[[#This Row],[2029]]*1000)/(CAN_cap[[#This Row],[2029]]*8760), 0)</f>
        <v>0.39514753006189779</v>
      </c>
      <c r="AA10" s="11">
        <f>IFERROR((CAN_gen[[#This Row],[2030]]*1000)/(CAN_cap[[#This Row],[2030]]*8760), 0)</f>
        <v>0.41081953435747309</v>
      </c>
      <c r="AB10" s="11">
        <f>IFERROR((CAN_gen[[#This Row],[2031]]*1000)/(CAN_cap[[#This Row],[2031]]*8760), 0)</f>
        <v>0.42021215890591473</v>
      </c>
      <c r="AC10" s="11">
        <f>IFERROR((CAN_gen[[#This Row],[2032]]*1000)/(CAN_cap[[#This Row],[2032]]*8760), 0)</f>
        <v>0.42955847029148342</v>
      </c>
      <c r="AD10" s="11">
        <f>IFERROR((CAN_gen[[#This Row],[2033]]*1000)/(CAN_cap[[#This Row],[2033]]*8760), 0)</f>
        <v>0.43269311338132099</v>
      </c>
      <c r="AE10" s="11">
        <f>IFERROR((CAN_gen[[#This Row],[2034]]*1000)/(CAN_cap[[#This Row],[2034]]*8760), 0)</f>
        <v>0.4350481952727045</v>
      </c>
      <c r="AF10" s="11">
        <f>IFERROR((CAN_gen[[#This Row],[2035]]*1000)/(CAN_cap[[#This Row],[2035]]*8760), 0)</f>
        <v>0.43536128437594745</v>
      </c>
      <c r="AG10" s="11">
        <f>IFERROR((CAN_gen[[#This Row],[2036]]*1000)/(CAN_cap[[#This Row],[2036]]*8760), 0)</f>
        <v>0.43782259892322056</v>
      </c>
      <c r="AH10" s="11">
        <f>IFERROR((CAN_gen[[#This Row],[2037]]*1000)/(CAN_cap[[#This Row],[2037]]*8760), 0)</f>
        <v>0.43898094823953665</v>
      </c>
      <c r="AI10" s="11">
        <f>IFERROR((CAN_gen[[#This Row],[2038]]*1000)/(CAN_cap[[#This Row],[2038]]*8760), 0)</f>
        <v>0.44091883099451817</v>
      </c>
      <c r="AJ10" s="11">
        <f>IFERROR((CAN_gen[[#This Row],[2039]]*1000)/(CAN_cap[[#This Row],[2039]]*8760), 0)</f>
        <v>0.44210013323105796</v>
      </c>
      <c r="AK10" s="11">
        <f>IFERROR((CAN_gen[[#This Row],[2040]]*1000)/(CAN_cap[[#This Row],[2040]]*8760), 0)</f>
        <v>0.44444025354874339</v>
      </c>
      <c r="AL10" s="11">
        <f>IFERROR((CAN_gen[[#This Row],[2041]]*1000)/(CAN_cap[[#This Row],[2041]]*8760), 0)</f>
        <v>0.44576566754837127</v>
      </c>
      <c r="AM10" s="11">
        <f>IFERROR((CAN_gen[[#This Row],[2042]]*1000)/(CAN_cap[[#This Row],[2042]]*8760), 0)</f>
        <v>0.44985783351355341</v>
      </c>
      <c r="AN10" s="11">
        <f>IFERROR((CAN_gen[[#This Row],[2043]]*1000)/(CAN_cap[[#This Row],[2043]]*8760), 0)</f>
        <v>0.45125613286131444</v>
      </c>
      <c r="AO10" s="11">
        <f>IFERROR((CAN_gen[[#This Row],[2044]]*1000)/(CAN_cap[[#This Row],[2044]]*8760), 0)</f>
        <v>0.45517115335978497</v>
      </c>
      <c r="AP10" s="11">
        <f>IFERROR((CAN_gen[[#This Row],[2045]]*1000)/(CAN_cap[[#This Row],[2045]]*8760), 0)</f>
        <v>0.45641104924601444</v>
      </c>
      <c r="AQ10" s="11">
        <f>IFERROR((CAN_gen[[#This Row],[2046]]*1000)/(CAN_cap[[#This Row],[2046]]*8760), 0)</f>
        <v>0.46012884337739496</v>
      </c>
      <c r="AR10" s="11">
        <f>IFERROR((CAN_gen[[#This Row],[2047]]*1000)/(CAN_cap[[#This Row],[2047]]*8760), 0)</f>
        <v>0.46156614771584836</v>
      </c>
      <c r="AS10" s="11">
        <f>IFERROR((CAN_gen[[#This Row],[2048]]*1000)/(CAN_cap[[#This Row],[2048]]*8760), 0)</f>
        <v>0.46516335639216166</v>
      </c>
      <c r="AT10" s="11">
        <f>IFERROR((CAN_gen[[#This Row],[2049]]*1000)/(CAN_cap[[#This Row],[2049]]*8760), 0)</f>
        <v>0.4667266299032638</v>
      </c>
      <c r="AU10" s="11">
        <f>IFERROR((CAN_gen[[#This Row],[2050]]*1000)/(CAN_cap[[#This Row],[2050]]*8760), 0)</f>
        <v>0.46837902119617114</v>
      </c>
    </row>
    <row r="11" spans="1:47" x14ac:dyDescent="0.3">
      <c r="A11" s="2" t="s">
        <v>56</v>
      </c>
      <c r="B11" s="11">
        <f>IFERROR((CAN_gen[[#This Row],[2005]]*1000)/(CAN_cap[[#This Row],[2005]]*8760), 0)</f>
        <v>0.46024313288013519</v>
      </c>
      <c r="C11" s="11">
        <f>IFERROR((CAN_gen[[#This Row],[2006]]*1000)/(CAN_cap[[#This Row],[2006]]*8760), 0)</f>
        <v>0.46806280480288798</v>
      </c>
      <c r="D11" s="11">
        <f>IFERROR((CAN_gen[[#This Row],[2007]]*1000)/(CAN_cap[[#This Row],[2007]]*8760), 0)</f>
        <v>0.45676908879788392</v>
      </c>
      <c r="E11" s="11">
        <f>IFERROR((CAN_gen[[#This Row],[2008]]*1000)/(CAN_cap[[#This Row],[2008]]*8760), 0)</f>
        <v>0.43298753306459342</v>
      </c>
      <c r="F11" s="11">
        <f>IFERROR((CAN_gen[[#This Row],[2009]]*1000)/(CAN_cap[[#This Row],[2009]]*8760), 0)</f>
        <v>0.39848260331836682</v>
      </c>
      <c r="G11" s="11">
        <f>IFERROR((CAN_gen[[#This Row],[2010]]*1000)/(CAN_cap[[#This Row],[2010]]*8760), 0)</f>
        <v>0.52417480887338519</v>
      </c>
      <c r="H11" s="11">
        <f>IFERROR((CAN_gen[[#This Row],[2011]]*1000)/(CAN_cap[[#This Row],[2011]]*8760), 0)</f>
        <v>0.54382191873154795</v>
      </c>
      <c r="I11" s="11">
        <f>IFERROR((CAN_gen[[#This Row],[2012]]*1000)/(CAN_cap[[#This Row],[2012]]*8760), 0)</f>
        <v>0.54742726771769268</v>
      </c>
      <c r="J11" s="11">
        <f>IFERROR((CAN_gen[[#This Row],[2013]]*1000)/(CAN_cap[[#This Row],[2013]]*8760), 0)</f>
        <v>0.54927398350687973</v>
      </c>
      <c r="K11" s="11">
        <f>IFERROR((CAN_gen[[#This Row],[2014]]*1000)/(CAN_cap[[#This Row],[2014]]*8760), 0)</f>
        <v>0.57818700047228677</v>
      </c>
      <c r="L11" s="11">
        <f>IFERROR((CAN_gen[[#This Row],[2015]]*1000)/(CAN_cap[[#This Row],[2015]]*8760), 0)</f>
        <v>0.43185104046403133</v>
      </c>
      <c r="M11" s="11">
        <f>IFERROR((CAN_gen[[#This Row],[2016]]*1000)/(CAN_cap[[#This Row],[2016]]*8760), 0)</f>
        <v>0.46471783617371382</v>
      </c>
      <c r="N11" s="11">
        <f>IFERROR((CAN_gen[[#This Row],[2017]]*1000)/(CAN_cap[[#This Row],[2017]]*8760), 0)</f>
        <v>0.29393076058776074</v>
      </c>
      <c r="O11" s="11">
        <f>IFERROR((CAN_gen[[#This Row],[2018]]*1000)/(CAN_cap[[#This Row],[2018]]*8760), 0)</f>
        <v>0.42980377938951236</v>
      </c>
      <c r="P11" s="11">
        <f>IFERROR((CAN_gen[[#This Row],[2019]]*1000)/(CAN_cap[[#This Row],[2019]]*8760), 0)</f>
        <v>0.44914197191908101</v>
      </c>
      <c r="Q11" s="11">
        <f>IFERROR((CAN_gen[[#This Row],[2020]]*1000)/(CAN_cap[[#This Row],[2020]]*8760), 0)</f>
        <v>0.38226506938471466</v>
      </c>
      <c r="R11" s="11">
        <f>IFERROR((CAN_gen[[#This Row],[2021]]*1000)/(CAN_cap[[#This Row],[2021]]*8760), 0)</f>
        <v>0.38404809565091019</v>
      </c>
      <c r="S11" s="11">
        <f>IFERROR((CAN_gen[[#This Row],[2022]]*1000)/(CAN_cap[[#This Row],[2022]]*8760), 0)</f>
        <v>0.39053223670235476</v>
      </c>
      <c r="T11" s="11">
        <f>IFERROR((CAN_gen[[#This Row],[2023]]*1000)/(CAN_cap[[#This Row],[2023]]*8760), 0)</f>
        <v>0.38565357415106766</v>
      </c>
      <c r="U11" s="11">
        <f>IFERROR((CAN_gen[[#This Row],[2024]]*1000)/(CAN_cap[[#This Row],[2024]]*8760), 0)</f>
        <v>0.38628866729104988</v>
      </c>
      <c r="V11" s="11">
        <f>IFERROR((CAN_gen[[#This Row],[2025]]*1000)/(CAN_cap[[#This Row],[2025]]*8760), 0)</f>
        <v>0.38610180267734562</v>
      </c>
      <c r="W11" s="11">
        <f>IFERROR((CAN_gen[[#This Row],[2026]]*1000)/(CAN_cap[[#This Row],[2026]]*8760), 0)</f>
        <v>0.38990026785166559</v>
      </c>
      <c r="X11" s="11">
        <f>IFERROR((CAN_gen[[#This Row],[2027]]*1000)/(CAN_cap[[#This Row],[2027]]*8760), 0)</f>
        <v>0.39159240721968042</v>
      </c>
      <c r="Y11" s="11">
        <f>IFERROR((CAN_gen[[#This Row],[2028]]*1000)/(CAN_cap[[#This Row],[2028]]*8760), 0)</f>
        <v>0.38409211727599635</v>
      </c>
      <c r="Z11" s="11">
        <f>IFERROR((CAN_gen[[#This Row],[2029]]*1000)/(CAN_cap[[#This Row],[2029]]*8760), 0)</f>
        <v>0.38448766477158014</v>
      </c>
      <c r="AA11" s="11">
        <f>IFERROR((CAN_gen[[#This Row],[2030]]*1000)/(CAN_cap[[#This Row],[2030]]*8760), 0)</f>
        <v>0.38347247375569898</v>
      </c>
      <c r="AB11" s="11">
        <f>IFERROR((CAN_gen[[#This Row],[2031]]*1000)/(CAN_cap[[#This Row],[2031]]*8760), 0)</f>
        <v>0.38498798142639901</v>
      </c>
      <c r="AC11" s="11">
        <f>IFERROR((CAN_gen[[#This Row],[2032]]*1000)/(CAN_cap[[#This Row],[2032]]*8760), 0)</f>
        <v>0.38291568753521432</v>
      </c>
      <c r="AD11" s="11">
        <f>IFERROR((CAN_gen[[#This Row],[2033]]*1000)/(CAN_cap[[#This Row],[2033]]*8760), 0)</f>
        <v>0.37443827479384767</v>
      </c>
      <c r="AE11" s="11">
        <f>IFERROR((CAN_gen[[#This Row],[2034]]*1000)/(CAN_cap[[#This Row],[2034]]*8760), 0)</f>
        <v>0.3746693035595397</v>
      </c>
      <c r="AF11" s="11">
        <f>IFERROR((CAN_gen[[#This Row],[2035]]*1000)/(CAN_cap[[#This Row],[2035]]*8760), 0)</f>
        <v>0.37653145169486379</v>
      </c>
      <c r="AG11" s="11">
        <f>IFERROR((CAN_gen[[#This Row],[2036]]*1000)/(CAN_cap[[#This Row],[2036]]*8760), 0)</f>
        <v>0.37775531349140856</v>
      </c>
      <c r="AH11" s="11">
        <f>IFERROR((CAN_gen[[#This Row],[2037]]*1000)/(CAN_cap[[#This Row],[2037]]*8760), 0)</f>
        <v>0.3768692513220529</v>
      </c>
      <c r="AI11" s="11">
        <f>IFERROR((CAN_gen[[#This Row],[2038]]*1000)/(CAN_cap[[#This Row],[2038]]*8760), 0)</f>
        <v>0.37857526057940727</v>
      </c>
      <c r="AJ11" s="11">
        <f>IFERROR((CAN_gen[[#This Row],[2039]]*1000)/(CAN_cap[[#This Row],[2039]]*8760), 0)</f>
        <v>0.37915539506848484</v>
      </c>
      <c r="AK11" s="11">
        <f>IFERROR((CAN_gen[[#This Row],[2040]]*1000)/(CAN_cap[[#This Row],[2040]]*8760), 0)</f>
        <v>0.38067271965067323</v>
      </c>
      <c r="AL11" s="11">
        <f>IFERROR((CAN_gen[[#This Row],[2041]]*1000)/(CAN_cap[[#This Row],[2041]]*8760), 0)</f>
        <v>0.38192446896863691</v>
      </c>
      <c r="AM11" s="11">
        <f>IFERROR((CAN_gen[[#This Row],[2042]]*1000)/(CAN_cap[[#This Row],[2042]]*8760), 0)</f>
        <v>0.3820580581773817</v>
      </c>
      <c r="AN11" s="11">
        <f>IFERROR((CAN_gen[[#This Row],[2043]]*1000)/(CAN_cap[[#This Row],[2043]]*8760), 0)</f>
        <v>0.38539249663141784</v>
      </c>
      <c r="AO11" s="11">
        <f>IFERROR((CAN_gen[[#This Row],[2044]]*1000)/(CAN_cap[[#This Row],[2044]]*8760), 0)</f>
        <v>0.38683072733477442</v>
      </c>
      <c r="AP11" s="11">
        <f>IFERROR((CAN_gen[[#This Row],[2045]]*1000)/(CAN_cap[[#This Row],[2045]]*8760), 0)</f>
        <v>0.3872914435125675</v>
      </c>
      <c r="AQ11" s="11">
        <f>IFERROR((CAN_gen[[#This Row],[2046]]*1000)/(CAN_cap[[#This Row],[2046]]*8760), 0)</f>
        <v>0.39583938311561401</v>
      </c>
      <c r="AR11" s="11">
        <f>IFERROR((CAN_gen[[#This Row],[2047]]*1000)/(CAN_cap[[#This Row],[2047]]*8760), 0)</f>
        <v>0.39569488538868108</v>
      </c>
      <c r="AS11" s="11">
        <f>IFERROR((CAN_gen[[#This Row],[2048]]*1000)/(CAN_cap[[#This Row],[2048]]*8760), 0)</f>
        <v>0.39153394221506593</v>
      </c>
      <c r="AT11" s="11">
        <f>IFERROR((CAN_gen[[#This Row],[2049]]*1000)/(CAN_cap[[#This Row],[2049]]*8760), 0)</f>
        <v>0.38620513040661231</v>
      </c>
      <c r="AU11" s="11">
        <f>IFERROR((CAN_gen[[#This Row],[2050]]*1000)/(CAN_cap[[#This Row],[2050]]*8760), 0)</f>
        <v>0.38700933100143287</v>
      </c>
    </row>
    <row r="12" spans="1:47" x14ac:dyDescent="0.3">
      <c r="A12" s="2" t="s">
        <v>57</v>
      </c>
      <c r="B12" s="11">
        <f>IFERROR((CAN_gen[[#This Row],[2005]]*1000)/(CAN_cap[[#This Row],[2005]]*8760), 0)</f>
        <v>0</v>
      </c>
      <c r="C12" s="11">
        <f>IFERROR((CAN_gen[[#This Row],[2006]]*1000)/(CAN_cap[[#This Row],[2006]]*8760), 0)</f>
        <v>0</v>
      </c>
      <c r="D12" s="11">
        <f>IFERROR((CAN_gen[[#This Row],[2007]]*1000)/(CAN_cap[[#This Row],[2007]]*8760), 0)</f>
        <v>0</v>
      </c>
      <c r="E12" s="11">
        <f>IFERROR((CAN_gen[[#This Row],[2008]]*1000)/(CAN_cap[[#This Row],[2008]]*8760), 0)</f>
        <v>0</v>
      </c>
      <c r="F12" s="11">
        <f>IFERROR((CAN_gen[[#This Row],[2009]]*1000)/(CAN_cap[[#This Row],[2009]]*8760), 0)</f>
        <v>6.0354896447897067E-3</v>
      </c>
      <c r="G12" s="11">
        <f>IFERROR((CAN_gen[[#This Row],[2010]]*1000)/(CAN_cap[[#This Row],[2010]]*8760), 0)</f>
        <v>4.9945206453992676E-2</v>
      </c>
      <c r="H12" s="11">
        <f>IFERROR((CAN_gen[[#This Row],[2011]]*1000)/(CAN_cap[[#This Row],[2011]]*8760), 0)</f>
        <v>0.10833044815054339</v>
      </c>
      <c r="I12" s="11">
        <f>IFERROR((CAN_gen[[#This Row],[2012]]*1000)/(CAN_cap[[#This Row],[2012]]*8760), 0)</f>
        <v>0.14845048721379381</v>
      </c>
      <c r="J12" s="11">
        <f>IFERROR((CAN_gen[[#This Row],[2013]]*1000)/(CAN_cap[[#This Row],[2013]]*8760), 0)</f>
        <v>0.1303038151757355</v>
      </c>
      <c r="K12" s="11">
        <f>IFERROR((CAN_gen[[#This Row],[2014]]*1000)/(CAN_cap[[#This Row],[2014]]*8760), 0)</f>
        <v>0.13170624260510033</v>
      </c>
      <c r="L12" s="11">
        <f>IFERROR((CAN_gen[[#This Row],[2015]]*1000)/(CAN_cap[[#This Row],[2015]]*8760), 0)</f>
        <v>7.6228945308714616E-2</v>
      </c>
      <c r="M12" s="11">
        <f>IFERROR((CAN_gen[[#This Row],[2016]]*1000)/(CAN_cap[[#This Row],[2016]]*8760), 0)</f>
        <v>8.4055111123408327E-2</v>
      </c>
      <c r="N12" s="11">
        <f>IFERROR((CAN_gen[[#This Row],[2017]]*1000)/(CAN_cap[[#This Row],[2017]]*8760), 0)</f>
        <v>8.7369727413785847E-2</v>
      </c>
      <c r="O12" s="11">
        <f>IFERROR((CAN_gen[[#This Row],[2018]]*1000)/(CAN_cap[[#This Row],[2018]]*8760), 0)</f>
        <v>9.1958466704588307E-2</v>
      </c>
      <c r="P12" s="11">
        <f>IFERROR((CAN_gen[[#This Row],[2019]]*1000)/(CAN_cap[[#This Row],[2019]]*8760), 0)</f>
        <v>9.1412196610252419E-2</v>
      </c>
      <c r="Q12" s="11">
        <f>IFERROR((CAN_gen[[#This Row],[2020]]*1000)/(CAN_cap[[#This Row],[2020]]*8760), 0)</f>
        <v>9.166180324083012E-2</v>
      </c>
      <c r="R12" s="11">
        <f>IFERROR((CAN_gen[[#This Row],[2021]]*1000)/(CAN_cap[[#This Row],[2021]]*8760), 0)</f>
        <v>9.6246592075806811E-2</v>
      </c>
      <c r="S12" s="11">
        <f>IFERROR((CAN_gen[[#This Row],[2022]]*1000)/(CAN_cap[[#This Row],[2022]]*8760), 0)</f>
        <v>0.10539578807588613</v>
      </c>
      <c r="T12" s="11">
        <f>IFERROR((CAN_gen[[#This Row],[2023]]*1000)/(CAN_cap[[#This Row],[2023]]*8760), 0)</f>
        <v>0.10562896582195294</v>
      </c>
      <c r="U12" s="11">
        <f>IFERROR((CAN_gen[[#This Row],[2024]]*1000)/(CAN_cap[[#This Row],[2024]]*8760), 0)</f>
        <v>0.10605552424820447</v>
      </c>
      <c r="V12" s="11">
        <f>IFERROR((CAN_gen[[#This Row],[2025]]*1000)/(CAN_cap[[#This Row],[2025]]*8760), 0)</f>
        <v>0.10728695513805556</v>
      </c>
      <c r="W12" s="11">
        <f>IFERROR((CAN_gen[[#This Row],[2026]]*1000)/(CAN_cap[[#This Row],[2026]]*8760), 0)</f>
        <v>0.10955517520484352</v>
      </c>
      <c r="X12" s="11">
        <f>IFERROR((CAN_gen[[#This Row],[2027]]*1000)/(CAN_cap[[#This Row],[2027]]*8760), 0)</f>
        <v>0.11175716507791388</v>
      </c>
      <c r="Y12" s="11">
        <f>IFERROR((CAN_gen[[#This Row],[2028]]*1000)/(CAN_cap[[#This Row],[2028]]*8760), 0)</f>
        <v>0.11214730302641135</v>
      </c>
      <c r="Z12" s="11">
        <f>IFERROR((CAN_gen[[#This Row],[2029]]*1000)/(CAN_cap[[#This Row],[2029]]*8760), 0)</f>
        <v>0.11641705623323308</v>
      </c>
      <c r="AA12" s="11">
        <f>IFERROR((CAN_gen[[#This Row],[2030]]*1000)/(CAN_cap[[#This Row],[2030]]*8760), 0)</f>
        <v>0.12034383474233723</v>
      </c>
      <c r="AB12" s="11">
        <f>IFERROR((CAN_gen[[#This Row],[2031]]*1000)/(CAN_cap[[#This Row],[2031]]*8760), 0)</f>
        <v>0.12406125674639104</v>
      </c>
      <c r="AC12" s="11">
        <f>IFERROR((CAN_gen[[#This Row],[2032]]*1000)/(CAN_cap[[#This Row],[2032]]*8760), 0)</f>
        <v>0.12681491525677505</v>
      </c>
      <c r="AD12" s="11">
        <f>IFERROR((CAN_gen[[#This Row],[2033]]*1000)/(CAN_cap[[#This Row],[2033]]*8760), 0)</f>
        <v>0.12968270896420242</v>
      </c>
      <c r="AE12" s="11">
        <f>IFERROR((CAN_gen[[#This Row],[2034]]*1000)/(CAN_cap[[#This Row],[2034]]*8760), 0)</f>
        <v>0.1326268114736921</v>
      </c>
      <c r="AF12" s="11">
        <f>IFERROR((CAN_gen[[#This Row],[2035]]*1000)/(CAN_cap[[#This Row],[2035]]*8760), 0)</f>
        <v>0.13739268777149233</v>
      </c>
      <c r="AG12" s="11">
        <f>IFERROR((CAN_gen[[#This Row],[2036]]*1000)/(CAN_cap[[#This Row],[2036]]*8760), 0)</f>
        <v>0.14084032001644486</v>
      </c>
      <c r="AH12" s="11">
        <f>IFERROR((CAN_gen[[#This Row],[2037]]*1000)/(CAN_cap[[#This Row],[2037]]*8760), 0)</f>
        <v>0.14394165176518056</v>
      </c>
      <c r="AI12" s="11">
        <f>IFERROR((CAN_gen[[#This Row],[2038]]*1000)/(CAN_cap[[#This Row],[2038]]*8760), 0)</f>
        <v>0.14640088449185357</v>
      </c>
      <c r="AJ12" s="11">
        <f>IFERROR((CAN_gen[[#This Row],[2039]]*1000)/(CAN_cap[[#This Row],[2039]]*8760), 0)</f>
        <v>0.14873001551308918</v>
      </c>
      <c r="AK12" s="11">
        <f>IFERROR((CAN_gen[[#This Row],[2040]]*1000)/(CAN_cap[[#This Row],[2040]]*8760), 0)</f>
        <v>0.15101366399120261</v>
      </c>
      <c r="AL12" s="11">
        <f>IFERROR((CAN_gen[[#This Row],[2041]]*1000)/(CAN_cap[[#This Row],[2041]]*8760), 0)</f>
        <v>0.15323271679327594</v>
      </c>
      <c r="AM12" s="11">
        <f>IFERROR((CAN_gen[[#This Row],[2042]]*1000)/(CAN_cap[[#This Row],[2042]]*8760), 0)</f>
        <v>0.15497421115311255</v>
      </c>
      <c r="AN12" s="11">
        <f>IFERROR((CAN_gen[[#This Row],[2043]]*1000)/(CAN_cap[[#This Row],[2043]]*8760), 0)</f>
        <v>0.15692482761997906</v>
      </c>
      <c r="AO12" s="11">
        <f>IFERROR((CAN_gen[[#This Row],[2044]]*1000)/(CAN_cap[[#This Row],[2044]]*8760), 0)</f>
        <v>0.15847313805370258</v>
      </c>
      <c r="AP12" s="11">
        <f>IFERROR((CAN_gen[[#This Row],[2045]]*1000)/(CAN_cap[[#This Row],[2045]]*8760), 0)</f>
        <v>0.16016385664928573</v>
      </c>
      <c r="AQ12" s="11">
        <f>IFERROR((CAN_gen[[#This Row],[2046]]*1000)/(CAN_cap[[#This Row],[2046]]*8760), 0)</f>
        <v>0.1614115335163781</v>
      </c>
      <c r="AR12" s="11">
        <f>IFERROR((CAN_gen[[#This Row],[2047]]*1000)/(CAN_cap[[#This Row],[2047]]*8760), 0)</f>
        <v>0.16285833151156562</v>
      </c>
      <c r="AS12" s="11">
        <f>IFERROR((CAN_gen[[#This Row],[2048]]*1000)/(CAN_cap[[#This Row],[2048]]*8760), 0)</f>
        <v>0.16399083649183827</v>
      </c>
      <c r="AT12" s="11">
        <f>IFERROR((CAN_gen[[#This Row],[2049]]*1000)/(CAN_cap[[#This Row],[2049]]*8760), 0)</f>
        <v>0.16532653036422404</v>
      </c>
      <c r="AU12" s="11">
        <f>IFERROR((CAN_gen[[#This Row],[2050]]*1000)/(CAN_cap[[#This Row],[2050]]*8760), 0)</f>
        <v>0.16669458222034181</v>
      </c>
    </row>
    <row r="13" spans="1:47" x14ac:dyDescent="0.3">
      <c r="A13" s="2" t="s">
        <v>58</v>
      </c>
      <c r="B13" s="11">
        <f>IFERROR((CAN_gen[[#This Row],[2005]]*1000)/(CAN_cap[[#This Row],[2005]]*8760), 0)</f>
        <v>0.77264143037733191</v>
      </c>
      <c r="C13" s="11">
        <f>IFERROR((CAN_gen[[#This Row],[2006]]*1000)/(CAN_cap[[#This Row],[2006]]*8760), 0)</f>
        <v>0.78821938338200648</v>
      </c>
      <c r="D13" s="11">
        <f>IFERROR((CAN_gen[[#This Row],[2007]]*1000)/(CAN_cap[[#This Row],[2007]]*8760), 0)</f>
        <v>0.75439623890739438</v>
      </c>
      <c r="E13" s="11">
        <f>IFERROR((CAN_gen[[#This Row],[2008]]*1000)/(CAN_cap[[#This Row],[2008]]*8760), 0)</f>
        <v>0.7748804556287221</v>
      </c>
      <c r="F13" s="11">
        <f>IFERROR((CAN_gen[[#This Row],[2009]]*1000)/(CAN_cap[[#This Row],[2009]]*8760), 0)</f>
        <v>0.72703738680709173</v>
      </c>
      <c r="G13" s="11">
        <f>IFERROR((CAN_gen[[#This Row],[2010]]*1000)/(CAN_cap[[#This Row],[2010]]*8760), 0)</f>
        <v>0.73160804501540599</v>
      </c>
      <c r="H13" s="11">
        <f>IFERROR((CAN_gen[[#This Row],[2011]]*1000)/(CAN_cap[[#This Row],[2011]]*8760), 0)</f>
        <v>0.75525712946377399</v>
      </c>
      <c r="I13" s="11">
        <f>IFERROR((CAN_gen[[#This Row],[2012]]*1000)/(CAN_cap[[#This Row],[2012]]*8760), 0)</f>
        <v>0.76549132522741237</v>
      </c>
      <c r="J13" s="11">
        <f>IFERROR((CAN_gen[[#This Row],[2013]]*1000)/(CAN_cap[[#This Row],[2013]]*8760), 0)</f>
        <v>0.77654211051533395</v>
      </c>
      <c r="K13" s="11">
        <f>IFERROR((CAN_gen[[#This Row],[2014]]*1000)/(CAN_cap[[#This Row],[2014]]*8760), 0)</f>
        <v>0.8094585459597855</v>
      </c>
      <c r="L13" s="11">
        <f>IFERROR((CAN_gen[[#This Row],[2015]]*1000)/(CAN_cap[[#This Row],[2015]]*8760), 0)</f>
        <v>0.76817438296339446</v>
      </c>
      <c r="M13" s="11">
        <f>IFERROR((CAN_gen[[#This Row],[2016]]*1000)/(CAN_cap[[#This Row],[2016]]*8760), 0)</f>
        <v>0.765303346005342</v>
      </c>
      <c r="N13" s="11">
        <f>IFERROR((CAN_gen[[#This Row],[2017]]*1000)/(CAN_cap[[#This Row],[2017]]*8760), 0)</f>
        <v>0.81790722562171736</v>
      </c>
      <c r="O13" s="11">
        <f>IFERROR((CAN_gen[[#This Row],[2018]]*1000)/(CAN_cap[[#This Row],[2018]]*8760), 0)</f>
        <v>0.81331987571473274</v>
      </c>
      <c r="P13" s="11">
        <f>IFERROR((CAN_gen[[#This Row],[2019]]*1000)/(CAN_cap[[#This Row],[2019]]*8760), 0)</f>
        <v>0.81709415403239005</v>
      </c>
      <c r="Q13" s="11">
        <f>IFERROR((CAN_gen[[#This Row],[2020]]*1000)/(CAN_cap[[#This Row],[2020]]*8760), 0)</f>
        <v>0.77584271261997118</v>
      </c>
      <c r="R13" s="11">
        <f>IFERROR((CAN_gen[[#This Row],[2021]]*1000)/(CAN_cap[[#This Row],[2021]]*8760), 0)</f>
        <v>0.75219196692973556</v>
      </c>
      <c r="S13" s="11">
        <f>IFERROR((CAN_gen[[#This Row],[2022]]*1000)/(CAN_cap[[#This Row],[2022]]*8760), 0)</f>
        <v>0.82447323730804212</v>
      </c>
      <c r="T13" s="11">
        <f>IFERROR((CAN_gen[[#This Row],[2023]]*1000)/(CAN_cap[[#This Row],[2023]]*8760), 0)</f>
        <v>0.83561422919974593</v>
      </c>
      <c r="U13" s="11">
        <f>IFERROR((CAN_gen[[#This Row],[2024]]*1000)/(CAN_cap[[#This Row],[2024]]*8760), 0)</f>
        <v>0.83639633819769976</v>
      </c>
      <c r="V13" s="11">
        <f>IFERROR((CAN_gen[[#This Row],[2025]]*1000)/(CAN_cap[[#This Row],[2025]]*8760), 0)</f>
        <v>0.87417108847197134</v>
      </c>
      <c r="W13" s="11">
        <f>IFERROR((CAN_gen[[#This Row],[2026]]*1000)/(CAN_cap[[#This Row],[2026]]*8760), 0)</f>
        <v>0.87332616874391134</v>
      </c>
      <c r="X13" s="11">
        <f>IFERROR((CAN_gen[[#This Row],[2027]]*1000)/(CAN_cap[[#This Row],[2027]]*8760), 0)</f>
        <v>0.8739928586400777</v>
      </c>
      <c r="Y13" s="11">
        <f>IFERROR((CAN_gen[[#This Row],[2028]]*1000)/(CAN_cap[[#This Row],[2028]]*8760), 0)</f>
        <v>0.87448613955041421</v>
      </c>
      <c r="Z13" s="11">
        <f>IFERROR((CAN_gen[[#This Row],[2029]]*1000)/(CAN_cap[[#This Row],[2029]]*8760), 0)</f>
        <v>0.8740043725332296</v>
      </c>
      <c r="AA13" s="11">
        <f>IFERROR((CAN_gen[[#This Row],[2030]]*1000)/(CAN_cap[[#This Row],[2030]]*8760), 0)</f>
        <v>0.87449584308671702</v>
      </c>
      <c r="AB13" s="11">
        <f>IFERROR((CAN_gen[[#This Row],[2031]]*1000)/(CAN_cap[[#This Row],[2031]]*8760), 0)</f>
        <v>0.87401584244758546</v>
      </c>
      <c r="AC13" s="11">
        <f>IFERROR((CAN_gen[[#This Row],[2032]]*1000)/(CAN_cap[[#This Row],[2032]]*8760), 0)</f>
        <v>0.87450551259210818</v>
      </c>
      <c r="AD13" s="11">
        <f>IFERROR((CAN_gen[[#This Row],[2033]]*1000)/(CAN_cap[[#This Row],[2033]]*8760), 0)</f>
        <v>0.87450814314868419</v>
      </c>
      <c r="AE13" s="11">
        <f>IFERROR((CAN_gen[[#This Row],[2034]]*1000)/(CAN_cap[[#This Row],[2034]]*8760), 0)</f>
        <v>0.87492345124923454</v>
      </c>
      <c r="AF13" s="11">
        <f>IFERROR((CAN_gen[[#This Row],[2035]]*1000)/(CAN_cap[[#This Row],[2035]]*8760), 0)</f>
        <v>0.87492345124923454</v>
      </c>
      <c r="AG13" s="11">
        <f>IFERROR((CAN_gen[[#This Row],[2036]]*1000)/(CAN_cap[[#This Row],[2036]]*8760), 0)</f>
        <v>0.87492345124923454</v>
      </c>
      <c r="AH13" s="11">
        <f>IFERROR((CAN_gen[[#This Row],[2037]]*1000)/(CAN_cap[[#This Row],[2037]]*8760), 0)</f>
        <v>0.87492569381538376</v>
      </c>
      <c r="AI13" s="11">
        <f>IFERROR((CAN_gen[[#This Row],[2038]]*1000)/(CAN_cap[[#This Row],[2038]]*8760), 0)</f>
        <v>0.87492569381538376</v>
      </c>
      <c r="AJ13" s="11">
        <f>IFERROR((CAN_gen[[#This Row],[2039]]*1000)/(CAN_cap[[#This Row],[2039]]*8760), 0)</f>
        <v>0.87493027551177471</v>
      </c>
      <c r="AK13" s="11">
        <f>IFERROR((CAN_gen[[#This Row],[2040]]*1000)/(CAN_cap[[#This Row],[2040]]*8760), 0)</f>
        <v>0.87493931181130424</v>
      </c>
      <c r="AL13" s="11">
        <f>IFERROR((CAN_gen[[#This Row],[2041]]*1000)/(CAN_cap[[#This Row],[2041]]*8760), 0)</f>
        <v>0.87999991269196853</v>
      </c>
      <c r="AM13" s="11">
        <f>IFERROR((CAN_gen[[#This Row],[2042]]*1000)/(CAN_cap[[#This Row],[2042]]*8760), 0)</f>
        <v>0.87999995642929341</v>
      </c>
      <c r="AN13" s="11">
        <f>IFERROR((CAN_gen[[#This Row],[2043]]*1000)/(CAN_cap[[#This Row],[2043]]*8760), 0)</f>
        <v>0.87999989128071321</v>
      </c>
      <c r="AO13" s="11">
        <f>IFERROR((CAN_gen[[#This Row],[2044]]*1000)/(CAN_cap[[#This Row],[2044]]*8760), 0)</f>
        <v>0.88121180221023476</v>
      </c>
      <c r="AP13" s="11">
        <f>IFERROR((CAN_gen[[#This Row],[2045]]*1000)/(CAN_cap[[#This Row],[2045]]*8760), 0)</f>
        <v>0.88120920594140006</v>
      </c>
      <c r="AQ13" s="11">
        <f>IFERROR((CAN_gen[[#This Row],[2046]]*1000)/(CAN_cap[[#This Row],[2046]]*8760), 0)</f>
        <v>0.88120374430033432</v>
      </c>
      <c r="AR13" s="11">
        <f>IFERROR((CAN_gen[[#This Row],[2047]]*1000)/(CAN_cap[[#This Row],[2047]]*8760), 0)</f>
        <v>0.8811931656528228</v>
      </c>
      <c r="AS13" s="11">
        <f>IFERROR((CAN_gen[[#This Row],[2048]]*1000)/(CAN_cap[[#This Row],[2048]]*8760), 0)</f>
        <v>0.88118277131836142</v>
      </c>
      <c r="AT13" s="11">
        <f>IFERROR((CAN_gen[[#This Row],[2049]]*1000)/(CAN_cap[[#This Row],[2049]]*8760), 0)</f>
        <v>0.88117285228612185</v>
      </c>
      <c r="AU13" s="11">
        <f>IFERROR((CAN_gen[[#This Row],[2050]]*1000)/(CAN_cap[[#This Row],[2050]]*8760), 0)</f>
        <v>0.88117285228612185</v>
      </c>
    </row>
    <row r="14" spans="1:47" x14ac:dyDescent="0.3">
      <c r="A14" s="2" t="s">
        <v>59</v>
      </c>
      <c r="B14" s="11">
        <f>IFERROR((CAN_gen[[#This Row],[2005]]*1000)/(CAN_cap[[#This Row],[2005]]*8760), 0)</f>
        <v>0.71029253142863835</v>
      </c>
      <c r="C14" s="11">
        <f>IFERROR((CAN_gen[[#This Row],[2006]]*1000)/(CAN_cap[[#This Row],[2006]]*8760), 0)</f>
        <v>0.67629741778780506</v>
      </c>
      <c r="D14" s="11">
        <f>IFERROR((CAN_gen[[#This Row],[2007]]*1000)/(CAN_cap[[#This Row],[2007]]*8760), 0)</f>
        <v>0.7096099146787922</v>
      </c>
      <c r="E14" s="11">
        <f>IFERROR((CAN_gen[[#This Row],[2008]]*1000)/(CAN_cap[[#This Row],[2008]]*8760), 0)</f>
        <v>0.6721528601767861</v>
      </c>
      <c r="F14" s="11">
        <f>IFERROR((CAN_gen[[#This Row],[2009]]*1000)/(CAN_cap[[#This Row],[2009]]*8760), 0)</f>
        <v>0.5635605414977285</v>
      </c>
      <c r="G14" s="11">
        <f>IFERROR((CAN_gen[[#This Row],[2010]]*1000)/(CAN_cap[[#This Row],[2010]]*8760), 0)</f>
        <v>0.59033036816186057</v>
      </c>
      <c r="H14" s="11">
        <f>IFERROR((CAN_gen[[#This Row],[2011]]*1000)/(CAN_cap[[#This Row],[2011]]*8760), 0)</f>
        <v>0.56138149018050754</v>
      </c>
      <c r="I14" s="11">
        <f>IFERROR((CAN_gen[[#This Row],[2012]]*1000)/(CAN_cap[[#This Row],[2012]]*8760), 0)</f>
        <v>0.57990259837236147</v>
      </c>
      <c r="J14" s="11">
        <f>IFERROR((CAN_gen[[#This Row],[2013]]*1000)/(CAN_cap[[#This Row],[2013]]*8760), 0)</f>
        <v>0.6460707452862211</v>
      </c>
      <c r="K14" s="11">
        <f>IFERROR((CAN_gen[[#This Row],[2014]]*1000)/(CAN_cap[[#This Row],[2014]]*8760), 0)</f>
        <v>0.76057064999590163</v>
      </c>
      <c r="L14" s="11">
        <f>IFERROR((CAN_gen[[#This Row],[2015]]*1000)/(CAN_cap[[#This Row],[2015]]*8760), 0)</f>
        <v>0.68538453243556685</v>
      </c>
      <c r="M14" s="11">
        <f>IFERROR((CAN_gen[[#This Row],[2016]]*1000)/(CAN_cap[[#This Row],[2016]]*8760), 0)</f>
        <v>0.68659559924636493</v>
      </c>
      <c r="N14" s="11">
        <f>IFERROR((CAN_gen[[#This Row],[2017]]*1000)/(CAN_cap[[#This Row],[2017]]*8760), 0)</f>
        <v>0.66287286704471238</v>
      </c>
      <c r="O14" s="11">
        <f>IFERROR((CAN_gen[[#This Row],[2018]]*1000)/(CAN_cap[[#This Row],[2018]]*8760), 0)</f>
        <v>0.59472875665869829</v>
      </c>
      <c r="P14" s="11">
        <f>IFERROR((CAN_gen[[#This Row],[2019]]*1000)/(CAN_cap[[#This Row],[2019]]*8760), 0)</f>
        <v>0.56299083955706397</v>
      </c>
      <c r="Q14" s="11">
        <f>IFERROR((CAN_gen[[#This Row],[2020]]*1000)/(CAN_cap[[#This Row],[2020]]*8760), 0)</f>
        <v>0.59310376256607955</v>
      </c>
      <c r="R14" s="11">
        <f>IFERROR((CAN_gen[[#This Row],[2021]]*1000)/(CAN_cap[[#This Row],[2021]]*8760), 0)</f>
        <v>0.72564865613825835</v>
      </c>
      <c r="S14" s="11">
        <f>IFERROR((CAN_gen[[#This Row],[2022]]*1000)/(CAN_cap[[#This Row],[2022]]*8760), 0)</f>
        <v>0.60131790827232001</v>
      </c>
      <c r="T14" s="11">
        <f>IFERROR((CAN_gen[[#This Row],[2023]]*1000)/(CAN_cap[[#This Row],[2023]]*8760), 0)</f>
        <v>0.57957030422133593</v>
      </c>
      <c r="U14" s="11">
        <f>IFERROR((CAN_gen[[#This Row],[2024]]*1000)/(CAN_cap[[#This Row],[2024]]*8760), 0)</f>
        <v>0.5646301755197195</v>
      </c>
      <c r="V14" s="11">
        <f>IFERROR((CAN_gen[[#This Row],[2025]]*1000)/(CAN_cap[[#This Row],[2025]]*8760), 0)</f>
        <v>0.5214253832469542</v>
      </c>
      <c r="W14" s="11">
        <f>IFERROR((CAN_gen[[#This Row],[2026]]*1000)/(CAN_cap[[#This Row],[2026]]*8760), 0)</f>
        <v>0.52015088346237837</v>
      </c>
      <c r="X14" s="11">
        <f>IFERROR((CAN_gen[[#This Row],[2027]]*1000)/(CAN_cap[[#This Row],[2027]]*8760), 0)</f>
        <v>0.52258959376291125</v>
      </c>
      <c r="Y14" s="11">
        <f>IFERROR((CAN_gen[[#This Row],[2028]]*1000)/(CAN_cap[[#This Row],[2028]]*8760), 0)</f>
        <v>0.42993764745534208</v>
      </c>
      <c r="Z14" s="11">
        <f>IFERROR((CAN_gen[[#This Row],[2029]]*1000)/(CAN_cap[[#This Row],[2029]]*8760), 0)</f>
        <v>0.43359604046336181</v>
      </c>
      <c r="AA14" s="11">
        <f>IFERROR((CAN_gen[[#This Row],[2030]]*1000)/(CAN_cap[[#This Row],[2030]]*8760), 0)</f>
        <v>0.42991513959490468</v>
      </c>
      <c r="AB14" s="11">
        <f>IFERROR((CAN_gen[[#This Row],[2031]]*1000)/(CAN_cap[[#This Row],[2031]]*8760), 0)</f>
        <v>0.43917856697646718</v>
      </c>
      <c r="AC14" s="11">
        <f>IFERROR((CAN_gen[[#This Row],[2032]]*1000)/(CAN_cap[[#This Row],[2032]]*8760), 0)</f>
        <v>0.37325362087990727</v>
      </c>
      <c r="AD14" s="11">
        <f>IFERROR((CAN_gen[[#This Row],[2033]]*1000)/(CAN_cap[[#This Row],[2033]]*8760), 0)</f>
        <v>0.37990094232909033</v>
      </c>
      <c r="AE14" s="11">
        <f>IFERROR((CAN_gen[[#This Row],[2034]]*1000)/(CAN_cap[[#This Row],[2034]]*8760), 0)</f>
        <v>0.37820996717315125</v>
      </c>
      <c r="AF14" s="11">
        <f>IFERROR((CAN_gen[[#This Row],[2035]]*1000)/(CAN_cap[[#This Row],[2035]]*8760), 0)</f>
        <v>0.38920863219203145</v>
      </c>
      <c r="AG14" s="11">
        <f>IFERROR((CAN_gen[[#This Row],[2036]]*1000)/(CAN_cap[[#This Row],[2036]]*8760), 0)</f>
        <v>0.36907482870446945</v>
      </c>
      <c r="AH14" s="11">
        <f>IFERROR((CAN_gen[[#This Row],[2037]]*1000)/(CAN_cap[[#This Row],[2037]]*8760), 0)</f>
        <v>0.28442305079539482</v>
      </c>
      <c r="AI14" s="11">
        <f>IFERROR((CAN_gen[[#This Row],[2038]]*1000)/(CAN_cap[[#This Row],[2038]]*8760), 0)</f>
        <v>0.28133657634667752</v>
      </c>
      <c r="AJ14" s="11">
        <f>IFERROR((CAN_gen[[#This Row],[2039]]*1000)/(CAN_cap[[#This Row],[2039]]*8760), 0)</f>
        <v>0.27566892843425939</v>
      </c>
      <c r="AK14" s="11">
        <f>IFERROR((CAN_gen[[#This Row],[2040]]*1000)/(CAN_cap[[#This Row],[2040]]*8760), 0)</f>
        <v>0.27017864353032706</v>
      </c>
      <c r="AL14" s="11">
        <f>IFERROR((CAN_gen[[#This Row],[2041]]*1000)/(CAN_cap[[#This Row],[2041]]*8760), 0)</f>
        <v>0.38082496194824961</v>
      </c>
      <c r="AM14" s="11">
        <f>IFERROR((CAN_gen[[#This Row],[2042]]*1000)/(CAN_cap[[#This Row],[2042]]*8760), 0)</f>
        <v>0.3705799086757991</v>
      </c>
      <c r="AN14" s="11">
        <f>IFERROR((CAN_gen[[#This Row],[2043]]*1000)/(CAN_cap[[#This Row],[2043]]*8760), 0)</f>
        <v>0.35578538812785387</v>
      </c>
      <c r="AO14" s="11">
        <f>IFERROR((CAN_gen[[#This Row],[2044]]*1000)/(CAN_cap[[#This Row],[2044]]*8760), 0)</f>
        <v>0.33108371385083712</v>
      </c>
      <c r="AP14" s="11">
        <f>IFERROR((CAN_gen[[#This Row],[2045]]*1000)/(CAN_cap[[#This Row],[2045]]*8760), 0)</f>
        <v>0.31240943683409439</v>
      </c>
      <c r="AQ14" s="11">
        <f>IFERROR((CAN_gen[[#This Row],[2046]]*1000)/(CAN_cap[[#This Row],[2046]]*8760), 0)</f>
        <v>0.29144444444444445</v>
      </c>
      <c r="AR14" s="11">
        <f>IFERROR((CAN_gen[[#This Row],[2047]]*1000)/(CAN_cap[[#This Row],[2047]]*8760), 0)</f>
        <v>0.30611415525114155</v>
      </c>
      <c r="AS14" s="11">
        <f>IFERROR((CAN_gen[[#This Row],[2048]]*1000)/(CAN_cap[[#This Row],[2048]]*8760), 0)</f>
        <v>0.2919391171993912</v>
      </c>
      <c r="AT14" s="11">
        <f>IFERROR((CAN_gen[[#This Row],[2049]]*1000)/(CAN_cap[[#This Row],[2049]]*8760), 0)</f>
        <v>0.27119482496194824</v>
      </c>
      <c r="AU14" s="11">
        <f>IFERROR((CAN_gen[[#This Row],[2050]]*1000)/(CAN_cap[[#This Row],[2050]]*8760), 0)</f>
        <v>0.26171537290715374</v>
      </c>
    </row>
    <row r="15" spans="1:47" x14ac:dyDescent="0.3">
      <c r="A15" s="2" t="s">
        <v>60</v>
      </c>
      <c r="B15" s="11">
        <f>IFERROR((CAN_gen[[#This Row],[2005]]*1000)/(CAN_cap[[#This Row],[2005]]*8760), 0)</f>
        <v>0.33684659284012419</v>
      </c>
      <c r="C15" s="11">
        <f>IFERROR((CAN_gen[[#This Row],[2006]]*1000)/(CAN_cap[[#This Row],[2006]]*8760), 0)</f>
        <v>0.35467015582182965</v>
      </c>
      <c r="D15" s="11">
        <f>IFERROR((CAN_gen[[#This Row],[2007]]*1000)/(CAN_cap[[#This Row],[2007]]*8760), 0)</f>
        <v>0.38675299106897887</v>
      </c>
      <c r="E15" s="11">
        <f>IFERROR((CAN_gen[[#This Row],[2008]]*1000)/(CAN_cap[[#This Row],[2008]]*8760), 0)</f>
        <v>0.31894470638660177</v>
      </c>
      <c r="F15" s="11">
        <f>IFERROR((CAN_gen[[#This Row],[2009]]*1000)/(CAN_cap[[#This Row],[2009]]*8760), 0)</f>
        <v>0.30753259402854877</v>
      </c>
      <c r="G15" s="11">
        <f>IFERROR((CAN_gen[[#This Row],[2010]]*1000)/(CAN_cap[[#This Row],[2010]]*8760), 0)</f>
        <v>0.32594546556972731</v>
      </c>
      <c r="H15" s="11">
        <f>IFERROR((CAN_gen[[#This Row],[2011]]*1000)/(CAN_cap[[#This Row],[2011]]*8760), 0)</f>
        <v>0.37461099073722059</v>
      </c>
      <c r="I15" s="11">
        <f>IFERROR((CAN_gen[[#This Row],[2012]]*1000)/(CAN_cap[[#This Row],[2012]]*8760), 0)</f>
        <v>0.36671763510838012</v>
      </c>
      <c r="J15" s="11">
        <f>IFERROR((CAN_gen[[#This Row],[2013]]*1000)/(CAN_cap[[#This Row],[2013]]*8760), 0)</f>
        <v>0.34363912083333131</v>
      </c>
      <c r="K15" s="11">
        <f>IFERROR((CAN_gen[[#This Row],[2014]]*1000)/(CAN_cap[[#This Row],[2014]]*8760), 0)</f>
        <v>0.33441481349473956</v>
      </c>
      <c r="L15" s="11">
        <f>IFERROR((CAN_gen[[#This Row],[2015]]*1000)/(CAN_cap[[#This Row],[2015]]*8760), 0)</f>
        <v>0.34220762847576713</v>
      </c>
      <c r="M15" s="11">
        <f>IFERROR((CAN_gen[[#This Row],[2016]]*1000)/(CAN_cap[[#This Row],[2016]]*8760), 0)</f>
        <v>0.33569697349874245</v>
      </c>
      <c r="N15" s="11">
        <f>IFERROR((CAN_gen[[#This Row],[2017]]*1000)/(CAN_cap[[#This Row],[2017]]*8760), 0)</f>
        <v>0.32527278464370496</v>
      </c>
      <c r="O15" s="11">
        <f>IFERROR((CAN_gen[[#This Row],[2018]]*1000)/(CAN_cap[[#This Row],[2018]]*8760), 0)</f>
        <v>0.33883271401335374</v>
      </c>
      <c r="P15" s="11">
        <f>IFERROR((CAN_gen[[#This Row],[2019]]*1000)/(CAN_cap[[#This Row],[2019]]*8760), 0)</f>
        <v>0.35172309601634066</v>
      </c>
      <c r="Q15" s="11">
        <f>IFERROR((CAN_gen[[#This Row],[2020]]*1000)/(CAN_cap[[#This Row],[2020]]*8760), 0)</f>
        <v>0.32662253173762978</v>
      </c>
      <c r="R15" s="11">
        <f>IFERROR((CAN_gen[[#This Row],[2021]]*1000)/(CAN_cap[[#This Row],[2021]]*8760), 0)</f>
        <v>0.33022481353317046</v>
      </c>
      <c r="S15" s="11">
        <f>IFERROR((CAN_gen[[#This Row],[2022]]*1000)/(CAN_cap[[#This Row],[2022]]*8760), 0)</f>
        <v>0.36298743678346196</v>
      </c>
      <c r="T15" s="11">
        <f>IFERROR((CAN_gen[[#This Row],[2023]]*1000)/(CAN_cap[[#This Row],[2023]]*8760), 0)</f>
        <v>0.40071019708083444</v>
      </c>
      <c r="U15" s="11">
        <f>IFERROR((CAN_gen[[#This Row],[2024]]*1000)/(CAN_cap[[#This Row],[2024]]*8760), 0)</f>
        <v>0.37519565838705438</v>
      </c>
      <c r="V15" s="11">
        <f>IFERROR((CAN_gen[[#This Row],[2025]]*1000)/(CAN_cap[[#This Row],[2025]]*8760), 0)</f>
        <v>0.41293640215962046</v>
      </c>
      <c r="W15" s="11">
        <f>IFERROR((CAN_gen[[#This Row],[2026]]*1000)/(CAN_cap[[#This Row],[2026]]*8760), 0)</f>
        <v>0.44680679011420621</v>
      </c>
      <c r="X15" s="11">
        <f>IFERROR((CAN_gen[[#This Row],[2027]]*1000)/(CAN_cap[[#This Row],[2027]]*8760), 0)</f>
        <v>0.43177278729657653</v>
      </c>
      <c r="Y15" s="11">
        <f>IFERROR((CAN_gen[[#This Row],[2028]]*1000)/(CAN_cap[[#This Row],[2028]]*8760), 0)</f>
        <v>0.41894184990046085</v>
      </c>
      <c r="Z15" s="11">
        <f>IFERROR((CAN_gen[[#This Row],[2029]]*1000)/(CAN_cap[[#This Row],[2029]]*8760), 0)</f>
        <v>0.43509818291397345</v>
      </c>
      <c r="AA15" s="11">
        <f>IFERROR((CAN_gen[[#This Row],[2030]]*1000)/(CAN_cap[[#This Row],[2030]]*8760), 0)</f>
        <v>0.42253053345542629</v>
      </c>
      <c r="AB15" s="11">
        <f>IFERROR((CAN_gen[[#This Row],[2031]]*1000)/(CAN_cap[[#This Row],[2031]]*8760), 0)</f>
        <v>0.43340071216589543</v>
      </c>
      <c r="AC15" s="11">
        <f>IFERROR((CAN_gen[[#This Row],[2032]]*1000)/(CAN_cap[[#This Row],[2032]]*8760), 0)</f>
        <v>0.42212609946978463</v>
      </c>
      <c r="AD15" s="11">
        <f>IFERROR((CAN_gen[[#This Row],[2033]]*1000)/(CAN_cap[[#This Row],[2033]]*8760), 0)</f>
        <v>0.43362566731305613</v>
      </c>
      <c r="AE15" s="11">
        <f>IFERROR((CAN_gen[[#This Row],[2034]]*1000)/(CAN_cap[[#This Row],[2034]]*8760), 0)</f>
        <v>0.40265106772009468</v>
      </c>
      <c r="AF15" s="11">
        <f>IFERROR((CAN_gen[[#This Row],[2035]]*1000)/(CAN_cap[[#This Row],[2035]]*8760), 0)</f>
        <v>0.39177406276179932</v>
      </c>
      <c r="AG15" s="11">
        <f>IFERROR((CAN_gen[[#This Row],[2036]]*1000)/(CAN_cap[[#This Row],[2036]]*8760), 0)</f>
        <v>0.39595623632421589</v>
      </c>
      <c r="AH15" s="11">
        <f>IFERROR((CAN_gen[[#This Row],[2037]]*1000)/(CAN_cap[[#This Row],[2037]]*8760), 0)</f>
        <v>0.41216809912311597</v>
      </c>
      <c r="AI15" s="11">
        <f>IFERROR((CAN_gen[[#This Row],[2038]]*1000)/(CAN_cap[[#This Row],[2038]]*8760), 0)</f>
        <v>0.40744431369141682</v>
      </c>
      <c r="AJ15" s="11">
        <f>IFERROR((CAN_gen[[#This Row],[2039]]*1000)/(CAN_cap[[#This Row],[2039]]*8760), 0)</f>
        <v>0.41494834147638499</v>
      </c>
      <c r="AK15" s="11">
        <f>IFERROR((CAN_gen[[#This Row],[2040]]*1000)/(CAN_cap[[#This Row],[2040]]*8760), 0)</f>
        <v>0.41119307694112156</v>
      </c>
      <c r="AL15" s="11">
        <f>IFERROR((CAN_gen[[#This Row],[2041]]*1000)/(CAN_cap[[#This Row],[2041]]*8760), 0)</f>
        <v>0.40900392600421148</v>
      </c>
      <c r="AM15" s="11">
        <f>IFERROR((CAN_gen[[#This Row],[2042]]*1000)/(CAN_cap[[#This Row],[2042]]*8760), 0)</f>
        <v>0.41572338964794087</v>
      </c>
      <c r="AN15" s="11">
        <f>IFERROR((CAN_gen[[#This Row],[2043]]*1000)/(CAN_cap[[#This Row],[2043]]*8760), 0)</f>
        <v>0.41885056730206321</v>
      </c>
      <c r="AO15" s="11">
        <f>IFERROR((CAN_gen[[#This Row],[2044]]*1000)/(CAN_cap[[#This Row],[2044]]*8760), 0)</f>
        <v>0.41492354962744149</v>
      </c>
      <c r="AP15" s="11">
        <f>IFERROR((CAN_gen[[#This Row],[2045]]*1000)/(CAN_cap[[#This Row],[2045]]*8760), 0)</f>
        <v>0.4158076203803322</v>
      </c>
      <c r="AQ15" s="11">
        <f>IFERROR((CAN_gen[[#This Row],[2046]]*1000)/(CAN_cap[[#This Row],[2046]]*8760), 0)</f>
        <v>0.41132927379081885</v>
      </c>
      <c r="AR15" s="11">
        <f>IFERROR((CAN_gen[[#This Row],[2047]]*1000)/(CAN_cap[[#This Row],[2047]]*8760), 0)</f>
        <v>0.41282843861400836</v>
      </c>
      <c r="AS15" s="11">
        <f>IFERROR((CAN_gen[[#This Row],[2048]]*1000)/(CAN_cap[[#This Row],[2048]]*8760), 0)</f>
        <v>0.40763473588064919</v>
      </c>
      <c r="AT15" s="11">
        <f>IFERROR((CAN_gen[[#This Row],[2049]]*1000)/(CAN_cap[[#This Row],[2049]]*8760), 0)</f>
        <v>0.4072968890559332</v>
      </c>
      <c r="AU15" s="11">
        <f>IFERROR((CAN_gen[[#This Row],[2050]]*1000)/(CAN_cap[[#This Row],[2050]]*8760), 0)</f>
        <v>0.41010945093134321</v>
      </c>
    </row>
    <row r="16" spans="1:47" x14ac:dyDescent="0.3">
      <c r="A16" s="2" t="s">
        <v>61</v>
      </c>
      <c r="B16" s="11">
        <f>IFERROR((CAN_gen[[#This Row],[2005]]*1000)/(CAN_cap[[#This Row],[2005]]*8760), 0)</f>
        <v>0.19609389394807542</v>
      </c>
      <c r="C16" s="11">
        <f>IFERROR((CAN_gen[[#This Row],[2006]]*1000)/(CAN_cap[[#This Row],[2006]]*8760), 0)</f>
        <v>0.1989775554687464</v>
      </c>
      <c r="D16" s="11">
        <f>IFERROR((CAN_gen[[#This Row],[2007]]*1000)/(CAN_cap[[#This Row],[2007]]*8760), 0)</f>
        <v>0.22144469636223102</v>
      </c>
      <c r="E16" s="11">
        <f>IFERROR((CAN_gen[[#This Row],[2008]]*1000)/(CAN_cap[[#This Row],[2008]]*8760), 0)</f>
        <v>0.17498212758182924</v>
      </c>
      <c r="F16" s="11">
        <f>IFERROR((CAN_gen[[#This Row],[2009]]*1000)/(CAN_cap[[#This Row],[2009]]*8760), 0)</f>
        <v>0.18715845811014561</v>
      </c>
      <c r="G16" s="11">
        <f>IFERROR((CAN_gen[[#This Row],[2010]]*1000)/(CAN_cap[[#This Row],[2010]]*8760), 0)</f>
        <v>0.12848713429091166</v>
      </c>
      <c r="H16" s="11">
        <f>IFERROR((CAN_gen[[#This Row],[2011]]*1000)/(CAN_cap[[#This Row],[2011]]*8760), 0)</f>
        <v>0.13297348900617784</v>
      </c>
      <c r="I16" s="11">
        <f>IFERROR((CAN_gen[[#This Row],[2012]]*1000)/(CAN_cap[[#This Row],[2012]]*8760), 0)</f>
        <v>0.13392922365023796</v>
      </c>
      <c r="J16" s="11">
        <f>IFERROR((CAN_gen[[#This Row],[2013]]*1000)/(CAN_cap[[#This Row],[2013]]*8760), 0)</f>
        <v>0.127501940559411</v>
      </c>
      <c r="K16" s="11">
        <f>IFERROR((CAN_gen[[#This Row],[2014]]*1000)/(CAN_cap[[#This Row],[2014]]*8760), 0)</f>
        <v>0.20661922464736684</v>
      </c>
      <c r="L16" s="11">
        <f>IFERROR((CAN_gen[[#This Row],[2015]]*1000)/(CAN_cap[[#This Row],[2015]]*8760), 0)</f>
        <v>0.17174386388214855</v>
      </c>
      <c r="M16" s="11">
        <f>IFERROR((CAN_gen[[#This Row],[2016]]*1000)/(CAN_cap[[#This Row],[2016]]*8760), 0)</f>
        <v>0.16319509830051912</v>
      </c>
      <c r="N16" s="11">
        <f>IFERROR((CAN_gen[[#This Row],[2017]]*1000)/(CAN_cap[[#This Row],[2017]]*8760), 0)</f>
        <v>0.13179811633371338</v>
      </c>
      <c r="O16" s="11">
        <f>IFERROR((CAN_gen[[#This Row],[2018]]*1000)/(CAN_cap[[#This Row],[2018]]*8760), 0)</f>
        <v>0.13230750666194346</v>
      </c>
      <c r="P16" s="11">
        <f>IFERROR((CAN_gen[[#This Row],[2019]]*1000)/(CAN_cap[[#This Row],[2019]]*8760), 0)</f>
        <v>0.1171532780184619</v>
      </c>
      <c r="Q16" s="11">
        <f>IFERROR((CAN_gen[[#This Row],[2020]]*1000)/(CAN_cap[[#This Row],[2020]]*8760), 0)</f>
        <v>0.12795108802455094</v>
      </c>
      <c r="R16" s="11">
        <f>IFERROR((CAN_gen[[#This Row],[2021]]*1000)/(CAN_cap[[#This Row],[2021]]*8760), 0)</f>
        <v>0.1458041349325884</v>
      </c>
      <c r="S16" s="11">
        <f>IFERROR((CAN_gen[[#This Row],[2022]]*1000)/(CAN_cap[[#This Row],[2022]]*8760), 0)</f>
        <v>0.1437628593230213</v>
      </c>
      <c r="T16" s="11">
        <f>IFERROR((CAN_gen[[#This Row],[2023]]*1000)/(CAN_cap[[#This Row],[2023]]*8760), 0)</f>
        <v>0.20273662024764164</v>
      </c>
      <c r="U16" s="11">
        <f>IFERROR((CAN_gen[[#This Row],[2024]]*1000)/(CAN_cap[[#This Row],[2024]]*8760), 0)</f>
        <v>0.16460786174698572</v>
      </c>
      <c r="V16" s="11">
        <f>IFERROR((CAN_gen[[#This Row],[2025]]*1000)/(CAN_cap[[#This Row],[2025]]*8760), 0)</f>
        <v>0.15687450070525463</v>
      </c>
      <c r="W16" s="11">
        <f>IFERROR((CAN_gen[[#This Row],[2026]]*1000)/(CAN_cap[[#This Row],[2026]]*8760), 0)</f>
        <v>0.18170877615234451</v>
      </c>
      <c r="X16" s="11">
        <f>IFERROR((CAN_gen[[#This Row],[2027]]*1000)/(CAN_cap[[#This Row],[2027]]*8760), 0)</f>
        <v>0.13314894485126985</v>
      </c>
      <c r="Y16" s="11">
        <f>IFERROR((CAN_gen[[#This Row],[2028]]*1000)/(CAN_cap[[#This Row],[2028]]*8760), 0)</f>
        <v>0.14148458752959475</v>
      </c>
      <c r="Z16" s="11">
        <f>IFERROR((CAN_gen[[#This Row],[2029]]*1000)/(CAN_cap[[#This Row],[2029]]*8760), 0)</f>
        <v>0.16499127693041396</v>
      </c>
      <c r="AA16" s="11">
        <f>IFERROR((CAN_gen[[#This Row],[2030]]*1000)/(CAN_cap[[#This Row],[2030]]*8760), 0)</f>
        <v>0.1685068265927889</v>
      </c>
      <c r="AB16" s="11">
        <f>IFERROR((CAN_gen[[#This Row],[2031]]*1000)/(CAN_cap[[#This Row],[2031]]*8760), 0)</f>
        <v>0.23436164630191439</v>
      </c>
      <c r="AC16" s="11">
        <f>IFERROR((CAN_gen[[#This Row],[2032]]*1000)/(CAN_cap[[#This Row],[2032]]*8760), 0)</f>
        <v>0.19185525724235303</v>
      </c>
      <c r="AD16" s="11">
        <f>IFERROR((CAN_gen[[#This Row],[2033]]*1000)/(CAN_cap[[#This Row],[2033]]*8760), 0)</f>
        <v>0.24322096992723666</v>
      </c>
      <c r="AE16" s="11">
        <f>IFERROR((CAN_gen[[#This Row],[2034]]*1000)/(CAN_cap[[#This Row],[2034]]*8760), 0)</f>
        <v>0.23315377145974137</v>
      </c>
      <c r="AF16" s="11">
        <f>IFERROR((CAN_gen[[#This Row],[2035]]*1000)/(CAN_cap[[#This Row],[2035]]*8760), 0)</f>
        <v>0.22848987474585353</v>
      </c>
      <c r="AG16" s="11">
        <f>IFERROR((CAN_gen[[#This Row],[2036]]*1000)/(CAN_cap[[#This Row],[2036]]*8760), 0)</f>
        <v>0.12374248742313884</v>
      </c>
      <c r="AH16" s="11">
        <f>IFERROR((CAN_gen[[#This Row],[2037]]*1000)/(CAN_cap[[#This Row],[2037]]*8760), 0)</f>
        <v>0.18441611965790455</v>
      </c>
      <c r="AI16" s="11">
        <f>IFERROR((CAN_gen[[#This Row],[2038]]*1000)/(CAN_cap[[#This Row],[2038]]*8760), 0)</f>
        <v>0.18321738856924966</v>
      </c>
      <c r="AJ16" s="11">
        <f>IFERROR((CAN_gen[[#This Row],[2039]]*1000)/(CAN_cap[[#This Row],[2039]]*8760), 0)</f>
        <v>0.18778540492203166</v>
      </c>
      <c r="AK16" s="11">
        <f>IFERROR((CAN_gen[[#This Row],[2040]]*1000)/(CAN_cap[[#This Row],[2040]]*8760), 0)</f>
        <v>0.18612240811909075</v>
      </c>
      <c r="AL16" s="11">
        <f>IFERROR((CAN_gen[[#This Row],[2041]]*1000)/(CAN_cap[[#This Row],[2041]]*8760), 0)</f>
        <v>0.42522133488159725</v>
      </c>
      <c r="AM16" s="11">
        <f>IFERROR((CAN_gen[[#This Row],[2042]]*1000)/(CAN_cap[[#This Row],[2042]]*8760), 0)</f>
        <v>0.29712734449900907</v>
      </c>
      <c r="AN16" s="11">
        <f>IFERROR((CAN_gen[[#This Row],[2043]]*1000)/(CAN_cap[[#This Row],[2043]]*8760), 0)</f>
        <v>0.31999260510331068</v>
      </c>
      <c r="AO16" s="11">
        <f>IFERROR((CAN_gen[[#This Row],[2044]]*1000)/(CAN_cap[[#This Row],[2044]]*8760), 0)</f>
        <v>0.21872136798951258</v>
      </c>
      <c r="AP16" s="11">
        <f>IFERROR((CAN_gen[[#This Row],[2045]]*1000)/(CAN_cap[[#This Row],[2045]]*8760), 0)</f>
        <v>0.21393930297347724</v>
      </c>
      <c r="AQ16" s="11">
        <f>IFERROR((CAN_gen[[#This Row],[2046]]*1000)/(CAN_cap[[#This Row],[2046]]*8760), 0)</f>
        <v>0.20888275935937356</v>
      </c>
      <c r="AR16" s="11">
        <f>IFERROR((CAN_gen[[#This Row],[2047]]*1000)/(CAN_cap[[#This Row],[2047]]*8760), 0)</f>
        <v>0.21273171079771075</v>
      </c>
      <c r="AS16" s="11">
        <f>IFERROR((CAN_gen[[#This Row],[2048]]*1000)/(CAN_cap[[#This Row],[2048]]*8760), 0)</f>
        <v>0.20802409028756971</v>
      </c>
      <c r="AT16" s="11">
        <f>IFERROR((CAN_gen[[#This Row],[2049]]*1000)/(CAN_cap[[#This Row],[2049]]*8760), 0)</f>
        <v>0.21228163409031919</v>
      </c>
      <c r="AU16" s="11">
        <f>IFERROR((CAN_gen[[#This Row],[2050]]*1000)/(CAN_cap[[#This Row],[2050]]*8760), 0)</f>
        <v>0.21586122143862657</v>
      </c>
    </row>
    <row r="17" spans="1:47" x14ac:dyDescent="0.3">
      <c r="A17" s="6"/>
      <c r="B17" s="6"/>
      <c r="C17" s="6"/>
      <c r="D17" s="6"/>
      <c r="E17" s="6"/>
      <c r="F17" s="6"/>
      <c r="G17" s="6"/>
      <c r="H17" s="6"/>
      <c r="I17" s="6"/>
      <c r="J17" s="6"/>
      <c r="K17" s="6"/>
      <c r="L17" s="7">
        <f>SUBTOTAL(109,CAN_cf[2015])</f>
        <v>3.2962539176183165</v>
      </c>
      <c r="M17" s="7">
        <f>SUBTOTAL(109,CAN_cf[2016])</f>
        <v>3.3371192576559126</v>
      </c>
      <c r="N17" s="7">
        <f>SUBTOTAL(109,CAN_cf[2017])</f>
        <v>3.1514076232269379</v>
      </c>
      <c r="O17" s="7">
        <f>SUBTOTAL(109,CAN_cf[2018])</f>
        <v>3.2300739507926357</v>
      </c>
      <c r="P17" s="7">
        <f>SUBTOTAL(109,CAN_cf[2019])</f>
        <v>3.1964138136035243</v>
      </c>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row>
    <row r="18" spans="1:47" ht="18" x14ac:dyDescent="0.35">
      <c r="A18" s="4" t="s">
        <v>62</v>
      </c>
    </row>
    <row r="19" spans="1:47" x14ac:dyDescent="0.3">
      <c r="A19" s="2" t="s">
        <v>7</v>
      </c>
      <c r="B19" s="2" t="s">
        <v>8</v>
      </c>
      <c r="C19" s="2" t="s">
        <v>9</v>
      </c>
      <c r="D19" s="2" t="s">
        <v>10</v>
      </c>
      <c r="E19" s="2" t="s">
        <v>11</v>
      </c>
      <c r="F19" s="2" t="s">
        <v>12</v>
      </c>
      <c r="G19" s="2" t="s">
        <v>13</v>
      </c>
      <c r="H19" s="2" t="s">
        <v>14</v>
      </c>
      <c r="I19" s="2" t="s">
        <v>15</v>
      </c>
      <c r="J19" s="2" t="s">
        <v>16</v>
      </c>
      <c r="K19" s="2" t="s">
        <v>17</v>
      </c>
      <c r="L19" s="2" t="s">
        <v>18</v>
      </c>
      <c r="M19" s="2" t="s">
        <v>19</v>
      </c>
      <c r="N19" s="2" t="s">
        <v>20</v>
      </c>
      <c r="O19" s="2" t="s">
        <v>21</v>
      </c>
      <c r="P19" s="2" t="s">
        <v>22</v>
      </c>
      <c r="Q19" s="2" t="s">
        <v>23</v>
      </c>
      <c r="R19" s="2" t="s">
        <v>24</v>
      </c>
      <c r="S19" s="2" t="s">
        <v>25</v>
      </c>
      <c r="T19" s="2" t="s">
        <v>26</v>
      </c>
      <c r="U19" s="2" t="s">
        <v>27</v>
      </c>
      <c r="V19" s="2" t="s">
        <v>28</v>
      </c>
      <c r="W19" s="2" t="s">
        <v>29</v>
      </c>
      <c r="X19" s="2" t="s">
        <v>30</v>
      </c>
      <c r="Y19" s="2" t="s">
        <v>31</v>
      </c>
      <c r="Z19" s="2" t="s">
        <v>32</v>
      </c>
      <c r="AA19" s="2" t="s">
        <v>33</v>
      </c>
      <c r="AB19" s="2" t="s">
        <v>34</v>
      </c>
      <c r="AC19" s="2" t="s">
        <v>35</v>
      </c>
      <c r="AD19" s="2" t="s">
        <v>36</v>
      </c>
      <c r="AE19" s="2" t="s">
        <v>37</v>
      </c>
      <c r="AF19" s="2" t="s">
        <v>38</v>
      </c>
      <c r="AG19" s="2" t="s">
        <v>39</v>
      </c>
      <c r="AH19" s="2" t="s">
        <v>40</v>
      </c>
      <c r="AI19" s="2" t="s">
        <v>41</v>
      </c>
      <c r="AJ19" s="2" t="s">
        <v>42</v>
      </c>
      <c r="AK19" s="2" t="s">
        <v>43</v>
      </c>
      <c r="AL19" s="2" t="s">
        <v>44</v>
      </c>
      <c r="AM19" s="2" t="s">
        <v>45</v>
      </c>
      <c r="AN19" s="2" t="s">
        <v>46</v>
      </c>
      <c r="AO19" s="2" t="s">
        <v>47</v>
      </c>
      <c r="AP19" s="2" t="s">
        <v>48</v>
      </c>
      <c r="AQ19" s="2" t="s">
        <v>49</v>
      </c>
      <c r="AR19" s="2" t="s">
        <v>50</v>
      </c>
      <c r="AS19" s="2" t="s">
        <v>51</v>
      </c>
      <c r="AT19" s="2" t="s">
        <v>52</v>
      </c>
      <c r="AU19" s="2" t="s">
        <v>53</v>
      </c>
    </row>
    <row r="20" spans="1:47" x14ac:dyDescent="0.3">
      <c r="A20" s="2" t="s">
        <v>54</v>
      </c>
      <c r="B20" s="11">
        <f>IFERROR((NL_gen[[#This Row],[2005]]*1000)/(NL_cap[[#This Row],[2005]]*8760), 0)</f>
        <v>0.68488595018479925</v>
      </c>
      <c r="C20" s="11">
        <f>IFERROR((NL_gen[[#This Row],[2006]]*1000)/(NL_cap[[#This Row],[2006]]*8760), 0)</f>
        <v>0.70526036988703256</v>
      </c>
      <c r="D20" s="11">
        <f>IFERROR((NL_gen[[#This Row],[2007]]*1000)/(NL_cap[[#This Row],[2007]]*8760), 0)</f>
        <v>0.6773213585001393</v>
      </c>
      <c r="E20" s="11">
        <f>IFERROR((NL_gen[[#This Row],[2008]]*1000)/(NL_cap[[#This Row],[2008]]*8760), 0)</f>
        <v>0.70431696028827906</v>
      </c>
      <c r="F20" s="11">
        <f>IFERROR((NL_gen[[#This Row],[2009]]*1000)/(NL_cap[[#This Row],[2009]]*8760), 0)</f>
        <v>0.61741888351784213</v>
      </c>
      <c r="G20" s="11">
        <f>IFERROR((NL_gen[[#This Row],[2010]]*1000)/(NL_cap[[#This Row],[2010]]*8760), 0)</f>
        <v>0.67724436605604998</v>
      </c>
      <c r="H20" s="11">
        <f>IFERROR((NL_gen[[#This Row],[2011]]*1000)/(NL_cap[[#This Row],[2011]]*8760), 0)</f>
        <v>0.6726868805114008</v>
      </c>
      <c r="I20" s="11">
        <f>IFERROR((NL_gen[[#This Row],[2012]]*1000)/(NL_cap[[#This Row],[2012]]*8760), 0)</f>
        <v>0.70913544197053624</v>
      </c>
      <c r="J20" s="11">
        <f>IFERROR((NL_gen[[#This Row],[2013]]*1000)/(NL_cap[[#This Row],[2013]]*8760), 0)</f>
        <v>0.69635093029519401</v>
      </c>
      <c r="K20" s="11">
        <f>IFERROR((NL_gen[[#This Row],[2014]]*1000)/(NL_cap[[#This Row],[2014]]*8760), 0)</f>
        <v>0.65612670013639851</v>
      </c>
      <c r="L20" s="11">
        <f>IFERROR((NL_gen[[#This Row],[2015]]*1000)/(NL_cap[[#This Row],[2015]]*8760), 0)</f>
        <v>0.66684996891282078</v>
      </c>
      <c r="M20" s="11">
        <f>IFERROR((NL_gen[[#This Row],[2016]]*1000)/(NL_cap[[#This Row],[2016]]*8760), 0)</f>
        <v>0.6634387606230211</v>
      </c>
      <c r="N20" s="11">
        <f>IFERROR((NL_gen[[#This Row],[2017]]*1000)/(NL_cap[[#This Row],[2017]]*8760), 0)</f>
        <v>0.61412167171863563</v>
      </c>
      <c r="O20" s="11">
        <f>IFERROR((NL_gen[[#This Row],[2018]]*1000)/(NL_cap[[#This Row],[2018]]*8760), 0)</f>
        <v>0.70289273420330112</v>
      </c>
      <c r="P20" s="11">
        <f>IFERROR((NL_gen[[#This Row],[2019]]*1000)/(NL_cap[[#This Row],[2019]]*8760), 0)</f>
        <v>0.68553507614033327</v>
      </c>
      <c r="Q20" s="11">
        <f>IFERROR((NL_gen[[#This Row],[2020]]*1000)/(NL_cap[[#This Row],[2020]]*8760), 0)</f>
        <v>0.74318804170343866</v>
      </c>
      <c r="R20" s="11">
        <f>IFERROR((NL_gen[[#This Row],[2021]]*1000)/(NL_cap[[#This Row],[2021]]*8760), 0)</f>
        <v>0.67433116658823811</v>
      </c>
      <c r="S20" s="11">
        <f>IFERROR((NL_gen[[#This Row],[2022]]*1000)/(NL_cap[[#This Row],[2022]]*8760), 0)</f>
        <v>0.68601121692439682</v>
      </c>
      <c r="T20" s="11">
        <f>IFERROR((NL_gen[[#This Row],[2023]]*1000)/(NL_cap[[#This Row],[2023]]*8760), 0)</f>
        <v>0.68749628657659112</v>
      </c>
      <c r="U20" s="11">
        <f>IFERROR((NL_gen[[#This Row],[2024]]*1000)/(NL_cap[[#This Row],[2024]]*8760), 0)</f>
        <v>0.68934670434301859</v>
      </c>
      <c r="V20" s="11">
        <f>IFERROR((NL_gen[[#This Row],[2025]]*1000)/(NL_cap[[#This Row],[2025]]*8760), 0)</f>
        <v>0.69055094447672527</v>
      </c>
      <c r="W20" s="11">
        <f>IFERROR((NL_gen[[#This Row],[2026]]*1000)/(NL_cap[[#This Row],[2026]]*8760), 0)</f>
        <v>0.69132749653905334</v>
      </c>
      <c r="X20" s="11">
        <f>IFERROR((NL_gen[[#This Row],[2027]]*1000)/(NL_cap[[#This Row],[2027]]*8760), 0)</f>
        <v>0.69221659020670923</v>
      </c>
      <c r="Y20" s="11">
        <f>IFERROR((NL_gen[[#This Row],[2028]]*1000)/(NL_cap[[#This Row],[2028]]*8760), 0)</f>
        <v>0.69774012020774168</v>
      </c>
      <c r="Z20" s="11">
        <f>IFERROR((NL_gen[[#This Row],[2029]]*1000)/(NL_cap[[#This Row],[2029]]*8760), 0)</f>
        <v>0.69831976192466272</v>
      </c>
      <c r="AA20" s="11">
        <f>IFERROR((NL_gen[[#This Row],[2030]]*1000)/(NL_cap[[#This Row],[2030]]*8760), 0)</f>
        <v>0.69863296026705279</v>
      </c>
      <c r="AB20" s="11">
        <f>IFERROR((NL_gen[[#This Row],[2031]]*1000)/(NL_cap[[#This Row],[2031]]*8760), 0)</f>
        <v>0.69905840050343826</v>
      </c>
      <c r="AC20" s="11">
        <f>IFERROR((NL_gen[[#This Row],[2032]]*1000)/(NL_cap[[#This Row],[2032]]*8760), 0)</f>
        <v>0.69943184082364696</v>
      </c>
      <c r="AD20" s="11">
        <f>IFERROR((NL_gen[[#This Row],[2033]]*1000)/(NL_cap[[#This Row],[2033]]*8760), 0)</f>
        <v>0.69981532147349212</v>
      </c>
      <c r="AE20" s="11">
        <f>IFERROR((NL_gen[[#This Row],[2034]]*1000)/(NL_cap[[#This Row],[2034]]*8760), 0)</f>
        <v>0.70012282530056602</v>
      </c>
      <c r="AF20" s="11">
        <f>IFERROR((NL_gen[[#This Row],[2035]]*1000)/(NL_cap[[#This Row],[2035]]*8760), 0)</f>
        <v>0.70038312459278218</v>
      </c>
      <c r="AG20" s="11">
        <f>IFERROR((NL_gen[[#This Row],[2036]]*1000)/(NL_cap[[#This Row],[2036]]*8760), 0)</f>
        <v>0.70073963122270855</v>
      </c>
      <c r="AH20" s="11">
        <f>IFERROR((NL_gen[[#This Row],[2037]]*1000)/(NL_cap[[#This Row],[2037]]*8760), 0)</f>
        <v>0.70105702552375271</v>
      </c>
      <c r="AI20" s="11">
        <f>IFERROR((NL_gen[[#This Row],[2038]]*1000)/(NL_cap[[#This Row],[2038]]*8760), 0)</f>
        <v>0.70118230486070876</v>
      </c>
      <c r="AJ20" s="11">
        <f>IFERROR((NL_gen[[#This Row],[2039]]*1000)/(NL_cap[[#This Row],[2039]]*8760), 0)</f>
        <v>0.70127926147675013</v>
      </c>
      <c r="AK20" s="11">
        <f>IFERROR((NL_gen[[#This Row],[2040]]*1000)/(NL_cap[[#This Row],[2040]]*8760), 0)</f>
        <v>0.70136707689715228</v>
      </c>
      <c r="AL20" s="11">
        <f>IFERROR((NL_gen[[#This Row],[2041]]*1000)/(NL_cap[[#This Row],[2041]]*8760), 0)</f>
        <v>0.70150374526474069</v>
      </c>
      <c r="AM20" s="11">
        <f>IFERROR((NL_gen[[#This Row],[2042]]*1000)/(NL_cap[[#This Row],[2042]]*8760), 0)</f>
        <v>0.70158511689149572</v>
      </c>
      <c r="AN20" s="11">
        <f>IFERROR((NL_gen[[#This Row],[2043]]*1000)/(NL_cap[[#This Row],[2043]]*8760), 0)</f>
        <v>0.70180675342182819</v>
      </c>
      <c r="AO20" s="11">
        <f>IFERROR((NL_gen[[#This Row],[2044]]*1000)/(NL_cap[[#This Row],[2044]]*8760), 0)</f>
        <v>0.70210451663059814</v>
      </c>
      <c r="AP20" s="11">
        <f>IFERROR((NL_gen[[#This Row],[2045]]*1000)/(NL_cap[[#This Row],[2045]]*8760), 0)</f>
        <v>0.70229618202768762</v>
      </c>
      <c r="AQ20" s="11">
        <f>IFERROR((NL_gen[[#This Row],[2046]]*1000)/(NL_cap[[#This Row],[2046]]*8760), 0)</f>
        <v>0.70254044676361871</v>
      </c>
      <c r="AR20" s="11">
        <f>IFERROR((NL_gen[[#This Row],[2047]]*1000)/(NL_cap[[#This Row],[2047]]*8760), 0)</f>
        <v>0.70279145500452944</v>
      </c>
      <c r="AS20" s="11">
        <f>IFERROR((NL_gen[[#This Row],[2048]]*1000)/(NL_cap[[#This Row],[2048]]*8760), 0)</f>
        <v>0.7029498524437191</v>
      </c>
      <c r="AT20" s="11">
        <f>IFERROR((NL_gen[[#This Row],[2049]]*1000)/(NL_cap[[#This Row],[2049]]*8760), 0)</f>
        <v>0.70320835346794064</v>
      </c>
      <c r="AU20" s="11">
        <f>IFERROR((NL_gen[[#This Row],[2050]]*1000)/(NL_cap[[#This Row],[2050]]*8760), 0)</f>
        <v>0.70336120624748033</v>
      </c>
    </row>
    <row r="21" spans="1:47" x14ac:dyDescent="0.3">
      <c r="A21" s="2" t="s">
        <v>55</v>
      </c>
      <c r="B21" s="11">
        <f>IFERROR((NL_gen[[#This Row],[2005]]*1000)/(NL_cap[[#This Row],[2005]]*8760), 0)</f>
        <v>0</v>
      </c>
      <c r="C21" s="11">
        <f>IFERROR((NL_gen[[#This Row],[2006]]*1000)/(NL_cap[[#This Row],[2006]]*8760), 0)</f>
        <v>0</v>
      </c>
      <c r="D21" s="11">
        <f>IFERROR((NL_gen[[#This Row],[2007]]*1000)/(NL_cap[[#This Row],[2007]]*8760), 0)</f>
        <v>0</v>
      </c>
      <c r="E21" s="11">
        <f>IFERROR((NL_gen[[#This Row],[2008]]*1000)/(NL_cap[[#This Row],[2008]]*8760), 0)</f>
        <v>0</v>
      </c>
      <c r="F21" s="11">
        <f>IFERROR((NL_gen[[#This Row],[2009]]*1000)/(NL_cap[[#This Row],[2009]]*8760), 0)</f>
        <v>0.21562658548959918</v>
      </c>
      <c r="G21" s="11">
        <f>IFERROR((NL_gen[[#This Row],[2010]]*1000)/(NL_cap[[#This Row],[2010]]*8760), 0)</f>
        <v>0.38685946220192796</v>
      </c>
      <c r="H21" s="11">
        <f>IFERROR((NL_gen[[#This Row],[2011]]*1000)/(NL_cap[[#This Row],[2011]]*8760), 0)</f>
        <v>0.41625671686974947</v>
      </c>
      <c r="I21" s="11">
        <f>IFERROR((NL_gen[[#This Row],[2012]]*1000)/(NL_cap[[#This Row],[2012]]*8760), 0)</f>
        <v>0.40994979691717753</v>
      </c>
      <c r="J21" s="11">
        <f>IFERROR((NL_gen[[#This Row],[2013]]*1000)/(NL_cap[[#This Row],[2013]]*8760), 0)</f>
        <v>0.40364287696460555</v>
      </c>
      <c r="K21" s="11">
        <f>IFERROR((NL_gen[[#This Row],[2014]]*1000)/(NL_cap[[#This Row],[2014]]*8760), 0)</f>
        <v>0.37202418493571149</v>
      </c>
      <c r="L21" s="11">
        <f>IFERROR((NL_gen[[#This Row],[2015]]*1000)/(NL_cap[[#This Row],[2015]]*8760), 0)</f>
        <v>0.36159674394745916</v>
      </c>
      <c r="M21" s="11">
        <f>IFERROR((NL_gen[[#This Row],[2016]]*1000)/(NL_cap[[#This Row],[2016]]*8760), 0)</f>
        <v>0.39943826366289092</v>
      </c>
      <c r="N21" s="11">
        <f>IFERROR((NL_gen[[#This Row],[2017]]*1000)/(NL_cap[[#This Row],[2017]]*8760), 0)</f>
        <v>0.39102903705946163</v>
      </c>
      <c r="O21" s="11">
        <f>IFERROR((NL_gen[[#This Row],[2018]]*1000)/(NL_cap[[#This Row],[2018]]*8760), 0)</f>
        <v>0.43307517007660806</v>
      </c>
      <c r="P21" s="11">
        <f>IFERROR((NL_gen[[#This Row],[2019]]*1000)/(NL_cap[[#This Row],[2019]]*8760), 0)</f>
        <v>0.38261981045603238</v>
      </c>
      <c r="Q21" s="11">
        <f>IFERROR((NL_gen[[#This Row],[2020]]*1000)/(NL_cap[[#This Row],[2020]]*8760), 0)</f>
        <v>0.38217832605935231</v>
      </c>
      <c r="R21" s="11">
        <f>IFERROR((NL_gen[[#This Row],[2021]]*1000)/(NL_cap[[#This Row],[2021]]*8760), 0)</f>
        <v>0.38224139525887801</v>
      </c>
      <c r="S21" s="11">
        <f>IFERROR((NL_gen[[#This Row],[2022]]*1000)/(NL_cap[[#This Row],[2022]]*8760), 0)</f>
        <v>0.38238855672443806</v>
      </c>
      <c r="T21" s="11">
        <f>IFERROR((NL_gen[[#This Row],[2023]]*1000)/(NL_cap[[#This Row],[2023]]*8760), 0)</f>
        <v>0.38240957979094664</v>
      </c>
      <c r="U21" s="11">
        <f>IFERROR((NL_gen[[#This Row],[2024]]*1000)/(NL_cap[[#This Row],[2024]]*8760), 0)</f>
        <v>0.38243060285745523</v>
      </c>
      <c r="V21" s="11">
        <f>IFERROR((NL_gen[[#This Row],[2025]]*1000)/(NL_cap[[#This Row],[2025]]*8760), 0)</f>
        <v>0.38245162592396376</v>
      </c>
      <c r="W21" s="11">
        <f>IFERROR((NL_gen[[#This Row],[2026]]*1000)/(NL_cap[[#This Row],[2026]]*8760), 0)</f>
        <v>0.38245162592396376</v>
      </c>
      <c r="X21" s="11">
        <f>IFERROR((NL_gen[[#This Row],[2027]]*1000)/(NL_cap[[#This Row],[2027]]*8760), 0)</f>
        <v>0.38247264899047234</v>
      </c>
      <c r="Y21" s="11">
        <f>IFERROR((NL_gen[[#This Row],[2028]]*1000)/(NL_cap[[#This Row],[2028]]*8760), 0)</f>
        <v>0.38253571818999804</v>
      </c>
      <c r="Z21" s="11">
        <f>IFERROR((NL_gen[[#This Row],[2029]]*1000)/(NL_cap[[#This Row],[2029]]*8760), 0)</f>
        <v>0.38253571818999804</v>
      </c>
      <c r="AA21" s="11">
        <f>IFERROR((NL_gen[[#This Row],[2030]]*1000)/(NL_cap[[#This Row],[2030]]*8760), 0)</f>
        <v>0.3843857480427525</v>
      </c>
      <c r="AB21" s="11">
        <f>IFERROR((NL_gen[[#This Row],[2031]]*1000)/(NL_cap[[#This Row],[2031]]*8760), 0)</f>
        <v>0.38623577789550695</v>
      </c>
      <c r="AC21" s="11">
        <f>IFERROR((NL_gen[[#This Row],[2032]]*1000)/(NL_cap[[#This Row],[2032]]*8760), 0)</f>
        <v>0.3880858077482614</v>
      </c>
      <c r="AD21" s="11">
        <f>IFERROR((NL_gen[[#This Row],[2033]]*1000)/(NL_cap[[#This Row],[2033]]*8760), 0)</f>
        <v>0.38993583760101586</v>
      </c>
      <c r="AE21" s="11">
        <f>IFERROR((NL_gen[[#This Row],[2034]]*1000)/(NL_cap[[#This Row],[2034]]*8760), 0)</f>
        <v>0.39176484438726172</v>
      </c>
      <c r="AF21" s="11">
        <f>IFERROR((NL_gen[[#This Row],[2035]]*1000)/(NL_cap[[#This Row],[2035]]*8760), 0)</f>
        <v>0.39359385117350759</v>
      </c>
      <c r="AG21" s="11">
        <f>IFERROR((NL_gen[[#This Row],[2036]]*1000)/(NL_cap[[#This Row],[2036]]*8760), 0)</f>
        <v>0.39542285795975346</v>
      </c>
      <c r="AH21" s="11">
        <f>IFERROR((NL_gen[[#This Row],[2037]]*1000)/(NL_cap[[#This Row],[2037]]*8760), 0)</f>
        <v>0.39723084167949074</v>
      </c>
      <c r="AI21" s="11">
        <f>IFERROR((NL_gen[[#This Row],[2038]]*1000)/(NL_cap[[#This Row],[2038]]*8760), 0)</f>
        <v>0.39903882539922803</v>
      </c>
      <c r="AJ21" s="11">
        <f>IFERROR((NL_gen[[#This Row],[2039]]*1000)/(NL_cap[[#This Row],[2039]]*8760), 0)</f>
        <v>0.40084680911896531</v>
      </c>
      <c r="AK21" s="11">
        <f>IFERROR((NL_gen[[#This Row],[2040]]*1000)/(NL_cap[[#This Row],[2040]]*8760), 0)</f>
        <v>0.40263376977219406</v>
      </c>
      <c r="AL21" s="11">
        <f>IFERROR((NL_gen[[#This Row],[2041]]*1000)/(NL_cap[[#This Row],[2041]]*8760), 0)</f>
        <v>0.40444175349193134</v>
      </c>
      <c r="AM21" s="11">
        <f>IFERROR((NL_gen[[#This Row],[2042]]*1000)/(NL_cap[[#This Row],[2042]]*8760), 0)</f>
        <v>0.4062287141451601</v>
      </c>
      <c r="AN21" s="11">
        <f>IFERROR((NL_gen[[#This Row],[2043]]*1000)/(NL_cap[[#This Row],[2043]]*8760), 0)</f>
        <v>0.40799465173188021</v>
      </c>
      <c r="AO21" s="11">
        <f>IFERROR((NL_gen[[#This Row],[2044]]*1000)/(NL_cap[[#This Row],[2044]]*8760), 0)</f>
        <v>0.40978161238510896</v>
      </c>
      <c r="AP21" s="11">
        <f>IFERROR((NL_gen[[#This Row],[2045]]*1000)/(NL_cap[[#This Row],[2045]]*8760), 0)</f>
        <v>0.41154754997182907</v>
      </c>
      <c r="AQ21" s="11">
        <f>IFERROR((NL_gen[[#This Row],[2046]]*1000)/(NL_cap[[#This Row],[2046]]*8760), 0)</f>
        <v>0.41331348755854924</v>
      </c>
      <c r="AR21" s="11">
        <f>IFERROR((NL_gen[[#This Row],[2047]]*1000)/(NL_cap[[#This Row],[2047]]*8760), 0)</f>
        <v>0.41507942514526941</v>
      </c>
      <c r="AS21" s="11">
        <f>IFERROR((NL_gen[[#This Row],[2048]]*1000)/(NL_cap[[#This Row],[2048]]*8760), 0)</f>
        <v>0.41684536273198952</v>
      </c>
      <c r="AT21" s="11">
        <f>IFERROR((NL_gen[[#This Row],[2049]]*1000)/(NL_cap[[#This Row],[2049]]*8760), 0)</f>
        <v>0.4185902772522011</v>
      </c>
      <c r="AU21" s="11">
        <f>IFERROR((NL_gen[[#This Row],[2050]]*1000)/(NL_cap[[#This Row],[2050]]*8760), 0)</f>
        <v>0.42033519177241269</v>
      </c>
    </row>
    <row r="22" spans="1:47" x14ac:dyDescent="0.3">
      <c r="A22" s="2" t="s">
        <v>56</v>
      </c>
      <c r="B22" s="11">
        <f>IFERROR((NL_gen[[#This Row],[2005]]*1000)/(NL_cap[[#This Row],[2005]]*8760), 0)</f>
        <v>0</v>
      </c>
      <c r="C22" s="11">
        <f>IFERROR((NL_gen[[#This Row],[2006]]*1000)/(NL_cap[[#This Row],[2006]]*8760), 0)</f>
        <v>0</v>
      </c>
      <c r="D22" s="11">
        <f>IFERROR((NL_gen[[#This Row],[2007]]*1000)/(NL_cap[[#This Row],[2007]]*8760), 0)</f>
        <v>0</v>
      </c>
      <c r="E22" s="11">
        <f>IFERROR((NL_gen[[#This Row],[2008]]*1000)/(NL_cap[[#This Row],[2008]]*8760), 0)</f>
        <v>0</v>
      </c>
      <c r="F22" s="11">
        <f>IFERROR((NL_gen[[#This Row],[2009]]*1000)/(NL_cap[[#This Row],[2009]]*8760), 0)</f>
        <v>0</v>
      </c>
      <c r="G22" s="11">
        <f>IFERROR((NL_gen[[#This Row],[2010]]*1000)/(NL_cap[[#This Row],[2010]]*8760), 0)</f>
        <v>0</v>
      </c>
      <c r="H22" s="11">
        <f>IFERROR((NL_gen[[#This Row],[2011]]*1000)/(NL_cap[[#This Row],[2011]]*8760), 0)</f>
        <v>0</v>
      </c>
      <c r="I22" s="11">
        <f>IFERROR((NL_gen[[#This Row],[2012]]*1000)/(NL_cap[[#This Row],[2012]]*8760), 0)</f>
        <v>0</v>
      </c>
      <c r="J22" s="11">
        <f>IFERROR((NL_gen[[#This Row],[2013]]*1000)/(NL_cap[[#This Row],[2013]]*8760), 0)</f>
        <v>0</v>
      </c>
      <c r="K22" s="11">
        <f>IFERROR((NL_gen[[#This Row],[2014]]*1000)/(NL_cap[[#This Row],[2014]]*8760), 0)</f>
        <v>0</v>
      </c>
      <c r="L22" s="11">
        <f>IFERROR((NL_gen[[#This Row],[2015]]*1000)/(NL_cap[[#This Row],[2015]]*8760), 0)</f>
        <v>0</v>
      </c>
      <c r="M22" s="11">
        <f>IFERROR((NL_gen[[#This Row],[2016]]*1000)/(NL_cap[[#This Row],[2016]]*8760), 0)</f>
        <v>0</v>
      </c>
      <c r="N22" s="11">
        <f>IFERROR((NL_gen[[#This Row],[2017]]*1000)/(NL_cap[[#This Row],[2017]]*8760), 0)</f>
        <v>0</v>
      </c>
      <c r="O22" s="11">
        <f>IFERROR((NL_gen[[#This Row],[2018]]*1000)/(NL_cap[[#This Row],[2018]]*8760), 0)</f>
        <v>0</v>
      </c>
      <c r="P22" s="11">
        <f>IFERROR((NL_gen[[#This Row],[2019]]*1000)/(NL_cap[[#This Row],[2019]]*8760), 0)</f>
        <v>0</v>
      </c>
      <c r="Q22" s="11">
        <f>IFERROR((NL_gen[[#This Row],[2020]]*1000)/(NL_cap[[#This Row],[2020]]*8760), 0)</f>
        <v>0</v>
      </c>
      <c r="R22" s="11">
        <f>IFERROR((NL_gen[[#This Row],[2021]]*1000)/(NL_cap[[#This Row],[2021]]*8760), 0)</f>
        <v>0</v>
      </c>
      <c r="S22" s="11">
        <f>IFERROR((NL_gen[[#This Row],[2022]]*1000)/(NL_cap[[#This Row],[2022]]*8760), 0)</f>
        <v>0</v>
      </c>
      <c r="T22" s="11">
        <f>IFERROR((NL_gen[[#This Row],[2023]]*1000)/(NL_cap[[#This Row],[2023]]*8760), 0)</f>
        <v>0</v>
      </c>
      <c r="U22" s="11">
        <f>IFERROR((NL_gen[[#This Row],[2024]]*1000)/(NL_cap[[#This Row],[2024]]*8760), 0)</f>
        <v>0</v>
      </c>
      <c r="V22" s="11">
        <f>IFERROR((NL_gen[[#This Row],[2025]]*1000)/(NL_cap[[#This Row],[2025]]*8760), 0)</f>
        <v>0</v>
      </c>
      <c r="W22" s="11">
        <f>IFERROR((NL_gen[[#This Row],[2026]]*1000)/(NL_cap[[#This Row],[2026]]*8760), 0)</f>
        <v>0</v>
      </c>
      <c r="X22" s="11">
        <f>IFERROR((NL_gen[[#This Row],[2027]]*1000)/(NL_cap[[#This Row],[2027]]*8760), 0)</f>
        <v>0</v>
      </c>
      <c r="Y22" s="11">
        <f>IFERROR((NL_gen[[#This Row],[2028]]*1000)/(NL_cap[[#This Row],[2028]]*8760), 0)</f>
        <v>0</v>
      </c>
      <c r="Z22" s="11">
        <f>IFERROR((NL_gen[[#This Row],[2029]]*1000)/(NL_cap[[#This Row],[2029]]*8760), 0)</f>
        <v>0</v>
      </c>
      <c r="AA22" s="11">
        <f>IFERROR((NL_gen[[#This Row],[2030]]*1000)/(NL_cap[[#This Row],[2030]]*8760), 0)</f>
        <v>0</v>
      </c>
      <c r="AB22" s="11">
        <f>IFERROR((NL_gen[[#This Row],[2031]]*1000)/(NL_cap[[#This Row],[2031]]*8760), 0)</f>
        <v>0</v>
      </c>
      <c r="AC22" s="11">
        <f>IFERROR((NL_gen[[#This Row],[2032]]*1000)/(NL_cap[[#This Row],[2032]]*8760), 0)</f>
        <v>0</v>
      </c>
      <c r="AD22" s="11">
        <f>IFERROR((NL_gen[[#This Row],[2033]]*1000)/(NL_cap[[#This Row],[2033]]*8760), 0)</f>
        <v>0</v>
      </c>
      <c r="AE22" s="11">
        <f>IFERROR((NL_gen[[#This Row],[2034]]*1000)/(NL_cap[[#This Row],[2034]]*8760), 0)</f>
        <v>0</v>
      </c>
      <c r="AF22" s="11">
        <f>IFERROR((NL_gen[[#This Row],[2035]]*1000)/(NL_cap[[#This Row],[2035]]*8760), 0)</f>
        <v>0</v>
      </c>
      <c r="AG22" s="11">
        <f>IFERROR((NL_gen[[#This Row],[2036]]*1000)/(NL_cap[[#This Row],[2036]]*8760), 0)</f>
        <v>0</v>
      </c>
      <c r="AH22" s="11">
        <f>IFERROR((NL_gen[[#This Row],[2037]]*1000)/(NL_cap[[#This Row],[2037]]*8760), 0)</f>
        <v>0</v>
      </c>
      <c r="AI22" s="11">
        <f>IFERROR((NL_gen[[#This Row],[2038]]*1000)/(NL_cap[[#This Row],[2038]]*8760), 0)</f>
        <v>0</v>
      </c>
      <c r="AJ22" s="11">
        <f>IFERROR((NL_gen[[#This Row],[2039]]*1000)/(NL_cap[[#This Row],[2039]]*8760), 0)</f>
        <v>0</v>
      </c>
      <c r="AK22" s="11">
        <f>IFERROR((NL_gen[[#This Row],[2040]]*1000)/(NL_cap[[#This Row],[2040]]*8760), 0)</f>
        <v>0</v>
      </c>
      <c r="AL22" s="11">
        <f>IFERROR((NL_gen[[#This Row],[2041]]*1000)/(NL_cap[[#This Row],[2041]]*8760), 0)</f>
        <v>0</v>
      </c>
      <c r="AM22" s="11">
        <f>IFERROR((NL_gen[[#This Row],[2042]]*1000)/(NL_cap[[#This Row],[2042]]*8760), 0)</f>
        <v>0</v>
      </c>
      <c r="AN22" s="11">
        <f>IFERROR((NL_gen[[#This Row],[2043]]*1000)/(NL_cap[[#This Row],[2043]]*8760), 0)</f>
        <v>0</v>
      </c>
      <c r="AO22" s="11">
        <f>IFERROR((NL_gen[[#This Row],[2044]]*1000)/(NL_cap[[#This Row],[2044]]*8760), 0)</f>
        <v>0</v>
      </c>
      <c r="AP22" s="11">
        <f>IFERROR((NL_gen[[#This Row],[2045]]*1000)/(NL_cap[[#This Row],[2045]]*8760), 0)</f>
        <v>0</v>
      </c>
      <c r="AQ22" s="11">
        <f>IFERROR((NL_gen[[#This Row],[2046]]*1000)/(NL_cap[[#This Row],[2046]]*8760), 0)</f>
        <v>0</v>
      </c>
      <c r="AR22" s="11">
        <f>IFERROR((NL_gen[[#This Row],[2047]]*1000)/(NL_cap[[#This Row],[2047]]*8760), 0)</f>
        <v>0</v>
      </c>
      <c r="AS22" s="11">
        <f>IFERROR((NL_gen[[#This Row],[2048]]*1000)/(NL_cap[[#This Row],[2048]]*8760), 0)</f>
        <v>0</v>
      </c>
      <c r="AT22" s="11">
        <f>IFERROR((NL_gen[[#This Row],[2049]]*1000)/(NL_cap[[#This Row],[2049]]*8760), 0)</f>
        <v>0</v>
      </c>
      <c r="AU22" s="11">
        <f>IFERROR((NL_gen[[#This Row],[2050]]*1000)/(NL_cap[[#This Row],[2050]]*8760), 0)</f>
        <v>0</v>
      </c>
    </row>
    <row r="23" spans="1:47" x14ac:dyDescent="0.3">
      <c r="A23" s="2" t="s">
        <v>57</v>
      </c>
      <c r="B23" s="11">
        <f>IFERROR((NL_gen[[#This Row],[2005]]*1000)/(NL_cap[[#This Row],[2005]]*8760), 0)</f>
        <v>0</v>
      </c>
      <c r="C23" s="11">
        <f>IFERROR((NL_gen[[#This Row],[2006]]*1000)/(NL_cap[[#This Row],[2006]]*8760), 0)</f>
        <v>0</v>
      </c>
      <c r="D23" s="11">
        <f>IFERROR((NL_gen[[#This Row],[2007]]*1000)/(NL_cap[[#This Row],[2007]]*8760), 0)</f>
        <v>0</v>
      </c>
      <c r="E23" s="11">
        <f>IFERROR((NL_gen[[#This Row],[2008]]*1000)/(NL_cap[[#This Row],[2008]]*8760), 0)</f>
        <v>0</v>
      </c>
      <c r="F23" s="11">
        <f>IFERROR((NL_gen[[#This Row],[2009]]*1000)/(NL_cap[[#This Row],[2009]]*8760), 0)</f>
        <v>0</v>
      </c>
      <c r="G23" s="11">
        <f>IFERROR((NL_gen[[#This Row],[2010]]*1000)/(NL_cap[[#This Row],[2010]]*8760), 0)</f>
        <v>0</v>
      </c>
      <c r="H23" s="11">
        <f>IFERROR((NL_gen[[#This Row],[2011]]*1000)/(NL_cap[[#This Row],[2011]]*8760), 0)</f>
        <v>0</v>
      </c>
      <c r="I23" s="11">
        <f>IFERROR((NL_gen[[#This Row],[2012]]*1000)/(NL_cap[[#This Row],[2012]]*8760), 0)</f>
        <v>0</v>
      </c>
      <c r="J23" s="11">
        <f>IFERROR((NL_gen[[#This Row],[2013]]*1000)/(NL_cap[[#This Row],[2013]]*8760), 0)</f>
        <v>0</v>
      </c>
      <c r="K23" s="11">
        <f>IFERROR((NL_gen[[#This Row],[2014]]*1000)/(NL_cap[[#This Row],[2014]]*8760), 0)</f>
        <v>0</v>
      </c>
      <c r="L23" s="11">
        <f>IFERROR((NL_gen[[#This Row],[2015]]*1000)/(NL_cap[[#This Row],[2015]]*8760), 0)</f>
        <v>0</v>
      </c>
      <c r="M23" s="11">
        <f>IFERROR((NL_gen[[#This Row],[2016]]*1000)/(NL_cap[[#This Row],[2016]]*8760), 0)</f>
        <v>0</v>
      </c>
      <c r="N23" s="11">
        <f>IFERROR((NL_gen[[#This Row],[2017]]*1000)/(NL_cap[[#This Row],[2017]]*8760), 0)</f>
        <v>0</v>
      </c>
      <c r="O23" s="11">
        <f>IFERROR((NL_gen[[#This Row],[2018]]*1000)/(NL_cap[[#This Row],[2018]]*8760), 0)</f>
        <v>0</v>
      </c>
      <c r="P23" s="11">
        <f>IFERROR((NL_gen[[#This Row],[2019]]*1000)/(NL_cap[[#This Row],[2019]]*8760), 0)</f>
        <v>0</v>
      </c>
      <c r="Q23" s="11">
        <f>IFERROR((NL_gen[[#This Row],[2020]]*1000)/(NL_cap[[#This Row],[2020]]*8760), 0)</f>
        <v>0</v>
      </c>
      <c r="R23" s="11">
        <f>IFERROR((NL_gen[[#This Row],[2021]]*1000)/(NL_cap[[#This Row],[2021]]*8760), 0)</f>
        <v>0</v>
      </c>
      <c r="S23" s="11">
        <f>IFERROR((NL_gen[[#This Row],[2022]]*1000)/(NL_cap[[#This Row],[2022]]*8760), 0)</f>
        <v>0</v>
      </c>
      <c r="T23" s="11">
        <f>IFERROR((NL_gen[[#This Row],[2023]]*1000)/(NL_cap[[#This Row],[2023]]*8760), 0)</f>
        <v>0</v>
      </c>
      <c r="U23" s="11">
        <f>IFERROR((NL_gen[[#This Row],[2024]]*1000)/(NL_cap[[#This Row],[2024]]*8760), 0)</f>
        <v>0</v>
      </c>
      <c r="V23" s="11">
        <f>IFERROR((NL_gen[[#This Row],[2025]]*1000)/(NL_cap[[#This Row],[2025]]*8760), 0)</f>
        <v>0</v>
      </c>
      <c r="W23" s="11">
        <f>IFERROR((NL_gen[[#This Row],[2026]]*1000)/(NL_cap[[#This Row],[2026]]*8760), 0)</f>
        <v>0</v>
      </c>
      <c r="X23" s="11">
        <f>IFERROR((NL_gen[[#This Row],[2027]]*1000)/(NL_cap[[#This Row],[2027]]*8760), 0)</f>
        <v>0</v>
      </c>
      <c r="Y23" s="11">
        <f>IFERROR((NL_gen[[#This Row],[2028]]*1000)/(NL_cap[[#This Row],[2028]]*8760), 0)</f>
        <v>0</v>
      </c>
      <c r="Z23" s="11">
        <f>IFERROR((NL_gen[[#This Row],[2029]]*1000)/(NL_cap[[#This Row],[2029]]*8760), 0)</f>
        <v>0</v>
      </c>
      <c r="AA23" s="11">
        <f>IFERROR((NL_gen[[#This Row],[2030]]*1000)/(NL_cap[[#This Row],[2030]]*8760), 0)</f>
        <v>0</v>
      </c>
      <c r="AB23" s="11">
        <f>IFERROR((NL_gen[[#This Row],[2031]]*1000)/(NL_cap[[#This Row],[2031]]*8760), 0)</f>
        <v>0</v>
      </c>
      <c r="AC23" s="11">
        <f>IFERROR((NL_gen[[#This Row],[2032]]*1000)/(NL_cap[[#This Row],[2032]]*8760), 0)</f>
        <v>0</v>
      </c>
      <c r="AD23" s="11">
        <f>IFERROR((NL_gen[[#This Row],[2033]]*1000)/(NL_cap[[#This Row],[2033]]*8760), 0)</f>
        <v>0</v>
      </c>
      <c r="AE23" s="11">
        <f>IFERROR((NL_gen[[#This Row],[2034]]*1000)/(NL_cap[[#This Row],[2034]]*8760), 0)</f>
        <v>0</v>
      </c>
      <c r="AF23" s="11">
        <f>IFERROR((NL_gen[[#This Row],[2035]]*1000)/(NL_cap[[#This Row],[2035]]*8760), 0)</f>
        <v>0</v>
      </c>
      <c r="AG23" s="11">
        <f>IFERROR((NL_gen[[#This Row],[2036]]*1000)/(NL_cap[[#This Row],[2036]]*8760), 0)</f>
        <v>0</v>
      </c>
      <c r="AH23" s="11">
        <f>IFERROR((NL_gen[[#This Row],[2037]]*1000)/(NL_cap[[#This Row],[2037]]*8760), 0)</f>
        <v>0</v>
      </c>
      <c r="AI23" s="11">
        <f>IFERROR((NL_gen[[#This Row],[2038]]*1000)/(NL_cap[[#This Row],[2038]]*8760), 0)</f>
        <v>0</v>
      </c>
      <c r="AJ23" s="11">
        <f>IFERROR((NL_gen[[#This Row],[2039]]*1000)/(NL_cap[[#This Row],[2039]]*8760), 0)</f>
        <v>0</v>
      </c>
      <c r="AK23" s="11">
        <f>IFERROR((NL_gen[[#This Row],[2040]]*1000)/(NL_cap[[#This Row],[2040]]*8760), 0)</f>
        <v>0</v>
      </c>
      <c r="AL23" s="11">
        <f>IFERROR((NL_gen[[#This Row],[2041]]*1000)/(NL_cap[[#This Row],[2041]]*8760), 0)</f>
        <v>0</v>
      </c>
      <c r="AM23" s="11">
        <f>IFERROR((NL_gen[[#This Row],[2042]]*1000)/(NL_cap[[#This Row],[2042]]*8760), 0)</f>
        <v>0</v>
      </c>
      <c r="AN23" s="11">
        <f>IFERROR((NL_gen[[#This Row],[2043]]*1000)/(NL_cap[[#This Row],[2043]]*8760), 0)</f>
        <v>0</v>
      </c>
      <c r="AO23" s="11">
        <f>IFERROR((NL_gen[[#This Row],[2044]]*1000)/(NL_cap[[#This Row],[2044]]*8760), 0)</f>
        <v>0</v>
      </c>
      <c r="AP23" s="11">
        <f>IFERROR((NL_gen[[#This Row],[2045]]*1000)/(NL_cap[[#This Row],[2045]]*8760), 0)</f>
        <v>0</v>
      </c>
      <c r="AQ23" s="11">
        <f>IFERROR((NL_gen[[#This Row],[2046]]*1000)/(NL_cap[[#This Row],[2046]]*8760), 0)</f>
        <v>0</v>
      </c>
      <c r="AR23" s="11">
        <f>IFERROR((NL_gen[[#This Row],[2047]]*1000)/(NL_cap[[#This Row],[2047]]*8760), 0)</f>
        <v>0</v>
      </c>
      <c r="AS23" s="11">
        <f>IFERROR((NL_gen[[#This Row],[2048]]*1000)/(NL_cap[[#This Row],[2048]]*8760), 0)</f>
        <v>0</v>
      </c>
      <c r="AT23" s="11">
        <f>IFERROR((NL_gen[[#This Row],[2049]]*1000)/(NL_cap[[#This Row],[2049]]*8760), 0)</f>
        <v>0</v>
      </c>
      <c r="AU23" s="11">
        <f>IFERROR((NL_gen[[#This Row],[2050]]*1000)/(NL_cap[[#This Row],[2050]]*8760), 0)</f>
        <v>0</v>
      </c>
    </row>
    <row r="24" spans="1:47" x14ac:dyDescent="0.3">
      <c r="A24" s="2" t="s">
        <v>58</v>
      </c>
      <c r="B24" s="11">
        <f>IFERROR((NL_gen[[#This Row],[2005]]*1000)/(NL_cap[[#This Row],[2005]]*8760), 0)</f>
        <v>0</v>
      </c>
      <c r="C24" s="11">
        <f>IFERROR((NL_gen[[#This Row],[2006]]*1000)/(NL_cap[[#This Row],[2006]]*8760), 0)</f>
        <v>0</v>
      </c>
      <c r="D24" s="11">
        <f>IFERROR((NL_gen[[#This Row],[2007]]*1000)/(NL_cap[[#This Row],[2007]]*8760), 0)</f>
        <v>0</v>
      </c>
      <c r="E24" s="11">
        <f>IFERROR((NL_gen[[#This Row],[2008]]*1000)/(NL_cap[[#This Row],[2008]]*8760), 0)</f>
        <v>0</v>
      </c>
      <c r="F24" s="11">
        <f>IFERROR((NL_gen[[#This Row],[2009]]*1000)/(NL_cap[[#This Row],[2009]]*8760), 0)</f>
        <v>0</v>
      </c>
      <c r="G24" s="11">
        <f>IFERROR((NL_gen[[#This Row],[2010]]*1000)/(NL_cap[[#This Row],[2010]]*8760), 0)</f>
        <v>0</v>
      </c>
      <c r="H24" s="11">
        <f>IFERROR((NL_gen[[#This Row],[2011]]*1000)/(NL_cap[[#This Row],[2011]]*8760), 0)</f>
        <v>0</v>
      </c>
      <c r="I24" s="11">
        <f>IFERROR((NL_gen[[#This Row],[2012]]*1000)/(NL_cap[[#This Row],[2012]]*8760), 0)</f>
        <v>0</v>
      </c>
      <c r="J24" s="11">
        <f>IFERROR((NL_gen[[#This Row],[2013]]*1000)/(NL_cap[[#This Row],[2013]]*8760), 0)</f>
        <v>0</v>
      </c>
      <c r="K24" s="11">
        <f>IFERROR((NL_gen[[#This Row],[2014]]*1000)/(NL_cap[[#This Row],[2014]]*8760), 0)</f>
        <v>0</v>
      </c>
      <c r="L24" s="11">
        <f>IFERROR((NL_gen[[#This Row],[2015]]*1000)/(NL_cap[[#This Row],[2015]]*8760), 0)</f>
        <v>0</v>
      </c>
      <c r="M24" s="11">
        <f>IFERROR((NL_gen[[#This Row],[2016]]*1000)/(NL_cap[[#This Row],[2016]]*8760), 0)</f>
        <v>0</v>
      </c>
      <c r="N24" s="11">
        <f>IFERROR((NL_gen[[#This Row],[2017]]*1000)/(NL_cap[[#This Row],[2017]]*8760), 0)</f>
        <v>0</v>
      </c>
      <c r="O24" s="11">
        <f>IFERROR((NL_gen[[#This Row],[2018]]*1000)/(NL_cap[[#This Row],[2018]]*8760), 0)</f>
        <v>0</v>
      </c>
      <c r="P24" s="11">
        <f>IFERROR((NL_gen[[#This Row],[2019]]*1000)/(NL_cap[[#This Row],[2019]]*8760), 0)</f>
        <v>0</v>
      </c>
      <c r="Q24" s="11">
        <f>IFERROR((NL_gen[[#This Row],[2020]]*1000)/(NL_cap[[#This Row],[2020]]*8760), 0)</f>
        <v>0</v>
      </c>
      <c r="R24" s="11">
        <f>IFERROR((NL_gen[[#This Row],[2021]]*1000)/(NL_cap[[#This Row],[2021]]*8760), 0)</f>
        <v>0</v>
      </c>
      <c r="S24" s="11">
        <f>IFERROR((NL_gen[[#This Row],[2022]]*1000)/(NL_cap[[#This Row],[2022]]*8760), 0)</f>
        <v>0</v>
      </c>
      <c r="T24" s="11">
        <f>IFERROR((NL_gen[[#This Row],[2023]]*1000)/(NL_cap[[#This Row],[2023]]*8760), 0)</f>
        <v>0</v>
      </c>
      <c r="U24" s="11">
        <f>IFERROR((NL_gen[[#This Row],[2024]]*1000)/(NL_cap[[#This Row],[2024]]*8760), 0)</f>
        <v>0</v>
      </c>
      <c r="V24" s="11">
        <f>IFERROR((NL_gen[[#This Row],[2025]]*1000)/(NL_cap[[#This Row],[2025]]*8760), 0)</f>
        <v>0</v>
      </c>
      <c r="W24" s="11">
        <f>IFERROR((NL_gen[[#This Row],[2026]]*1000)/(NL_cap[[#This Row],[2026]]*8760), 0)</f>
        <v>0</v>
      </c>
      <c r="X24" s="11">
        <f>IFERROR((NL_gen[[#This Row],[2027]]*1000)/(NL_cap[[#This Row],[2027]]*8760), 0)</f>
        <v>0</v>
      </c>
      <c r="Y24" s="11">
        <f>IFERROR((NL_gen[[#This Row],[2028]]*1000)/(NL_cap[[#This Row],[2028]]*8760), 0)</f>
        <v>0</v>
      </c>
      <c r="Z24" s="11">
        <f>IFERROR((NL_gen[[#This Row],[2029]]*1000)/(NL_cap[[#This Row],[2029]]*8760), 0)</f>
        <v>0</v>
      </c>
      <c r="AA24" s="11">
        <f>IFERROR((NL_gen[[#This Row],[2030]]*1000)/(NL_cap[[#This Row],[2030]]*8760), 0)</f>
        <v>0</v>
      </c>
      <c r="AB24" s="11">
        <f>IFERROR((NL_gen[[#This Row],[2031]]*1000)/(NL_cap[[#This Row],[2031]]*8760), 0)</f>
        <v>0</v>
      </c>
      <c r="AC24" s="11">
        <f>IFERROR((NL_gen[[#This Row],[2032]]*1000)/(NL_cap[[#This Row],[2032]]*8760), 0)</f>
        <v>0</v>
      </c>
      <c r="AD24" s="11">
        <f>IFERROR((NL_gen[[#This Row],[2033]]*1000)/(NL_cap[[#This Row],[2033]]*8760), 0)</f>
        <v>0</v>
      </c>
      <c r="AE24" s="11">
        <f>IFERROR((NL_gen[[#This Row],[2034]]*1000)/(NL_cap[[#This Row],[2034]]*8760), 0)</f>
        <v>0</v>
      </c>
      <c r="AF24" s="11">
        <f>IFERROR((NL_gen[[#This Row],[2035]]*1000)/(NL_cap[[#This Row],[2035]]*8760), 0)</f>
        <v>0</v>
      </c>
      <c r="AG24" s="11">
        <f>IFERROR((NL_gen[[#This Row],[2036]]*1000)/(NL_cap[[#This Row],[2036]]*8760), 0)</f>
        <v>0</v>
      </c>
      <c r="AH24" s="11">
        <f>IFERROR((NL_gen[[#This Row],[2037]]*1000)/(NL_cap[[#This Row],[2037]]*8760), 0)</f>
        <v>0</v>
      </c>
      <c r="AI24" s="11">
        <f>IFERROR((NL_gen[[#This Row],[2038]]*1000)/(NL_cap[[#This Row],[2038]]*8760), 0)</f>
        <v>0</v>
      </c>
      <c r="AJ24" s="11">
        <f>IFERROR((NL_gen[[#This Row],[2039]]*1000)/(NL_cap[[#This Row],[2039]]*8760), 0)</f>
        <v>0</v>
      </c>
      <c r="AK24" s="11">
        <f>IFERROR((NL_gen[[#This Row],[2040]]*1000)/(NL_cap[[#This Row],[2040]]*8760), 0)</f>
        <v>0</v>
      </c>
      <c r="AL24" s="11">
        <f>IFERROR((NL_gen[[#This Row],[2041]]*1000)/(NL_cap[[#This Row],[2041]]*8760), 0)</f>
        <v>0</v>
      </c>
      <c r="AM24" s="11">
        <f>IFERROR((NL_gen[[#This Row],[2042]]*1000)/(NL_cap[[#This Row],[2042]]*8760), 0)</f>
        <v>0</v>
      </c>
      <c r="AN24" s="11">
        <f>IFERROR((NL_gen[[#This Row],[2043]]*1000)/(NL_cap[[#This Row],[2043]]*8760), 0)</f>
        <v>0</v>
      </c>
      <c r="AO24" s="11">
        <f>IFERROR((NL_gen[[#This Row],[2044]]*1000)/(NL_cap[[#This Row],[2044]]*8760), 0)</f>
        <v>0</v>
      </c>
      <c r="AP24" s="11">
        <f>IFERROR((NL_gen[[#This Row],[2045]]*1000)/(NL_cap[[#This Row],[2045]]*8760), 0)</f>
        <v>0</v>
      </c>
      <c r="AQ24" s="11">
        <f>IFERROR((NL_gen[[#This Row],[2046]]*1000)/(NL_cap[[#This Row],[2046]]*8760), 0)</f>
        <v>0</v>
      </c>
      <c r="AR24" s="11">
        <f>IFERROR((NL_gen[[#This Row],[2047]]*1000)/(NL_cap[[#This Row],[2047]]*8760), 0)</f>
        <v>0</v>
      </c>
      <c r="AS24" s="11">
        <f>IFERROR((NL_gen[[#This Row],[2048]]*1000)/(NL_cap[[#This Row],[2048]]*8760), 0)</f>
        <v>0</v>
      </c>
      <c r="AT24" s="11">
        <f>IFERROR((NL_gen[[#This Row],[2049]]*1000)/(NL_cap[[#This Row],[2049]]*8760), 0)</f>
        <v>0</v>
      </c>
      <c r="AU24" s="11">
        <f>IFERROR((NL_gen[[#This Row],[2050]]*1000)/(NL_cap[[#This Row],[2050]]*8760), 0)</f>
        <v>0</v>
      </c>
    </row>
    <row r="25" spans="1:47" x14ac:dyDescent="0.3">
      <c r="A25" s="2" t="s">
        <v>59</v>
      </c>
      <c r="B25" s="11">
        <f>IFERROR((NL_gen[[#This Row],[2005]]*1000)/(NL_cap[[#This Row],[2005]]*8760), 0)</f>
        <v>0</v>
      </c>
      <c r="C25" s="11">
        <f>IFERROR((NL_gen[[#This Row],[2006]]*1000)/(NL_cap[[#This Row],[2006]]*8760), 0)</f>
        <v>0</v>
      </c>
      <c r="D25" s="11">
        <f>IFERROR((NL_gen[[#This Row],[2007]]*1000)/(NL_cap[[#This Row],[2007]]*8760), 0)</f>
        <v>0</v>
      </c>
      <c r="E25" s="11">
        <f>IFERROR((NL_gen[[#This Row],[2008]]*1000)/(NL_cap[[#This Row],[2008]]*8760), 0)</f>
        <v>0</v>
      </c>
      <c r="F25" s="11">
        <f>IFERROR((NL_gen[[#This Row],[2009]]*1000)/(NL_cap[[#This Row],[2009]]*8760), 0)</f>
        <v>0</v>
      </c>
      <c r="G25" s="11">
        <f>IFERROR((NL_gen[[#This Row],[2010]]*1000)/(NL_cap[[#This Row],[2010]]*8760), 0)</f>
        <v>0</v>
      </c>
      <c r="H25" s="11">
        <f>IFERROR((NL_gen[[#This Row],[2011]]*1000)/(NL_cap[[#This Row],[2011]]*8760), 0)</f>
        <v>0</v>
      </c>
      <c r="I25" s="11">
        <f>IFERROR((NL_gen[[#This Row],[2012]]*1000)/(NL_cap[[#This Row],[2012]]*8760), 0)</f>
        <v>0</v>
      </c>
      <c r="J25" s="11">
        <f>IFERROR((NL_gen[[#This Row],[2013]]*1000)/(NL_cap[[#This Row],[2013]]*8760), 0)</f>
        <v>0</v>
      </c>
      <c r="K25" s="11">
        <f>IFERROR((NL_gen[[#This Row],[2014]]*1000)/(NL_cap[[#This Row],[2014]]*8760), 0)</f>
        <v>0</v>
      </c>
      <c r="L25" s="11">
        <f>IFERROR((NL_gen[[#This Row],[2015]]*1000)/(NL_cap[[#This Row],[2015]]*8760), 0)</f>
        <v>0</v>
      </c>
      <c r="M25" s="11">
        <f>IFERROR((NL_gen[[#This Row],[2016]]*1000)/(NL_cap[[#This Row],[2016]]*8760), 0)</f>
        <v>0</v>
      </c>
      <c r="N25" s="11">
        <f>IFERROR((NL_gen[[#This Row],[2017]]*1000)/(NL_cap[[#This Row],[2017]]*8760), 0)</f>
        <v>0</v>
      </c>
      <c r="O25" s="11">
        <f>IFERROR((NL_gen[[#This Row],[2018]]*1000)/(NL_cap[[#This Row],[2018]]*8760), 0)</f>
        <v>0</v>
      </c>
      <c r="P25" s="11">
        <f>IFERROR((NL_gen[[#This Row],[2019]]*1000)/(NL_cap[[#This Row],[2019]]*8760), 0)</f>
        <v>0</v>
      </c>
      <c r="Q25" s="11">
        <f>IFERROR((NL_gen[[#This Row],[2020]]*1000)/(NL_cap[[#This Row],[2020]]*8760), 0)</f>
        <v>0</v>
      </c>
      <c r="R25" s="11">
        <f>IFERROR((NL_gen[[#This Row],[2021]]*1000)/(NL_cap[[#This Row],[2021]]*8760), 0)</f>
        <v>0</v>
      </c>
      <c r="S25" s="11">
        <f>IFERROR((NL_gen[[#This Row],[2022]]*1000)/(NL_cap[[#This Row],[2022]]*8760), 0)</f>
        <v>0</v>
      </c>
      <c r="T25" s="11">
        <f>IFERROR((NL_gen[[#This Row],[2023]]*1000)/(NL_cap[[#This Row],[2023]]*8760), 0)</f>
        <v>0</v>
      </c>
      <c r="U25" s="11">
        <f>IFERROR((NL_gen[[#This Row],[2024]]*1000)/(NL_cap[[#This Row],[2024]]*8760), 0)</f>
        <v>0</v>
      </c>
      <c r="V25" s="11">
        <f>IFERROR((NL_gen[[#This Row],[2025]]*1000)/(NL_cap[[#This Row],[2025]]*8760), 0)</f>
        <v>0</v>
      </c>
      <c r="W25" s="11">
        <f>IFERROR((NL_gen[[#This Row],[2026]]*1000)/(NL_cap[[#This Row],[2026]]*8760), 0)</f>
        <v>0</v>
      </c>
      <c r="X25" s="11">
        <f>IFERROR((NL_gen[[#This Row],[2027]]*1000)/(NL_cap[[#This Row],[2027]]*8760), 0)</f>
        <v>0</v>
      </c>
      <c r="Y25" s="11">
        <f>IFERROR((NL_gen[[#This Row],[2028]]*1000)/(NL_cap[[#This Row],[2028]]*8760), 0)</f>
        <v>0</v>
      </c>
      <c r="Z25" s="11">
        <f>IFERROR((NL_gen[[#This Row],[2029]]*1000)/(NL_cap[[#This Row],[2029]]*8760), 0)</f>
        <v>0</v>
      </c>
      <c r="AA25" s="11">
        <f>IFERROR((NL_gen[[#This Row],[2030]]*1000)/(NL_cap[[#This Row],[2030]]*8760), 0)</f>
        <v>0</v>
      </c>
      <c r="AB25" s="11">
        <f>IFERROR((NL_gen[[#This Row],[2031]]*1000)/(NL_cap[[#This Row],[2031]]*8760), 0)</f>
        <v>0</v>
      </c>
      <c r="AC25" s="11">
        <f>IFERROR((NL_gen[[#This Row],[2032]]*1000)/(NL_cap[[#This Row],[2032]]*8760), 0)</f>
        <v>0</v>
      </c>
      <c r="AD25" s="11">
        <f>IFERROR((NL_gen[[#This Row],[2033]]*1000)/(NL_cap[[#This Row],[2033]]*8760), 0)</f>
        <v>0</v>
      </c>
      <c r="AE25" s="11">
        <f>IFERROR((NL_gen[[#This Row],[2034]]*1000)/(NL_cap[[#This Row],[2034]]*8760), 0)</f>
        <v>0</v>
      </c>
      <c r="AF25" s="11">
        <f>IFERROR((NL_gen[[#This Row],[2035]]*1000)/(NL_cap[[#This Row],[2035]]*8760), 0)</f>
        <v>0</v>
      </c>
      <c r="AG25" s="11">
        <f>IFERROR((NL_gen[[#This Row],[2036]]*1000)/(NL_cap[[#This Row],[2036]]*8760), 0)</f>
        <v>0</v>
      </c>
      <c r="AH25" s="11">
        <f>IFERROR((NL_gen[[#This Row],[2037]]*1000)/(NL_cap[[#This Row],[2037]]*8760), 0)</f>
        <v>0</v>
      </c>
      <c r="AI25" s="11">
        <f>IFERROR((NL_gen[[#This Row],[2038]]*1000)/(NL_cap[[#This Row],[2038]]*8760), 0)</f>
        <v>0</v>
      </c>
      <c r="AJ25" s="11">
        <f>IFERROR((NL_gen[[#This Row],[2039]]*1000)/(NL_cap[[#This Row],[2039]]*8760), 0)</f>
        <v>0</v>
      </c>
      <c r="AK25" s="11">
        <f>IFERROR((NL_gen[[#This Row],[2040]]*1000)/(NL_cap[[#This Row],[2040]]*8760), 0)</f>
        <v>0</v>
      </c>
      <c r="AL25" s="11">
        <f>IFERROR((NL_gen[[#This Row],[2041]]*1000)/(NL_cap[[#This Row],[2041]]*8760), 0)</f>
        <v>0</v>
      </c>
      <c r="AM25" s="11">
        <f>IFERROR((NL_gen[[#This Row],[2042]]*1000)/(NL_cap[[#This Row],[2042]]*8760), 0)</f>
        <v>0</v>
      </c>
      <c r="AN25" s="11">
        <f>IFERROR((NL_gen[[#This Row],[2043]]*1000)/(NL_cap[[#This Row],[2043]]*8760), 0)</f>
        <v>0</v>
      </c>
      <c r="AO25" s="11">
        <f>IFERROR((NL_gen[[#This Row],[2044]]*1000)/(NL_cap[[#This Row],[2044]]*8760), 0)</f>
        <v>0</v>
      </c>
      <c r="AP25" s="11">
        <f>IFERROR((NL_gen[[#This Row],[2045]]*1000)/(NL_cap[[#This Row],[2045]]*8760), 0)</f>
        <v>0</v>
      </c>
      <c r="AQ25" s="11">
        <f>IFERROR((NL_gen[[#This Row],[2046]]*1000)/(NL_cap[[#This Row],[2046]]*8760), 0)</f>
        <v>0</v>
      </c>
      <c r="AR25" s="11">
        <f>IFERROR((NL_gen[[#This Row],[2047]]*1000)/(NL_cap[[#This Row],[2047]]*8760), 0)</f>
        <v>0</v>
      </c>
      <c r="AS25" s="11">
        <f>IFERROR((NL_gen[[#This Row],[2048]]*1000)/(NL_cap[[#This Row],[2048]]*8760), 0)</f>
        <v>0</v>
      </c>
      <c r="AT25" s="11">
        <f>IFERROR((NL_gen[[#This Row],[2049]]*1000)/(NL_cap[[#This Row],[2049]]*8760), 0)</f>
        <v>0</v>
      </c>
      <c r="AU25" s="11">
        <f>IFERROR((NL_gen[[#This Row],[2050]]*1000)/(NL_cap[[#This Row],[2050]]*8760), 0)</f>
        <v>0</v>
      </c>
    </row>
    <row r="26" spans="1:47" x14ac:dyDescent="0.3">
      <c r="A26" s="2" t="s">
        <v>60</v>
      </c>
      <c r="B26" s="11">
        <f>IFERROR((NL_gen[[#This Row],[2005]]*1000)/(NL_cap[[#This Row],[2005]]*8760), 0)</f>
        <v>0.23184367241349377</v>
      </c>
      <c r="C26" s="11">
        <f>IFERROR((NL_gen[[#This Row],[2006]]*1000)/(NL_cap[[#This Row],[2006]]*8760), 0)</f>
        <v>0.24117575568171953</v>
      </c>
      <c r="D26" s="11">
        <f>IFERROR((NL_gen[[#This Row],[2007]]*1000)/(NL_cap[[#This Row],[2007]]*8760), 0)</f>
        <v>0.20554021910863413</v>
      </c>
      <c r="E26" s="11">
        <f>IFERROR((NL_gen[[#This Row],[2008]]*1000)/(NL_cap[[#This Row],[2008]]*8760), 0)</f>
        <v>0.39666996544958938</v>
      </c>
      <c r="F26" s="11">
        <f>IFERROR((NL_gen[[#This Row],[2009]]*1000)/(NL_cap[[#This Row],[2009]]*8760), 0)</f>
        <v>0.38857926628122991</v>
      </c>
      <c r="G26" s="11">
        <f>IFERROR((NL_gen[[#This Row],[2010]]*1000)/(NL_cap[[#This Row],[2010]]*8760), 0)</f>
        <v>0.39495980693438892</v>
      </c>
      <c r="H26" s="11">
        <f>IFERROR((NL_gen[[#This Row],[2011]]*1000)/(NL_cap[[#This Row],[2011]]*8760), 0)</f>
        <v>0.39002899456568918</v>
      </c>
      <c r="I26" s="11">
        <f>IFERROR((NL_gen[[#This Row],[2012]]*1000)/(NL_cap[[#This Row],[2012]]*8760), 0)</f>
        <v>0.36356060211469349</v>
      </c>
      <c r="J26" s="11">
        <f>IFERROR((NL_gen[[#This Row],[2013]]*1000)/(NL_cap[[#This Row],[2013]]*8760), 0)</f>
        <v>0.38574925777384239</v>
      </c>
      <c r="K26" s="11">
        <f>IFERROR((NL_gen[[#This Row],[2014]]*1000)/(NL_cap[[#This Row],[2014]]*8760), 0)</f>
        <v>0.36172022848412244</v>
      </c>
      <c r="L26" s="11">
        <f>IFERROR((NL_gen[[#This Row],[2015]]*1000)/(NL_cap[[#This Row],[2015]]*8760), 0)</f>
        <v>0.19551365522509853</v>
      </c>
      <c r="M26" s="11">
        <f>IFERROR((NL_gen[[#This Row],[2016]]*1000)/(NL_cap[[#This Row],[2016]]*8760), 0)</f>
        <v>0.23067173637515842</v>
      </c>
      <c r="N26" s="11">
        <f>IFERROR((NL_gen[[#This Row],[2017]]*1000)/(NL_cap[[#This Row],[2017]]*8760), 0)</f>
        <v>0.33957497786343038</v>
      </c>
      <c r="O26" s="11">
        <f>IFERROR((NL_gen[[#This Row],[2018]]*1000)/(NL_cap[[#This Row],[2018]]*8760), 0)</f>
        <v>5.1412983287489673E-2</v>
      </c>
      <c r="P26" s="11">
        <f>IFERROR((NL_gen[[#This Row],[2019]]*1000)/(NL_cap[[#This Row],[2019]]*8760), 0)</f>
        <v>0.11951578202020752</v>
      </c>
      <c r="Q26" s="11">
        <f>IFERROR((NL_gen[[#This Row],[2020]]*1000)/(NL_cap[[#This Row],[2020]]*8760), 0)</f>
        <v>0.17967991139918479</v>
      </c>
      <c r="R26" s="11">
        <f>IFERROR((NL_gen[[#This Row],[2021]]*1000)/(NL_cap[[#This Row],[2021]]*8760), 0)</f>
        <v>0.18556242453952088</v>
      </c>
      <c r="S26" s="11">
        <f>IFERROR((NL_gen[[#This Row],[2022]]*1000)/(NL_cap[[#This Row],[2022]]*8760), 0)</f>
        <v>0.20175749158019918</v>
      </c>
      <c r="T26" s="11">
        <f>IFERROR((NL_gen[[#This Row],[2023]]*1000)/(NL_cap[[#This Row],[2023]]*8760), 0)</f>
        <v>0.20378187496028397</v>
      </c>
      <c r="U26" s="11">
        <f>IFERROR((NL_gen[[#This Row],[2024]]*1000)/(NL_cap[[#This Row],[2024]]*8760), 0)</f>
        <v>0.20632370162586128</v>
      </c>
      <c r="V26" s="11">
        <f>IFERROR((NL_gen[[#This Row],[2025]]*1000)/(NL_cap[[#This Row],[2025]]*8760), 0)</f>
        <v>0.21305954228964114</v>
      </c>
      <c r="W26" s="11">
        <f>IFERROR((NL_gen[[#This Row],[2026]]*1000)/(NL_cap[[#This Row],[2026]]*8760), 0)</f>
        <v>0.22549633704621586</v>
      </c>
      <c r="X26" s="11">
        <f>IFERROR((NL_gen[[#This Row],[2027]]*1000)/(NL_cap[[#This Row],[2027]]*8760), 0)</f>
        <v>0.23988489156385887</v>
      </c>
      <c r="Y26" s="11">
        <f>IFERROR((NL_gen[[#This Row],[2028]]*1000)/(NL_cap[[#This Row],[2028]]*8760), 0)</f>
        <v>8.7659505852518013E-2</v>
      </c>
      <c r="Z26" s="11">
        <f>IFERROR((NL_gen[[#This Row],[2029]]*1000)/(NL_cap[[#This Row],[2029]]*8760), 0)</f>
        <v>9.4091045684088631E-2</v>
      </c>
      <c r="AA26" s="11">
        <f>IFERROR((NL_gen[[#This Row],[2030]]*1000)/(NL_cap[[#This Row],[2030]]*8760), 0)</f>
        <v>9.82248217125853E-2</v>
      </c>
      <c r="AB26" s="11">
        <f>IFERROR((NL_gen[[#This Row],[2031]]*1000)/(NL_cap[[#This Row],[2031]]*8760), 0)</f>
        <v>0.10282034931873318</v>
      </c>
      <c r="AC26" s="11">
        <f>IFERROR((NL_gen[[#This Row],[2032]]*1000)/(NL_cap[[#This Row],[2032]]*8760), 0)</f>
        <v>0.10716667766075184</v>
      </c>
      <c r="AD26" s="11">
        <f>IFERROR((NL_gen[[#This Row],[2033]]*1000)/(NL_cap[[#This Row],[2033]]*8760), 0)</f>
        <v>0.11417357461685614</v>
      </c>
      <c r="AE26" s="11">
        <f>IFERROR((NL_gen[[#This Row],[2034]]*1000)/(NL_cap[[#This Row],[2034]]*8760), 0)</f>
        <v>0.12048051481636213</v>
      </c>
      <c r="AF26" s="11">
        <f>IFERROR((NL_gen[[#This Row],[2035]]*1000)/(NL_cap[[#This Row],[2035]]*8760), 0)</f>
        <v>0.12622675667157734</v>
      </c>
      <c r="AG26" s="11">
        <f>IFERROR((NL_gen[[#This Row],[2036]]*1000)/(NL_cap[[#This Row],[2036]]*8760), 0)</f>
        <v>0.13268394936857303</v>
      </c>
      <c r="AH26" s="11">
        <f>IFERROR((NL_gen[[#This Row],[2037]]*1000)/(NL_cap[[#This Row],[2037]]*8760), 0)</f>
        <v>0.14032117387512186</v>
      </c>
      <c r="AI26" s="11">
        <f>IFERROR((NL_gen[[#This Row],[2038]]*1000)/(NL_cap[[#This Row],[2038]]*8760), 0)</f>
        <v>0.14321261827803308</v>
      </c>
      <c r="AJ26" s="11">
        <f>IFERROR((NL_gen[[#This Row],[2039]]*1000)/(NL_cap[[#This Row],[2039]]*8760), 0)</f>
        <v>0.14702023644612533</v>
      </c>
      <c r="AK26" s="11">
        <f>IFERROR((NL_gen[[#This Row],[2040]]*1000)/(NL_cap[[#This Row],[2040]]*8760), 0)</f>
        <v>0.14898084830361266</v>
      </c>
      <c r="AL26" s="11">
        <f>IFERROR((NL_gen[[#This Row],[2041]]*1000)/(NL_cap[[#This Row],[2041]]*8760), 0)</f>
        <v>0.15281045464206924</v>
      </c>
      <c r="AM26" s="11">
        <f>IFERROR((NL_gen[[#This Row],[2042]]*1000)/(NL_cap[[#This Row],[2042]]*8760), 0)</f>
        <v>0.15664372567558654</v>
      </c>
      <c r="AN26" s="11">
        <f>IFERROR((NL_gen[[#This Row],[2043]]*1000)/(NL_cap[[#This Row],[2043]]*8760), 0)</f>
        <v>0.16330980599104347</v>
      </c>
      <c r="AO26" s="11">
        <f>IFERROR((NL_gen[[#This Row],[2044]]*1000)/(NL_cap[[#This Row],[2044]]*8760), 0)</f>
        <v>0.17193649816398776</v>
      </c>
      <c r="AP26" s="11">
        <f>IFERROR((NL_gen[[#This Row],[2045]]*1000)/(NL_cap[[#This Row],[2045]]*8760), 0)</f>
        <v>0.17910464170276391</v>
      </c>
      <c r="AQ26" s="11">
        <f>IFERROR((NL_gen[[#This Row],[2046]]*1000)/(NL_cap[[#This Row],[2046]]*8760), 0)</f>
        <v>0.18681882480558792</v>
      </c>
      <c r="AR26" s="11">
        <f>IFERROR((NL_gen[[#This Row],[2047]]*1000)/(NL_cap[[#This Row],[2047]]*8760), 0)</f>
        <v>0.19485183637869494</v>
      </c>
      <c r="AS26" s="11">
        <f>IFERROR((NL_gen[[#This Row],[2048]]*1000)/(NL_cap[[#This Row],[2048]]*8760), 0)</f>
        <v>0.19112850619699934</v>
      </c>
      <c r="AT26" s="11">
        <f>IFERROR((NL_gen[[#This Row],[2049]]*1000)/(NL_cap[[#This Row],[2049]]*8760), 0)</f>
        <v>0.17229930297499946</v>
      </c>
      <c r="AU26" s="11">
        <f>IFERROR((NL_gen[[#This Row],[2050]]*1000)/(NL_cap[[#This Row],[2050]]*8760), 0)</f>
        <v>0.15797400998262934</v>
      </c>
    </row>
    <row r="27" spans="1:47" x14ac:dyDescent="0.3">
      <c r="A27" s="2" t="s">
        <v>61</v>
      </c>
      <c r="B27" s="11">
        <f>IFERROR((NL_gen[[#This Row],[2005]]*1000)/(NL_cap[[#This Row],[2005]]*8760), 0)</f>
        <v>0.19026506391936621</v>
      </c>
      <c r="C27" s="11">
        <f>IFERROR((NL_gen[[#This Row],[2006]]*1000)/(NL_cap[[#This Row],[2006]]*8760), 0)</f>
        <v>0.11988850453562104</v>
      </c>
      <c r="D27" s="11">
        <f>IFERROR((NL_gen[[#This Row],[2007]]*1000)/(NL_cap[[#This Row],[2007]]*8760), 0)</f>
        <v>0.19016455719065922</v>
      </c>
      <c r="E27" s="11">
        <f>IFERROR((NL_gen[[#This Row],[2008]]*1000)/(NL_cap[[#This Row],[2008]]*8760), 0)</f>
        <v>0.16591767304491106</v>
      </c>
      <c r="F27" s="11">
        <f>IFERROR((NL_gen[[#This Row],[2009]]*1000)/(NL_cap[[#This Row],[2009]]*8760), 0)</f>
        <v>0.17726313271380456</v>
      </c>
      <c r="G27" s="11">
        <f>IFERROR((NL_gen[[#This Row],[2010]]*1000)/(NL_cap[[#This Row],[2010]]*8760), 0)</f>
        <v>0.16076942241858738</v>
      </c>
      <c r="H27" s="11">
        <f>IFERROR((NL_gen[[#This Row],[2011]]*1000)/(NL_cap[[#This Row],[2011]]*8760), 0)</f>
        <v>0.1642669867040718</v>
      </c>
      <c r="I27" s="11">
        <f>IFERROR((NL_gen[[#This Row],[2012]]*1000)/(NL_cap[[#This Row],[2012]]*8760), 0)</f>
        <v>0.15787717540438198</v>
      </c>
      <c r="J27" s="11">
        <f>IFERROR((NL_gen[[#This Row],[2013]]*1000)/(NL_cap[[#This Row],[2013]]*8760), 0)</f>
        <v>0.18645036325674222</v>
      </c>
      <c r="K27" s="11">
        <f>IFERROR((NL_gen[[#This Row],[2014]]*1000)/(NL_cap[[#This Row],[2014]]*8760), 0)</f>
        <v>0.24708054439131996</v>
      </c>
      <c r="L27" s="11">
        <f>IFERROR((NL_gen[[#This Row],[2015]]*1000)/(NL_cap[[#This Row],[2015]]*8760), 0)</f>
        <v>0.25863872678210226</v>
      </c>
      <c r="M27" s="11">
        <f>IFERROR((NL_gen[[#This Row],[2016]]*1000)/(NL_cap[[#This Row],[2016]]*8760), 0)</f>
        <v>0.29573581446090635</v>
      </c>
      <c r="N27" s="11">
        <f>IFERROR((NL_gen[[#This Row],[2017]]*1000)/(NL_cap[[#This Row],[2017]]*8760), 0)</f>
        <v>0.28092355900078558</v>
      </c>
      <c r="O27" s="11">
        <f>IFERROR((NL_gen[[#This Row],[2018]]*1000)/(NL_cap[[#This Row],[2018]]*8760), 0)</f>
        <v>0.23431958770440997</v>
      </c>
      <c r="P27" s="11">
        <f>IFERROR((NL_gen[[#This Row],[2019]]*1000)/(NL_cap[[#This Row],[2019]]*8760), 0)</f>
        <v>0.22910171169074595</v>
      </c>
      <c r="Q27" s="11">
        <f>IFERROR((NL_gen[[#This Row],[2020]]*1000)/(NL_cap[[#This Row],[2020]]*8760), 0)</f>
        <v>0.14742236924924998</v>
      </c>
      <c r="R27" s="11">
        <f>IFERROR((NL_gen[[#This Row],[2021]]*1000)/(NL_cap[[#This Row],[2021]]*8760), 0)</f>
        <v>0.15137841628745469</v>
      </c>
      <c r="S27" s="11">
        <f>IFERROR((NL_gen[[#This Row],[2022]]*1000)/(NL_cap[[#This Row],[2022]]*8760), 0)</f>
        <v>0.12907917248130882</v>
      </c>
      <c r="T27" s="11">
        <f>IFERROR((NL_gen[[#This Row],[2023]]*1000)/(NL_cap[[#This Row],[2023]]*8760), 0)</f>
        <v>0.13519778412126146</v>
      </c>
      <c r="U27" s="11">
        <f>IFERROR((NL_gen[[#This Row],[2024]]*1000)/(NL_cap[[#This Row],[2024]]*8760), 0)</f>
        <v>0.12264188315177529</v>
      </c>
      <c r="V27" s="11">
        <f>IFERROR((NL_gen[[#This Row],[2025]]*1000)/(NL_cap[[#This Row],[2025]]*8760), 0)</f>
        <v>0.12141129699662456</v>
      </c>
      <c r="W27" s="11">
        <f>IFERROR((NL_gen[[#This Row],[2026]]*1000)/(NL_cap[[#This Row],[2026]]*8760), 0)</f>
        <v>0.12505402812521815</v>
      </c>
      <c r="X27" s="11">
        <f>IFERROR((NL_gen[[#This Row],[2027]]*1000)/(NL_cap[[#This Row],[2027]]*8760), 0)</f>
        <v>8.4405463135757086E-2</v>
      </c>
      <c r="Y27" s="11">
        <f>IFERROR((NL_gen[[#This Row],[2028]]*1000)/(NL_cap[[#This Row],[2028]]*8760), 0)</f>
        <v>0.13262384893618523</v>
      </c>
      <c r="Z27" s="11">
        <f>IFERROR((NL_gen[[#This Row],[2029]]*1000)/(NL_cap[[#This Row],[2029]]*8760), 0)</f>
        <v>0.13844339382130044</v>
      </c>
      <c r="AA27" s="11">
        <f>IFERROR((NL_gen[[#This Row],[2030]]*1000)/(NL_cap[[#This Row],[2030]]*8760), 0)</f>
        <v>0.15218085360907876</v>
      </c>
      <c r="AB27" s="11">
        <f>IFERROR((NL_gen[[#This Row],[2031]]*1000)/(NL_cap[[#This Row],[2031]]*8760), 0)</f>
        <v>0.17258112847594012</v>
      </c>
      <c r="AC27" s="11">
        <f>IFERROR((NL_gen[[#This Row],[2032]]*1000)/(NL_cap[[#This Row],[2032]]*8760), 0)</f>
        <v>0.16135386833532187</v>
      </c>
      <c r="AD27" s="11">
        <f>IFERROR((NL_gen[[#This Row],[2033]]*1000)/(NL_cap[[#This Row],[2033]]*8760), 0)</f>
        <v>0.20000702071463813</v>
      </c>
      <c r="AE27" s="11">
        <f>IFERROR((NL_gen[[#This Row],[2034]]*1000)/(NL_cap[[#This Row],[2034]]*8760), 0)</f>
        <v>0.19334420563555507</v>
      </c>
      <c r="AF27" s="11">
        <f>IFERROR((NL_gen[[#This Row],[2035]]*1000)/(NL_cap[[#This Row],[2035]]*8760), 0)</f>
        <v>0.19505525969192006</v>
      </c>
      <c r="AG27" s="11">
        <f>IFERROR((NL_gen[[#This Row],[2036]]*1000)/(NL_cap[[#This Row],[2036]]*8760), 0)</f>
        <v>0.12098475916595477</v>
      </c>
      <c r="AH27" s="11">
        <f>IFERROR((NL_gen[[#This Row],[2037]]*1000)/(NL_cap[[#This Row],[2037]]*8760), 0)</f>
        <v>0.16302570052219995</v>
      </c>
      <c r="AI27" s="11">
        <f>IFERROR((NL_gen[[#This Row],[2038]]*1000)/(NL_cap[[#This Row],[2038]]*8760), 0)</f>
        <v>0.16306001965800099</v>
      </c>
      <c r="AJ27" s="11">
        <f>IFERROR((NL_gen[[#This Row],[2039]]*1000)/(NL_cap[[#This Row],[2039]]*8760), 0)</f>
        <v>0.16308453332643028</v>
      </c>
      <c r="AK27" s="11">
        <f>IFERROR((NL_gen[[#This Row],[2040]]*1000)/(NL_cap[[#This Row],[2040]]*8760), 0)</f>
        <v>0.16310904699485956</v>
      </c>
      <c r="AL27" s="11">
        <f>IFERROR((NL_gen[[#This Row],[2041]]*1000)/(NL_cap[[#This Row],[2041]]*8760), 0)</f>
        <v>0.20046787768110894</v>
      </c>
      <c r="AM27" s="11">
        <f>IFERROR((NL_gen[[#This Row],[2042]]*1000)/(NL_cap[[#This Row],[2042]]*8760), 0)</f>
        <v>0.13035388323963229</v>
      </c>
      <c r="AN27" s="11">
        <f>IFERROR((NL_gen[[#This Row],[2043]]*1000)/(NL_cap[[#This Row],[2043]]*8760), 0)</f>
        <v>0.13202081269282451</v>
      </c>
      <c r="AO27" s="11">
        <f>IFERROR((NL_gen[[#This Row],[2044]]*1000)/(NL_cap[[#This Row],[2044]]*8760), 0)</f>
        <v>0.14566512054057149</v>
      </c>
      <c r="AP27" s="11">
        <f>IFERROR((NL_gen[[#This Row],[2045]]*1000)/(NL_cap[[#This Row],[2045]]*8760), 0)</f>
        <v>0.14570924514374423</v>
      </c>
      <c r="AQ27" s="11">
        <f>IFERROR((NL_gen[[#This Row],[2046]]*1000)/(NL_cap[[#This Row],[2046]]*8760), 0)</f>
        <v>0.13403583623771276</v>
      </c>
      <c r="AR27" s="11">
        <f>IFERROR((NL_gen[[#This Row],[2047]]*1000)/(NL_cap[[#This Row],[2047]]*8760), 0)</f>
        <v>0.15178373218052413</v>
      </c>
      <c r="AS27" s="11">
        <f>IFERROR((NL_gen[[#This Row],[2048]]*1000)/(NL_cap[[#This Row],[2048]]*8760), 0)</f>
        <v>0.13846300475604389</v>
      </c>
      <c r="AT27" s="11">
        <f>IFERROR((NL_gen[[#This Row],[2049]]*1000)/(NL_cap[[#This Row],[2049]]*8760), 0)</f>
        <v>0.15332809329156988</v>
      </c>
      <c r="AU27" s="11">
        <f>IFERROR((NL_gen[[#This Row],[2050]]*1000)/(NL_cap[[#This Row],[2050]]*8760), 0)</f>
        <v>0.15336731516105676</v>
      </c>
    </row>
    <row r="29" spans="1:47" ht="18" x14ac:dyDescent="0.35">
      <c r="A29" s="4" t="s">
        <v>63</v>
      </c>
    </row>
    <row r="30" spans="1:47" x14ac:dyDescent="0.3">
      <c r="A30" s="2" t="s">
        <v>7</v>
      </c>
      <c r="B30" s="2" t="s">
        <v>8</v>
      </c>
      <c r="C30" s="2" t="s">
        <v>9</v>
      </c>
      <c r="D30" s="2" t="s">
        <v>10</v>
      </c>
      <c r="E30" s="2" t="s">
        <v>11</v>
      </c>
      <c r="F30" s="2" t="s">
        <v>12</v>
      </c>
      <c r="G30" s="2" t="s">
        <v>13</v>
      </c>
      <c r="H30" s="2" t="s">
        <v>14</v>
      </c>
      <c r="I30" s="2" t="s">
        <v>15</v>
      </c>
      <c r="J30" s="2" t="s">
        <v>16</v>
      </c>
      <c r="K30" s="2" t="s">
        <v>17</v>
      </c>
      <c r="L30" s="2" t="s">
        <v>18</v>
      </c>
      <c r="M30" s="2" t="s">
        <v>19</v>
      </c>
      <c r="N30" s="2" t="s">
        <v>20</v>
      </c>
      <c r="O30" s="2" t="s">
        <v>21</v>
      </c>
      <c r="P30" s="2" t="s">
        <v>22</v>
      </c>
      <c r="Q30" s="2" t="s">
        <v>23</v>
      </c>
      <c r="R30" s="2" t="s">
        <v>24</v>
      </c>
      <c r="S30" s="2" t="s">
        <v>25</v>
      </c>
      <c r="T30" s="2" t="s">
        <v>26</v>
      </c>
      <c r="U30" s="2" t="s">
        <v>27</v>
      </c>
      <c r="V30" s="2" t="s">
        <v>28</v>
      </c>
      <c r="W30" s="2" t="s">
        <v>29</v>
      </c>
      <c r="X30" s="2" t="s">
        <v>30</v>
      </c>
      <c r="Y30" s="2" t="s">
        <v>31</v>
      </c>
      <c r="Z30" s="2" t="s">
        <v>32</v>
      </c>
      <c r="AA30" s="2" t="s">
        <v>33</v>
      </c>
      <c r="AB30" s="2" t="s">
        <v>34</v>
      </c>
      <c r="AC30" s="2" t="s">
        <v>35</v>
      </c>
      <c r="AD30" s="2" t="s">
        <v>36</v>
      </c>
      <c r="AE30" s="2" t="s">
        <v>37</v>
      </c>
      <c r="AF30" s="2" t="s">
        <v>38</v>
      </c>
      <c r="AG30" s="2" t="s">
        <v>39</v>
      </c>
      <c r="AH30" s="2" t="s">
        <v>40</v>
      </c>
      <c r="AI30" s="2" t="s">
        <v>41</v>
      </c>
      <c r="AJ30" s="2" t="s">
        <v>42</v>
      </c>
      <c r="AK30" s="2" t="s">
        <v>43</v>
      </c>
      <c r="AL30" s="2" t="s">
        <v>44</v>
      </c>
      <c r="AM30" s="2" t="s">
        <v>45</v>
      </c>
      <c r="AN30" s="2" t="s">
        <v>46</v>
      </c>
      <c r="AO30" s="2" t="s">
        <v>47</v>
      </c>
      <c r="AP30" s="2" t="s">
        <v>48</v>
      </c>
      <c r="AQ30" s="2" t="s">
        <v>49</v>
      </c>
      <c r="AR30" s="2" t="s">
        <v>50</v>
      </c>
      <c r="AS30" s="2" t="s">
        <v>51</v>
      </c>
      <c r="AT30" s="2" t="s">
        <v>52</v>
      </c>
      <c r="AU30" s="2" t="s">
        <v>53</v>
      </c>
    </row>
    <row r="31" spans="1:47" x14ac:dyDescent="0.3">
      <c r="A31" s="2" t="s">
        <v>54</v>
      </c>
      <c r="B31" s="11">
        <f>IFERROR((PE_gen[[#This Row],[2005]]*1000)/(PE_cap[[#This Row],[2005]]*8760), 0)</f>
        <v>0</v>
      </c>
      <c r="C31" s="11">
        <f>IFERROR((PE_gen[[#This Row],[2006]]*1000)/(PE_cap[[#This Row],[2006]]*8760), 0)</f>
        <v>0</v>
      </c>
      <c r="D31" s="11">
        <f>IFERROR((PE_gen[[#This Row],[2007]]*1000)/(PE_cap[[#This Row],[2007]]*8760), 0)</f>
        <v>0</v>
      </c>
      <c r="E31" s="11">
        <f>IFERROR((PE_gen[[#This Row],[2008]]*1000)/(PE_cap[[#This Row],[2008]]*8760), 0)</f>
        <v>0</v>
      </c>
      <c r="F31" s="11">
        <f>IFERROR((PE_gen[[#This Row],[2009]]*1000)/(PE_cap[[#This Row],[2009]]*8760), 0)</f>
        <v>0</v>
      </c>
      <c r="G31" s="11">
        <f>IFERROR((PE_gen[[#This Row],[2010]]*1000)/(PE_cap[[#This Row],[2010]]*8760), 0)</f>
        <v>0</v>
      </c>
      <c r="H31" s="11">
        <f>IFERROR((PE_gen[[#This Row],[2011]]*1000)/(PE_cap[[#This Row],[2011]]*8760), 0)</f>
        <v>0</v>
      </c>
      <c r="I31" s="11">
        <f>IFERROR((PE_gen[[#This Row],[2012]]*1000)/(PE_cap[[#This Row],[2012]]*8760), 0)</f>
        <v>0</v>
      </c>
      <c r="J31" s="11">
        <f>IFERROR((PE_gen[[#This Row],[2013]]*1000)/(PE_cap[[#This Row],[2013]]*8760), 0)</f>
        <v>0</v>
      </c>
      <c r="K31" s="11">
        <f>IFERROR((PE_gen[[#This Row],[2014]]*1000)/(PE_cap[[#This Row],[2014]]*8760), 0)</f>
        <v>0</v>
      </c>
      <c r="L31" s="11">
        <f>IFERROR((PE_gen[[#This Row],[2015]]*1000)/(PE_cap[[#This Row],[2015]]*8760), 0)</f>
        <v>0</v>
      </c>
      <c r="M31" s="11">
        <f>IFERROR((PE_gen[[#This Row],[2016]]*1000)/(PE_cap[[#This Row],[2016]]*8760), 0)</f>
        <v>0</v>
      </c>
      <c r="N31" s="11">
        <f>IFERROR((PE_gen[[#This Row],[2017]]*1000)/(PE_cap[[#This Row],[2017]]*8760), 0)</f>
        <v>0</v>
      </c>
      <c r="O31" s="11">
        <f>IFERROR((PE_gen[[#This Row],[2018]]*1000)/(PE_cap[[#This Row],[2018]]*8760), 0)</f>
        <v>0</v>
      </c>
      <c r="P31" s="11">
        <f>IFERROR((PE_gen[[#This Row],[2019]]*1000)/(PE_cap[[#This Row],[2019]]*8760), 0)</f>
        <v>0</v>
      </c>
      <c r="Q31" s="11">
        <f>IFERROR((PE_gen[[#This Row],[2020]]*1000)/(PE_cap[[#This Row],[2020]]*8760), 0)</f>
        <v>0</v>
      </c>
      <c r="R31" s="11">
        <f>IFERROR((PE_gen[[#This Row],[2021]]*1000)/(PE_cap[[#This Row],[2021]]*8760), 0)</f>
        <v>0</v>
      </c>
      <c r="S31" s="11">
        <f>IFERROR((PE_gen[[#This Row],[2022]]*1000)/(PE_cap[[#This Row],[2022]]*8760), 0)</f>
        <v>0</v>
      </c>
      <c r="T31" s="11">
        <f>IFERROR((PE_gen[[#This Row],[2023]]*1000)/(PE_cap[[#This Row],[2023]]*8760), 0)</f>
        <v>0</v>
      </c>
      <c r="U31" s="11">
        <f>IFERROR((PE_gen[[#This Row],[2024]]*1000)/(PE_cap[[#This Row],[2024]]*8760), 0)</f>
        <v>0</v>
      </c>
      <c r="V31" s="11">
        <f>IFERROR((PE_gen[[#This Row],[2025]]*1000)/(PE_cap[[#This Row],[2025]]*8760), 0)</f>
        <v>0</v>
      </c>
      <c r="W31" s="11">
        <f>IFERROR((PE_gen[[#This Row],[2026]]*1000)/(PE_cap[[#This Row],[2026]]*8760), 0)</f>
        <v>0</v>
      </c>
      <c r="X31" s="11">
        <f>IFERROR((PE_gen[[#This Row],[2027]]*1000)/(PE_cap[[#This Row],[2027]]*8760), 0)</f>
        <v>0</v>
      </c>
      <c r="Y31" s="11">
        <f>IFERROR((PE_gen[[#This Row],[2028]]*1000)/(PE_cap[[#This Row],[2028]]*8760), 0)</f>
        <v>0</v>
      </c>
      <c r="Z31" s="11">
        <f>IFERROR((PE_gen[[#This Row],[2029]]*1000)/(PE_cap[[#This Row],[2029]]*8760), 0)</f>
        <v>0</v>
      </c>
      <c r="AA31" s="11">
        <f>IFERROR((PE_gen[[#This Row],[2030]]*1000)/(PE_cap[[#This Row],[2030]]*8760), 0)</f>
        <v>0</v>
      </c>
      <c r="AB31" s="11">
        <f>IFERROR((PE_gen[[#This Row],[2031]]*1000)/(PE_cap[[#This Row],[2031]]*8760), 0)</f>
        <v>0</v>
      </c>
      <c r="AC31" s="11">
        <f>IFERROR((PE_gen[[#This Row],[2032]]*1000)/(PE_cap[[#This Row],[2032]]*8760), 0)</f>
        <v>0</v>
      </c>
      <c r="AD31" s="11">
        <f>IFERROR((PE_gen[[#This Row],[2033]]*1000)/(PE_cap[[#This Row],[2033]]*8760), 0)</f>
        <v>0</v>
      </c>
      <c r="AE31" s="11">
        <f>IFERROR((PE_gen[[#This Row],[2034]]*1000)/(PE_cap[[#This Row],[2034]]*8760), 0)</f>
        <v>0</v>
      </c>
      <c r="AF31" s="11">
        <f>IFERROR((PE_gen[[#This Row],[2035]]*1000)/(PE_cap[[#This Row],[2035]]*8760), 0)</f>
        <v>0</v>
      </c>
      <c r="AG31" s="11">
        <f>IFERROR((PE_gen[[#This Row],[2036]]*1000)/(PE_cap[[#This Row],[2036]]*8760), 0)</f>
        <v>0</v>
      </c>
      <c r="AH31" s="11">
        <f>IFERROR((PE_gen[[#This Row],[2037]]*1000)/(PE_cap[[#This Row],[2037]]*8760), 0)</f>
        <v>0</v>
      </c>
      <c r="AI31" s="11">
        <f>IFERROR((PE_gen[[#This Row],[2038]]*1000)/(PE_cap[[#This Row],[2038]]*8760), 0)</f>
        <v>0</v>
      </c>
      <c r="AJ31" s="11">
        <f>IFERROR((PE_gen[[#This Row],[2039]]*1000)/(PE_cap[[#This Row],[2039]]*8760), 0)</f>
        <v>0</v>
      </c>
      <c r="AK31" s="11">
        <f>IFERROR((PE_gen[[#This Row],[2040]]*1000)/(PE_cap[[#This Row],[2040]]*8760), 0)</f>
        <v>0</v>
      </c>
      <c r="AL31" s="11">
        <f>IFERROR((PE_gen[[#This Row],[2041]]*1000)/(PE_cap[[#This Row],[2041]]*8760), 0)</f>
        <v>0</v>
      </c>
      <c r="AM31" s="11">
        <f>IFERROR((PE_gen[[#This Row],[2042]]*1000)/(PE_cap[[#This Row],[2042]]*8760), 0)</f>
        <v>0</v>
      </c>
      <c r="AN31" s="11">
        <f>IFERROR((PE_gen[[#This Row],[2043]]*1000)/(PE_cap[[#This Row],[2043]]*8760), 0)</f>
        <v>0</v>
      </c>
      <c r="AO31" s="11">
        <f>IFERROR((PE_gen[[#This Row],[2044]]*1000)/(PE_cap[[#This Row],[2044]]*8760), 0)</f>
        <v>0</v>
      </c>
      <c r="AP31" s="11">
        <f>IFERROR((PE_gen[[#This Row],[2045]]*1000)/(PE_cap[[#This Row],[2045]]*8760), 0)</f>
        <v>0</v>
      </c>
      <c r="AQ31" s="11">
        <f>IFERROR((PE_gen[[#This Row],[2046]]*1000)/(PE_cap[[#This Row],[2046]]*8760), 0)</f>
        <v>0</v>
      </c>
      <c r="AR31" s="11">
        <f>IFERROR((PE_gen[[#This Row],[2047]]*1000)/(PE_cap[[#This Row],[2047]]*8760), 0)</f>
        <v>0</v>
      </c>
      <c r="AS31" s="11">
        <f>IFERROR((PE_gen[[#This Row],[2048]]*1000)/(PE_cap[[#This Row],[2048]]*8760), 0)</f>
        <v>0</v>
      </c>
      <c r="AT31" s="11">
        <f>IFERROR((PE_gen[[#This Row],[2049]]*1000)/(PE_cap[[#This Row],[2049]]*8760), 0)</f>
        <v>0</v>
      </c>
      <c r="AU31" s="11">
        <f>IFERROR((PE_gen[[#This Row],[2050]]*1000)/(PE_cap[[#This Row],[2050]]*8760), 0)</f>
        <v>0</v>
      </c>
    </row>
    <row r="32" spans="1:47" x14ac:dyDescent="0.3">
      <c r="A32" s="2" t="s">
        <v>55</v>
      </c>
      <c r="B32" s="11">
        <f>IFERROR((PE_gen[[#This Row],[2005]]*1000)/(PE_cap[[#This Row],[2005]]*8760), 0)</f>
        <v>0.35124692658939233</v>
      </c>
      <c r="C32" s="11">
        <f>IFERROR((PE_gen[[#This Row],[2006]]*1000)/(PE_cap[[#This Row],[2006]]*8760), 0)</f>
        <v>0.31612223393045313</v>
      </c>
      <c r="D32" s="11">
        <f>IFERROR((PE_gen[[#This Row],[2007]]*1000)/(PE_cap[[#This Row],[2007]]*8760), 0)</f>
        <v>6.3419583967529169E-2</v>
      </c>
      <c r="E32" s="11">
        <f>IFERROR((PE_gen[[#This Row],[2008]]*1000)/(PE_cap[[#This Row],[2008]]*8760), 0)</f>
        <v>0.22513952308472857</v>
      </c>
      <c r="F32" s="11">
        <f>IFERROR((PE_gen[[#This Row],[2009]]*1000)/(PE_cap[[#This Row],[2009]]*8760), 0)</f>
        <v>0.26233027911336904</v>
      </c>
      <c r="G32" s="11">
        <f>IFERROR((PE_gen[[#This Row],[2010]]*1000)/(PE_cap[[#This Row],[2010]]*8760), 0)</f>
        <v>0.32075524553884077</v>
      </c>
      <c r="H32" s="11">
        <f>IFERROR((PE_gen[[#This Row],[2011]]*1000)/(PE_cap[[#This Row],[2011]]*8760), 0)</f>
        <v>0.34176541446059894</v>
      </c>
      <c r="I32" s="11">
        <f>IFERROR((PE_gen[[#This Row],[2012]]*1000)/(PE_cap[[#This Row],[2012]]*8760), 0)</f>
        <v>0.32775863517942683</v>
      </c>
      <c r="J32" s="11">
        <f>IFERROR((PE_gen[[#This Row],[2013]]*1000)/(PE_cap[[#This Row],[2013]]*8760), 0)</f>
        <v>0.32926861456436246</v>
      </c>
      <c r="K32" s="11">
        <f>IFERROR((PE_gen[[#This Row],[2014]]*1000)/(PE_cap[[#This Row],[2014]]*8760), 0)</f>
        <v>0.3437817613450006</v>
      </c>
      <c r="L32" s="11">
        <f>IFERROR((PE_gen[[#This Row],[2015]]*1000)/(PE_cap[[#This Row],[2015]]*8760), 0)</f>
        <v>0.34030933781867778</v>
      </c>
      <c r="M32" s="11">
        <f>IFERROR((PE_gen[[#This Row],[2016]]*1000)/(PE_cap[[#This Row],[2016]]*8760), 0)</f>
        <v>0.33357053904999112</v>
      </c>
      <c r="N32" s="11">
        <f>IFERROR((PE_gen[[#This Row],[2017]]*1000)/(PE_cap[[#This Row],[2017]]*8760), 0)</f>
        <v>0.33918620469056332</v>
      </c>
      <c r="O32" s="11">
        <f>IFERROR((PE_gen[[#This Row],[2018]]*1000)/(PE_cap[[#This Row],[2018]]*8760), 0)</f>
        <v>0.35940260099662341</v>
      </c>
      <c r="P32" s="11">
        <f>IFERROR((PE_gen[[#This Row],[2019]]*1000)/(PE_cap[[#This Row],[2019]]*8760), 0)</f>
        <v>0.36221043381690954</v>
      </c>
      <c r="Q32" s="11">
        <f>IFERROR((PE_gen[[#This Row],[2020]]*1000)/(PE_cap[[#This Row],[2020]]*8760), 0)</f>
        <v>0.38033218683903613</v>
      </c>
      <c r="R32" s="11">
        <f>IFERROR((PE_gen[[#This Row],[2021]]*1000)/(PE_cap[[#This Row],[2021]]*8760), 0)</f>
        <v>0.46002197762619712</v>
      </c>
      <c r="S32" s="11">
        <f>IFERROR((PE_gen[[#This Row],[2022]]*1000)/(PE_cap[[#This Row],[2022]]*8760), 0)</f>
        <v>0.46000240368052814</v>
      </c>
      <c r="T32" s="11">
        <f>IFERROR((PE_gen[[#This Row],[2023]]*1000)/(PE_cap[[#This Row],[2023]]*8760), 0)</f>
        <v>0.45947379421605633</v>
      </c>
      <c r="U32" s="11">
        <f>IFERROR((PE_gen[[#This Row],[2024]]*1000)/(PE_cap[[#This Row],[2024]]*8760), 0)</f>
        <v>0.45892314187240751</v>
      </c>
      <c r="V32" s="11">
        <f>IFERROR((PE_gen[[#This Row],[2025]]*1000)/(PE_cap[[#This Row],[2025]]*8760), 0)</f>
        <v>0.51857178100466095</v>
      </c>
      <c r="W32" s="11">
        <f>IFERROR((PE_gen[[#This Row],[2026]]*1000)/(PE_cap[[#This Row],[2026]]*8760), 0)</f>
        <v>0.51752840067273154</v>
      </c>
      <c r="X32" s="11">
        <f>IFERROR((PE_gen[[#This Row],[2027]]*1000)/(PE_cap[[#This Row],[2027]]*8760), 0)</f>
        <v>0.51647596337526303</v>
      </c>
      <c r="Y32" s="11">
        <f>IFERROR((PE_gen[[#This Row],[2028]]*1000)/(PE_cap[[#This Row],[2028]]*8760), 0)</f>
        <v>0.51539257863667076</v>
      </c>
      <c r="Z32" s="11">
        <f>IFERROR((PE_gen[[#This Row],[2029]]*1000)/(PE_cap[[#This Row],[2029]]*8760), 0)</f>
        <v>0.5143287250353954</v>
      </c>
      <c r="AA32" s="11">
        <f>IFERROR((PE_gen[[#This Row],[2030]]*1000)/(PE_cap[[#This Row],[2030]]*8760), 0)</f>
        <v>0.56140819136241826</v>
      </c>
      <c r="AB32" s="11">
        <f>IFERROR((PE_gen[[#This Row],[2031]]*1000)/(PE_cap[[#This Row],[2031]]*8760), 0)</f>
        <v>0.56149233830595013</v>
      </c>
      <c r="AC32" s="11">
        <f>IFERROR((PE_gen[[#This Row],[2032]]*1000)/(PE_cap[[#This Row],[2032]]*8760), 0)</f>
        <v>0.56158755482352229</v>
      </c>
      <c r="AD32" s="11">
        <f>IFERROR((PE_gen[[#This Row],[2033]]*1000)/(PE_cap[[#This Row],[2033]]*8760), 0)</f>
        <v>0.56170389111227048</v>
      </c>
      <c r="AE32" s="11">
        <f>IFERROR((PE_gen[[#This Row],[2034]]*1000)/(PE_cap[[#This Row],[2034]]*8760), 0)</f>
        <v>0.56184834540998929</v>
      </c>
      <c r="AF32" s="11">
        <f>IFERROR((PE_gen[[#This Row],[2035]]*1000)/(PE_cap[[#This Row],[2035]]*8760), 0)</f>
        <v>0.56197089198334527</v>
      </c>
      <c r="AG32" s="11">
        <f>IFERROR((PE_gen[[#This Row],[2036]]*1000)/(PE_cap[[#This Row],[2036]]*8760), 0)</f>
        <v>0.56212744865454622</v>
      </c>
      <c r="AH32" s="11">
        <f>IFERROR((PE_gen[[#This Row],[2037]]*1000)/(PE_cap[[#This Row],[2037]]*8760), 0)</f>
        <v>0.5623170078769113</v>
      </c>
      <c r="AI32" s="11">
        <f>IFERROR((PE_gen[[#This Row],[2038]]*1000)/(PE_cap[[#This Row],[2038]]*8760), 0)</f>
        <v>0.56249147904943775</v>
      </c>
      <c r="AJ32" s="11">
        <f>IFERROR((PE_gen[[#This Row],[2039]]*1000)/(PE_cap[[#This Row],[2039]]*8760), 0)</f>
        <v>0.56272762379341212</v>
      </c>
      <c r="AK32" s="11">
        <f>IFERROR((PE_gen[[#This Row],[2040]]*1000)/(PE_cap[[#This Row],[2040]]*8760), 0)</f>
        <v>0.56295429708932454</v>
      </c>
      <c r="AL32" s="11">
        <f>IFERROR((PE_gen[[#This Row],[2041]]*1000)/(PE_cap[[#This Row],[2041]]*8760), 0)</f>
        <v>0.5631912220985017</v>
      </c>
      <c r="AM32" s="11">
        <f>IFERROR((PE_gen[[#This Row],[2042]]*1000)/(PE_cap[[#This Row],[2042]]*8760), 0)</f>
        <v>0.56346087537077238</v>
      </c>
      <c r="AN32" s="11">
        <f>IFERROR((PE_gen[[#This Row],[2043]]*1000)/(PE_cap[[#This Row],[2043]]*8760), 0)</f>
        <v>0.56376217781225024</v>
      </c>
      <c r="AO32" s="11">
        <f>IFERROR((PE_gen[[#This Row],[2044]]*1000)/(PE_cap[[#This Row],[2044]]*8760), 0)</f>
        <v>0.56406539031329384</v>
      </c>
      <c r="AP32" s="11">
        <f>IFERROR((PE_gen[[#This Row],[2045]]*1000)/(PE_cap[[#This Row],[2045]]*8760), 0)</f>
        <v>0.56439496542229606</v>
      </c>
      <c r="AQ32" s="11">
        <f>IFERROR((PE_gen[[#This Row],[2046]]*1000)/(PE_cap[[#This Row],[2046]]*8760), 0)</f>
        <v>0.56477801217454815</v>
      </c>
      <c r="AR32" s="11">
        <f>IFERROR((PE_gen[[#This Row],[2047]]*1000)/(PE_cap[[#This Row],[2047]]*8760), 0)</f>
        <v>0.56514833614667048</v>
      </c>
      <c r="AS32" s="11">
        <f>IFERROR((PE_gen[[#This Row],[2048]]*1000)/(PE_cap[[#This Row],[2048]]*8760), 0)</f>
        <v>0.56557365124945114</v>
      </c>
      <c r="AT32" s="11">
        <f>IFERROR((PE_gen[[#This Row],[2049]]*1000)/(PE_cap[[#This Row],[2049]]*8760), 0)</f>
        <v>0.56603059562154112</v>
      </c>
      <c r="AU32" s="11">
        <f>IFERROR((PE_gen[[#This Row],[2050]]*1000)/(PE_cap[[#This Row],[2050]]*8760), 0)</f>
        <v>0.56646617386151321</v>
      </c>
    </row>
    <row r="33" spans="1:47" x14ac:dyDescent="0.3">
      <c r="A33" s="2" t="s">
        <v>56</v>
      </c>
      <c r="B33" s="11">
        <f>IFERROR((PE_gen[[#This Row],[2005]]*1000)/(PE_cap[[#This Row],[2005]]*8760), 0)</f>
        <v>0</v>
      </c>
      <c r="C33" s="11">
        <f>IFERROR((PE_gen[[#This Row],[2006]]*1000)/(PE_cap[[#This Row],[2006]]*8760), 0)</f>
        <v>0</v>
      </c>
      <c r="D33" s="11">
        <f>IFERROR((PE_gen[[#This Row],[2007]]*1000)/(PE_cap[[#This Row],[2007]]*8760), 0)</f>
        <v>0</v>
      </c>
      <c r="E33" s="11">
        <f>IFERROR((PE_gen[[#This Row],[2008]]*1000)/(PE_cap[[#This Row],[2008]]*8760), 0)</f>
        <v>0.27179821700369644</v>
      </c>
      <c r="F33" s="11">
        <f>IFERROR((PE_gen[[#This Row],[2009]]*1000)/(PE_cap[[#This Row],[2009]]*8760), 0)</f>
        <v>0.27179821700369644</v>
      </c>
      <c r="G33" s="11">
        <f>IFERROR((PE_gen[[#This Row],[2010]]*1000)/(PE_cap[[#This Row],[2010]]*8760), 0)</f>
        <v>0.27179821700369644</v>
      </c>
      <c r="H33" s="11">
        <f>IFERROR((PE_gen[[#This Row],[2011]]*1000)/(PE_cap[[#This Row],[2011]]*8760), 0)</f>
        <v>0.27179821700369644</v>
      </c>
      <c r="I33" s="11">
        <f>IFERROR((PE_gen[[#This Row],[2012]]*1000)/(PE_cap[[#This Row],[2012]]*8760), 0)</f>
        <v>0.27179821700369644</v>
      </c>
      <c r="J33" s="11">
        <f>IFERROR((PE_gen[[#This Row],[2013]]*1000)/(PE_cap[[#This Row],[2013]]*8760), 0)</f>
        <v>0.27179821700369644</v>
      </c>
      <c r="K33" s="11">
        <f>IFERROR((PE_gen[[#This Row],[2014]]*1000)/(PE_cap[[#This Row],[2014]]*8760), 0)</f>
        <v>0.13589910850184822</v>
      </c>
      <c r="L33" s="11">
        <f>IFERROR((PE_gen[[#This Row],[2015]]*1000)/(PE_cap[[#This Row],[2015]]*8760), 0)</f>
        <v>0.16307893020221786</v>
      </c>
      <c r="M33" s="11">
        <f>IFERROR((PE_gen[[#This Row],[2016]]*1000)/(PE_cap[[#This Row],[2016]]*8760), 0)</f>
        <v>0.16307893020221786</v>
      </c>
      <c r="N33" s="11">
        <f>IFERROR((PE_gen[[#This Row],[2017]]*1000)/(PE_cap[[#This Row],[2017]]*8760), 0)</f>
        <v>0.10871928680147858</v>
      </c>
      <c r="O33" s="11">
        <f>IFERROR((PE_gen[[#This Row],[2018]]*1000)/(PE_cap[[#This Row],[2018]]*8760), 0)</f>
        <v>0.10871928680147858</v>
      </c>
      <c r="P33" s="11">
        <f>IFERROR((PE_gen[[#This Row],[2019]]*1000)/(PE_cap[[#This Row],[2019]]*8760), 0)</f>
        <v>0.16307893020221786</v>
      </c>
      <c r="Q33" s="11">
        <f>IFERROR((PE_gen[[#This Row],[2020]]*1000)/(PE_cap[[#This Row],[2020]]*8760), 0)</f>
        <v>0.16307893020221786</v>
      </c>
      <c r="R33" s="11">
        <f>IFERROR((PE_gen[[#This Row],[2021]]*1000)/(PE_cap[[#This Row],[2021]]*8760), 0)</f>
        <v>0.16307893020221786</v>
      </c>
      <c r="S33" s="11">
        <f>IFERROR((PE_gen[[#This Row],[2022]]*1000)/(PE_cap[[#This Row],[2022]]*8760), 0)</f>
        <v>0.16307893020221786</v>
      </c>
      <c r="T33" s="11">
        <f>IFERROR((PE_gen[[#This Row],[2023]]*1000)/(PE_cap[[#This Row],[2023]]*8760), 0)</f>
        <v>0.16307893020221786</v>
      </c>
      <c r="U33" s="11">
        <f>IFERROR((PE_gen[[#This Row],[2024]]*1000)/(PE_cap[[#This Row],[2024]]*8760), 0)</f>
        <v>0.1840036696482559</v>
      </c>
      <c r="V33" s="11">
        <f>IFERROR((PE_gen[[#This Row],[2025]]*1000)/(PE_cap[[#This Row],[2025]]*8760), 0)</f>
        <v>0.1840036696482559</v>
      </c>
      <c r="W33" s="11">
        <f>IFERROR((PE_gen[[#This Row],[2026]]*1000)/(PE_cap[[#This Row],[2026]]*8760), 0)</f>
        <v>0.1840036696482559</v>
      </c>
      <c r="X33" s="11">
        <f>IFERROR((PE_gen[[#This Row],[2027]]*1000)/(PE_cap[[#This Row],[2027]]*8760), 0)</f>
        <v>0.1840036696482559</v>
      </c>
      <c r="Y33" s="11">
        <f>IFERROR((PE_gen[[#This Row],[2028]]*1000)/(PE_cap[[#This Row],[2028]]*8760), 0)</f>
        <v>0.1840036696482559</v>
      </c>
      <c r="Z33" s="11">
        <f>IFERROR((PE_gen[[#This Row],[2029]]*1000)/(PE_cap[[#This Row],[2029]]*8760), 0)</f>
        <v>0.1840036696482559</v>
      </c>
      <c r="AA33" s="11">
        <f>IFERROR((PE_gen[[#This Row],[2030]]*1000)/(PE_cap[[#This Row],[2030]]*8760), 0)</f>
        <v>0.1840036696482559</v>
      </c>
      <c r="AB33" s="11">
        <f>IFERROR((PE_gen[[#This Row],[2031]]*1000)/(PE_cap[[#This Row],[2031]]*8760), 0)</f>
        <v>0.1840036696482559</v>
      </c>
      <c r="AC33" s="11">
        <f>IFERROR((PE_gen[[#This Row],[2032]]*1000)/(PE_cap[[#This Row],[2032]]*8760), 0)</f>
        <v>0.1840036696482559</v>
      </c>
      <c r="AD33" s="11">
        <f>IFERROR((PE_gen[[#This Row],[2033]]*1000)/(PE_cap[[#This Row],[2033]]*8760), 0)</f>
        <v>0.1840036696482559</v>
      </c>
      <c r="AE33" s="11">
        <f>IFERROR((PE_gen[[#This Row],[2034]]*1000)/(PE_cap[[#This Row],[2034]]*8760), 0)</f>
        <v>0.1840036696482559</v>
      </c>
      <c r="AF33" s="11">
        <f>IFERROR((PE_gen[[#This Row],[2035]]*1000)/(PE_cap[[#This Row],[2035]]*8760), 0)</f>
        <v>0.1840036696482559</v>
      </c>
      <c r="AG33" s="11">
        <f>IFERROR((PE_gen[[#This Row],[2036]]*1000)/(PE_cap[[#This Row],[2036]]*8760), 0)</f>
        <v>0.21116271777686324</v>
      </c>
      <c r="AH33" s="11">
        <f>IFERROR((PE_gen[[#This Row],[2037]]*1000)/(PE_cap[[#This Row],[2037]]*8760), 0)</f>
        <v>0.21116271777686324</v>
      </c>
      <c r="AI33" s="11">
        <f>IFERROR((PE_gen[[#This Row],[2038]]*1000)/(PE_cap[[#This Row],[2038]]*8760), 0)</f>
        <v>0.21116271777686324</v>
      </c>
      <c r="AJ33" s="11">
        <f>IFERROR((PE_gen[[#This Row],[2039]]*1000)/(PE_cap[[#This Row],[2039]]*8760), 0)</f>
        <v>0.21116271777686324</v>
      </c>
      <c r="AK33" s="11">
        <f>IFERROR((PE_gen[[#This Row],[2040]]*1000)/(PE_cap[[#This Row],[2040]]*8760), 0)</f>
        <v>0.23889748121961998</v>
      </c>
      <c r="AL33" s="11">
        <f>IFERROR((PE_gen[[#This Row],[2041]]*1000)/(PE_cap[[#This Row],[2041]]*8760), 0)</f>
        <v>0.23889748121961998</v>
      </c>
      <c r="AM33" s="11">
        <f>IFERROR((PE_gen[[#This Row],[2042]]*1000)/(PE_cap[[#This Row],[2042]]*8760), 0)</f>
        <v>0.23889748121961998</v>
      </c>
      <c r="AN33" s="11">
        <f>IFERROR((PE_gen[[#This Row],[2043]]*1000)/(PE_cap[[#This Row],[2043]]*8760), 0)</f>
        <v>0.23889748121961998</v>
      </c>
      <c r="AO33" s="11">
        <f>IFERROR((PE_gen[[#This Row],[2044]]*1000)/(PE_cap[[#This Row],[2044]]*8760), 0)</f>
        <v>0.23889748121961998</v>
      </c>
      <c r="AP33" s="11">
        <f>IFERROR((PE_gen[[#This Row],[2045]]*1000)/(PE_cap[[#This Row],[2045]]*8760), 0)</f>
        <v>0.23889748121961998</v>
      </c>
      <c r="AQ33" s="11">
        <f>IFERROR((PE_gen[[#This Row],[2046]]*1000)/(PE_cap[[#This Row],[2046]]*8760), 0)</f>
        <v>0.2639303738799052</v>
      </c>
      <c r="AR33" s="11">
        <f>IFERROR((PE_gen[[#This Row],[2047]]*1000)/(PE_cap[[#This Row],[2047]]*8760), 0)</f>
        <v>0.28940767895041486</v>
      </c>
      <c r="AS33" s="11">
        <f>IFERROR((PE_gen[[#This Row],[2048]]*1000)/(PE_cap[[#This Row],[2048]]*8760), 0)</f>
        <v>0.3122259517977562</v>
      </c>
      <c r="AT33" s="11">
        <f>IFERROR((PE_gen[[#This Row],[2049]]*1000)/(PE_cap[[#This Row],[2049]]*8760), 0)</f>
        <v>0.33212043378995432</v>
      </c>
      <c r="AU33" s="11">
        <f>IFERROR((PE_gen[[#This Row],[2050]]*1000)/(PE_cap[[#This Row],[2050]]*8760), 0)</f>
        <v>0.34783776524308352</v>
      </c>
    </row>
    <row r="34" spans="1:47" x14ac:dyDescent="0.3">
      <c r="A34" s="2" t="s">
        <v>57</v>
      </c>
      <c r="B34" s="11">
        <f>IFERROR((PE_gen[[#This Row],[2005]]*1000)/(PE_cap[[#This Row],[2005]]*8760), 0)</f>
        <v>0</v>
      </c>
      <c r="C34" s="11">
        <f>IFERROR((PE_gen[[#This Row],[2006]]*1000)/(PE_cap[[#This Row],[2006]]*8760), 0)</f>
        <v>0</v>
      </c>
      <c r="D34" s="11">
        <f>IFERROR((PE_gen[[#This Row],[2007]]*1000)/(PE_cap[[#This Row],[2007]]*8760), 0)</f>
        <v>0</v>
      </c>
      <c r="E34" s="11">
        <f>IFERROR((PE_gen[[#This Row],[2008]]*1000)/(PE_cap[[#This Row],[2008]]*8760), 0)</f>
        <v>0</v>
      </c>
      <c r="F34" s="11">
        <f>IFERROR((PE_gen[[#This Row],[2009]]*1000)/(PE_cap[[#This Row],[2009]]*8760), 0)</f>
        <v>0</v>
      </c>
      <c r="G34" s="11">
        <f>IFERROR((PE_gen[[#This Row],[2010]]*1000)/(PE_cap[[#This Row],[2010]]*8760), 0)</f>
        <v>0</v>
      </c>
      <c r="H34" s="11">
        <f>IFERROR((PE_gen[[#This Row],[2011]]*1000)/(PE_cap[[#This Row],[2011]]*8760), 0)</f>
        <v>0</v>
      </c>
      <c r="I34" s="11">
        <f>IFERROR((PE_gen[[#This Row],[2012]]*1000)/(PE_cap[[#This Row],[2012]]*8760), 0)</f>
        <v>0</v>
      </c>
      <c r="J34" s="11">
        <f>IFERROR((PE_gen[[#This Row],[2013]]*1000)/(PE_cap[[#This Row],[2013]]*8760), 0)</f>
        <v>0</v>
      </c>
      <c r="K34" s="11">
        <f>IFERROR((PE_gen[[#This Row],[2014]]*1000)/(PE_cap[[#This Row],[2014]]*8760), 0)</f>
        <v>0</v>
      </c>
      <c r="L34" s="11">
        <f>IFERROR((PE_gen[[#This Row],[2015]]*1000)/(PE_cap[[#This Row],[2015]]*8760), 0)</f>
        <v>0</v>
      </c>
      <c r="M34" s="11">
        <f>IFERROR((PE_gen[[#This Row],[2016]]*1000)/(PE_cap[[#This Row],[2016]]*8760), 0)</f>
        <v>0</v>
      </c>
      <c r="N34" s="11">
        <f>IFERROR((PE_gen[[#This Row],[2017]]*1000)/(PE_cap[[#This Row],[2017]]*8760), 0)</f>
        <v>0</v>
      </c>
      <c r="O34" s="11">
        <f>IFERROR((PE_gen[[#This Row],[2018]]*1000)/(PE_cap[[#This Row],[2018]]*8760), 0)</f>
        <v>0</v>
      </c>
      <c r="P34" s="11">
        <f>IFERROR((PE_gen[[#This Row],[2019]]*1000)/(PE_cap[[#This Row],[2019]]*8760), 0)</f>
        <v>0</v>
      </c>
      <c r="Q34" s="11">
        <f>IFERROR((PE_gen[[#This Row],[2020]]*1000)/(PE_cap[[#This Row],[2020]]*8760), 0)</f>
        <v>0</v>
      </c>
      <c r="R34" s="11">
        <f>IFERROR((PE_gen[[#This Row],[2021]]*1000)/(PE_cap[[#This Row],[2021]]*8760), 0)</f>
        <v>0</v>
      </c>
      <c r="S34" s="11">
        <f>IFERROR((PE_gen[[#This Row],[2022]]*1000)/(PE_cap[[#This Row],[2022]]*8760), 0)</f>
        <v>0.20672891251505032</v>
      </c>
      <c r="T34" s="11">
        <f>IFERROR((PE_gen[[#This Row],[2023]]*1000)/(PE_cap[[#This Row],[2023]]*8760), 0)</f>
        <v>0.20672891251505032</v>
      </c>
      <c r="U34" s="11">
        <f>IFERROR((PE_gen[[#This Row],[2024]]*1000)/(PE_cap[[#This Row],[2024]]*8760), 0)</f>
        <v>0.20705400724295386</v>
      </c>
      <c r="V34" s="11">
        <f>IFERROR((PE_gen[[#This Row],[2025]]*1000)/(PE_cap[[#This Row],[2025]]*8760), 0)</f>
        <v>0.20692743901617702</v>
      </c>
      <c r="W34" s="11">
        <f>IFERROR((PE_gen[[#This Row],[2026]]*1000)/(PE_cap[[#This Row],[2026]]*8760), 0)</f>
        <v>0.20698344132469404</v>
      </c>
      <c r="X34" s="11">
        <f>IFERROR((PE_gen[[#This Row],[2027]]*1000)/(PE_cap[[#This Row],[2027]]*8760), 0)</f>
        <v>0.20693057812862781</v>
      </c>
      <c r="Y34" s="11">
        <f>IFERROR((PE_gen[[#This Row],[2028]]*1000)/(PE_cap[[#This Row],[2028]]*8760), 0)</f>
        <v>0.20698566717402334</v>
      </c>
      <c r="Z34" s="11">
        <f>IFERROR((PE_gen[[#This Row],[2029]]*1000)/(PE_cap[[#This Row],[2029]]*8760), 0)</f>
        <v>0.20695242303726616</v>
      </c>
      <c r="AA34" s="11">
        <f>IFERROR((PE_gen[[#This Row],[2030]]*1000)/(PE_cap[[#This Row],[2030]]*8760), 0)</f>
        <v>0.2069930490081896</v>
      </c>
      <c r="AB34" s="11">
        <f>IFERROR((PE_gen[[#This Row],[2031]]*1000)/(PE_cap[[#This Row],[2031]]*8760), 0)</f>
        <v>0.20697922810174965</v>
      </c>
      <c r="AC34" s="11">
        <f>IFERROR((PE_gen[[#This Row],[2032]]*1000)/(PE_cap[[#This Row],[2032]]*8760), 0)</f>
        <v>0.20696549674421119</v>
      </c>
      <c r="AD34" s="11">
        <f>IFERROR((PE_gen[[#This Row],[2033]]*1000)/(PE_cap[[#This Row],[2033]]*8760), 0)</f>
        <v>0.20700745081299235</v>
      </c>
      <c r="AE34" s="11">
        <f>IFERROR((PE_gen[[#This Row],[2034]]*1000)/(PE_cap[[#This Row],[2034]]*8760), 0)</f>
        <v>0.20697273010755993</v>
      </c>
      <c r="AF34" s="11">
        <f>IFERROR((PE_gen[[#This Row],[2035]]*1000)/(PE_cap[[#This Row],[2035]]*8760), 0)</f>
        <v>0.20698149483297285</v>
      </c>
      <c r="AG34" s="11">
        <f>IFERROR((PE_gen[[#This Row],[2036]]*1000)/(PE_cap[[#This Row],[2036]]*8760), 0)</f>
        <v>0.20702316674691532</v>
      </c>
      <c r="AH34" s="11">
        <f>IFERROR((PE_gen[[#This Row],[2037]]*1000)/(PE_cap[[#This Row],[2037]]*8760), 0)</f>
        <v>0.20698758921732766</v>
      </c>
      <c r="AI34" s="11">
        <f>IFERROR((PE_gen[[#This Row],[2038]]*1000)/(PE_cap[[#This Row],[2038]]*8760), 0)</f>
        <v>0.20700291814432409</v>
      </c>
      <c r="AJ34" s="11">
        <f>IFERROR((PE_gen[[#This Row],[2039]]*1000)/(PE_cap[[#This Row],[2039]]*8760), 0)</f>
        <v>0.20699924886965115</v>
      </c>
      <c r="AK34" s="11">
        <f>IFERROR((PE_gen[[#This Row],[2040]]*1000)/(PE_cap[[#This Row],[2040]]*8760), 0)</f>
        <v>0.20702153733620463</v>
      </c>
      <c r="AL34" s="11">
        <f>IFERROR((PE_gen[[#This Row],[2041]]*1000)/(PE_cap[[#This Row],[2041]]*8760), 0)</f>
        <v>0.20700095381538941</v>
      </c>
      <c r="AM34" s="11">
        <f>IFERROR((PE_gen[[#This Row],[2042]]*1000)/(PE_cap[[#This Row],[2042]]*8760), 0)</f>
        <v>0.20700525983184878</v>
      </c>
      <c r="AN34" s="11">
        <f>IFERROR((PE_gen[[#This Row],[2043]]*1000)/(PE_cap[[#This Row],[2043]]*8760), 0)</f>
        <v>0.20699598909904116</v>
      </c>
      <c r="AO34" s="11">
        <f>IFERROR((PE_gen[[#This Row],[2044]]*1000)/(PE_cap[[#This Row],[2044]]*8760), 0)</f>
        <v>0.20699772045898751</v>
      </c>
      <c r="AP34" s="11">
        <f>IFERROR((PE_gen[[#This Row],[2045]]*1000)/(PE_cap[[#This Row],[2045]]*8760), 0)</f>
        <v>0.20700242256995027</v>
      </c>
      <c r="AQ34" s="11">
        <f>IFERROR((PE_gen[[#This Row],[2046]]*1000)/(PE_cap[[#This Row],[2046]]*8760), 0)</f>
        <v>0.20699254608845957</v>
      </c>
      <c r="AR34" s="11">
        <f>IFERROR((PE_gen[[#This Row],[2047]]*1000)/(PE_cap[[#This Row],[2047]]*8760), 0)</f>
        <v>0.20699501662851832</v>
      </c>
      <c r="AS34" s="11">
        <f>IFERROR((PE_gen[[#This Row],[2048]]*1000)/(PE_cap[[#This Row],[2048]]*8760), 0)</f>
        <v>0.2069881501791252</v>
      </c>
      <c r="AT34" s="11">
        <f>IFERROR((PE_gen[[#This Row],[2049]]*1000)/(PE_cap[[#This Row],[2049]]*8760), 0)</f>
        <v>0.20701132755327847</v>
      </c>
      <c r="AU34" s="11">
        <f>IFERROR((PE_gen[[#This Row],[2050]]*1000)/(PE_cap[[#This Row],[2050]]*8760), 0)</f>
        <v>0.20700823422744569</v>
      </c>
    </row>
    <row r="35" spans="1:47" x14ac:dyDescent="0.3">
      <c r="A35" s="2" t="s">
        <v>58</v>
      </c>
      <c r="B35" s="11">
        <f>IFERROR((PE_gen[[#This Row],[2005]]*1000)/(PE_cap[[#This Row],[2005]]*8760), 0)</f>
        <v>0</v>
      </c>
      <c r="C35" s="11">
        <f>IFERROR((PE_gen[[#This Row],[2006]]*1000)/(PE_cap[[#This Row],[2006]]*8760), 0)</f>
        <v>0</v>
      </c>
      <c r="D35" s="11">
        <f>IFERROR((PE_gen[[#This Row],[2007]]*1000)/(PE_cap[[#This Row],[2007]]*8760), 0)</f>
        <v>0</v>
      </c>
      <c r="E35" s="11">
        <f>IFERROR((PE_gen[[#This Row],[2008]]*1000)/(PE_cap[[#This Row],[2008]]*8760), 0)</f>
        <v>0</v>
      </c>
      <c r="F35" s="11">
        <f>IFERROR((PE_gen[[#This Row],[2009]]*1000)/(PE_cap[[#This Row],[2009]]*8760), 0)</f>
        <v>0</v>
      </c>
      <c r="G35" s="11">
        <f>IFERROR((PE_gen[[#This Row],[2010]]*1000)/(PE_cap[[#This Row],[2010]]*8760), 0)</f>
        <v>0</v>
      </c>
      <c r="H35" s="11">
        <f>IFERROR((PE_gen[[#This Row],[2011]]*1000)/(PE_cap[[#This Row],[2011]]*8760), 0)</f>
        <v>0</v>
      </c>
      <c r="I35" s="11">
        <f>IFERROR((PE_gen[[#This Row],[2012]]*1000)/(PE_cap[[#This Row],[2012]]*8760), 0)</f>
        <v>0</v>
      </c>
      <c r="J35" s="11">
        <f>IFERROR((PE_gen[[#This Row],[2013]]*1000)/(PE_cap[[#This Row],[2013]]*8760), 0)</f>
        <v>0</v>
      </c>
      <c r="K35" s="11">
        <f>IFERROR((PE_gen[[#This Row],[2014]]*1000)/(PE_cap[[#This Row],[2014]]*8760), 0)</f>
        <v>0</v>
      </c>
      <c r="L35" s="11">
        <f>IFERROR((PE_gen[[#This Row],[2015]]*1000)/(PE_cap[[#This Row],[2015]]*8760), 0)</f>
        <v>0</v>
      </c>
      <c r="M35" s="11">
        <f>IFERROR((PE_gen[[#This Row],[2016]]*1000)/(PE_cap[[#This Row],[2016]]*8760), 0)</f>
        <v>0</v>
      </c>
      <c r="N35" s="11">
        <f>IFERROR((PE_gen[[#This Row],[2017]]*1000)/(PE_cap[[#This Row],[2017]]*8760), 0)</f>
        <v>0</v>
      </c>
      <c r="O35" s="11">
        <f>IFERROR((PE_gen[[#This Row],[2018]]*1000)/(PE_cap[[#This Row],[2018]]*8760), 0)</f>
        <v>0</v>
      </c>
      <c r="P35" s="11">
        <f>IFERROR((PE_gen[[#This Row],[2019]]*1000)/(PE_cap[[#This Row],[2019]]*8760), 0)</f>
        <v>0</v>
      </c>
      <c r="Q35" s="11">
        <f>IFERROR((PE_gen[[#This Row],[2020]]*1000)/(PE_cap[[#This Row],[2020]]*8760), 0)</f>
        <v>0</v>
      </c>
      <c r="R35" s="11">
        <f>IFERROR((PE_gen[[#This Row],[2021]]*1000)/(PE_cap[[#This Row],[2021]]*8760), 0)</f>
        <v>0</v>
      </c>
      <c r="S35" s="11">
        <f>IFERROR((PE_gen[[#This Row],[2022]]*1000)/(PE_cap[[#This Row],[2022]]*8760), 0)</f>
        <v>0</v>
      </c>
      <c r="T35" s="11">
        <f>IFERROR((PE_gen[[#This Row],[2023]]*1000)/(PE_cap[[#This Row],[2023]]*8760), 0)</f>
        <v>0</v>
      </c>
      <c r="U35" s="11">
        <f>IFERROR((PE_gen[[#This Row],[2024]]*1000)/(PE_cap[[#This Row],[2024]]*8760), 0)</f>
        <v>0</v>
      </c>
      <c r="V35" s="11">
        <f>IFERROR((PE_gen[[#This Row],[2025]]*1000)/(PE_cap[[#This Row],[2025]]*8760), 0)</f>
        <v>0</v>
      </c>
      <c r="W35" s="11">
        <f>IFERROR((PE_gen[[#This Row],[2026]]*1000)/(PE_cap[[#This Row],[2026]]*8760), 0)</f>
        <v>0</v>
      </c>
      <c r="X35" s="11">
        <f>IFERROR((PE_gen[[#This Row],[2027]]*1000)/(PE_cap[[#This Row],[2027]]*8760), 0)</f>
        <v>0</v>
      </c>
      <c r="Y35" s="11">
        <f>IFERROR((PE_gen[[#This Row],[2028]]*1000)/(PE_cap[[#This Row],[2028]]*8760), 0)</f>
        <v>0</v>
      </c>
      <c r="Z35" s="11">
        <f>IFERROR((PE_gen[[#This Row],[2029]]*1000)/(PE_cap[[#This Row],[2029]]*8760), 0)</f>
        <v>0</v>
      </c>
      <c r="AA35" s="11">
        <f>IFERROR((PE_gen[[#This Row],[2030]]*1000)/(PE_cap[[#This Row],[2030]]*8760), 0)</f>
        <v>0</v>
      </c>
      <c r="AB35" s="11">
        <f>IFERROR((PE_gen[[#This Row],[2031]]*1000)/(PE_cap[[#This Row],[2031]]*8760), 0)</f>
        <v>0</v>
      </c>
      <c r="AC35" s="11">
        <f>IFERROR((PE_gen[[#This Row],[2032]]*1000)/(PE_cap[[#This Row],[2032]]*8760), 0)</f>
        <v>0</v>
      </c>
      <c r="AD35" s="11">
        <f>IFERROR((PE_gen[[#This Row],[2033]]*1000)/(PE_cap[[#This Row],[2033]]*8760), 0)</f>
        <v>0</v>
      </c>
      <c r="AE35" s="11">
        <f>IFERROR((PE_gen[[#This Row],[2034]]*1000)/(PE_cap[[#This Row],[2034]]*8760), 0)</f>
        <v>0</v>
      </c>
      <c r="AF35" s="11">
        <f>IFERROR((PE_gen[[#This Row],[2035]]*1000)/(PE_cap[[#This Row],[2035]]*8760), 0)</f>
        <v>0</v>
      </c>
      <c r="AG35" s="11">
        <f>IFERROR((PE_gen[[#This Row],[2036]]*1000)/(PE_cap[[#This Row],[2036]]*8760), 0)</f>
        <v>0</v>
      </c>
      <c r="AH35" s="11">
        <f>IFERROR((PE_gen[[#This Row],[2037]]*1000)/(PE_cap[[#This Row],[2037]]*8760), 0)</f>
        <v>0</v>
      </c>
      <c r="AI35" s="11">
        <f>IFERROR((PE_gen[[#This Row],[2038]]*1000)/(PE_cap[[#This Row],[2038]]*8760), 0)</f>
        <v>0</v>
      </c>
      <c r="AJ35" s="11">
        <f>IFERROR((PE_gen[[#This Row],[2039]]*1000)/(PE_cap[[#This Row],[2039]]*8760), 0)</f>
        <v>0</v>
      </c>
      <c r="AK35" s="11">
        <f>IFERROR((PE_gen[[#This Row],[2040]]*1000)/(PE_cap[[#This Row],[2040]]*8760), 0)</f>
        <v>0</v>
      </c>
      <c r="AL35" s="11">
        <f>IFERROR((PE_gen[[#This Row],[2041]]*1000)/(PE_cap[[#This Row],[2041]]*8760), 0)</f>
        <v>0</v>
      </c>
      <c r="AM35" s="11">
        <f>IFERROR((PE_gen[[#This Row],[2042]]*1000)/(PE_cap[[#This Row],[2042]]*8760), 0)</f>
        <v>0</v>
      </c>
      <c r="AN35" s="11">
        <f>IFERROR((PE_gen[[#This Row],[2043]]*1000)/(PE_cap[[#This Row],[2043]]*8760), 0)</f>
        <v>0</v>
      </c>
      <c r="AO35" s="11">
        <f>IFERROR((PE_gen[[#This Row],[2044]]*1000)/(PE_cap[[#This Row],[2044]]*8760), 0)</f>
        <v>0</v>
      </c>
      <c r="AP35" s="11">
        <f>IFERROR((PE_gen[[#This Row],[2045]]*1000)/(PE_cap[[#This Row],[2045]]*8760), 0)</f>
        <v>0</v>
      </c>
      <c r="AQ35" s="11">
        <f>IFERROR((PE_gen[[#This Row],[2046]]*1000)/(PE_cap[[#This Row],[2046]]*8760), 0)</f>
        <v>0</v>
      </c>
      <c r="AR35" s="11">
        <f>IFERROR((PE_gen[[#This Row],[2047]]*1000)/(PE_cap[[#This Row],[2047]]*8760), 0)</f>
        <v>0</v>
      </c>
      <c r="AS35" s="11">
        <f>IFERROR((PE_gen[[#This Row],[2048]]*1000)/(PE_cap[[#This Row],[2048]]*8760), 0)</f>
        <v>0</v>
      </c>
      <c r="AT35" s="11">
        <f>IFERROR((PE_gen[[#This Row],[2049]]*1000)/(PE_cap[[#This Row],[2049]]*8760), 0)</f>
        <v>0</v>
      </c>
      <c r="AU35" s="11">
        <f>IFERROR((PE_gen[[#This Row],[2050]]*1000)/(PE_cap[[#This Row],[2050]]*8760), 0)</f>
        <v>0</v>
      </c>
    </row>
    <row r="36" spans="1:47" x14ac:dyDescent="0.3">
      <c r="A36" s="2" t="s">
        <v>59</v>
      </c>
      <c r="B36" s="11">
        <f>IFERROR((PE_gen[[#This Row],[2005]]*1000)/(PE_cap[[#This Row],[2005]]*8760), 0)</f>
        <v>0</v>
      </c>
      <c r="C36" s="11">
        <f>IFERROR((PE_gen[[#This Row],[2006]]*1000)/(PE_cap[[#This Row],[2006]]*8760), 0)</f>
        <v>0</v>
      </c>
      <c r="D36" s="11">
        <f>IFERROR((PE_gen[[#This Row],[2007]]*1000)/(PE_cap[[#This Row],[2007]]*8760), 0)</f>
        <v>0</v>
      </c>
      <c r="E36" s="11">
        <f>IFERROR((PE_gen[[#This Row],[2008]]*1000)/(PE_cap[[#This Row],[2008]]*8760), 0)</f>
        <v>0</v>
      </c>
      <c r="F36" s="11">
        <f>IFERROR((PE_gen[[#This Row],[2009]]*1000)/(PE_cap[[#This Row],[2009]]*8760), 0)</f>
        <v>0</v>
      </c>
      <c r="G36" s="11">
        <f>IFERROR((PE_gen[[#This Row],[2010]]*1000)/(PE_cap[[#This Row],[2010]]*8760), 0)</f>
        <v>0</v>
      </c>
      <c r="H36" s="11">
        <f>IFERROR((PE_gen[[#This Row],[2011]]*1000)/(PE_cap[[#This Row],[2011]]*8760), 0)</f>
        <v>0</v>
      </c>
      <c r="I36" s="11">
        <f>IFERROR((PE_gen[[#This Row],[2012]]*1000)/(PE_cap[[#This Row],[2012]]*8760), 0)</f>
        <v>0</v>
      </c>
      <c r="J36" s="11">
        <f>IFERROR((PE_gen[[#This Row],[2013]]*1000)/(PE_cap[[#This Row],[2013]]*8760), 0)</f>
        <v>0</v>
      </c>
      <c r="K36" s="11">
        <f>IFERROR((PE_gen[[#This Row],[2014]]*1000)/(PE_cap[[#This Row],[2014]]*8760), 0)</f>
        <v>0</v>
      </c>
      <c r="L36" s="11">
        <f>IFERROR((PE_gen[[#This Row],[2015]]*1000)/(PE_cap[[#This Row],[2015]]*8760), 0)</f>
        <v>0</v>
      </c>
      <c r="M36" s="11">
        <f>IFERROR((PE_gen[[#This Row],[2016]]*1000)/(PE_cap[[#This Row],[2016]]*8760), 0)</f>
        <v>0</v>
      </c>
      <c r="N36" s="11">
        <f>IFERROR((PE_gen[[#This Row],[2017]]*1000)/(PE_cap[[#This Row],[2017]]*8760), 0)</f>
        <v>0</v>
      </c>
      <c r="O36" s="11">
        <f>IFERROR((PE_gen[[#This Row],[2018]]*1000)/(PE_cap[[#This Row],[2018]]*8760), 0)</f>
        <v>0</v>
      </c>
      <c r="P36" s="11">
        <f>IFERROR((PE_gen[[#This Row],[2019]]*1000)/(PE_cap[[#This Row],[2019]]*8760), 0)</f>
        <v>0</v>
      </c>
      <c r="Q36" s="11">
        <f>IFERROR((PE_gen[[#This Row],[2020]]*1000)/(PE_cap[[#This Row],[2020]]*8760), 0)</f>
        <v>0</v>
      </c>
      <c r="R36" s="11">
        <f>IFERROR((PE_gen[[#This Row],[2021]]*1000)/(PE_cap[[#This Row],[2021]]*8760), 0)</f>
        <v>0</v>
      </c>
      <c r="S36" s="11">
        <f>IFERROR((PE_gen[[#This Row],[2022]]*1000)/(PE_cap[[#This Row],[2022]]*8760), 0)</f>
        <v>0</v>
      </c>
      <c r="T36" s="11">
        <f>IFERROR((PE_gen[[#This Row],[2023]]*1000)/(PE_cap[[#This Row],[2023]]*8760), 0)</f>
        <v>0</v>
      </c>
      <c r="U36" s="11">
        <f>IFERROR((PE_gen[[#This Row],[2024]]*1000)/(PE_cap[[#This Row],[2024]]*8760), 0)</f>
        <v>0</v>
      </c>
      <c r="V36" s="11">
        <f>IFERROR((PE_gen[[#This Row],[2025]]*1000)/(PE_cap[[#This Row],[2025]]*8760), 0)</f>
        <v>0</v>
      </c>
      <c r="W36" s="11">
        <f>IFERROR((PE_gen[[#This Row],[2026]]*1000)/(PE_cap[[#This Row],[2026]]*8760), 0)</f>
        <v>0</v>
      </c>
      <c r="X36" s="11">
        <f>IFERROR((PE_gen[[#This Row],[2027]]*1000)/(PE_cap[[#This Row],[2027]]*8760), 0)</f>
        <v>0</v>
      </c>
      <c r="Y36" s="11">
        <f>IFERROR((PE_gen[[#This Row],[2028]]*1000)/(PE_cap[[#This Row],[2028]]*8760), 0)</f>
        <v>0</v>
      </c>
      <c r="Z36" s="11">
        <f>IFERROR((PE_gen[[#This Row],[2029]]*1000)/(PE_cap[[#This Row],[2029]]*8760), 0)</f>
        <v>0</v>
      </c>
      <c r="AA36" s="11">
        <f>IFERROR((PE_gen[[#This Row],[2030]]*1000)/(PE_cap[[#This Row],[2030]]*8760), 0)</f>
        <v>0</v>
      </c>
      <c r="AB36" s="11">
        <f>IFERROR((PE_gen[[#This Row],[2031]]*1000)/(PE_cap[[#This Row],[2031]]*8760), 0)</f>
        <v>0</v>
      </c>
      <c r="AC36" s="11">
        <f>IFERROR((PE_gen[[#This Row],[2032]]*1000)/(PE_cap[[#This Row],[2032]]*8760), 0)</f>
        <v>0</v>
      </c>
      <c r="AD36" s="11">
        <f>IFERROR((PE_gen[[#This Row],[2033]]*1000)/(PE_cap[[#This Row],[2033]]*8760), 0)</f>
        <v>0</v>
      </c>
      <c r="AE36" s="11">
        <f>IFERROR((PE_gen[[#This Row],[2034]]*1000)/(PE_cap[[#This Row],[2034]]*8760), 0)</f>
        <v>0</v>
      </c>
      <c r="AF36" s="11">
        <f>IFERROR((PE_gen[[#This Row],[2035]]*1000)/(PE_cap[[#This Row],[2035]]*8760), 0)</f>
        <v>0</v>
      </c>
      <c r="AG36" s="11">
        <f>IFERROR((PE_gen[[#This Row],[2036]]*1000)/(PE_cap[[#This Row],[2036]]*8760), 0)</f>
        <v>0</v>
      </c>
      <c r="AH36" s="11">
        <f>IFERROR((PE_gen[[#This Row],[2037]]*1000)/(PE_cap[[#This Row],[2037]]*8760), 0)</f>
        <v>0</v>
      </c>
      <c r="AI36" s="11">
        <f>IFERROR((PE_gen[[#This Row],[2038]]*1000)/(PE_cap[[#This Row],[2038]]*8760), 0)</f>
        <v>0</v>
      </c>
      <c r="AJ36" s="11">
        <f>IFERROR((PE_gen[[#This Row],[2039]]*1000)/(PE_cap[[#This Row],[2039]]*8760), 0)</f>
        <v>0</v>
      </c>
      <c r="AK36" s="11">
        <f>IFERROR((PE_gen[[#This Row],[2040]]*1000)/(PE_cap[[#This Row],[2040]]*8760), 0)</f>
        <v>0</v>
      </c>
      <c r="AL36" s="11">
        <f>IFERROR((PE_gen[[#This Row],[2041]]*1000)/(PE_cap[[#This Row],[2041]]*8760), 0)</f>
        <v>0</v>
      </c>
      <c r="AM36" s="11">
        <f>IFERROR((PE_gen[[#This Row],[2042]]*1000)/(PE_cap[[#This Row],[2042]]*8760), 0)</f>
        <v>0</v>
      </c>
      <c r="AN36" s="11">
        <f>IFERROR((PE_gen[[#This Row],[2043]]*1000)/(PE_cap[[#This Row],[2043]]*8760), 0)</f>
        <v>0</v>
      </c>
      <c r="AO36" s="11">
        <f>IFERROR((PE_gen[[#This Row],[2044]]*1000)/(PE_cap[[#This Row],[2044]]*8760), 0)</f>
        <v>0</v>
      </c>
      <c r="AP36" s="11">
        <f>IFERROR((PE_gen[[#This Row],[2045]]*1000)/(PE_cap[[#This Row],[2045]]*8760), 0)</f>
        <v>0</v>
      </c>
      <c r="AQ36" s="11">
        <f>IFERROR((PE_gen[[#This Row],[2046]]*1000)/(PE_cap[[#This Row],[2046]]*8760), 0)</f>
        <v>0</v>
      </c>
      <c r="AR36" s="11">
        <f>IFERROR((PE_gen[[#This Row],[2047]]*1000)/(PE_cap[[#This Row],[2047]]*8760), 0)</f>
        <v>0</v>
      </c>
      <c r="AS36" s="11">
        <f>IFERROR((PE_gen[[#This Row],[2048]]*1000)/(PE_cap[[#This Row],[2048]]*8760), 0)</f>
        <v>0</v>
      </c>
      <c r="AT36" s="11">
        <f>IFERROR((PE_gen[[#This Row],[2049]]*1000)/(PE_cap[[#This Row],[2049]]*8760), 0)</f>
        <v>0</v>
      </c>
      <c r="AU36" s="11">
        <f>IFERROR((PE_gen[[#This Row],[2050]]*1000)/(PE_cap[[#This Row],[2050]]*8760), 0)</f>
        <v>0</v>
      </c>
    </row>
    <row r="37" spans="1:47" x14ac:dyDescent="0.3">
      <c r="A37" s="2" t="s">
        <v>60</v>
      </c>
      <c r="B37" s="11">
        <f>IFERROR((PE_gen[[#This Row],[2005]]*1000)/(PE_cap[[#This Row],[2005]]*8760), 0)</f>
        <v>0</v>
      </c>
      <c r="C37" s="11">
        <f>IFERROR((PE_gen[[#This Row],[2006]]*1000)/(PE_cap[[#This Row],[2006]]*8760), 0)</f>
        <v>0</v>
      </c>
      <c r="D37" s="11">
        <f>IFERROR((PE_gen[[#This Row],[2007]]*1000)/(PE_cap[[#This Row],[2007]]*8760), 0)</f>
        <v>0</v>
      </c>
      <c r="E37" s="11">
        <f>IFERROR((PE_gen[[#This Row],[2008]]*1000)/(PE_cap[[#This Row],[2008]]*8760), 0)</f>
        <v>0</v>
      </c>
      <c r="F37" s="11">
        <f>IFERROR((PE_gen[[#This Row],[2009]]*1000)/(PE_cap[[#This Row],[2009]]*8760), 0)</f>
        <v>0</v>
      </c>
      <c r="G37" s="11">
        <f>IFERROR((PE_gen[[#This Row],[2010]]*1000)/(PE_cap[[#This Row],[2010]]*8760), 0)</f>
        <v>0</v>
      </c>
      <c r="H37" s="11">
        <f>IFERROR((PE_gen[[#This Row],[2011]]*1000)/(PE_cap[[#This Row],[2011]]*8760), 0)</f>
        <v>0</v>
      </c>
      <c r="I37" s="11">
        <f>IFERROR((PE_gen[[#This Row],[2012]]*1000)/(PE_cap[[#This Row],[2012]]*8760), 0)</f>
        <v>0</v>
      </c>
      <c r="J37" s="11">
        <f>IFERROR((PE_gen[[#This Row],[2013]]*1000)/(PE_cap[[#This Row],[2013]]*8760), 0)</f>
        <v>0</v>
      </c>
      <c r="K37" s="11">
        <f>IFERROR((PE_gen[[#This Row],[2014]]*1000)/(PE_cap[[#This Row],[2014]]*8760), 0)</f>
        <v>0</v>
      </c>
      <c r="L37" s="11">
        <f>IFERROR((PE_gen[[#This Row],[2015]]*1000)/(PE_cap[[#This Row],[2015]]*8760), 0)</f>
        <v>0</v>
      </c>
      <c r="M37" s="11">
        <f>IFERROR((PE_gen[[#This Row],[2016]]*1000)/(PE_cap[[#This Row],[2016]]*8760), 0)</f>
        <v>0</v>
      </c>
      <c r="N37" s="11">
        <f>IFERROR((PE_gen[[#This Row],[2017]]*1000)/(PE_cap[[#This Row],[2017]]*8760), 0)</f>
        <v>0</v>
      </c>
      <c r="O37" s="11">
        <f>IFERROR((PE_gen[[#This Row],[2018]]*1000)/(PE_cap[[#This Row],[2018]]*8760), 0)</f>
        <v>0</v>
      </c>
      <c r="P37" s="11">
        <f>IFERROR((PE_gen[[#This Row],[2019]]*1000)/(PE_cap[[#This Row],[2019]]*8760), 0)</f>
        <v>0</v>
      </c>
      <c r="Q37" s="11">
        <f>IFERROR((PE_gen[[#This Row],[2020]]*1000)/(PE_cap[[#This Row],[2020]]*8760), 0)</f>
        <v>0</v>
      </c>
      <c r="R37" s="11">
        <f>IFERROR((PE_gen[[#This Row],[2021]]*1000)/(PE_cap[[#This Row],[2021]]*8760), 0)</f>
        <v>0</v>
      </c>
      <c r="S37" s="11">
        <f>IFERROR((PE_gen[[#This Row],[2022]]*1000)/(PE_cap[[#This Row],[2022]]*8760), 0)</f>
        <v>0</v>
      </c>
      <c r="T37" s="11">
        <f>IFERROR((PE_gen[[#This Row],[2023]]*1000)/(PE_cap[[#This Row],[2023]]*8760), 0)</f>
        <v>0</v>
      </c>
      <c r="U37" s="11">
        <f>IFERROR((PE_gen[[#This Row],[2024]]*1000)/(PE_cap[[#This Row],[2024]]*8760), 0)</f>
        <v>0</v>
      </c>
      <c r="V37" s="11">
        <f>IFERROR((PE_gen[[#This Row],[2025]]*1000)/(PE_cap[[#This Row],[2025]]*8760), 0)</f>
        <v>0</v>
      </c>
      <c r="W37" s="11">
        <f>IFERROR((PE_gen[[#This Row],[2026]]*1000)/(PE_cap[[#This Row],[2026]]*8760), 0)</f>
        <v>0</v>
      </c>
      <c r="X37" s="11">
        <f>IFERROR((PE_gen[[#This Row],[2027]]*1000)/(PE_cap[[#This Row],[2027]]*8760), 0)</f>
        <v>0</v>
      </c>
      <c r="Y37" s="11">
        <f>IFERROR((PE_gen[[#This Row],[2028]]*1000)/(PE_cap[[#This Row],[2028]]*8760), 0)</f>
        <v>0</v>
      </c>
      <c r="Z37" s="11">
        <f>IFERROR((PE_gen[[#This Row],[2029]]*1000)/(PE_cap[[#This Row],[2029]]*8760), 0)</f>
        <v>0</v>
      </c>
      <c r="AA37" s="11">
        <f>IFERROR((PE_gen[[#This Row],[2030]]*1000)/(PE_cap[[#This Row],[2030]]*8760), 0)</f>
        <v>0</v>
      </c>
      <c r="AB37" s="11">
        <f>IFERROR((PE_gen[[#This Row],[2031]]*1000)/(PE_cap[[#This Row],[2031]]*8760), 0)</f>
        <v>0</v>
      </c>
      <c r="AC37" s="11">
        <f>IFERROR((PE_gen[[#This Row],[2032]]*1000)/(PE_cap[[#This Row],[2032]]*8760), 0)</f>
        <v>0</v>
      </c>
      <c r="AD37" s="11">
        <f>IFERROR((PE_gen[[#This Row],[2033]]*1000)/(PE_cap[[#This Row],[2033]]*8760), 0)</f>
        <v>0</v>
      </c>
      <c r="AE37" s="11">
        <f>IFERROR((PE_gen[[#This Row],[2034]]*1000)/(PE_cap[[#This Row],[2034]]*8760), 0)</f>
        <v>0</v>
      </c>
      <c r="AF37" s="11">
        <f>IFERROR((PE_gen[[#This Row],[2035]]*1000)/(PE_cap[[#This Row],[2035]]*8760), 0)</f>
        <v>0</v>
      </c>
      <c r="AG37" s="11">
        <f>IFERROR((PE_gen[[#This Row],[2036]]*1000)/(PE_cap[[#This Row],[2036]]*8760), 0)</f>
        <v>0</v>
      </c>
      <c r="AH37" s="11">
        <f>IFERROR((PE_gen[[#This Row],[2037]]*1000)/(PE_cap[[#This Row],[2037]]*8760), 0)</f>
        <v>0</v>
      </c>
      <c r="AI37" s="11">
        <f>IFERROR((PE_gen[[#This Row],[2038]]*1000)/(PE_cap[[#This Row],[2038]]*8760), 0)</f>
        <v>0</v>
      </c>
      <c r="AJ37" s="11">
        <f>IFERROR((PE_gen[[#This Row],[2039]]*1000)/(PE_cap[[#This Row],[2039]]*8760), 0)</f>
        <v>0</v>
      </c>
      <c r="AK37" s="11">
        <f>IFERROR((PE_gen[[#This Row],[2040]]*1000)/(PE_cap[[#This Row],[2040]]*8760), 0)</f>
        <v>0</v>
      </c>
      <c r="AL37" s="11">
        <f>IFERROR((PE_gen[[#This Row],[2041]]*1000)/(PE_cap[[#This Row],[2041]]*8760), 0)</f>
        <v>0</v>
      </c>
      <c r="AM37" s="11">
        <f>IFERROR((PE_gen[[#This Row],[2042]]*1000)/(PE_cap[[#This Row],[2042]]*8760), 0)</f>
        <v>0</v>
      </c>
      <c r="AN37" s="11">
        <f>IFERROR((PE_gen[[#This Row],[2043]]*1000)/(PE_cap[[#This Row],[2043]]*8760), 0)</f>
        <v>0</v>
      </c>
      <c r="AO37" s="11">
        <f>IFERROR((PE_gen[[#This Row],[2044]]*1000)/(PE_cap[[#This Row],[2044]]*8760), 0)</f>
        <v>0</v>
      </c>
      <c r="AP37" s="11">
        <f>IFERROR((PE_gen[[#This Row],[2045]]*1000)/(PE_cap[[#This Row],[2045]]*8760), 0)</f>
        <v>0</v>
      </c>
      <c r="AQ37" s="11">
        <f>IFERROR((PE_gen[[#This Row],[2046]]*1000)/(PE_cap[[#This Row],[2046]]*8760), 0)</f>
        <v>0</v>
      </c>
      <c r="AR37" s="11">
        <f>IFERROR((PE_gen[[#This Row],[2047]]*1000)/(PE_cap[[#This Row],[2047]]*8760), 0)</f>
        <v>0</v>
      </c>
      <c r="AS37" s="11">
        <f>IFERROR((PE_gen[[#This Row],[2048]]*1000)/(PE_cap[[#This Row],[2048]]*8760), 0)</f>
        <v>0</v>
      </c>
      <c r="AT37" s="11">
        <f>IFERROR((PE_gen[[#This Row],[2049]]*1000)/(PE_cap[[#This Row],[2049]]*8760), 0)</f>
        <v>0</v>
      </c>
      <c r="AU37" s="11">
        <f>IFERROR((PE_gen[[#This Row],[2050]]*1000)/(PE_cap[[#This Row],[2050]]*8760), 0)</f>
        <v>0</v>
      </c>
    </row>
    <row r="38" spans="1:47" x14ac:dyDescent="0.3">
      <c r="A38" s="2" t="s">
        <v>61</v>
      </c>
      <c r="B38" s="11">
        <f>IFERROR((PE_gen[[#This Row],[2005]]*1000)/(PE_cap[[#This Row],[2005]]*8760), 0)</f>
        <v>6.2589795018421315E-4</v>
      </c>
      <c r="C38" s="11">
        <f>IFERROR((PE_gen[[#This Row],[2006]]*1000)/(PE_cap[[#This Row],[2006]]*8760), 0)</f>
        <v>6.2589795018421315E-4</v>
      </c>
      <c r="D38" s="11">
        <f>IFERROR((PE_gen[[#This Row],[2007]]*1000)/(PE_cap[[#This Row],[2007]]*8760), 0)</f>
        <v>6.2589795018421315E-4</v>
      </c>
      <c r="E38" s="11">
        <f>IFERROR((PE_gen[[#This Row],[2008]]*1000)/(PE_cap[[#This Row],[2008]]*8760), 0)</f>
        <v>3.4150526985319543E-4</v>
      </c>
      <c r="F38" s="11">
        <f>IFERROR((PE_gen[[#This Row],[2009]]*1000)/(PE_cap[[#This Row],[2009]]*8760), 0)</f>
        <v>1.9406392694063927E-3</v>
      </c>
      <c r="G38" s="11">
        <f>IFERROR((PE_gen[[#This Row],[2010]]*1000)/(PE_cap[[#This Row],[2010]]*8760), 0)</f>
        <v>0</v>
      </c>
      <c r="H38" s="11">
        <f>IFERROR((PE_gen[[#This Row],[2011]]*1000)/(PE_cap[[#This Row],[2011]]*8760), 0)</f>
        <v>0</v>
      </c>
      <c r="I38" s="11">
        <f>IFERROR((PE_gen[[#This Row],[2012]]*1000)/(PE_cap[[#This Row],[2012]]*8760), 0)</f>
        <v>5.805589587504322E-3</v>
      </c>
      <c r="J38" s="11">
        <f>IFERROR((PE_gen[[#This Row],[2013]]*1000)/(PE_cap[[#This Row],[2013]]*8760), 0)</f>
        <v>1.543888407461321E-3</v>
      </c>
      <c r="K38" s="11">
        <f>IFERROR((PE_gen[[#This Row],[2014]]*1000)/(PE_cap[[#This Row],[2014]]*8760), 0)</f>
        <v>4.1265220107261115E-3</v>
      </c>
      <c r="L38" s="11">
        <f>IFERROR((PE_gen[[#This Row],[2015]]*1000)/(PE_cap[[#This Row],[2015]]*8760), 0)</f>
        <v>4.9802851853590997E-3</v>
      </c>
      <c r="M38" s="11">
        <f>IFERROR((PE_gen[[#This Row],[2016]]*1000)/(PE_cap[[#This Row],[2016]]*8760), 0)</f>
        <v>4.9802851853590997E-3</v>
      </c>
      <c r="N38" s="11">
        <f>IFERROR((PE_gen[[#This Row],[2017]]*1000)/(PE_cap[[#This Row],[2017]]*8760), 0)</f>
        <v>4.9802851853590997E-3</v>
      </c>
      <c r="O38" s="11">
        <f>IFERROR((PE_gen[[#This Row],[2018]]*1000)/(PE_cap[[#This Row],[2018]]*8760), 0)</f>
        <v>4.0183719967692285E-3</v>
      </c>
      <c r="P38" s="11">
        <f>IFERROR((PE_gen[[#This Row],[2019]]*1000)/(PE_cap[[#This Row],[2019]]*8760), 0)</f>
        <v>2.0091859983846143E-3</v>
      </c>
      <c r="Q38" s="11">
        <f>IFERROR((PE_gen[[#This Row],[2020]]*1000)/(PE_cap[[#This Row],[2020]]*8760), 0)</f>
        <v>3.2327802714008445E-2</v>
      </c>
      <c r="R38" s="11">
        <f>IFERROR((PE_gen[[#This Row],[2021]]*1000)/(PE_cap[[#This Row],[2021]]*8760), 0)</f>
        <v>3.2327802714008445E-2</v>
      </c>
      <c r="S38" s="11">
        <f>IFERROR((PE_gen[[#This Row],[2022]]*1000)/(PE_cap[[#This Row],[2022]]*8760), 0)</f>
        <v>3.2394775580621267E-2</v>
      </c>
      <c r="T38" s="11">
        <f>IFERROR((PE_gen[[#This Row],[2023]]*1000)/(PE_cap[[#This Row],[2023]]*8760), 0)</f>
        <v>5.1261032105452797E-2</v>
      </c>
      <c r="U38" s="11">
        <f>IFERROR((PE_gen[[#This Row],[2024]]*1000)/(PE_cap[[#This Row],[2024]]*8760), 0)</f>
        <v>3.94336238616287E-2</v>
      </c>
      <c r="V38" s="11">
        <f>IFERROR((PE_gen[[#This Row],[2025]]*1000)/(PE_cap[[#This Row],[2025]]*8760), 0)</f>
        <v>3.94336238616287E-2</v>
      </c>
      <c r="W38" s="11">
        <f>IFERROR((PE_gen[[#This Row],[2026]]*1000)/(PE_cap[[#This Row],[2026]]*8760), 0)</f>
        <v>3.94336238616287E-2</v>
      </c>
      <c r="X38" s="11">
        <f>IFERROR((PE_gen[[#This Row],[2027]]*1000)/(PE_cap[[#This Row],[2027]]*8760), 0)</f>
        <v>1.2584201636548968E-2</v>
      </c>
      <c r="Y38" s="11">
        <f>IFERROR((PE_gen[[#This Row],[2028]]*1000)/(PE_cap[[#This Row],[2028]]*8760), 0)</f>
        <v>3.5884061931149215E-2</v>
      </c>
      <c r="Z38" s="11">
        <f>IFERROR((PE_gen[[#This Row],[2029]]*1000)/(PE_cap[[#This Row],[2029]]*8760), 0)</f>
        <v>3.8274993269226905E-2</v>
      </c>
      <c r="AA38" s="11">
        <f>IFERROR((PE_gen[[#This Row],[2030]]*1000)/(PE_cap[[#This Row],[2030]]*8760), 0)</f>
        <v>3.8938024648693829E-2</v>
      </c>
      <c r="AB38" s="11">
        <f>IFERROR((PE_gen[[#This Row],[2031]]*1000)/(PE_cap[[#This Row],[2031]]*8760), 0)</f>
        <v>5.1261032105452797E-2</v>
      </c>
      <c r="AC38" s="11">
        <f>IFERROR((PE_gen[[#This Row],[2032]]*1000)/(PE_cap[[#This Row],[2032]]*8760), 0)</f>
        <v>3.94336238616287E-2</v>
      </c>
      <c r="AD38" s="11">
        <f>IFERROR((PE_gen[[#This Row],[2033]]*1000)/(PE_cap[[#This Row],[2033]]*8760), 0)</f>
        <v>8.6823624276860467E-2</v>
      </c>
      <c r="AE38" s="11">
        <f>IFERROR((PE_gen[[#This Row],[2034]]*1000)/(PE_cap[[#This Row],[2034]]*8760), 0)</f>
        <v>8.5443983224636366E-2</v>
      </c>
      <c r="AF38" s="11">
        <f>IFERROR((PE_gen[[#This Row],[2035]]*1000)/(PE_cap[[#This Row],[2035]]*8760), 0)</f>
        <v>9.5108167876866365E-2</v>
      </c>
      <c r="AG38" s="11">
        <f>IFERROR((PE_gen[[#This Row],[2036]]*1000)/(PE_cap[[#This Row],[2036]]*8760), 0)</f>
        <v>4.2996580365430746E-3</v>
      </c>
      <c r="AH38" s="11">
        <f>IFERROR((PE_gen[[#This Row],[2037]]*1000)/(PE_cap[[#This Row],[2037]]*8760), 0)</f>
        <v>8.3274062346380989E-2</v>
      </c>
      <c r="AI38" s="11">
        <f>IFERROR((PE_gen[[#This Row],[2038]]*1000)/(PE_cap[[#This Row],[2038]]*8760), 0)</f>
        <v>8.3274062346380989E-2</v>
      </c>
      <c r="AJ38" s="11">
        <f>IFERROR((PE_gen[[#This Row],[2039]]*1000)/(PE_cap[[#This Row],[2039]]*8760), 0)</f>
        <v>8.3274062346380989E-2</v>
      </c>
      <c r="AK38" s="11">
        <f>IFERROR((PE_gen[[#This Row],[2040]]*1000)/(PE_cap[[#This Row],[2040]]*8760), 0)</f>
        <v>8.3274062346380989E-2</v>
      </c>
      <c r="AL38" s="11">
        <f>IFERROR((PE_gen[[#This Row],[2041]]*1000)/(PE_cap[[#This Row],[2041]]*8760), 0)</f>
        <v>0.56267253884761126</v>
      </c>
      <c r="AM38" s="11">
        <f>IFERROR((PE_gen[[#This Row],[2042]]*1000)/(PE_cap[[#This Row],[2042]]*8760), 0)</f>
        <v>0.40477730852122573</v>
      </c>
      <c r="AN38" s="11">
        <f>IFERROR((PE_gen[[#This Row],[2043]]*1000)/(PE_cap[[#This Row],[2043]]*8760), 0)</f>
        <v>0.44764664044009211</v>
      </c>
      <c r="AO38" s="11">
        <f>IFERROR((PE_gen[[#This Row],[2044]]*1000)/(PE_cap[[#This Row],[2044]]*8760), 0)</f>
        <v>0.1588194558856425</v>
      </c>
      <c r="AP38" s="11">
        <f>IFERROR((PE_gen[[#This Row],[2045]]*1000)/(PE_cap[[#This Row],[2045]]*8760), 0)</f>
        <v>0.1588194558856425</v>
      </c>
      <c r="AQ38" s="11">
        <f>IFERROR((PE_gen[[#This Row],[2046]]*1000)/(PE_cap[[#This Row],[2046]]*8760), 0)</f>
        <v>0.15761394428661171</v>
      </c>
      <c r="AR38" s="11">
        <f>IFERROR((PE_gen[[#This Row],[2047]]*1000)/(PE_cap[[#This Row],[2047]]*8760), 0)</f>
        <v>0.1588194558856425</v>
      </c>
      <c r="AS38" s="11">
        <f>IFERROR((PE_gen[[#This Row],[2048]]*1000)/(PE_cap[[#This Row],[2048]]*8760), 0)</f>
        <v>0.1588194558856425</v>
      </c>
      <c r="AT38" s="11">
        <f>IFERROR((PE_gen[[#This Row],[2049]]*1000)/(PE_cap[[#This Row],[2049]]*8760), 0)</f>
        <v>0.1588194558856425</v>
      </c>
      <c r="AU38" s="11">
        <f>IFERROR((PE_gen[[#This Row],[2050]]*1000)/(PE_cap[[#This Row],[2050]]*8760), 0)</f>
        <v>0.1588194558856425</v>
      </c>
    </row>
    <row r="40" spans="1:47" ht="18" x14ac:dyDescent="0.35">
      <c r="A40" s="4" t="s">
        <v>64</v>
      </c>
    </row>
    <row r="41" spans="1:47" x14ac:dyDescent="0.3">
      <c r="A41" s="2" t="s">
        <v>7</v>
      </c>
      <c r="B41" s="2" t="s">
        <v>8</v>
      </c>
      <c r="C41" s="2" t="s">
        <v>9</v>
      </c>
      <c r="D41" s="2" t="s">
        <v>10</v>
      </c>
      <c r="E41" s="2" t="s">
        <v>11</v>
      </c>
      <c r="F41" s="2" t="s">
        <v>12</v>
      </c>
      <c r="G41" s="2" t="s">
        <v>13</v>
      </c>
      <c r="H41" s="2" t="s">
        <v>14</v>
      </c>
      <c r="I41" s="2" t="s">
        <v>15</v>
      </c>
      <c r="J41" s="2" t="s">
        <v>16</v>
      </c>
      <c r="K41" s="2" t="s">
        <v>17</v>
      </c>
      <c r="L41" s="2" t="s">
        <v>18</v>
      </c>
      <c r="M41" s="2" t="s">
        <v>19</v>
      </c>
      <c r="N41" s="2" t="s">
        <v>20</v>
      </c>
      <c r="O41" s="2" t="s">
        <v>21</v>
      </c>
      <c r="P41" s="2" t="s">
        <v>22</v>
      </c>
      <c r="Q41" s="2" t="s">
        <v>23</v>
      </c>
      <c r="R41" s="2" t="s">
        <v>24</v>
      </c>
      <c r="S41" s="2" t="s">
        <v>25</v>
      </c>
      <c r="T41" s="2" t="s">
        <v>26</v>
      </c>
      <c r="U41" s="2" t="s">
        <v>27</v>
      </c>
      <c r="V41" s="2" t="s">
        <v>28</v>
      </c>
      <c r="W41" s="2" t="s">
        <v>29</v>
      </c>
      <c r="X41" s="2" t="s">
        <v>30</v>
      </c>
      <c r="Y41" s="2" t="s">
        <v>31</v>
      </c>
      <c r="Z41" s="2" t="s">
        <v>32</v>
      </c>
      <c r="AA41" s="2" t="s">
        <v>33</v>
      </c>
      <c r="AB41" s="2" t="s">
        <v>34</v>
      </c>
      <c r="AC41" s="2" t="s">
        <v>35</v>
      </c>
      <c r="AD41" s="2" t="s">
        <v>36</v>
      </c>
      <c r="AE41" s="2" t="s">
        <v>37</v>
      </c>
      <c r="AF41" s="2" t="s">
        <v>38</v>
      </c>
      <c r="AG41" s="2" t="s">
        <v>39</v>
      </c>
      <c r="AH41" s="2" t="s">
        <v>40</v>
      </c>
      <c r="AI41" s="2" t="s">
        <v>41</v>
      </c>
      <c r="AJ41" s="2" t="s">
        <v>42</v>
      </c>
      <c r="AK41" s="2" t="s">
        <v>43</v>
      </c>
      <c r="AL41" s="2" t="s">
        <v>44</v>
      </c>
      <c r="AM41" s="2" t="s">
        <v>45</v>
      </c>
      <c r="AN41" s="2" t="s">
        <v>46</v>
      </c>
      <c r="AO41" s="2" t="s">
        <v>47</v>
      </c>
      <c r="AP41" s="2" t="s">
        <v>48</v>
      </c>
      <c r="AQ41" s="2" t="s">
        <v>49</v>
      </c>
      <c r="AR41" s="2" t="s">
        <v>50</v>
      </c>
      <c r="AS41" s="2" t="s">
        <v>51</v>
      </c>
      <c r="AT41" s="2" t="s">
        <v>52</v>
      </c>
      <c r="AU41" s="2" t="s">
        <v>53</v>
      </c>
    </row>
    <row r="42" spans="1:47" x14ac:dyDescent="0.3">
      <c r="A42" s="2" t="s">
        <v>54</v>
      </c>
      <c r="B42" s="11">
        <f>IFERROR((NS_gen[[#This Row],[2005]]*1000)/(NS_cap[[#This Row],[2005]]*8760), 0)</f>
        <v>0.27151563342017754</v>
      </c>
      <c r="C42" s="11">
        <f>IFERROR((NS_gen[[#This Row],[2006]]*1000)/(NS_cap[[#This Row],[2006]]*8760), 0)</f>
        <v>0.27151563342017754</v>
      </c>
      <c r="D42" s="11">
        <f>IFERROR((NS_gen[[#This Row],[2007]]*1000)/(NS_cap[[#This Row],[2007]]*8760), 0)</f>
        <v>0.27151563342017754</v>
      </c>
      <c r="E42" s="11">
        <f>IFERROR((NS_gen[[#This Row],[2008]]*1000)/(NS_cap[[#This Row],[2008]]*8760), 0)</f>
        <v>0.32153460309976878</v>
      </c>
      <c r="F42" s="11">
        <f>IFERROR((NS_gen[[#This Row],[2009]]*1000)/(NS_cap[[#This Row],[2009]]*8760), 0)</f>
        <v>0.31493186454651911</v>
      </c>
      <c r="G42" s="11">
        <f>IFERROR((NS_gen[[#This Row],[2010]]*1000)/(NS_cap[[#This Row],[2010]]*8760), 0)</f>
        <v>0.29548427803510474</v>
      </c>
      <c r="H42" s="11">
        <f>IFERROR((NS_gen[[#This Row],[2011]]*1000)/(NS_cap[[#This Row],[2011]]*8760), 0)</f>
        <v>0.3261700070308024</v>
      </c>
      <c r="I42" s="11">
        <f>IFERROR((NS_gen[[#This Row],[2012]]*1000)/(NS_cap[[#This Row],[2012]]*8760), 0)</f>
        <v>0.24965505675364572</v>
      </c>
      <c r="J42" s="11">
        <f>IFERROR((NS_gen[[#This Row],[2013]]*1000)/(NS_cap[[#This Row],[2013]]*8760), 0)</f>
        <v>0.29488322945454692</v>
      </c>
      <c r="K42" s="11">
        <f>IFERROR((NS_gen[[#This Row],[2014]]*1000)/(NS_cap[[#This Row],[2014]]*8760), 0)</f>
        <v>0.34235655748893024</v>
      </c>
      <c r="L42" s="11">
        <f>IFERROR((NS_gen[[#This Row],[2015]]*1000)/(NS_cap[[#This Row],[2015]]*8760), 0)</f>
        <v>0.29701294517818044</v>
      </c>
      <c r="M42" s="11">
        <f>IFERROR((NS_gen[[#This Row],[2016]]*1000)/(NS_cap[[#This Row],[2016]]*8760), 0)</f>
        <v>0.23637280220430196</v>
      </c>
      <c r="N42" s="11">
        <f>IFERROR((NS_gen[[#This Row],[2017]]*1000)/(NS_cap[[#This Row],[2017]]*8760), 0)</f>
        <v>0.25020732061685996</v>
      </c>
      <c r="O42" s="11">
        <f>IFERROR((NS_gen[[#This Row],[2018]]*1000)/(NS_cap[[#This Row],[2018]]*8760), 0)</f>
        <v>0.27611102314771846</v>
      </c>
      <c r="P42" s="11">
        <f>IFERROR((NS_gen[[#This Row],[2019]]*1000)/(NS_cap[[#This Row],[2019]]*8760), 0)</f>
        <v>0.30378309319327135</v>
      </c>
      <c r="Q42" s="11">
        <f>IFERROR((NS_gen[[#This Row],[2020]]*1000)/(NS_cap[[#This Row],[2020]]*8760), 0)</f>
        <v>0.30377702675239759</v>
      </c>
      <c r="R42" s="11">
        <f>IFERROR((NS_gen[[#This Row],[2021]]*1000)/(NS_cap[[#This Row],[2021]]*8760), 0)</f>
        <v>0.30378612641370822</v>
      </c>
      <c r="S42" s="11">
        <f>IFERROR((NS_gen[[#This Row],[2022]]*1000)/(NS_cap[[#This Row],[2022]]*8760), 0)</f>
        <v>0.30377702675239759</v>
      </c>
      <c r="T42" s="11">
        <f>IFERROR((NS_gen[[#This Row],[2023]]*1000)/(NS_cap[[#This Row],[2023]]*8760), 0)</f>
        <v>0.30378612641370822</v>
      </c>
      <c r="U42" s="11">
        <f>IFERROR((NS_gen[[#This Row],[2024]]*1000)/(NS_cap[[#This Row],[2024]]*8760), 0)</f>
        <v>0.30378309319327135</v>
      </c>
      <c r="V42" s="11">
        <f>IFERROR((NS_gen[[#This Row],[2025]]*1000)/(NS_cap[[#This Row],[2025]]*8760), 0)</f>
        <v>0.30378005997283447</v>
      </c>
      <c r="W42" s="11">
        <f>IFERROR((NS_gen[[#This Row],[2026]]*1000)/(NS_cap[[#This Row],[2026]]*8760), 0)</f>
        <v>0.30378005997283447</v>
      </c>
      <c r="X42" s="11">
        <f>IFERROR((NS_gen[[#This Row],[2027]]*1000)/(NS_cap[[#This Row],[2027]]*8760), 0)</f>
        <v>0.30378005997283447</v>
      </c>
      <c r="Y42" s="11">
        <f>IFERROR((NS_gen[[#This Row],[2028]]*1000)/(NS_cap[[#This Row],[2028]]*8760), 0)</f>
        <v>0.30378309319327135</v>
      </c>
      <c r="Z42" s="11">
        <f>IFERROR((NS_gen[[#This Row],[2029]]*1000)/(NS_cap[[#This Row],[2029]]*8760), 0)</f>
        <v>0.30378309319327135</v>
      </c>
      <c r="AA42" s="11">
        <f>IFERROR((NS_gen[[#This Row],[2030]]*1000)/(NS_cap[[#This Row],[2030]]*8760), 0)</f>
        <v>0.30378005997283447</v>
      </c>
      <c r="AB42" s="11">
        <f>IFERROR((NS_gen[[#This Row],[2031]]*1000)/(NS_cap[[#This Row],[2031]]*8760), 0)</f>
        <v>0.30378612641370822</v>
      </c>
      <c r="AC42" s="11">
        <f>IFERROR((NS_gen[[#This Row],[2032]]*1000)/(NS_cap[[#This Row],[2032]]*8760), 0)</f>
        <v>0.30378005997283447</v>
      </c>
      <c r="AD42" s="11">
        <f>IFERROR((NS_gen[[#This Row],[2033]]*1000)/(NS_cap[[#This Row],[2033]]*8760), 0)</f>
        <v>0.30378309319327135</v>
      </c>
      <c r="AE42" s="11">
        <f>IFERROR((NS_gen[[#This Row],[2034]]*1000)/(NS_cap[[#This Row],[2034]]*8760), 0)</f>
        <v>0.30889274587683418</v>
      </c>
      <c r="AF42" s="11">
        <f>IFERROR((NS_gen[[#This Row],[2035]]*1000)/(NS_cap[[#This Row],[2035]]*8760), 0)</f>
        <v>0.30889274587683418</v>
      </c>
      <c r="AG42" s="11">
        <f>IFERROR((NS_gen[[#This Row],[2036]]*1000)/(NS_cap[[#This Row],[2036]]*8760), 0)</f>
        <v>0.31413903867755</v>
      </c>
      <c r="AH42" s="11">
        <f>IFERROR((NS_gen[[#This Row],[2037]]*1000)/(NS_cap[[#This Row],[2037]]*8760), 0)</f>
        <v>0.31413622009896819</v>
      </c>
      <c r="AI42" s="11">
        <f>IFERROR((NS_gen[[#This Row],[2038]]*1000)/(NS_cap[[#This Row],[2038]]*8760), 0)</f>
        <v>0.31413903867755</v>
      </c>
      <c r="AJ42" s="11">
        <f>IFERROR((NS_gen[[#This Row],[2039]]*1000)/(NS_cap[[#This Row],[2039]]*8760), 0)</f>
        <v>0.31413622009896819</v>
      </c>
      <c r="AK42" s="11">
        <f>IFERROR((NS_gen[[#This Row],[2040]]*1000)/(NS_cap[[#This Row],[2040]]*8760), 0)</f>
        <v>0.318863277332603</v>
      </c>
      <c r="AL42" s="11">
        <f>IFERROR((NS_gen[[#This Row],[2041]]*1000)/(NS_cap[[#This Row],[2041]]*8760), 0)</f>
        <v>0.31886871757141644</v>
      </c>
      <c r="AM42" s="11">
        <f>IFERROR((NS_gen[[#This Row],[2042]]*1000)/(NS_cap[[#This Row],[2042]]*8760), 0)</f>
        <v>0.31886599745200972</v>
      </c>
      <c r="AN42" s="11">
        <f>IFERROR((NS_gen[[#This Row],[2043]]*1000)/(NS_cap[[#This Row],[2043]]*8760), 0)</f>
        <v>0.31886599745200972</v>
      </c>
      <c r="AO42" s="11">
        <f>IFERROR((NS_gen[[#This Row],[2044]]*1000)/(NS_cap[[#This Row],[2044]]*8760), 0)</f>
        <v>0.32376456974604101</v>
      </c>
      <c r="AP42" s="11">
        <f>IFERROR((NS_gen[[#This Row],[2045]]*1000)/(NS_cap[[#This Row],[2045]]*8760), 0)</f>
        <v>0.32833231824982845</v>
      </c>
      <c r="AQ42" s="11">
        <f>IFERROR((NS_gen[[#This Row],[2046]]*1000)/(NS_cap[[#This Row],[2046]]*8760), 0)</f>
        <v>0.3325630411777431</v>
      </c>
      <c r="AR42" s="11">
        <f>IFERROR((NS_gen[[#This Row],[2047]]*1000)/(NS_cap[[#This Row],[2047]]*8760), 0)</f>
        <v>0.33643923069340537</v>
      </c>
      <c r="AS42" s="11">
        <f>IFERROR((NS_gen[[#This Row],[2048]]*1000)/(NS_cap[[#This Row],[2048]]*8760), 0)</f>
        <v>0.33970396973798977</v>
      </c>
      <c r="AT42" s="11">
        <f>IFERROR((NS_gen[[#This Row],[2049]]*1000)/(NS_cap[[#This Row],[2049]]*8760), 0)</f>
        <v>0.34248805764910445</v>
      </c>
      <c r="AU42" s="11">
        <f>IFERROR((NS_gen[[#This Row],[2050]]*1000)/(NS_cap[[#This Row],[2050]]*8760), 0)</f>
        <v>0.34248805764910445</v>
      </c>
    </row>
    <row r="43" spans="1:47" x14ac:dyDescent="0.3">
      <c r="A43" s="2" t="s">
        <v>55</v>
      </c>
      <c r="B43" s="11">
        <f>IFERROR((NS_gen[[#This Row],[2005]]*1000)/(NS_cap[[#This Row],[2005]]*8760), 0)</f>
        <v>0.27963101864645429</v>
      </c>
      <c r="C43" s="11">
        <f>IFERROR((NS_gen[[#This Row],[2006]]*1000)/(NS_cap[[#This Row],[2006]]*8760), 0)</f>
        <v>0.33846570419328237</v>
      </c>
      <c r="D43" s="11">
        <f>IFERROR((NS_gen[[#This Row],[2007]]*1000)/(NS_cap[[#This Row],[2007]]*8760), 0)</f>
        <v>0.42369679501710977</v>
      </c>
      <c r="E43" s="11">
        <f>IFERROR((NS_gen[[#This Row],[2008]]*1000)/(NS_cap[[#This Row],[2008]]*8760), 0)</f>
        <v>0.3937299171317436</v>
      </c>
      <c r="F43" s="11">
        <f>IFERROR((NS_gen[[#This Row],[2009]]*1000)/(NS_cap[[#This Row],[2009]]*8760), 0)</f>
        <v>0.40694233045831218</v>
      </c>
      <c r="G43" s="11">
        <f>IFERROR((NS_gen[[#This Row],[2010]]*1000)/(NS_cap[[#This Row],[2010]]*8760), 0)</f>
        <v>0.36152276752684798</v>
      </c>
      <c r="H43" s="11">
        <f>IFERROR((NS_gen[[#This Row],[2011]]*1000)/(NS_cap[[#This Row],[2011]]*8760), 0)</f>
        <v>0.35004975187307369</v>
      </c>
      <c r="I43" s="11">
        <f>IFERROR((NS_gen[[#This Row],[2012]]*1000)/(NS_cap[[#This Row],[2012]]*8760), 0)</f>
        <v>0.28520987168407874</v>
      </c>
      <c r="J43" s="11">
        <f>IFERROR((NS_gen[[#This Row],[2013]]*1000)/(NS_cap[[#This Row],[2013]]*8760), 0)</f>
        <v>0.26774003471590785</v>
      </c>
      <c r="K43" s="11">
        <f>IFERROR((NS_gen[[#This Row],[2014]]*1000)/(NS_cap[[#This Row],[2014]]*8760), 0)</f>
        <v>0.26043134175780092</v>
      </c>
      <c r="L43" s="11">
        <f>IFERROR((NS_gen[[#This Row],[2015]]*1000)/(NS_cap[[#This Row],[2015]]*8760), 0)</f>
        <v>0.17172760574314799</v>
      </c>
      <c r="M43" s="11">
        <f>IFERROR((NS_gen[[#This Row],[2016]]*1000)/(NS_cap[[#This Row],[2016]]*8760), 0)</f>
        <v>0.19121578787795265</v>
      </c>
      <c r="N43" s="11">
        <f>IFERROR((NS_gen[[#This Row],[2017]]*1000)/(NS_cap[[#This Row],[2017]]*8760), 0)</f>
        <v>0.24281641817402053</v>
      </c>
      <c r="O43" s="11">
        <f>IFERROR((NS_gen[[#This Row],[2018]]*1000)/(NS_cap[[#This Row],[2018]]*8760), 0)</f>
        <v>0.21387878545045505</v>
      </c>
      <c r="P43" s="11">
        <f>IFERROR((NS_gen[[#This Row],[2019]]*1000)/(NS_cap[[#This Row],[2019]]*8760), 0)</f>
        <v>0.19607101146672246</v>
      </c>
      <c r="Q43" s="11">
        <f>IFERROR((NS_gen[[#This Row],[2020]]*1000)/(NS_cap[[#This Row],[2020]]*8760), 0)</f>
        <v>0.19605802663152599</v>
      </c>
      <c r="R43" s="11">
        <f>IFERROR((NS_gen[[#This Row],[2021]]*1000)/(NS_cap[[#This Row],[2021]]*8760), 0)</f>
        <v>0.19606173658443926</v>
      </c>
      <c r="S43" s="11">
        <f>IFERROR((NS_gen[[#This Row],[2022]]*1000)/(NS_cap[[#This Row],[2022]]*8760), 0)</f>
        <v>0.19605802663152599</v>
      </c>
      <c r="T43" s="11">
        <f>IFERROR((NS_gen[[#This Row],[2023]]*1000)/(NS_cap[[#This Row],[2023]]*8760), 0)</f>
        <v>0.19996500798855688</v>
      </c>
      <c r="U43" s="11">
        <f>IFERROR((NS_gen[[#This Row],[2024]]*1000)/(NS_cap[[#This Row],[2024]]*8760), 0)</f>
        <v>0.19996500798855688</v>
      </c>
      <c r="V43" s="11">
        <f>IFERROR((NS_gen[[#This Row],[2025]]*1000)/(NS_cap[[#This Row],[2025]]*8760), 0)</f>
        <v>0.20409850583400777</v>
      </c>
      <c r="W43" s="11">
        <f>IFERROR((NS_gen[[#This Row],[2026]]*1000)/(NS_cap[[#This Row],[2026]]*8760), 0)</f>
        <v>0.20814102703707862</v>
      </c>
      <c r="X43" s="11">
        <f>IFERROR((NS_gen[[#This Row],[2027]]*1000)/(NS_cap[[#This Row],[2027]]*8760), 0)</f>
        <v>0.21205316160658219</v>
      </c>
      <c r="Y43" s="11">
        <f>IFERROR((NS_gen[[#This Row],[2028]]*1000)/(NS_cap[[#This Row],[2028]]*8760), 0)</f>
        <v>0.21586831682637683</v>
      </c>
      <c r="Z43" s="11">
        <f>IFERROR((NS_gen[[#This Row],[2029]]*1000)/(NS_cap[[#This Row],[2029]]*8760), 0)</f>
        <v>0.21960430205086967</v>
      </c>
      <c r="AA43" s="11">
        <f>IFERROR((NS_gen[[#This Row],[2030]]*1000)/(NS_cap[[#This Row],[2030]]*8760), 0)</f>
        <v>0.22790531441196016</v>
      </c>
      <c r="AB43" s="11">
        <f>IFERROR((NS_gen[[#This Row],[2031]]*1000)/(NS_cap[[#This Row],[2031]]*8760), 0)</f>
        <v>0.23601015105557363</v>
      </c>
      <c r="AC43" s="11">
        <f>IFERROR((NS_gen[[#This Row],[2032]]*1000)/(NS_cap[[#This Row],[2032]]*8760), 0)</f>
        <v>0.2439371619205554</v>
      </c>
      <c r="AD43" s="11">
        <f>IFERROR((NS_gen[[#This Row],[2033]]*1000)/(NS_cap[[#This Row],[2033]]*8760), 0)</f>
        <v>0.25172222627108637</v>
      </c>
      <c r="AE43" s="11">
        <f>IFERROR((NS_gen[[#This Row],[2034]]*1000)/(NS_cap[[#This Row],[2034]]*8760), 0)</f>
        <v>0.25935059626504253</v>
      </c>
      <c r="AF43" s="11">
        <f>IFERROR((NS_gen[[#This Row],[2035]]*1000)/(NS_cap[[#This Row],[2035]]*8760), 0)</f>
        <v>0.26681524969196202</v>
      </c>
      <c r="AG43" s="11">
        <f>IFERROR((NS_gen[[#This Row],[2036]]*1000)/(NS_cap[[#This Row],[2036]]*8760), 0)</f>
        <v>0.27415975420583633</v>
      </c>
      <c r="AH43" s="11">
        <f>IFERROR((NS_gen[[#This Row],[2037]]*1000)/(NS_cap[[#This Row],[2037]]*8760), 0)</f>
        <v>0.28137096508828396</v>
      </c>
      <c r="AI43" s="11">
        <f>IFERROR((NS_gen[[#This Row],[2038]]*1000)/(NS_cap[[#This Row],[2038]]*8760), 0)</f>
        <v>0.28845958191928206</v>
      </c>
      <c r="AJ43" s="11">
        <f>IFERROR((NS_gen[[#This Row],[2039]]*1000)/(NS_cap[[#This Row],[2039]]*8760), 0)</f>
        <v>0.29539597115366661</v>
      </c>
      <c r="AK43" s="11">
        <f>IFERROR((NS_gen[[#This Row],[2040]]*1000)/(NS_cap[[#This Row],[2040]]*8760), 0)</f>
        <v>0.30219583654473176</v>
      </c>
      <c r="AL43" s="11">
        <f>IFERROR((NS_gen[[#This Row],[2041]]*1000)/(NS_cap[[#This Row],[2041]]*8760), 0)</f>
        <v>0.30887538914524743</v>
      </c>
      <c r="AM43" s="11">
        <f>IFERROR((NS_gen[[#This Row],[2042]]*1000)/(NS_cap[[#This Row],[2042]]*8760), 0)</f>
        <v>0.31541803602435403</v>
      </c>
      <c r="AN43" s="11">
        <f>IFERROR((NS_gen[[#This Row],[2043]]*1000)/(NS_cap[[#This Row],[2043]]*8760), 0)</f>
        <v>0.32182942769626011</v>
      </c>
      <c r="AO43" s="11">
        <f>IFERROR((NS_gen[[#This Row],[2044]]*1000)/(NS_cap[[#This Row],[2044]]*8760), 0)</f>
        <v>0.33091094073616512</v>
      </c>
      <c r="AP43" s="11">
        <f>IFERROR((NS_gen[[#This Row],[2045]]*1000)/(NS_cap[[#This Row],[2045]]*8760), 0)</f>
        <v>0.33952142152016285</v>
      </c>
      <c r="AQ43" s="11">
        <f>IFERROR((NS_gen[[#This Row],[2046]]*1000)/(NS_cap[[#This Row],[2046]]*8760), 0)</f>
        <v>0.34778057304639115</v>
      </c>
      <c r="AR43" s="11">
        <f>IFERROR((NS_gen[[#This Row],[2047]]*1000)/(NS_cap[[#This Row],[2047]]*8760), 0)</f>
        <v>0.35560904674984556</v>
      </c>
      <c r="AS43" s="11">
        <f>IFERROR((NS_gen[[#This Row],[2048]]*1000)/(NS_cap[[#This Row],[2048]]*8760), 0)</f>
        <v>0.36304791528985603</v>
      </c>
      <c r="AT43" s="11">
        <f>IFERROR((NS_gen[[#This Row],[2049]]*1000)/(NS_cap[[#This Row],[2049]]*8760), 0)</f>
        <v>0.37013346159464261</v>
      </c>
      <c r="AU43" s="11">
        <f>IFERROR((NS_gen[[#This Row],[2050]]*1000)/(NS_cap[[#This Row],[2050]]*8760), 0)</f>
        <v>0.37693242694996459</v>
      </c>
    </row>
    <row r="44" spans="1:47" x14ac:dyDescent="0.3">
      <c r="A44" s="2" t="s">
        <v>56</v>
      </c>
      <c r="B44" s="11">
        <f>IFERROR((NS_gen[[#This Row],[2005]]*1000)/(NS_cap[[#This Row],[2005]]*8760), 0)</f>
        <v>0.52902025448868684</v>
      </c>
      <c r="C44" s="11">
        <f>IFERROR((NS_gen[[#This Row],[2006]]*1000)/(NS_cap[[#This Row],[2006]]*8760), 0)</f>
        <v>0.5490225327134558</v>
      </c>
      <c r="D44" s="11">
        <f>IFERROR((NS_gen[[#This Row],[2007]]*1000)/(NS_cap[[#This Row],[2007]]*8760), 0)</f>
        <v>0.5490225327134558</v>
      </c>
      <c r="E44" s="11">
        <f>IFERROR((NS_gen[[#This Row],[2008]]*1000)/(NS_cap[[#This Row],[2008]]*8760), 0)</f>
        <v>0.55592847652117217</v>
      </c>
      <c r="F44" s="11">
        <f>IFERROR((NS_gen[[#This Row],[2009]]*1000)/(NS_cap[[#This Row],[2009]]*8760), 0)</f>
        <v>0.422989058222631</v>
      </c>
      <c r="G44" s="11">
        <f>IFERROR((NS_gen[[#This Row],[2010]]*1000)/(NS_cap[[#This Row],[2010]]*8760), 0)</f>
        <v>0.65261168982920215</v>
      </c>
      <c r="H44" s="11">
        <f>IFERROR((NS_gen[[#This Row],[2011]]*1000)/(NS_cap[[#This Row],[2011]]*8760), 0)</f>
        <v>0.6267144005502655</v>
      </c>
      <c r="I44" s="11">
        <f>IFERROR((NS_gen[[#This Row],[2012]]*1000)/(NS_cap[[#This Row],[2012]]*8760), 0)</f>
        <v>0.66815006339656402</v>
      </c>
      <c r="J44" s="11">
        <f>IFERROR((NS_gen[[#This Row],[2013]]*1000)/(NS_cap[[#This Row],[2013]]*8760), 0)</f>
        <v>0.57146685008853415</v>
      </c>
      <c r="K44" s="11">
        <f>IFERROR((NS_gen[[#This Row],[2014]]*1000)/(NS_cap[[#This Row],[2014]]*8760), 0)</f>
        <v>0.25749838543745723</v>
      </c>
      <c r="L44" s="11">
        <f>IFERROR((NS_gen[[#This Row],[2015]]*1000)/(NS_cap[[#This Row],[2015]]*8760), 0)</f>
        <v>0.43305163679320297</v>
      </c>
      <c r="M44" s="11">
        <f>IFERROR((NS_gen[[#This Row],[2016]]*1000)/(NS_cap[[#This Row],[2016]]*8760), 0)</f>
        <v>0.40059811834500036</v>
      </c>
      <c r="N44" s="11">
        <f>IFERROR((NS_gen[[#This Row],[2017]]*1000)/(NS_cap[[#This Row],[2017]]*8760), 0)</f>
        <v>0.29208166603382307</v>
      </c>
      <c r="O44" s="11">
        <f>IFERROR((NS_gen[[#This Row],[2018]]*1000)/(NS_cap[[#This Row],[2018]]*8760), 0)</f>
        <v>0.49390198388358275</v>
      </c>
      <c r="P44" s="11">
        <f>IFERROR((NS_gen[[#This Row],[2019]]*1000)/(NS_cap[[#This Row],[2019]]*8760), 0)</f>
        <v>0.31845014977298763</v>
      </c>
      <c r="Q44" s="11">
        <f>IFERROR((NS_gen[[#This Row],[2020]]*1000)/(NS_cap[[#This Row],[2020]]*8760), 0)</f>
        <v>0.10861786955632795</v>
      </c>
      <c r="R44" s="11">
        <f>IFERROR((NS_gen[[#This Row],[2021]]*1000)/(NS_cap[[#This Row],[2021]]*8760), 0)</f>
        <v>0.12830295684006582</v>
      </c>
      <c r="S44" s="11">
        <f>IFERROR((NS_gen[[#This Row],[2022]]*1000)/(NS_cap[[#This Row],[2022]]*8760), 0)</f>
        <v>0.13927630276536432</v>
      </c>
      <c r="T44" s="11">
        <f>IFERROR((NS_gen[[#This Row],[2023]]*1000)/(NS_cap[[#This Row],[2023]]*8760), 0)</f>
        <v>0.14245066253857913</v>
      </c>
      <c r="U44" s="11">
        <f>IFERROR((NS_gen[[#This Row],[2024]]*1000)/(NS_cap[[#This Row],[2024]]*8760), 0)</f>
        <v>0.14245066253857913</v>
      </c>
      <c r="V44" s="11">
        <f>IFERROR((NS_gen[[#This Row],[2025]]*1000)/(NS_cap[[#This Row],[2025]]*8760), 0)</f>
        <v>0.1346922432845557</v>
      </c>
      <c r="W44" s="11">
        <f>IFERROR((NS_gen[[#This Row],[2026]]*1000)/(NS_cap[[#This Row],[2026]]*8760), 0)</f>
        <v>0.20772280151752653</v>
      </c>
      <c r="X44" s="11">
        <f>IFERROR((NS_gen[[#This Row],[2027]]*1000)/(NS_cap[[#This Row],[2027]]*8760), 0)</f>
        <v>0.20496425244942931</v>
      </c>
      <c r="Y44" s="11">
        <f>IFERROR((NS_gen[[#This Row],[2028]]*1000)/(NS_cap[[#This Row],[2028]]*8760), 0)</f>
        <v>0.20666806216795994</v>
      </c>
      <c r="Z44" s="11">
        <f>IFERROR((NS_gen[[#This Row],[2029]]*1000)/(NS_cap[[#This Row],[2029]]*8760), 0)</f>
        <v>0.20703316425050222</v>
      </c>
      <c r="AA44" s="11">
        <f>IFERROR((NS_gen[[#This Row],[2030]]*1000)/(NS_cap[[#This Row],[2030]]*8760), 0)</f>
        <v>0.20692160528083653</v>
      </c>
      <c r="AB44" s="11">
        <f>IFERROR((NS_gen[[#This Row],[2031]]*1000)/(NS_cap[[#This Row],[2031]]*8760), 0)</f>
        <v>0.20699259735244196</v>
      </c>
      <c r="AC44" s="11">
        <f>IFERROR((NS_gen[[#This Row],[2032]]*1000)/(NS_cap[[#This Row],[2032]]*8760), 0)</f>
        <v>0.17483318891517624</v>
      </c>
      <c r="AD44" s="11">
        <f>IFERROR((NS_gen[[#This Row],[2033]]*1000)/(NS_cap[[#This Row],[2033]]*8760), 0)</f>
        <v>0.17531999169189927</v>
      </c>
      <c r="AE44" s="11">
        <f>IFERROR((NS_gen[[#This Row],[2034]]*1000)/(NS_cap[[#This Row],[2034]]*8760), 0)</f>
        <v>0.17464049614939003</v>
      </c>
      <c r="AF44" s="11">
        <f>IFERROR((NS_gen[[#This Row],[2035]]*1000)/(NS_cap[[#This Row],[2035]]*8760), 0)</f>
        <v>0.18002575186688866</v>
      </c>
      <c r="AG44" s="11">
        <f>IFERROR((NS_gen[[#This Row],[2036]]*1000)/(NS_cap[[#This Row],[2036]]*8760), 0)</f>
        <v>0.17853491836317434</v>
      </c>
      <c r="AH44" s="11">
        <f>IFERROR((NS_gen[[#This Row],[2037]]*1000)/(NS_cap[[#This Row],[2037]]*8760), 0)</f>
        <v>0.17680068347109854</v>
      </c>
      <c r="AI44" s="11">
        <f>IFERROR((NS_gen[[#This Row],[2038]]*1000)/(NS_cap[[#This Row],[2038]]*8760), 0)</f>
        <v>0.17572566067250181</v>
      </c>
      <c r="AJ44" s="11">
        <f>IFERROR((NS_gen[[#This Row],[2039]]*1000)/(NS_cap[[#This Row],[2039]]*8760), 0)</f>
        <v>0.17682096692012866</v>
      </c>
      <c r="AK44" s="11">
        <f>IFERROR((NS_gen[[#This Row],[2040]]*1000)/(NS_cap[[#This Row],[2040]]*8760), 0)</f>
        <v>0.17445794510811891</v>
      </c>
      <c r="AL44" s="11">
        <f>IFERROR((NS_gen[[#This Row],[2041]]*1000)/(NS_cap[[#This Row],[2041]]*8760), 0)</f>
        <v>0.18369705614134157</v>
      </c>
      <c r="AM44" s="11">
        <f>IFERROR((NS_gen[[#This Row],[2042]]*1000)/(NS_cap[[#This Row],[2042]]*8760), 0)</f>
        <v>0.18076609775648828</v>
      </c>
      <c r="AN44" s="11">
        <f>IFERROR((NS_gen[[#This Row],[2043]]*1000)/(NS_cap[[#This Row],[2043]]*8760), 0)</f>
        <v>0.21523781938318842</v>
      </c>
      <c r="AO44" s="11">
        <f>IFERROR((NS_gen[[#This Row],[2044]]*1000)/(NS_cap[[#This Row],[2044]]*8760), 0)</f>
        <v>0.21523781938318842</v>
      </c>
      <c r="AP44" s="11">
        <f>IFERROR((NS_gen[[#This Row],[2045]]*1000)/(NS_cap[[#This Row],[2045]]*8760), 0)</f>
        <v>0.21523781938318842</v>
      </c>
      <c r="AQ44" s="11">
        <f>IFERROR((NS_gen[[#This Row],[2046]]*1000)/(NS_cap[[#This Row],[2046]]*8760), 0)</f>
        <v>0.21477741085378096</v>
      </c>
      <c r="AR44" s="11">
        <f>IFERROR((NS_gen[[#This Row],[2047]]*1000)/(NS_cap[[#This Row],[2047]]*8760), 0)</f>
        <v>0.15904158774069174</v>
      </c>
      <c r="AS44" s="11">
        <f>IFERROR((NS_gen[[#This Row],[2048]]*1000)/(NS_cap[[#This Row],[2048]]*8760), 0)</f>
        <v>0.1538877500824824</v>
      </c>
      <c r="AT44" s="11">
        <f>IFERROR((NS_gen[[#This Row],[2049]]*1000)/(NS_cap[[#This Row],[2049]]*8760), 0)</f>
        <v>0.21176326351364405</v>
      </c>
      <c r="AU44" s="11">
        <f>IFERROR((NS_gen[[#This Row],[2050]]*1000)/(NS_cap[[#This Row],[2050]]*8760), 0)</f>
        <v>0.21139172727678374</v>
      </c>
    </row>
    <row r="45" spans="1:47" x14ac:dyDescent="0.3">
      <c r="A45" s="2" t="s">
        <v>57</v>
      </c>
      <c r="B45" s="11">
        <f>IFERROR((NS_gen[[#This Row],[2005]]*1000)/(NS_cap[[#This Row],[2005]]*8760), 0)</f>
        <v>0</v>
      </c>
      <c r="C45" s="11">
        <f>IFERROR((NS_gen[[#This Row],[2006]]*1000)/(NS_cap[[#This Row],[2006]]*8760), 0)</f>
        <v>0</v>
      </c>
      <c r="D45" s="11">
        <f>IFERROR((NS_gen[[#This Row],[2007]]*1000)/(NS_cap[[#This Row],[2007]]*8760), 0)</f>
        <v>0</v>
      </c>
      <c r="E45" s="11">
        <f>IFERROR((NS_gen[[#This Row],[2008]]*1000)/(NS_cap[[#This Row],[2008]]*8760), 0)</f>
        <v>0</v>
      </c>
      <c r="F45" s="11">
        <f>IFERROR((NS_gen[[#This Row],[2009]]*1000)/(NS_cap[[#This Row],[2009]]*8760), 0)</f>
        <v>0</v>
      </c>
      <c r="G45" s="11">
        <f>IFERROR((NS_gen[[#This Row],[2010]]*1000)/(NS_cap[[#This Row],[2010]]*8760), 0)</f>
        <v>0</v>
      </c>
      <c r="H45" s="11">
        <f>IFERROR((NS_gen[[#This Row],[2011]]*1000)/(NS_cap[[#This Row],[2011]]*8760), 0)</f>
        <v>0</v>
      </c>
      <c r="I45" s="11">
        <f>IFERROR((NS_gen[[#This Row],[2012]]*1000)/(NS_cap[[#This Row],[2012]]*8760), 0)</f>
        <v>0</v>
      </c>
      <c r="J45" s="11">
        <f>IFERROR((NS_gen[[#This Row],[2013]]*1000)/(NS_cap[[#This Row],[2013]]*8760), 0)</f>
        <v>0</v>
      </c>
      <c r="K45" s="11">
        <f>IFERROR((NS_gen[[#This Row],[2014]]*1000)/(NS_cap[[#This Row],[2014]]*8760), 0)</f>
        <v>0</v>
      </c>
      <c r="L45" s="11">
        <f>IFERROR((NS_gen[[#This Row],[2015]]*1000)/(NS_cap[[#This Row],[2015]]*8760), 0)</f>
        <v>0</v>
      </c>
      <c r="M45" s="11">
        <f>IFERROR((NS_gen[[#This Row],[2016]]*1000)/(NS_cap[[#This Row],[2016]]*8760), 0)</f>
        <v>0</v>
      </c>
      <c r="N45" s="11">
        <f>IFERROR((NS_gen[[#This Row],[2017]]*1000)/(NS_cap[[#This Row],[2017]]*8760), 0)</f>
        <v>0</v>
      </c>
      <c r="O45" s="11">
        <f>IFERROR((NS_gen[[#This Row],[2018]]*1000)/(NS_cap[[#This Row],[2018]]*8760), 0)</f>
        <v>0</v>
      </c>
      <c r="P45" s="11">
        <f>IFERROR((NS_gen[[#This Row],[2019]]*1000)/(NS_cap[[#This Row],[2019]]*8760), 0)</f>
        <v>0</v>
      </c>
      <c r="Q45" s="11">
        <f>IFERROR((NS_gen[[#This Row],[2020]]*1000)/(NS_cap[[#This Row],[2020]]*8760), 0)</f>
        <v>0</v>
      </c>
      <c r="R45" s="11">
        <f>IFERROR((NS_gen[[#This Row],[2021]]*1000)/(NS_cap[[#This Row],[2021]]*8760), 0)</f>
        <v>0</v>
      </c>
      <c r="S45" s="11">
        <f>IFERROR((NS_gen[[#This Row],[2022]]*1000)/(NS_cap[[#This Row],[2022]]*8760), 0)</f>
        <v>0</v>
      </c>
      <c r="T45" s="11">
        <f>IFERROR((NS_gen[[#This Row],[2023]]*1000)/(NS_cap[[#This Row],[2023]]*8760), 0)</f>
        <v>0</v>
      </c>
      <c r="U45" s="11">
        <f>IFERROR((NS_gen[[#This Row],[2024]]*1000)/(NS_cap[[#This Row],[2024]]*8760), 0)</f>
        <v>0</v>
      </c>
      <c r="V45" s="11">
        <f>IFERROR((NS_gen[[#This Row],[2025]]*1000)/(NS_cap[[#This Row],[2025]]*8760), 0)</f>
        <v>0</v>
      </c>
      <c r="W45" s="11">
        <f>IFERROR((NS_gen[[#This Row],[2026]]*1000)/(NS_cap[[#This Row],[2026]]*8760), 0)</f>
        <v>0.19957904563127746</v>
      </c>
      <c r="X45" s="11">
        <f>IFERROR((NS_gen[[#This Row],[2027]]*1000)/(NS_cap[[#This Row],[2027]]*8760), 0)</f>
        <v>0.20326023362317669</v>
      </c>
      <c r="Y45" s="11">
        <f>IFERROR((NS_gen[[#This Row],[2028]]*1000)/(NS_cap[[#This Row],[2028]]*8760), 0)</f>
        <v>0.20326023362317669</v>
      </c>
      <c r="Z45" s="11">
        <f>IFERROR((NS_gen[[#This Row],[2029]]*1000)/(NS_cap[[#This Row],[2029]]*8760), 0)</f>
        <v>0.20447960691802622</v>
      </c>
      <c r="AA45" s="11">
        <f>IFERROR((NS_gen[[#This Row],[2030]]*1000)/(NS_cap[[#This Row],[2030]]*8760), 0)</f>
        <v>0.20509488147874175</v>
      </c>
      <c r="AB45" s="11">
        <f>IFERROR((NS_gen[[#This Row],[2031]]*1000)/(NS_cap[[#This Row],[2031]]*8760), 0)</f>
        <v>0.20548851739139501</v>
      </c>
      <c r="AC45" s="11">
        <f>IFERROR((NS_gen[[#This Row],[2032]]*1000)/(NS_cap[[#This Row],[2032]]*8760), 0)</f>
        <v>0.20573283624649519</v>
      </c>
      <c r="AD45" s="11">
        <f>IFERROR((NS_gen[[#This Row],[2033]]*1000)/(NS_cap[[#This Row],[2033]]*8760), 0)</f>
        <v>0.20590771674573338</v>
      </c>
      <c r="AE45" s="11">
        <f>IFERROR((NS_gen[[#This Row],[2034]]*1000)/(NS_cap[[#This Row],[2034]]*8760), 0)</f>
        <v>0.20605328210905838</v>
      </c>
      <c r="AF45" s="11">
        <f>IFERROR((NS_gen[[#This Row],[2035]]*1000)/(NS_cap[[#This Row],[2035]]*8760), 0)</f>
        <v>0.20605328210905838</v>
      </c>
      <c r="AG45" s="11">
        <f>IFERROR((NS_gen[[#This Row],[2036]]*1000)/(NS_cap[[#This Row],[2036]]*8760), 0)</f>
        <v>0.20615400006972853</v>
      </c>
      <c r="AH45" s="11">
        <f>IFERROR((NS_gen[[#This Row],[2037]]*1000)/(NS_cap[[#This Row],[2037]]*8760), 0)</f>
        <v>0.20623464869480637</v>
      </c>
      <c r="AI45" s="11">
        <f>IFERROR((NS_gen[[#This Row],[2038]]*1000)/(NS_cap[[#This Row],[2038]]*8760), 0)</f>
        <v>0.20631102605060686</v>
      </c>
      <c r="AJ45" s="11">
        <f>IFERROR((NS_gen[[#This Row],[2039]]*1000)/(NS_cap[[#This Row],[2039]]*8760), 0)</f>
        <v>0.20636522927973605</v>
      </c>
      <c r="AK45" s="11">
        <f>IFERROR((NS_gen[[#This Row],[2040]]*1000)/(NS_cap[[#This Row],[2040]]*8760), 0)</f>
        <v>0.20641111721713717</v>
      </c>
      <c r="AL45" s="11">
        <f>IFERROR((NS_gen[[#This Row],[2041]]*1000)/(NS_cap[[#This Row],[2041]]*8760), 0)</f>
        <v>0.20645859946787731</v>
      </c>
      <c r="AM45" s="11">
        <f>IFERROR((NS_gen[[#This Row],[2042]]*1000)/(NS_cap[[#This Row],[2042]]*8760), 0)</f>
        <v>0.20649217470574108</v>
      </c>
      <c r="AN45" s="11">
        <f>IFERROR((NS_gen[[#This Row],[2043]]*1000)/(NS_cap[[#This Row],[2043]]*8760), 0)</f>
        <v>0.20652156272182223</v>
      </c>
      <c r="AO45" s="11">
        <f>IFERROR((NS_gen[[#This Row],[2044]]*1000)/(NS_cap[[#This Row],[2044]]*8760), 0)</f>
        <v>0.20654750083286363</v>
      </c>
      <c r="AP45" s="11">
        <f>IFERROR((NS_gen[[#This Row],[2045]]*1000)/(NS_cap[[#This Row],[2045]]*8760), 0)</f>
        <v>0.20657689179244187</v>
      </c>
      <c r="AQ45" s="11">
        <f>IFERROR((NS_gen[[#This Row],[2046]]*1000)/(NS_cap[[#This Row],[2046]]*8760), 0)</f>
        <v>0.20659719848610122</v>
      </c>
      <c r="AR45" s="11">
        <f>IFERROR((NS_gen[[#This Row],[2047]]*1000)/(NS_cap[[#This Row],[2047]]*8760), 0)</f>
        <v>0.2066154782601958</v>
      </c>
      <c r="AS45" s="11">
        <f>IFERROR((NS_gen[[#This Row],[2048]]*1000)/(NS_cap[[#This Row],[2048]]*8760), 0)</f>
        <v>0.20663744656891761</v>
      </c>
      <c r="AT45" s="11">
        <f>IFERROR((NS_gen[[#This Row],[2049]]*1000)/(NS_cap[[#This Row],[2049]]*8760), 0)</f>
        <v>0.20665224094885667</v>
      </c>
      <c r="AU45" s="11">
        <f>IFERROR((NS_gen[[#This Row],[2050]]*1000)/(NS_cap[[#This Row],[2050]]*8760), 0)</f>
        <v>0.20666575092718623</v>
      </c>
    </row>
    <row r="46" spans="1:47" x14ac:dyDescent="0.3">
      <c r="A46" s="2" t="s">
        <v>58</v>
      </c>
      <c r="B46" s="11">
        <f>IFERROR((NS_gen[[#This Row],[2005]]*1000)/(NS_cap[[#This Row],[2005]]*8760), 0)</f>
        <v>0</v>
      </c>
      <c r="C46" s="11">
        <f>IFERROR((NS_gen[[#This Row],[2006]]*1000)/(NS_cap[[#This Row],[2006]]*8760), 0)</f>
        <v>0</v>
      </c>
      <c r="D46" s="11">
        <f>IFERROR((NS_gen[[#This Row],[2007]]*1000)/(NS_cap[[#This Row],[2007]]*8760), 0)</f>
        <v>0</v>
      </c>
      <c r="E46" s="11">
        <f>IFERROR((NS_gen[[#This Row],[2008]]*1000)/(NS_cap[[#This Row],[2008]]*8760), 0)</f>
        <v>0</v>
      </c>
      <c r="F46" s="11">
        <f>IFERROR((NS_gen[[#This Row],[2009]]*1000)/(NS_cap[[#This Row],[2009]]*8760), 0)</f>
        <v>0</v>
      </c>
      <c r="G46" s="11">
        <f>IFERROR((NS_gen[[#This Row],[2010]]*1000)/(NS_cap[[#This Row],[2010]]*8760), 0)</f>
        <v>0</v>
      </c>
      <c r="H46" s="11">
        <f>IFERROR((NS_gen[[#This Row],[2011]]*1000)/(NS_cap[[#This Row],[2011]]*8760), 0)</f>
        <v>0</v>
      </c>
      <c r="I46" s="11">
        <f>IFERROR((NS_gen[[#This Row],[2012]]*1000)/(NS_cap[[#This Row],[2012]]*8760), 0)</f>
        <v>0</v>
      </c>
      <c r="J46" s="11">
        <f>IFERROR((NS_gen[[#This Row],[2013]]*1000)/(NS_cap[[#This Row],[2013]]*8760), 0)</f>
        <v>0</v>
      </c>
      <c r="K46" s="11">
        <f>IFERROR((NS_gen[[#This Row],[2014]]*1000)/(NS_cap[[#This Row],[2014]]*8760), 0)</f>
        <v>0</v>
      </c>
      <c r="L46" s="11">
        <f>IFERROR((NS_gen[[#This Row],[2015]]*1000)/(NS_cap[[#This Row],[2015]]*8760), 0)</f>
        <v>0</v>
      </c>
      <c r="M46" s="11">
        <f>IFERROR((NS_gen[[#This Row],[2016]]*1000)/(NS_cap[[#This Row],[2016]]*8760), 0)</f>
        <v>0</v>
      </c>
      <c r="N46" s="11">
        <f>IFERROR((NS_gen[[#This Row],[2017]]*1000)/(NS_cap[[#This Row],[2017]]*8760), 0)</f>
        <v>0</v>
      </c>
      <c r="O46" s="11">
        <f>IFERROR((NS_gen[[#This Row],[2018]]*1000)/(NS_cap[[#This Row],[2018]]*8760), 0)</f>
        <v>0</v>
      </c>
      <c r="P46" s="11">
        <f>IFERROR((NS_gen[[#This Row],[2019]]*1000)/(NS_cap[[#This Row],[2019]]*8760), 0)</f>
        <v>0</v>
      </c>
      <c r="Q46" s="11">
        <f>IFERROR((NS_gen[[#This Row],[2020]]*1000)/(NS_cap[[#This Row],[2020]]*8760), 0)</f>
        <v>0</v>
      </c>
      <c r="R46" s="11">
        <f>IFERROR((NS_gen[[#This Row],[2021]]*1000)/(NS_cap[[#This Row],[2021]]*8760), 0)</f>
        <v>0</v>
      </c>
      <c r="S46" s="11">
        <f>IFERROR((NS_gen[[#This Row],[2022]]*1000)/(NS_cap[[#This Row],[2022]]*8760), 0)</f>
        <v>0</v>
      </c>
      <c r="T46" s="11">
        <f>IFERROR((NS_gen[[#This Row],[2023]]*1000)/(NS_cap[[#This Row],[2023]]*8760), 0)</f>
        <v>0</v>
      </c>
      <c r="U46" s="11">
        <f>IFERROR((NS_gen[[#This Row],[2024]]*1000)/(NS_cap[[#This Row],[2024]]*8760), 0)</f>
        <v>0</v>
      </c>
      <c r="V46" s="11">
        <f>IFERROR((NS_gen[[#This Row],[2025]]*1000)/(NS_cap[[#This Row],[2025]]*8760), 0)</f>
        <v>0</v>
      </c>
      <c r="W46" s="11">
        <f>IFERROR((NS_gen[[#This Row],[2026]]*1000)/(NS_cap[[#This Row],[2026]]*8760), 0)</f>
        <v>0</v>
      </c>
      <c r="X46" s="11">
        <f>IFERROR((NS_gen[[#This Row],[2027]]*1000)/(NS_cap[[#This Row],[2027]]*8760), 0)</f>
        <v>0</v>
      </c>
      <c r="Y46" s="11">
        <f>IFERROR((NS_gen[[#This Row],[2028]]*1000)/(NS_cap[[#This Row],[2028]]*8760), 0)</f>
        <v>0</v>
      </c>
      <c r="Z46" s="11">
        <f>IFERROR((NS_gen[[#This Row],[2029]]*1000)/(NS_cap[[#This Row],[2029]]*8760), 0)</f>
        <v>0</v>
      </c>
      <c r="AA46" s="11">
        <f>IFERROR((NS_gen[[#This Row],[2030]]*1000)/(NS_cap[[#This Row],[2030]]*8760), 0)</f>
        <v>0</v>
      </c>
      <c r="AB46" s="11">
        <f>IFERROR((NS_gen[[#This Row],[2031]]*1000)/(NS_cap[[#This Row],[2031]]*8760), 0)</f>
        <v>0</v>
      </c>
      <c r="AC46" s="11">
        <f>IFERROR((NS_gen[[#This Row],[2032]]*1000)/(NS_cap[[#This Row],[2032]]*8760), 0)</f>
        <v>0</v>
      </c>
      <c r="AD46" s="11">
        <f>IFERROR((NS_gen[[#This Row],[2033]]*1000)/(NS_cap[[#This Row],[2033]]*8760), 0)</f>
        <v>0</v>
      </c>
      <c r="AE46" s="11">
        <f>IFERROR((NS_gen[[#This Row],[2034]]*1000)/(NS_cap[[#This Row],[2034]]*8760), 0)</f>
        <v>0</v>
      </c>
      <c r="AF46" s="11">
        <f>IFERROR((NS_gen[[#This Row],[2035]]*1000)/(NS_cap[[#This Row],[2035]]*8760), 0)</f>
        <v>0</v>
      </c>
      <c r="AG46" s="11">
        <f>IFERROR((NS_gen[[#This Row],[2036]]*1000)/(NS_cap[[#This Row],[2036]]*8760), 0)</f>
        <v>0</v>
      </c>
      <c r="AH46" s="11">
        <f>IFERROR((NS_gen[[#This Row],[2037]]*1000)/(NS_cap[[#This Row],[2037]]*8760), 0)</f>
        <v>0</v>
      </c>
      <c r="AI46" s="11">
        <f>IFERROR((NS_gen[[#This Row],[2038]]*1000)/(NS_cap[[#This Row],[2038]]*8760), 0)</f>
        <v>0</v>
      </c>
      <c r="AJ46" s="11">
        <f>IFERROR((NS_gen[[#This Row],[2039]]*1000)/(NS_cap[[#This Row],[2039]]*8760), 0)</f>
        <v>0</v>
      </c>
      <c r="AK46" s="11">
        <f>IFERROR((NS_gen[[#This Row],[2040]]*1000)/(NS_cap[[#This Row],[2040]]*8760), 0)</f>
        <v>0</v>
      </c>
      <c r="AL46" s="11">
        <f>IFERROR((NS_gen[[#This Row],[2041]]*1000)/(NS_cap[[#This Row],[2041]]*8760), 0)</f>
        <v>0</v>
      </c>
      <c r="AM46" s="11">
        <f>IFERROR((NS_gen[[#This Row],[2042]]*1000)/(NS_cap[[#This Row],[2042]]*8760), 0)</f>
        <v>0</v>
      </c>
      <c r="AN46" s="11">
        <f>IFERROR((NS_gen[[#This Row],[2043]]*1000)/(NS_cap[[#This Row],[2043]]*8760), 0)</f>
        <v>0</v>
      </c>
      <c r="AO46" s="11">
        <f>IFERROR((NS_gen[[#This Row],[2044]]*1000)/(NS_cap[[#This Row],[2044]]*8760), 0)</f>
        <v>0</v>
      </c>
      <c r="AP46" s="11">
        <f>IFERROR((NS_gen[[#This Row],[2045]]*1000)/(NS_cap[[#This Row],[2045]]*8760), 0)</f>
        <v>0</v>
      </c>
      <c r="AQ46" s="11">
        <f>IFERROR((NS_gen[[#This Row],[2046]]*1000)/(NS_cap[[#This Row],[2046]]*8760), 0)</f>
        <v>0</v>
      </c>
      <c r="AR46" s="11">
        <f>IFERROR((NS_gen[[#This Row],[2047]]*1000)/(NS_cap[[#This Row],[2047]]*8760), 0)</f>
        <v>0</v>
      </c>
      <c r="AS46" s="11">
        <f>IFERROR((NS_gen[[#This Row],[2048]]*1000)/(NS_cap[[#This Row],[2048]]*8760), 0)</f>
        <v>0</v>
      </c>
      <c r="AT46" s="11">
        <f>IFERROR((NS_gen[[#This Row],[2049]]*1000)/(NS_cap[[#This Row],[2049]]*8760), 0)</f>
        <v>0</v>
      </c>
      <c r="AU46" s="11">
        <f>IFERROR((NS_gen[[#This Row],[2050]]*1000)/(NS_cap[[#This Row],[2050]]*8760), 0)</f>
        <v>0</v>
      </c>
    </row>
    <row r="47" spans="1:47" x14ac:dyDescent="0.3">
      <c r="A47" s="2" t="s">
        <v>59</v>
      </c>
      <c r="B47" s="11">
        <f>IFERROR((NS_gen[[#This Row],[2005]]*1000)/(NS_cap[[#This Row],[2005]]*8760), 0)</f>
        <v>0.74227324938313621</v>
      </c>
      <c r="C47" s="11">
        <f>IFERROR((NS_gen[[#This Row],[2006]]*1000)/(NS_cap[[#This Row],[2006]]*8760), 0)</f>
        <v>0.71966909157945491</v>
      </c>
      <c r="D47" s="11">
        <f>IFERROR((NS_gen[[#This Row],[2007]]*1000)/(NS_cap[[#This Row],[2007]]*8760), 0)</f>
        <v>0.77716239116254004</v>
      </c>
      <c r="E47" s="11">
        <f>IFERROR((NS_gen[[#This Row],[2008]]*1000)/(NS_cap[[#This Row],[2008]]*8760), 0)</f>
        <v>0.77692663575257381</v>
      </c>
      <c r="F47" s="11">
        <f>IFERROR((NS_gen[[#This Row],[2009]]*1000)/(NS_cap[[#This Row],[2009]]*8760), 0)</f>
        <v>0.68139960719248982</v>
      </c>
      <c r="G47" s="11">
        <f>IFERROR((NS_gen[[#This Row],[2010]]*1000)/(NS_cap[[#This Row],[2010]]*8760), 0)</f>
        <v>0.66410083241158291</v>
      </c>
      <c r="H47" s="11">
        <f>IFERROR((NS_gen[[#This Row],[2011]]*1000)/(NS_cap[[#This Row],[2011]]*8760), 0)</f>
        <v>0.57564646615048642</v>
      </c>
      <c r="I47" s="11">
        <f>IFERROR((NS_gen[[#This Row],[2012]]*1000)/(NS_cap[[#This Row],[2012]]*8760), 0)</f>
        <v>0.54717855724779485</v>
      </c>
      <c r="J47" s="11">
        <f>IFERROR((NS_gen[[#This Row],[2013]]*1000)/(NS_cap[[#This Row],[2013]]*8760), 0)</f>
        <v>0.62443287087691657</v>
      </c>
      <c r="K47" s="11">
        <f>IFERROR((NS_gen[[#This Row],[2014]]*1000)/(NS_cap[[#This Row],[2014]]*8760), 0)</f>
        <v>0.50347024669205076</v>
      </c>
      <c r="L47" s="11">
        <f>IFERROR((NS_gen[[#This Row],[2015]]*1000)/(NS_cap[[#This Row],[2015]]*8760), 0)</f>
        <v>0.44258683822778533</v>
      </c>
      <c r="M47" s="11">
        <f>IFERROR((NS_gen[[#This Row],[2016]]*1000)/(NS_cap[[#This Row],[2016]]*8760), 0)</f>
        <v>0.43876920215326709</v>
      </c>
      <c r="N47" s="11">
        <f>IFERROR((NS_gen[[#This Row],[2017]]*1000)/(NS_cap[[#This Row],[2017]]*8760), 0)</f>
        <v>0.44031467460282725</v>
      </c>
      <c r="O47" s="11">
        <f>IFERROR((NS_gen[[#This Row],[2018]]*1000)/(NS_cap[[#This Row],[2018]]*8760), 0)</f>
        <v>0.45222256262126714</v>
      </c>
      <c r="P47" s="11">
        <f>IFERROR((NS_gen[[#This Row],[2019]]*1000)/(NS_cap[[#This Row],[2019]]*8760), 0)</f>
        <v>0.4534042335915503</v>
      </c>
      <c r="Q47" s="11">
        <f>IFERROR((NS_gen[[#This Row],[2020]]*1000)/(NS_cap[[#This Row],[2020]]*8760), 0)</f>
        <v>0.46351714722177129</v>
      </c>
      <c r="R47" s="11">
        <f>IFERROR((NS_gen[[#This Row],[2021]]*1000)/(NS_cap[[#This Row],[2021]]*8760), 0)</f>
        <v>0.46114767131612577</v>
      </c>
      <c r="S47" s="11">
        <f>IFERROR((NS_gen[[#This Row],[2022]]*1000)/(NS_cap[[#This Row],[2022]]*8760), 0)</f>
        <v>0.51087856878244109</v>
      </c>
      <c r="T47" s="11">
        <f>IFERROR((NS_gen[[#This Row],[2023]]*1000)/(NS_cap[[#This Row],[2023]]*8760), 0)</f>
        <v>0.52510062728154405</v>
      </c>
      <c r="U47" s="11">
        <f>IFERROR((NS_gen[[#This Row],[2024]]*1000)/(NS_cap[[#This Row],[2024]]*8760), 0)</f>
        <v>0.53884920684473636</v>
      </c>
      <c r="V47" s="11">
        <f>IFERROR((NS_gen[[#This Row],[2025]]*1000)/(NS_cap[[#This Row],[2025]]*8760), 0)</f>
        <v>0.47700661413652012</v>
      </c>
      <c r="W47" s="11">
        <f>IFERROR((NS_gen[[#This Row],[2026]]*1000)/(NS_cap[[#This Row],[2026]]*8760), 0)</f>
        <v>0.47999317357841853</v>
      </c>
      <c r="X47" s="11">
        <f>IFERROR((NS_gen[[#This Row],[2027]]*1000)/(NS_cap[[#This Row],[2027]]*8760), 0)</f>
        <v>0.4723280178818946</v>
      </c>
      <c r="Y47" s="11">
        <f>IFERROR((NS_gen[[#This Row],[2028]]*1000)/(NS_cap[[#This Row],[2028]]*8760), 0)</f>
        <v>0.4756267612375803</v>
      </c>
      <c r="Z47" s="11">
        <f>IFERROR((NS_gen[[#This Row],[2029]]*1000)/(NS_cap[[#This Row],[2029]]*8760), 0)</f>
        <v>0.4771294064759431</v>
      </c>
      <c r="AA47" s="11">
        <f>IFERROR((NS_gen[[#This Row],[2030]]*1000)/(NS_cap[[#This Row],[2030]]*8760), 0)</f>
        <v>0.47666217121830812</v>
      </c>
      <c r="AB47" s="11">
        <f>IFERROR((NS_gen[[#This Row],[2031]]*1000)/(NS_cap[[#This Row],[2031]]*8760), 0)</f>
        <v>0.47696186777554395</v>
      </c>
      <c r="AC47" s="11">
        <f>IFERROR((NS_gen[[#This Row],[2032]]*1000)/(NS_cap[[#This Row],[2032]]*8760), 0)</f>
        <v>0.36478274080826495</v>
      </c>
      <c r="AD47" s="11">
        <f>IFERROR((NS_gen[[#This Row],[2033]]*1000)/(NS_cap[[#This Row],[2033]]*8760), 0)</f>
        <v>0.36683587034793935</v>
      </c>
      <c r="AE47" s="11">
        <f>IFERROR((NS_gen[[#This Row],[2034]]*1000)/(NS_cap[[#This Row],[2034]]*8760), 0)</f>
        <v>0.36401372776730229</v>
      </c>
      <c r="AF47" s="11">
        <f>IFERROR((NS_gen[[#This Row],[2035]]*1000)/(NS_cap[[#This Row],[2035]]*8760), 0)</f>
        <v>0.38318072195614306</v>
      </c>
      <c r="AG47" s="11">
        <f>IFERROR((NS_gen[[#This Row],[2036]]*1000)/(NS_cap[[#This Row],[2036]]*8760), 0)</f>
        <v>0.37700469237525414</v>
      </c>
      <c r="AH47" s="11">
        <f>IFERROR((NS_gen[[#This Row],[2037]]*1000)/(NS_cap[[#This Row],[2037]]*8760), 0)</f>
        <v>0.36586212083715469</v>
      </c>
      <c r="AI47" s="11">
        <f>IFERROR((NS_gen[[#This Row],[2038]]*1000)/(NS_cap[[#This Row],[2038]]*8760), 0)</f>
        <v>0.36137840342781169</v>
      </c>
      <c r="AJ47" s="11">
        <f>IFERROR((NS_gen[[#This Row],[2039]]*1000)/(NS_cap[[#This Row],[2039]]*8760), 0)</f>
        <v>0.36700187063566758</v>
      </c>
      <c r="AK47" s="11">
        <f>IFERROR((NS_gen[[#This Row],[2040]]*1000)/(NS_cap[[#This Row],[2040]]*8760), 0)</f>
        <v>0.35714036738819754</v>
      </c>
      <c r="AL47" s="11">
        <f>IFERROR((NS_gen[[#This Row],[2041]]*1000)/(NS_cap[[#This Row],[2041]]*8760), 0)</f>
        <v>0.38034012871678713</v>
      </c>
      <c r="AM47" s="11">
        <f>IFERROR((NS_gen[[#This Row],[2042]]*1000)/(NS_cap[[#This Row],[2042]]*8760), 0)</f>
        <v>0.36823967209578257</v>
      </c>
      <c r="AN47" s="11">
        <f>IFERROR((NS_gen[[#This Row],[2043]]*1000)/(NS_cap[[#This Row],[2043]]*8760), 0)</f>
        <v>0.35076762664940853</v>
      </c>
      <c r="AO47" s="11">
        <f>IFERROR((NS_gen[[#This Row],[2044]]*1000)/(NS_cap[[#This Row],[2044]]*8760), 0)</f>
        <v>0.32159062308992198</v>
      </c>
      <c r="AP47" s="11">
        <f>IFERROR((NS_gen[[#This Row],[2045]]*1000)/(NS_cap[[#This Row],[2045]]*8760), 0)</f>
        <v>0.29953439039298169</v>
      </c>
      <c r="AQ47" s="11">
        <f>IFERROR((NS_gen[[#This Row],[2046]]*1000)/(NS_cap[[#This Row],[2046]]*8760), 0)</f>
        <v>0.2747743860784525</v>
      </c>
      <c r="AR47" s="11">
        <f>IFERROR((NS_gen[[#This Row],[2047]]*1000)/(NS_cap[[#This Row],[2047]]*8760), 0)</f>
        <v>0.29209901844461222</v>
      </c>
      <c r="AS47" s="11">
        <f>IFERROR((NS_gen[[#This Row],[2048]]*1000)/(NS_cap[[#This Row],[2048]]*8760), 0)</f>
        <v>0.27535684751734801</v>
      </c>
      <c r="AT47" s="11">
        <f>IFERROR((NS_gen[[#This Row],[2049]]*1000)/(NS_cap[[#This Row],[2049]]*8760), 0)</f>
        <v>0.25085571495343906</v>
      </c>
      <c r="AU47" s="11">
        <f>IFERROR((NS_gen[[#This Row],[2050]]*1000)/(NS_cap[[#This Row],[2050]]*8760), 0)</f>
        <v>0.23965951173911479</v>
      </c>
    </row>
    <row r="48" spans="1:47" x14ac:dyDescent="0.3">
      <c r="A48" s="2" t="s">
        <v>60</v>
      </c>
      <c r="B48" s="11">
        <f>IFERROR((NS_gen[[#This Row],[2005]]*1000)/(NS_cap[[#This Row],[2005]]*8760), 0)</f>
        <v>4.9473267896307481E-2</v>
      </c>
      <c r="C48" s="11">
        <f>IFERROR((NS_gen[[#This Row],[2006]]*1000)/(NS_cap[[#This Row],[2006]]*8760), 0)</f>
        <v>0.10632617840578147</v>
      </c>
      <c r="D48" s="11">
        <f>IFERROR((NS_gen[[#This Row],[2007]]*1000)/(NS_cap[[#This Row],[2007]]*8760), 0)</f>
        <v>0.24108031016670861</v>
      </c>
      <c r="E48" s="11">
        <f>IFERROR((NS_gen[[#This Row],[2008]]*1000)/(NS_cap[[#This Row],[2008]]*8760), 0)</f>
        <v>0.34723270892508301</v>
      </c>
      <c r="F48" s="11">
        <f>IFERROR((NS_gen[[#This Row],[2009]]*1000)/(NS_cap[[#This Row],[2009]]*8760), 0)</f>
        <v>0.39543113518105555</v>
      </c>
      <c r="G48" s="11">
        <f>IFERROR((NS_gen[[#This Row],[2010]]*1000)/(NS_cap[[#This Row],[2010]]*8760), 0)</f>
        <v>0.63261784057814696</v>
      </c>
      <c r="H48" s="11">
        <f>IFERROR((NS_gen[[#This Row],[2011]]*1000)/(NS_cap[[#This Row],[2011]]*8760), 0)</f>
        <v>0.53543549517800637</v>
      </c>
      <c r="I48" s="11">
        <f>IFERROR((NS_gen[[#This Row],[2012]]*1000)/(NS_cap[[#This Row],[2012]]*8760), 0)</f>
        <v>0.49827346103563919</v>
      </c>
      <c r="J48" s="11">
        <f>IFERROR((NS_gen[[#This Row],[2013]]*1000)/(NS_cap[[#This Row],[2013]]*8760), 0)</f>
        <v>0.30595738835521702</v>
      </c>
      <c r="K48" s="11">
        <f>IFERROR((NS_gen[[#This Row],[2014]]*1000)/(NS_cap[[#This Row],[2014]]*8760), 0)</f>
        <v>0.32297883627958091</v>
      </c>
      <c r="L48" s="11">
        <f>IFERROR((NS_gen[[#This Row],[2015]]*1000)/(NS_cap[[#This Row],[2015]]*8760), 0)</f>
        <v>0.62293952140055708</v>
      </c>
      <c r="M48" s="11">
        <f>IFERROR((NS_gen[[#This Row],[2016]]*1000)/(NS_cap[[#This Row],[2016]]*8760), 0)</f>
        <v>0.58321465696490316</v>
      </c>
      <c r="N48" s="11">
        <f>IFERROR((NS_gen[[#This Row],[2017]]*1000)/(NS_cap[[#This Row],[2017]]*8760), 0)</f>
        <v>0.6074046475285807</v>
      </c>
      <c r="O48" s="11">
        <f>IFERROR((NS_gen[[#This Row],[2018]]*1000)/(NS_cap[[#This Row],[2018]]*8760), 0)</f>
        <v>0.55147920821286889</v>
      </c>
      <c r="P48" s="11">
        <f>IFERROR((NS_gen[[#This Row],[2019]]*1000)/(NS_cap[[#This Row],[2019]]*8760), 0)</f>
        <v>0.49888362269904973</v>
      </c>
      <c r="Q48" s="11">
        <f>IFERROR((NS_gen[[#This Row],[2020]]*1000)/(NS_cap[[#This Row],[2020]]*8760), 0)</f>
        <v>0.13628243753634775</v>
      </c>
      <c r="R48" s="11">
        <f>IFERROR((NS_gen[[#This Row],[2021]]*1000)/(NS_cap[[#This Row],[2021]]*8760), 0)</f>
        <v>0.15791701398036515</v>
      </c>
      <c r="S48" s="11">
        <f>IFERROR((NS_gen[[#This Row],[2022]]*1000)/(NS_cap[[#This Row],[2022]]*8760), 0)</f>
        <v>0.16871417150726994</v>
      </c>
      <c r="T48" s="11">
        <f>IFERROR((NS_gen[[#This Row],[2023]]*1000)/(NS_cap[[#This Row],[2023]]*8760), 0)</f>
        <v>0.17043120138377926</v>
      </c>
      <c r="U48" s="11">
        <f>IFERROR((NS_gen[[#This Row],[2024]]*1000)/(NS_cap[[#This Row],[2024]]*8760), 0)</f>
        <v>0.17043120138377926</v>
      </c>
      <c r="V48" s="11">
        <f>IFERROR((NS_gen[[#This Row],[2025]]*1000)/(NS_cap[[#This Row],[2025]]*8760), 0)</f>
        <v>0.34770723972734635</v>
      </c>
      <c r="W48" s="11">
        <f>IFERROR((NS_gen[[#This Row],[2026]]*1000)/(NS_cap[[#This Row],[2026]]*8760), 0)</f>
        <v>0.34861000331180075</v>
      </c>
      <c r="X48" s="11">
        <f>IFERROR((NS_gen[[#This Row],[2027]]*1000)/(NS_cap[[#This Row],[2027]]*8760), 0)</f>
        <v>0.34861000331180075</v>
      </c>
      <c r="Y48" s="11">
        <f>IFERROR((NS_gen[[#This Row],[2028]]*1000)/(NS_cap[[#This Row],[2028]]*8760), 0)</f>
        <v>0.34861000331180075</v>
      </c>
      <c r="Z48" s="11">
        <f>IFERROR((NS_gen[[#This Row],[2029]]*1000)/(NS_cap[[#This Row],[2029]]*8760), 0)</f>
        <v>0.34861000331180075</v>
      </c>
      <c r="AA48" s="11">
        <f>IFERROR((NS_gen[[#This Row],[2030]]*1000)/(NS_cap[[#This Row],[2030]]*8760), 0)</f>
        <v>0.34861000331180075</v>
      </c>
      <c r="AB48" s="11">
        <f>IFERROR((NS_gen[[#This Row],[2031]]*1000)/(NS_cap[[#This Row],[2031]]*8760), 0)</f>
        <v>0.34861000331180075</v>
      </c>
      <c r="AC48" s="11">
        <f>IFERROR((NS_gen[[#This Row],[2032]]*1000)/(NS_cap[[#This Row],[2032]]*8760), 0)</f>
        <v>0.55774232751238295</v>
      </c>
      <c r="AD48" s="11">
        <f>IFERROR((NS_gen[[#This Row],[2033]]*1000)/(NS_cap[[#This Row],[2033]]*8760), 0)</f>
        <v>0.5562676100012427</v>
      </c>
      <c r="AE48" s="11">
        <f>IFERROR((NS_gen[[#This Row],[2034]]*1000)/(NS_cap[[#This Row],[2034]]*8760), 0)</f>
        <v>0.54987653642279655</v>
      </c>
      <c r="AF48" s="11">
        <f>IFERROR((NS_gen[[#This Row],[2035]]*1000)/(NS_cap[[#This Row],[2035]]*8760), 0)</f>
        <v>0.54012088314044715</v>
      </c>
      <c r="AG48" s="11">
        <f>IFERROR((NS_gen[[#This Row],[2036]]*1000)/(NS_cap[[#This Row],[2036]]*8760), 0)</f>
        <v>0.53214062676671336</v>
      </c>
      <c r="AH48" s="11">
        <f>IFERROR((NS_gen[[#This Row],[2037]]*1000)/(NS_cap[[#This Row],[2037]]*8760), 0)</f>
        <v>0.53413175754649056</v>
      </c>
      <c r="AI48" s="11">
        <f>IFERROR((NS_gen[[#This Row],[2038]]*1000)/(NS_cap[[#This Row],[2038]]*8760), 0)</f>
        <v>0.52853596331816166</v>
      </c>
      <c r="AJ48" s="11">
        <f>IFERROR((NS_gen[[#This Row],[2039]]*1000)/(NS_cap[[#This Row],[2039]]*8760), 0)</f>
        <v>0.53176916558212606</v>
      </c>
      <c r="AK48" s="11">
        <f>IFERROR((NS_gen[[#This Row],[2040]]*1000)/(NS_cap[[#This Row],[2040]]*8760), 0)</f>
        <v>0.52102605891860043</v>
      </c>
      <c r="AL48" s="11">
        <f>IFERROR((NS_gen[[#This Row],[2041]]*1000)/(NS_cap[[#This Row],[2041]]*8760), 0)</f>
        <v>0.51912295719404611</v>
      </c>
      <c r="AM48" s="11">
        <f>IFERROR((NS_gen[[#This Row],[2042]]*1000)/(NS_cap[[#This Row],[2042]]*8760), 0)</f>
        <v>0.51109647952811399</v>
      </c>
      <c r="AN48" s="11">
        <f>IFERROR((NS_gen[[#This Row],[2043]]*1000)/(NS_cap[[#This Row],[2043]]*8760), 0)</f>
        <v>0.50418880483847706</v>
      </c>
      <c r="AO48" s="11">
        <f>IFERROR((NS_gen[[#This Row],[2044]]*1000)/(NS_cap[[#This Row],[2044]]*8760), 0)</f>
        <v>0.49228142860455426</v>
      </c>
      <c r="AP48" s="11">
        <f>IFERROR((NS_gen[[#This Row],[2045]]*1000)/(NS_cap[[#This Row],[2045]]*8760), 0)</f>
        <v>0.47603199263389218</v>
      </c>
      <c r="AQ48" s="11">
        <f>IFERROR((NS_gen[[#This Row],[2046]]*1000)/(NS_cap[[#This Row],[2046]]*8760), 0)</f>
        <v>0.46168403458085228</v>
      </c>
      <c r="AR48" s="11">
        <f>IFERROR((NS_gen[[#This Row],[2047]]*1000)/(NS_cap[[#This Row],[2047]]*8760), 0)</f>
        <v>0.4264295622755615</v>
      </c>
      <c r="AS48" s="11">
        <f>IFERROR((NS_gen[[#This Row],[2048]]*1000)/(NS_cap[[#This Row],[2048]]*8760), 0)</f>
        <v>0.41592840284493576</v>
      </c>
      <c r="AT48" s="11">
        <f>IFERROR((NS_gen[[#This Row],[2049]]*1000)/(NS_cap[[#This Row],[2049]]*8760), 0)</f>
        <v>0.4129617075797814</v>
      </c>
      <c r="AU48" s="11">
        <f>IFERROR((NS_gen[[#This Row],[2050]]*1000)/(NS_cap[[#This Row],[2050]]*8760), 0)</f>
        <v>0.41151651941011125</v>
      </c>
    </row>
    <row r="49" spans="1:47" x14ac:dyDescent="0.3">
      <c r="A49" s="2" t="s">
        <v>61</v>
      </c>
      <c r="B49" s="11">
        <f>IFERROR((NS_gen[[#This Row],[2005]]*1000)/(NS_cap[[#This Row],[2005]]*8760), 0)</f>
        <v>0.98159137452576528</v>
      </c>
      <c r="C49" s="11">
        <f>IFERROR((NS_gen[[#This Row],[2006]]*1000)/(NS_cap[[#This Row],[2006]]*8760), 0)</f>
        <v>0.83400090790141257</v>
      </c>
      <c r="D49" s="11">
        <f>IFERROR((NS_gen[[#This Row],[2007]]*1000)/(NS_cap[[#This Row],[2007]]*8760), 0)</f>
        <v>0.81492881601028677</v>
      </c>
      <c r="E49" s="11">
        <f>IFERROR((NS_gen[[#This Row],[2008]]*1000)/(NS_cap[[#This Row],[2008]]*8760), 0)</f>
        <v>0.36365354317769605</v>
      </c>
      <c r="F49" s="11">
        <f>IFERROR((NS_gen[[#This Row],[2009]]*1000)/(NS_cap[[#This Row],[2009]]*8760), 0)</f>
        <v>0.52101113925194675</v>
      </c>
      <c r="G49" s="11">
        <f>IFERROR((NS_gen[[#This Row],[2010]]*1000)/(NS_cap[[#This Row],[2010]]*8760), 0)</f>
        <v>0.28948600866409085</v>
      </c>
      <c r="H49" s="11">
        <f>IFERROR((NS_gen[[#This Row],[2011]]*1000)/(NS_cap[[#This Row],[2011]]*8760), 0)</f>
        <v>0.35599184121174027</v>
      </c>
      <c r="I49" s="11">
        <f>IFERROR((NS_gen[[#This Row],[2012]]*1000)/(NS_cap[[#This Row],[2012]]*8760), 0)</f>
        <v>0.39153761936746795</v>
      </c>
      <c r="J49" s="11">
        <f>IFERROR((NS_gen[[#This Row],[2013]]*1000)/(NS_cap[[#This Row],[2013]]*8760), 0)</f>
        <v>0.26322465219365004</v>
      </c>
      <c r="K49" s="11">
        <f>IFERROR((NS_gen[[#This Row],[2014]]*1000)/(NS_cap[[#This Row],[2014]]*8760), 0)</f>
        <v>0.82602595940735812</v>
      </c>
      <c r="L49" s="11">
        <f>IFERROR((NS_gen[[#This Row],[2015]]*1000)/(NS_cap[[#This Row],[2015]]*8760), 0)</f>
        <v>0.25245102570264794</v>
      </c>
      <c r="M49" s="11">
        <f>IFERROR((NS_gen[[#This Row],[2016]]*1000)/(NS_cap[[#This Row],[2016]]*8760), 0)</f>
        <v>0.17881755084350615</v>
      </c>
      <c r="N49" s="11">
        <f>IFERROR((NS_gen[[#This Row],[2017]]*1000)/(NS_cap[[#This Row],[2017]]*8760), 0)</f>
        <v>0.12690592539186626</v>
      </c>
      <c r="O49" s="11">
        <f>IFERROR((NS_gen[[#This Row],[2018]]*1000)/(NS_cap[[#This Row],[2018]]*8760), 0)</f>
        <v>0.15902139730546364</v>
      </c>
      <c r="P49" s="11">
        <f>IFERROR((NS_gen[[#This Row],[2019]]*1000)/(NS_cap[[#This Row],[2019]]*8760), 0)</f>
        <v>0.10670409192399098</v>
      </c>
      <c r="Q49" s="11">
        <f>IFERROR((NS_gen[[#This Row],[2020]]*1000)/(NS_cap[[#This Row],[2020]]*8760), 0)</f>
        <v>1.2545266690904758E-2</v>
      </c>
      <c r="R49" s="11">
        <f>IFERROR((NS_gen[[#This Row],[2021]]*1000)/(NS_cap[[#This Row],[2021]]*8760), 0)</f>
        <v>2.7324340590382409E-2</v>
      </c>
      <c r="S49" s="11">
        <f>IFERROR((NS_gen[[#This Row],[2022]]*1000)/(NS_cap[[#This Row],[2022]]*8760), 0)</f>
        <v>4.5466963275182452E-2</v>
      </c>
      <c r="T49" s="11">
        <f>IFERROR((NS_gen[[#This Row],[2023]]*1000)/(NS_cap[[#This Row],[2023]]*8760), 0)</f>
        <v>8.0396518752683138E-2</v>
      </c>
      <c r="U49" s="11">
        <f>IFERROR((NS_gen[[#This Row],[2024]]*1000)/(NS_cap[[#This Row],[2024]]*8760), 0)</f>
        <v>5.2918122492743976E-2</v>
      </c>
      <c r="V49" s="11">
        <f>IFERROR((NS_gen[[#This Row],[2025]]*1000)/(NS_cap[[#This Row],[2025]]*8760), 0)</f>
        <v>6.4302836472987873E-2</v>
      </c>
      <c r="W49" s="11">
        <f>IFERROR((NS_gen[[#This Row],[2026]]*1000)/(NS_cap[[#This Row],[2026]]*8760), 0)</f>
        <v>7.6966212510552814E-2</v>
      </c>
      <c r="X49" s="11">
        <f>IFERROR((NS_gen[[#This Row],[2027]]*1000)/(NS_cap[[#This Row],[2027]]*8760), 0)</f>
        <v>0.12813837074832027</v>
      </c>
      <c r="Y49" s="11">
        <f>IFERROR((NS_gen[[#This Row],[2028]]*1000)/(NS_cap[[#This Row],[2028]]*8760), 0)</f>
        <v>0.13984146644564813</v>
      </c>
      <c r="Z49" s="11">
        <f>IFERROR((NS_gen[[#This Row],[2029]]*1000)/(NS_cap[[#This Row],[2029]]*8760), 0)</f>
        <v>0.14176716231510753</v>
      </c>
      <c r="AA49" s="11">
        <f>IFERROR((NS_gen[[#This Row],[2030]]*1000)/(NS_cap[[#This Row],[2030]]*8760), 0)</f>
        <v>0.14181337901597454</v>
      </c>
      <c r="AB49" s="11">
        <f>IFERROR((NS_gen[[#This Row],[2031]]*1000)/(NS_cap[[#This Row],[2031]]*8760), 0)</f>
        <v>0.1423166275365266</v>
      </c>
      <c r="AC49" s="11">
        <f>IFERROR((NS_gen[[#This Row],[2032]]*1000)/(NS_cap[[#This Row],[2032]]*8760), 0)</f>
        <v>5.0720261607067663E-2</v>
      </c>
      <c r="AD49" s="11">
        <f>IFERROR((NS_gen[[#This Row],[2033]]*1000)/(NS_cap[[#This Row],[2033]]*8760), 0)</f>
        <v>6.411283448053455E-2</v>
      </c>
      <c r="AE49" s="11">
        <f>IFERROR((NS_gen[[#This Row],[2034]]*1000)/(NS_cap[[#This Row],[2034]]*8760), 0)</f>
        <v>6.6967999556319671E-2</v>
      </c>
      <c r="AF49" s="11">
        <f>IFERROR((NS_gen[[#This Row],[2035]]*1000)/(NS_cap[[#This Row],[2035]]*8760), 0)</f>
        <v>0.12349615990567685</v>
      </c>
      <c r="AG49" s="11">
        <f>IFERROR((NS_gen[[#This Row],[2036]]*1000)/(NS_cap[[#This Row],[2036]]*8760), 0)</f>
        <v>0.12001450177369427</v>
      </c>
      <c r="AH49" s="11">
        <f>IFERROR((NS_gen[[#This Row],[2037]]*1000)/(NS_cap[[#This Row],[2037]]*8760), 0)</f>
        <v>0.12726538862083203</v>
      </c>
      <c r="AI49" s="11">
        <f>IFERROR((NS_gen[[#This Row],[2038]]*1000)/(NS_cap[[#This Row],[2038]]*8760), 0)</f>
        <v>0.12539104464122489</v>
      </c>
      <c r="AJ49" s="11">
        <f>IFERROR((NS_gen[[#This Row],[2039]]*1000)/(NS_cap[[#This Row],[2039]]*8760), 0)</f>
        <v>0.13295517801646137</v>
      </c>
      <c r="AK49" s="11">
        <f>IFERROR((NS_gen[[#This Row],[2040]]*1000)/(NS_cap[[#This Row],[2040]]*8760), 0)</f>
        <v>0.12899594730885286</v>
      </c>
      <c r="AL49" s="11">
        <f>IFERROR((NS_gen[[#This Row],[2041]]*1000)/(NS_cap[[#This Row],[2041]]*8760), 0)</f>
        <v>0.14606018030675566</v>
      </c>
      <c r="AM49" s="11">
        <f>IFERROR((NS_gen[[#This Row],[2042]]*1000)/(NS_cap[[#This Row],[2042]]*8760), 0)</f>
        <v>0.13867064335701682</v>
      </c>
      <c r="AN49" s="11">
        <f>IFERROR((NS_gen[[#This Row],[2043]]*1000)/(NS_cap[[#This Row],[2043]]*8760), 0)</f>
        <v>0.13736630535476968</v>
      </c>
      <c r="AO49" s="11">
        <f>IFERROR((NS_gen[[#This Row],[2044]]*1000)/(NS_cap[[#This Row],[2044]]*8760), 0)</f>
        <v>0.13485006275200939</v>
      </c>
      <c r="AP49" s="11">
        <f>IFERROR((NS_gen[[#This Row],[2045]]*1000)/(NS_cap[[#This Row],[2045]]*8760), 0)</f>
        <v>0.12968919782185823</v>
      </c>
      <c r="AQ49" s="11">
        <f>IFERROR((NS_gen[[#This Row],[2046]]*1000)/(NS_cap[[#This Row],[2046]]*8760), 0)</f>
        <v>0.12504698697921482</v>
      </c>
      <c r="AR49" s="11">
        <f>IFERROR((NS_gen[[#This Row],[2047]]*1000)/(NS_cap[[#This Row],[2047]]*8760), 0)</f>
        <v>0.12275669269180445</v>
      </c>
      <c r="AS49" s="11">
        <f>IFERROR((NS_gen[[#This Row],[2048]]*1000)/(NS_cap[[#This Row],[2048]]*8760), 0)</f>
        <v>0.12064099482989173</v>
      </c>
      <c r="AT49" s="11">
        <f>IFERROR((NS_gen[[#This Row],[2049]]*1000)/(NS_cap[[#This Row],[2049]]*8760), 0)</f>
        <v>0.11939314390648205</v>
      </c>
      <c r="AU49" s="11">
        <f>IFERROR((NS_gen[[#This Row],[2050]]*1000)/(NS_cap[[#This Row],[2050]]*8760), 0)</f>
        <v>0.11920827710301395</v>
      </c>
    </row>
    <row r="51" spans="1:47" ht="18" x14ac:dyDescent="0.35">
      <c r="A51" s="4" t="s">
        <v>65</v>
      </c>
    </row>
    <row r="52" spans="1:47" x14ac:dyDescent="0.3">
      <c r="A52" s="2" t="s">
        <v>7</v>
      </c>
      <c r="B52" s="2" t="s">
        <v>8</v>
      </c>
      <c r="C52" s="2" t="s">
        <v>9</v>
      </c>
      <c r="D52" s="2" t="s">
        <v>10</v>
      </c>
      <c r="E52" s="2" t="s">
        <v>11</v>
      </c>
      <c r="F52" s="2" t="s">
        <v>12</v>
      </c>
      <c r="G52" s="2" t="s">
        <v>13</v>
      </c>
      <c r="H52" s="2" t="s">
        <v>14</v>
      </c>
      <c r="I52" s="2" t="s">
        <v>15</v>
      </c>
      <c r="J52" s="2" t="s">
        <v>16</v>
      </c>
      <c r="K52" s="2" t="s">
        <v>17</v>
      </c>
      <c r="L52" s="2" t="s">
        <v>18</v>
      </c>
      <c r="M52" s="2" t="s">
        <v>19</v>
      </c>
      <c r="N52" s="2" t="s">
        <v>20</v>
      </c>
      <c r="O52" s="2" t="s">
        <v>21</v>
      </c>
      <c r="P52" s="2" t="s">
        <v>22</v>
      </c>
      <c r="Q52" s="2" t="s">
        <v>23</v>
      </c>
      <c r="R52" s="2" t="s">
        <v>24</v>
      </c>
      <c r="S52" s="2" t="s">
        <v>25</v>
      </c>
      <c r="T52" s="2" t="s">
        <v>26</v>
      </c>
      <c r="U52" s="2" t="s">
        <v>27</v>
      </c>
      <c r="V52" s="2" t="s">
        <v>28</v>
      </c>
      <c r="W52" s="2" t="s">
        <v>29</v>
      </c>
      <c r="X52" s="2" t="s">
        <v>30</v>
      </c>
      <c r="Y52" s="2" t="s">
        <v>31</v>
      </c>
      <c r="Z52" s="2" t="s">
        <v>32</v>
      </c>
      <c r="AA52" s="2" t="s">
        <v>33</v>
      </c>
      <c r="AB52" s="2" t="s">
        <v>34</v>
      </c>
      <c r="AC52" s="2" t="s">
        <v>35</v>
      </c>
      <c r="AD52" s="2" t="s">
        <v>36</v>
      </c>
      <c r="AE52" s="2" t="s">
        <v>37</v>
      </c>
      <c r="AF52" s="2" t="s">
        <v>38</v>
      </c>
      <c r="AG52" s="2" t="s">
        <v>39</v>
      </c>
      <c r="AH52" s="2" t="s">
        <v>40</v>
      </c>
      <c r="AI52" s="2" t="s">
        <v>41</v>
      </c>
      <c r="AJ52" s="2" t="s">
        <v>42</v>
      </c>
      <c r="AK52" s="2" t="s">
        <v>43</v>
      </c>
      <c r="AL52" s="2" t="s">
        <v>44</v>
      </c>
      <c r="AM52" s="2" t="s">
        <v>45</v>
      </c>
      <c r="AN52" s="2" t="s">
        <v>46</v>
      </c>
      <c r="AO52" s="2" t="s">
        <v>47</v>
      </c>
      <c r="AP52" s="2" t="s">
        <v>48</v>
      </c>
      <c r="AQ52" s="2" t="s">
        <v>49</v>
      </c>
      <c r="AR52" s="2" t="s">
        <v>50</v>
      </c>
      <c r="AS52" s="2" t="s">
        <v>51</v>
      </c>
      <c r="AT52" s="2" t="s">
        <v>52</v>
      </c>
      <c r="AU52" s="2" t="s">
        <v>53</v>
      </c>
    </row>
    <row r="53" spans="1:47" x14ac:dyDescent="0.3">
      <c r="A53" s="2" t="s">
        <v>54</v>
      </c>
      <c r="B53" s="11">
        <f>IFERROR((NB_gen[[#This Row],[2005]]*1000)/(NB_cap[[#This Row],[2005]]*8760), 0)</f>
        <v>0.46410416016022576</v>
      </c>
      <c r="C53" s="11">
        <f>IFERROR((NB_gen[[#This Row],[2006]]*1000)/(NB_cap[[#This Row],[2006]]*8760), 0)</f>
        <v>0.44685745072459415</v>
      </c>
      <c r="D53" s="11">
        <f>IFERROR((NB_gen[[#This Row],[2007]]*1000)/(NB_cap[[#This Row],[2007]]*8760), 0)</f>
        <v>0.33460532606173737</v>
      </c>
      <c r="E53" s="11">
        <f>IFERROR((NB_gen[[#This Row],[2008]]*1000)/(NB_cap[[#This Row],[2008]]*8760), 0)</f>
        <v>0.42351331089057359</v>
      </c>
      <c r="F53" s="11">
        <f>IFERROR((NB_gen[[#This Row],[2009]]*1000)/(NB_cap[[#This Row],[2009]]*8760), 0)</f>
        <v>0.35502351373247681</v>
      </c>
      <c r="G53" s="11">
        <f>IFERROR((NB_gen[[#This Row],[2010]]*1000)/(NB_cap[[#This Row],[2010]]*8760), 0)</f>
        <v>0.39827323070678883</v>
      </c>
      <c r="H53" s="11">
        <f>IFERROR((NB_gen[[#This Row],[2011]]*1000)/(NB_cap[[#This Row],[2011]]*8760), 0)</f>
        <v>0.4658118220450565</v>
      </c>
      <c r="I53" s="11">
        <f>IFERROR((NB_gen[[#This Row],[2012]]*1000)/(NB_cap[[#This Row],[2012]]*8760), 0)</f>
        <v>0.35129663582581361</v>
      </c>
      <c r="J53" s="11">
        <f>IFERROR((NB_gen[[#This Row],[2013]]*1000)/(NB_cap[[#This Row],[2013]]*8760), 0)</f>
        <v>0.40511227551098661</v>
      </c>
      <c r="K53" s="11">
        <f>IFERROR((NB_gen[[#This Row],[2014]]*1000)/(NB_cap[[#This Row],[2014]]*8760), 0)</f>
        <v>0.35198918417661723</v>
      </c>
      <c r="L53" s="11">
        <f>IFERROR((NB_gen[[#This Row],[2015]]*1000)/(NB_cap[[#This Row],[2015]]*8760), 0)</f>
        <v>0.31063703899681555</v>
      </c>
      <c r="M53" s="11">
        <f>IFERROR((NB_gen[[#This Row],[2016]]*1000)/(NB_cap[[#This Row],[2016]]*8760), 0)</f>
        <v>0.38749446317690717</v>
      </c>
      <c r="N53" s="11">
        <f>IFERROR((NB_gen[[#This Row],[2017]]*1000)/(NB_cap[[#This Row],[2017]]*8760), 0)</f>
        <v>0.30849881081251623</v>
      </c>
      <c r="O53" s="11">
        <f>IFERROR((NB_gen[[#This Row],[2018]]*1000)/(NB_cap[[#This Row],[2018]]*8760), 0)</f>
        <v>0.30113380262215195</v>
      </c>
      <c r="P53" s="11">
        <f>IFERROR((NB_gen[[#This Row],[2019]]*1000)/(NB_cap[[#This Row],[2019]]*8760), 0)</f>
        <v>0.35565862132178422</v>
      </c>
      <c r="Q53" s="11">
        <f>IFERROR((NB_gen[[#This Row],[2020]]*1000)/(NB_cap[[#This Row],[2020]]*8760), 0)</f>
        <v>0.3556609971308779</v>
      </c>
      <c r="R53" s="11">
        <f>IFERROR((NB_gen[[#This Row],[2021]]*1000)/(NB_cap[[#This Row],[2021]]*8760), 0)</f>
        <v>0.35565980922633106</v>
      </c>
      <c r="S53" s="11">
        <f>IFERROR((NB_gen[[#This Row],[2022]]*1000)/(NB_cap[[#This Row],[2022]]*8760), 0)</f>
        <v>0.35565743341723738</v>
      </c>
      <c r="T53" s="11">
        <f>IFERROR((NB_gen[[#This Row],[2023]]*1000)/(NB_cap[[#This Row],[2023]]*8760), 0)</f>
        <v>0.35565624551269054</v>
      </c>
      <c r="U53" s="11">
        <f>IFERROR((NB_gen[[#This Row],[2024]]*1000)/(NB_cap[[#This Row],[2024]]*8760), 0)</f>
        <v>0.35662582021164013</v>
      </c>
      <c r="V53" s="11">
        <f>IFERROR((NB_gen[[#This Row],[2025]]*1000)/(NB_cap[[#This Row],[2025]]*8760), 0)</f>
        <v>0.35662817160101024</v>
      </c>
      <c r="W53" s="11">
        <f>IFERROR((NB_gen[[#This Row],[2026]]*1000)/(NB_cap[[#This Row],[2026]]*8760), 0)</f>
        <v>0.35749746047310954</v>
      </c>
      <c r="X53" s="11">
        <f>IFERROR((NB_gen[[#This Row],[2027]]*1000)/(NB_cap[[#This Row],[2027]]*8760), 0)</f>
        <v>0.35750095459376241</v>
      </c>
      <c r="Y53" s="11">
        <f>IFERROR((NB_gen[[#This Row],[2028]]*1000)/(NB_cap[[#This Row],[2028]]*8760), 0)</f>
        <v>0.35845004773155131</v>
      </c>
      <c r="Z53" s="11">
        <f>IFERROR((NB_gen[[#This Row],[2029]]*1000)/(NB_cap[[#This Row],[2029]]*8760), 0)</f>
        <v>0.35931085875846808</v>
      </c>
      <c r="AA53" s="11">
        <f>IFERROR((NB_gen[[#This Row],[2030]]*1000)/(NB_cap[[#This Row],[2030]]*8760), 0)</f>
        <v>0.35930857483123146</v>
      </c>
      <c r="AB53" s="11">
        <f>IFERROR((NB_gen[[#This Row],[2031]]*1000)/(NB_cap[[#This Row],[2031]]*8760), 0)</f>
        <v>0.35931200072208641</v>
      </c>
      <c r="AC53" s="11">
        <f>IFERROR((NB_gen[[#This Row],[2032]]*1000)/(NB_cap[[#This Row],[2032]]*8760), 0)</f>
        <v>0.35931200072208641</v>
      </c>
      <c r="AD53" s="11">
        <f>IFERROR((NB_gen[[#This Row],[2033]]*1000)/(NB_cap[[#This Row],[2033]]*8760), 0)</f>
        <v>0.35931200072208641</v>
      </c>
      <c r="AE53" s="11">
        <f>IFERROR((NB_gen[[#This Row],[2034]]*1000)/(NB_cap[[#This Row],[2034]]*8760), 0)</f>
        <v>0.35931200072208641</v>
      </c>
      <c r="AF53" s="11">
        <f>IFERROR((NB_gen[[#This Row],[2035]]*1000)/(NB_cap[[#This Row],[2035]]*8760), 0)</f>
        <v>0.35930857483123146</v>
      </c>
      <c r="AG53" s="11">
        <f>IFERROR((NB_gen[[#This Row],[2036]]*1000)/(NB_cap[[#This Row],[2036]]*8760), 0)</f>
        <v>0.36025108911306447</v>
      </c>
      <c r="AH53" s="11">
        <f>IFERROR((NB_gen[[#This Row],[2037]]*1000)/(NB_cap[[#This Row],[2037]]*8760), 0)</f>
        <v>0.36024995895257084</v>
      </c>
      <c r="AI53" s="11">
        <f>IFERROR((NB_gen[[#This Row],[2038]]*1000)/(NB_cap[[#This Row],[2038]]*8760), 0)</f>
        <v>0.36107471209693615</v>
      </c>
      <c r="AJ53" s="11">
        <f>IFERROR((NB_gen[[#This Row],[2039]]*1000)/(NB_cap[[#This Row],[2039]]*8760), 0)</f>
        <v>0.361802205288353</v>
      </c>
      <c r="AK53" s="11">
        <f>IFERROR((NB_gen[[#This Row],[2040]]*1000)/(NB_cap[[#This Row],[2040]]*8760), 0)</f>
        <v>0.36245141049133012</v>
      </c>
      <c r="AL53" s="11">
        <f>IFERROR((NB_gen[[#This Row],[2041]]*1000)/(NB_cap[[#This Row],[2041]]*8760), 0)</f>
        <v>0.36245030813848589</v>
      </c>
      <c r="AM53" s="11">
        <f>IFERROR((NB_gen[[#This Row],[2042]]*1000)/(NB_cap[[#This Row],[2042]]*8760), 0)</f>
        <v>0.36245030813848589</v>
      </c>
      <c r="AN53" s="11">
        <f>IFERROR((NB_gen[[#This Row],[2043]]*1000)/(NB_cap[[#This Row],[2043]]*8760), 0)</f>
        <v>0.36245141049133012</v>
      </c>
      <c r="AO53" s="11">
        <f>IFERROR((NB_gen[[#This Row],[2044]]*1000)/(NB_cap[[#This Row],[2044]]*8760), 0)</f>
        <v>0.36245141049133012</v>
      </c>
      <c r="AP53" s="11">
        <f>IFERROR((NB_gen[[#This Row],[2045]]*1000)/(NB_cap[[#This Row],[2045]]*8760), 0)</f>
        <v>0.3624525128441744</v>
      </c>
      <c r="AQ53" s="11">
        <f>IFERROR((NB_gen[[#This Row],[2046]]*1000)/(NB_cap[[#This Row],[2046]]*8760), 0)</f>
        <v>0.36302423357815145</v>
      </c>
      <c r="AR53" s="11">
        <f>IFERROR((NB_gen[[#This Row],[2047]]*1000)/(NB_cap[[#This Row],[2047]]*8760), 0)</f>
        <v>0.36353904488879984</v>
      </c>
      <c r="AS53" s="11">
        <f>IFERROR((NB_gen[[#This Row],[2048]]*1000)/(NB_cap[[#This Row],[2048]]*8760), 0)</f>
        <v>0.36399663389667092</v>
      </c>
      <c r="AT53" s="11">
        <f>IFERROR((NB_gen[[#This Row],[2049]]*1000)/(NB_cap[[#This Row],[2049]]*8760), 0)</f>
        <v>0.36399771683000115</v>
      </c>
      <c r="AU53" s="11">
        <f>IFERROR((NB_gen[[#This Row],[2050]]*1000)/(NB_cap[[#This Row],[2050]]*8760), 0)</f>
        <v>0.36399879976333138</v>
      </c>
    </row>
    <row r="54" spans="1:47" x14ac:dyDescent="0.3">
      <c r="A54" s="2" t="s">
        <v>55</v>
      </c>
      <c r="B54" s="11">
        <f>IFERROR((NB_gen[[#This Row],[2005]]*1000)/(NB_cap[[#This Row],[2005]]*8760), 0)</f>
        <v>0</v>
      </c>
      <c r="C54" s="11">
        <f>IFERROR((NB_gen[[#This Row],[2006]]*1000)/(NB_cap[[#This Row],[2006]]*8760), 0)</f>
        <v>0</v>
      </c>
      <c r="D54" s="11">
        <f>IFERROR((NB_gen[[#This Row],[2007]]*1000)/(NB_cap[[#This Row],[2007]]*8760), 0)</f>
        <v>0</v>
      </c>
      <c r="E54" s="11">
        <f>IFERROR((NB_gen[[#This Row],[2008]]*1000)/(NB_cap[[#This Row],[2008]]*8760), 0)</f>
        <v>0</v>
      </c>
      <c r="F54" s="11">
        <f>IFERROR((NB_gen[[#This Row],[2009]]*1000)/(NB_cap[[#This Row],[2009]]*8760), 0)</f>
        <v>0.15806111696522657</v>
      </c>
      <c r="G54" s="11">
        <f>IFERROR((NB_gen[[#This Row],[2010]]*1000)/(NB_cap[[#This Row],[2010]]*8760), 0)</f>
        <v>0.22772509073878938</v>
      </c>
      <c r="H54" s="11">
        <f>IFERROR((NB_gen[[#This Row],[2011]]*1000)/(NB_cap[[#This Row],[2011]]*8760), 0)</f>
        <v>0.2690802348336595</v>
      </c>
      <c r="I54" s="11">
        <f>IFERROR((NB_gen[[#This Row],[2012]]*1000)/(NB_cap[[#This Row],[2012]]*8760), 0)</f>
        <v>0.284611561519585</v>
      </c>
      <c r="J54" s="11">
        <f>IFERROR((NB_gen[[#This Row],[2013]]*1000)/(NB_cap[[#This Row],[2013]]*8760), 0)</f>
        <v>0.28616469418817758</v>
      </c>
      <c r="K54" s="11">
        <f>IFERROR((NB_gen[[#This Row],[2014]]*1000)/(NB_cap[[#This Row],[2014]]*8760), 0)</f>
        <v>0.30513232690336406</v>
      </c>
      <c r="L54" s="11">
        <f>IFERROR((NB_gen[[#This Row],[2015]]*1000)/(NB_cap[[#This Row],[2015]]*8760), 0)</f>
        <v>0.30752026838132512</v>
      </c>
      <c r="M54" s="11">
        <f>IFERROR((NB_gen[[#This Row],[2016]]*1000)/(NB_cap[[#This Row],[2016]]*8760), 0)</f>
        <v>0.29742490603547356</v>
      </c>
      <c r="N54" s="11">
        <f>IFERROR((NB_gen[[#This Row],[2017]]*1000)/(NB_cap[[#This Row],[2017]]*8760), 0)</f>
        <v>0.3032491535426956</v>
      </c>
      <c r="O54" s="11">
        <f>IFERROR((NB_gen[[#This Row],[2018]]*1000)/(NB_cap[[#This Row],[2018]]*8760), 0)</f>
        <v>0.32033361289721368</v>
      </c>
      <c r="P54" s="11">
        <f>IFERROR((NB_gen[[#This Row],[2019]]*1000)/(NB_cap[[#This Row],[2019]]*8760), 0)</f>
        <v>0.34479545242754633</v>
      </c>
      <c r="Q54" s="11">
        <f>IFERROR((NB_gen[[#This Row],[2020]]*1000)/(NB_cap[[#This Row],[2020]]*8760), 0)</f>
        <v>0.34479933525921785</v>
      </c>
      <c r="R54" s="11">
        <f>IFERROR((NB_gen[[#This Row],[2021]]*1000)/(NB_cap[[#This Row],[2021]]*8760), 0)</f>
        <v>0.40000155313266866</v>
      </c>
      <c r="S54" s="11">
        <f>IFERROR((NB_gen[[#This Row],[2022]]*1000)/(NB_cap[[#This Row],[2022]]*8760), 0)</f>
        <v>0.39999791814131658</v>
      </c>
      <c r="T54" s="11">
        <f>IFERROR((NB_gen[[#This Row],[2023]]*1000)/(NB_cap[[#This Row],[2023]]*8760), 0)</f>
        <v>0.39999800637475141</v>
      </c>
      <c r="U54" s="11">
        <f>IFERROR((NB_gen[[#This Row],[2024]]*1000)/(NB_cap[[#This Row],[2024]]*8760), 0)</f>
        <v>0.39999523261686376</v>
      </c>
      <c r="V54" s="11">
        <f>IFERROR((NB_gen[[#This Row],[2025]]*1000)/(NB_cap[[#This Row],[2025]]*8760), 0)</f>
        <v>0.40000354117887882</v>
      </c>
      <c r="W54" s="11">
        <f>IFERROR((NB_gen[[#This Row],[2026]]*1000)/(NB_cap[[#This Row],[2026]]*8760), 0)</f>
        <v>0.40000029738417164</v>
      </c>
      <c r="X54" s="11">
        <f>IFERROR((NB_gen[[#This Row],[2027]]*1000)/(NB_cap[[#This Row],[2027]]*8760), 0)</f>
        <v>0.40000161588798955</v>
      </c>
      <c r="Y54" s="11">
        <f>IFERROR((NB_gen[[#This Row],[2028]]*1000)/(NB_cap[[#This Row],[2028]]*8760), 0)</f>
        <v>0.40000570644162153</v>
      </c>
      <c r="Z54" s="11">
        <f>IFERROR((NB_gen[[#This Row],[2029]]*1000)/(NB_cap[[#This Row],[2029]]*8760), 0)</f>
        <v>0.40000231038356138</v>
      </c>
      <c r="AA54" s="11">
        <f>IFERROR((NB_gen[[#This Row],[2030]]*1000)/(NB_cap[[#This Row],[2030]]*8760), 0)</f>
        <v>0.39999340152721202</v>
      </c>
      <c r="AB54" s="11">
        <f>IFERROR((NB_gen[[#This Row],[2031]]*1000)/(NB_cap[[#This Row],[2031]]*8760), 0)</f>
        <v>0.40000110832978286</v>
      </c>
      <c r="AC54" s="11">
        <f>IFERROR((NB_gen[[#This Row],[2032]]*1000)/(NB_cap[[#This Row],[2032]]*8760), 0)</f>
        <v>0.39999904627778116</v>
      </c>
      <c r="AD54" s="11">
        <f>IFERROR((NB_gen[[#This Row],[2033]]*1000)/(NB_cap[[#This Row],[2033]]*8760), 0)</f>
        <v>0.40000201363599441</v>
      </c>
      <c r="AE54" s="11">
        <f>IFERROR((NB_gen[[#This Row],[2034]]*1000)/(NB_cap[[#This Row],[2034]]*8760), 0)</f>
        <v>0.4</v>
      </c>
      <c r="AF54" s="11">
        <f>IFERROR((NB_gen[[#This Row],[2035]]*1000)/(NB_cap[[#This Row],[2035]]*8760), 0)</f>
        <v>0.39999689020882245</v>
      </c>
      <c r="AG54" s="11">
        <f>IFERROR((NB_gen[[#This Row],[2036]]*1000)/(NB_cap[[#This Row],[2036]]*8760), 0)</f>
        <v>0.40211182782430976</v>
      </c>
      <c r="AH54" s="11">
        <f>IFERROR((NB_gen[[#This Row],[2037]]*1000)/(NB_cap[[#This Row],[2037]]*8760), 0)</f>
        <v>0.40395917531396636</v>
      </c>
      <c r="AI54" s="11">
        <f>IFERROR((NB_gen[[#This Row],[2038]]*1000)/(NB_cap[[#This Row],[2038]]*8760), 0)</f>
        <v>0.40575720325155379</v>
      </c>
      <c r="AJ54" s="11">
        <f>IFERROR((NB_gen[[#This Row],[2039]]*1000)/(NB_cap[[#This Row],[2039]]*8760), 0)</f>
        <v>0.40743142066916405</v>
      </c>
      <c r="AK54" s="11">
        <f>IFERROR((NB_gen[[#This Row],[2040]]*1000)/(NB_cap[[#This Row],[2040]]*8760), 0)</f>
        <v>0.40897225994027397</v>
      </c>
      <c r="AL54" s="11">
        <f>IFERROR((NB_gen[[#This Row],[2041]]*1000)/(NB_cap[[#This Row],[2041]]*8760), 0)</f>
        <v>0.4088133023288103</v>
      </c>
      <c r="AM54" s="11">
        <f>IFERROR((NB_gen[[#This Row],[2042]]*1000)/(NB_cap[[#This Row],[2042]]*8760), 0)</f>
        <v>0.41018027437271193</v>
      </c>
      <c r="AN54" s="11">
        <f>IFERROR((NB_gen[[#This Row],[2043]]*1000)/(NB_cap[[#This Row],[2043]]*8760), 0)</f>
        <v>0.4114825759924452</v>
      </c>
      <c r="AO54" s="11">
        <f>IFERROR((NB_gen[[#This Row],[2044]]*1000)/(NB_cap[[#This Row],[2044]]*8760), 0)</f>
        <v>0.41271876598821888</v>
      </c>
      <c r="AP54" s="11">
        <f>IFERROR((NB_gen[[#This Row],[2045]]*1000)/(NB_cap[[#This Row],[2045]]*8760), 0)</f>
        <v>0.41388032780280537</v>
      </c>
      <c r="AQ54" s="11">
        <f>IFERROR((NB_gen[[#This Row],[2046]]*1000)/(NB_cap[[#This Row],[2046]]*8760), 0)</f>
        <v>0.41494618361341284</v>
      </c>
      <c r="AR54" s="11">
        <f>IFERROR((NB_gen[[#This Row],[2047]]*1000)/(NB_cap[[#This Row],[2047]]*8760), 0)</f>
        <v>0.4159310583817068</v>
      </c>
      <c r="AS54" s="11">
        <f>IFERROR((NB_gen[[#This Row],[2048]]*1000)/(NB_cap[[#This Row],[2048]]*8760), 0)</f>
        <v>0.41685191985882425</v>
      </c>
      <c r="AT54" s="11">
        <f>IFERROR((NB_gen[[#This Row],[2049]]*1000)/(NB_cap[[#This Row],[2049]]*8760), 0)</f>
        <v>0.41771576153113371</v>
      </c>
      <c r="AU54" s="11">
        <f>IFERROR((NB_gen[[#This Row],[2050]]*1000)/(NB_cap[[#This Row],[2050]]*8760), 0)</f>
        <v>0.41849942400073148</v>
      </c>
    </row>
    <row r="55" spans="1:47" x14ac:dyDescent="0.3">
      <c r="A55" s="2" t="s">
        <v>56</v>
      </c>
      <c r="B55" s="11">
        <f>IFERROR((NB_gen[[#This Row],[2005]]*1000)/(NB_cap[[#This Row],[2005]]*8760), 0)</f>
        <v>0.54671196668247657</v>
      </c>
      <c r="C55" s="11">
        <f>IFERROR((NB_gen[[#This Row],[2006]]*1000)/(NB_cap[[#This Row],[2006]]*8760), 0)</f>
        <v>0.54671196668247657</v>
      </c>
      <c r="D55" s="11">
        <f>IFERROR((NB_gen[[#This Row],[2007]]*1000)/(NB_cap[[#This Row],[2007]]*8760), 0)</f>
        <v>0.50369200864844554</v>
      </c>
      <c r="E55" s="11">
        <f>IFERROR((NB_gen[[#This Row],[2008]]*1000)/(NB_cap[[#This Row],[2008]]*8760), 0)</f>
        <v>0.57987318433370871</v>
      </c>
      <c r="F55" s="11">
        <f>IFERROR((NB_gen[[#This Row],[2009]]*1000)/(NB_cap[[#This Row],[2009]]*8760), 0)</f>
        <v>0.5162394964083713</v>
      </c>
      <c r="G55" s="11">
        <f>IFERROR((NB_gen[[#This Row],[2010]]*1000)/(NB_cap[[#This Row],[2010]]*8760), 0)</f>
        <v>0.52430573853975204</v>
      </c>
      <c r="H55" s="11">
        <f>IFERROR((NB_gen[[#This Row],[2011]]*1000)/(NB_cap[[#This Row],[2011]]*8760), 0)</f>
        <v>0.50996575252840848</v>
      </c>
      <c r="I55" s="11">
        <f>IFERROR((NB_gen[[#This Row],[2012]]*1000)/(NB_cap[[#This Row],[2012]]*8760), 0)</f>
        <v>0.51892824378549818</v>
      </c>
      <c r="J55" s="11">
        <f>IFERROR((NB_gen[[#This Row],[2013]]*1000)/(NB_cap[[#This Row],[2013]]*8760), 0)</f>
        <v>0.50010701214560971</v>
      </c>
      <c r="K55" s="11">
        <f>IFERROR((NB_gen[[#This Row],[2014]]*1000)/(NB_cap[[#This Row],[2014]]*8760), 0)</f>
        <v>0.42544945997405181</v>
      </c>
      <c r="L55" s="11">
        <f>IFERROR((NB_gen[[#This Row],[2015]]*1000)/(NB_cap[[#This Row],[2015]]*8760), 0)</f>
        <v>0.27694097984407418</v>
      </c>
      <c r="M55" s="11">
        <f>IFERROR((NB_gen[[#This Row],[2016]]*1000)/(NB_cap[[#This Row],[2016]]*8760), 0)</f>
        <v>0.29413136193581479</v>
      </c>
      <c r="N55" s="11">
        <f>IFERROR((NB_gen[[#This Row],[2017]]*1000)/(NB_cap[[#This Row],[2017]]*8760), 0)</f>
        <v>0.24212032842277437</v>
      </c>
      <c r="O55" s="11">
        <f>IFERROR((NB_gen[[#This Row],[2018]]*1000)/(NB_cap[[#This Row],[2018]]*8760), 0)</f>
        <v>0.45554491421766441</v>
      </c>
      <c r="P55" s="11">
        <f>IFERROR((NB_gen[[#This Row],[2019]]*1000)/(NB_cap[[#This Row],[2019]]*8760), 0)</f>
        <v>0.45285468834630022</v>
      </c>
      <c r="Q55" s="11">
        <f>IFERROR((NB_gen[[#This Row],[2020]]*1000)/(NB_cap[[#This Row],[2020]]*8760), 0)</f>
        <v>0.45285468834630022</v>
      </c>
      <c r="R55" s="11">
        <f>IFERROR((NB_gen[[#This Row],[2021]]*1000)/(NB_cap[[#This Row],[2021]]*8760), 0)</f>
        <v>0.45285468834630022</v>
      </c>
      <c r="S55" s="11">
        <f>IFERROR((NB_gen[[#This Row],[2022]]*1000)/(NB_cap[[#This Row],[2022]]*8760), 0)</f>
        <v>0.45285468834630022</v>
      </c>
      <c r="T55" s="11">
        <f>IFERROR((NB_gen[[#This Row],[2023]]*1000)/(NB_cap[[#This Row],[2023]]*8760), 0)</f>
        <v>0.45285468834630022</v>
      </c>
      <c r="U55" s="11">
        <f>IFERROR((NB_gen[[#This Row],[2024]]*1000)/(NB_cap[[#This Row],[2024]]*8760), 0)</f>
        <v>0.45285468834630022</v>
      </c>
      <c r="V55" s="11">
        <f>IFERROR((NB_gen[[#This Row],[2025]]*1000)/(NB_cap[[#This Row],[2025]]*8760), 0)</f>
        <v>0.45285468834630022</v>
      </c>
      <c r="W55" s="11">
        <f>IFERROR((NB_gen[[#This Row],[2026]]*1000)/(NB_cap[[#This Row],[2026]]*8760), 0)</f>
        <v>0.45285468834630022</v>
      </c>
      <c r="X55" s="11">
        <f>IFERROR((NB_gen[[#This Row],[2027]]*1000)/(NB_cap[[#This Row],[2027]]*8760), 0)</f>
        <v>0.45285468834630022</v>
      </c>
      <c r="Y55" s="11">
        <f>IFERROR((NB_gen[[#This Row],[2028]]*1000)/(NB_cap[[#This Row],[2028]]*8760), 0)</f>
        <v>0.45285468834630022</v>
      </c>
      <c r="Z55" s="11">
        <f>IFERROR((NB_gen[[#This Row],[2029]]*1000)/(NB_cap[[#This Row],[2029]]*8760), 0)</f>
        <v>0.45285468834630022</v>
      </c>
      <c r="AA55" s="11">
        <f>IFERROR((NB_gen[[#This Row],[2030]]*1000)/(NB_cap[[#This Row],[2030]]*8760), 0)</f>
        <v>0.45285468834630022</v>
      </c>
      <c r="AB55" s="11">
        <f>IFERROR((NB_gen[[#This Row],[2031]]*1000)/(NB_cap[[#This Row],[2031]]*8760), 0)</f>
        <v>0.45285468834630022</v>
      </c>
      <c r="AC55" s="11">
        <f>IFERROR((NB_gen[[#This Row],[2032]]*1000)/(NB_cap[[#This Row],[2032]]*8760), 0)</f>
        <v>0.45285468834630022</v>
      </c>
      <c r="AD55" s="11">
        <f>IFERROR((NB_gen[[#This Row],[2033]]*1000)/(NB_cap[[#This Row],[2033]]*8760), 0)</f>
        <v>0.45285468834630022</v>
      </c>
      <c r="AE55" s="11">
        <f>IFERROR((NB_gen[[#This Row],[2034]]*1000)/(NB_cap[[#This Row],[2034]]*8760), 0)</f>
        <v>0.45285468834630022</v>
      </c>
      <c r="AF55" s="11">
        <f>IFERROR((NB_gen[[#This Row],[2035]]*1000)/(NB_cap[[#This Row],[2035]]*8760), 0)</f>
        <v>0.45285468834630022</v>
      </c>
      <c r="AG55" s="11">
        <f>IFERROR((NB_gen[[#This Row],[2036]]*1000)/(NB_cap[[#This Row],[2036]]*8760), 0)</f>
        <v>0.45285468834630022</v>
      </c>
      <c r="AH55" s="11">
        <f>IFERROR((NB_gen[[#This Row],[2037]]*1000)/(NB_cap[[#This Row],[2037]]*8760), 0)</f>
        <v>0.45285468834630022</v>
      </c>
      <c r="AI55" s="11">
        <f>IFERROR((NB_gen[[#This Row],[2038]]*1000)/(NB_cap[[#This Row],[2038]]*8760), 0)</f>
        <v>0.45285468834630022</v>
      </c>
      <c r="AJ55" s="11">
        <f>IFERROR((NB_gen[[#This Row],[2039]]*1000)/(NB_cap[[#This Row],[2039]]*8760), 0)</f>
        <v>0.45285468834630022</v>
      </c>
      <c r="AK55" s="11">
        <f>IFERROR((NB_gen[[#This Row],[2040]]*1000)/(NB_cap[[#This Row],[2040]]*8760), 0)</f>
        <v>0.45448626401190323</v>
      </c>
      <c r="AL55" s="11">
        <f>IFERROR((NB_gen[[#This Row],[2041]]*1000)/(NB_cap[[#This Row],[2041]]*8760), 0)</f>
        <v>0.45448626401190323</v>
      </c>
      <c r="AM55" s="11">
        <f>IFERROR((NB_gen[[#This Row],[2042]]*1000)/(NB_cap[[#This Row],[2042]]*8760), 0)</f>
        <v>0.45448626401190323</v>
      </c>
      <c r="AN55" s="11">
        <f>IFERROR((NB_gen[[#This Row],[2043]]*1000)/(NB_cap[[#This Row],[2043]]*8760), 0)</f>
        <v>0.45448626401190323</v>
      </c>
      <c r="AO55" s="11">
        <f>IFERROR((NB_gen[[#This Row],[2044]]*1000)/(NB_cap[[#This Row],[2044]]*8760), 0)</f>
        <v>0.45448626401190323</v>
      </c>
      <c r="AP55" s="11">
        <f>IFERROR((NB_gen[[#This Row],[2045]]*1000)/(NB_cap[[#This Row],[2045]]*8760), 0)</f>
        <v>0.45448626401190323</v>
      </c>
      <c r="AQ55" s="11">
        <f>IFERROR((NB_gen[[#This Row],[2046]]*1000)/(NB_cap[[#This Row],[2046]]*8760), 0)</f>
        <v>0.45602111607489426</v>
      </c>
      <c r="AR55" s="11">
        <f>IFERROR((NB_gen[[#This Row],[2047]]*1000)/(NB_cap[[#This Row],[2047]]*8760), 0)</f>
        <v>0.4576011784490569</v>
      </c>
      <c r="AS55" s="11">
        <f>IFERROR((NB_gen[[#This Row],[2048]]*1000)/(NB_cap[[#This Row],[2048]]*8760), 0)</f>
        <v>0.4591130222947889</v>
      </c>
      <c r="AT55" s="11">
        <f>IFERROR((NB_gen[[#This Row],[2049]]*1000)/(NB_cap[[#This Row],[2049]]*8760), 0)</f>
        <v>0.46059334535548063</v>
      </c>
      <c r="AU55" s="11">
        <f>IFERROR((NB_gen[[#This Row],[2050]]*1000)/(NB_cap[[#This Row],[2050]]*8760), 0)</f>
        <v>0.46196735390779642</v>
      </c>
    </row>
    <row r="56" spans="1:47" x14ac:dyDescent="0.3">
      <c r="A56" s="2" t="s">
        <v>57</v>
      </c>
      <c r="B56" s="11">
        <f>IFERROR((NB_gen[[#This Row],[2005]]*1000)/(NB_cap[[#This Row],[2005]]*8760), 0)</f>
        <v>0</v>
      </c>
      <c r="C56" s="11">
        <f>IFERROR((NB_gen[[#This Row],[2006]]*1000)/(NB_cap[[#This Row],[2006]]*8760), 0)</f>
        <v>0</v>
      </c>
      <c r="D56" s="11">
        <f>IFERROR((NB_gen[[#This Row],[2007]]*1000)/(NB_cap[[#This Row],[2007]]*8760), 0)</f>
        <v>0</v>
      </c>
      <c r="E56" s="11">
        <f>IFERROR((NB_gen[[#This Row],[2008]]*1000)/(NB_cap[[#This Row],[2008]]*8760), 0)</f>
        <v>0</v>
      </c>
      <c r="F56" s="11">
        <f>IFERROR((NB_gen[[#This Row],[2009]]*1000)/(NB_cap[[#This Row],[2009]]*8760), 0)</f>
        <v>0</v>
      </c>
      <c r="G56" s="11">
        <f>IFERROR((NB_gen[[#This Row],[2010]]*1000)/(NB_cap[[#This Row],[2010]]*8760), 0)</f>
        <v>0</v>
      </c>
      <c r="H56" s="11">
        <f>IFERROR((NB_gen[[#This Row],[2011]]*1000)/(NB_cap[[#This Row],[2011]]*8760), 0)</f>
        <v>0</v>
      </c>
      <c r="I56" s="11">
        <f>IFERROR((NB_gen[[#This Row],[2012]]*1000)/(NB_cap[[#This Row],[2012]]*8760), 0)</f>
        <v>0</v>
      </c>
      <c r="J56" s="11">
        <f>IFERROR((NB_gen[[#This Row],[2013]]*1000)/(NB_cap[[#This Row],[2013]]*8760), 0)</f>
        <v>0</v>
      </c>
      <c r="K56" s="11">
        <f>IFERROR((NB_gen[[#This Row],[2014]]*1000)/(NB_cap[[#This Row],[2014]]*8760), 0)</f>
        <v>0</v>
      </c>
      <c r="L56" s="11">
        <f>IFERROR((NB_gen[[#This Row],[2015]]*1000)/(NB_cap[[#This Row],[2015]]*8760), 0)</f>
        <v>0</v>
      </c>
      <c r="M56" s="11">
        <f>IFERROR((NB_gen[[#This Row],[2016]]*1000)/(NB_cap[[#This Row],[2016]]*8760), 0)</f>
        <v>0</v>
      </c>
      <c r="N56" s="11">
        <f>IFERROR((NB_gen[[#This Row],[2017]]*1000)/(NB_cap[[#This Row],[2017]]*8760), 0)</f>
        <v>0</v>
      </c>
      <c r="O56" s="11">
        <f>IFERROR((NB_gen[[#This Row],[2018]]*1000)/(NB_cap[[#This Row],[2018]]*8760), 0)</f>
        <v>0</v>
      </c>
      <c r="P56" s="11">
        <f>IFERROR((NB_gen[[#This Row],[2019]]*1000)/(NB_cap[[#This Row],[2019]]*8760), 0)</f>
        <v>0</v>
      </c>
      <c r="Q56" s="11">
        <f>IFERROR((NB_gen[[#This Row],[2020]]*1000)/(NB_cap[[#This Row],[2020]]*8760), 0)</f>
        <v>0</v>
      </c>
      <c r="R56" s="11">
        <f>IFERROR((NB_gen[[#This Row],[2021]]*1000)/(NB_cap[[#This Row],[2021]]*8760), 0)</f>
        <v>0</v>
      </c>
      <c r="S56" s="11">
        <f>IFERROR((NB_gen[[#This Row],[2022]]*1000)/(NB_cap[[#This Row],[2022]]*8760), 0)</f>
        <v>0.19184424150177573</v>
      </c>
      <c r="T56" s="11">
        <f>IFERROR((NB_gen[[#This Row],[2023]]*1000)/(NB_cap[[#This Row],[2023]]*8760), 0)</f>
        <v>0.19184424150177573</v>
      </c>
      <c r="U56" s="11">
        <f>IFERROR((NB_gen[[#This Row],[2024]]*1000)/(NB_cap[[#This Row],[2024]]*8760), 0)</f>
        <v>0.19894845451352303</v>
      </c>
      <c r="V56" s="11">
        <f>IFERROR((NB_gen[[#This Row],[2025]]*1000)/(NB_cap[[#This Row],[2025]]*8760), 0)</f>
        <v>0.20027680122843175</v>
      </c>
      <c r="W56" s="11">
        <f>IFERROR((NB_gen[[#This Row],[2026]]*1000)/(NB_cap[[#This Row],[2026]]*8760), 0)</f>
        <v>0.20063922154255576</v>
      </c>
      <c r="X56" s="11">
        <f>IFERROR((NB_gen[[#This Row],[2027]]*1000)/(NB_cap[[#This Row],[2027]]*8760), 0)</f>
        <v>0.20093711910349471</v>
      </c>
      <c r="Y56" s="11">
        <f>IFERROR((NB_gen[[#This Row],[2028]]*1000)/(NB_cap[[#This Row],[2028]]*8760), 0)</f>
        <v>0.2012338298111998</v>
      </c>
      <c r="Z56" s="11">
        <f>IFERROR((NB_gen[[#This Row],[2029]]*1000)/(NB_cap[[#This Row],[2029]]*8760), 0)</f>
        <v>0.20150366454900404</v>
      </c>
      <c r="AA56" s="11">
        <f>IFERROR((NB_gen[[#This Row],[2030]]*1000)/(NB_cap[[#This Row],[2030]]*8760), 0)</f>
        <v>0.20172538638683793</v>
      </c>
      <c r="AB56" s="11">
        <f>IFERROR((NB_gen[[#This Row],[2031]]*1000)/(NB_cap[[#This Row],[2031]]*8760), 0)</f>
        <v>0.20195239612251401</v>
      </c>
      <c r="AC56" s="11">
        <f>IFERROR((NB_gen[[#This Row],[2032]]*1000)/(NB_cap[[#This Row],[2032]]*8760), 0)</f>
        <v>0.20216130300845514</v>
      </c>
      <c r="AD56" s="11">
        <f>IFERROR((NB_gen[[#This Row],[2033]]*1000)/(NB_cap[[#This Row],[2033]]*8760), 0)</f>
        <v>0.20233230383505618</v>
      </c>
      <c r="AE56" s="11">
        <f>IFERROR((NB_gen[[#This Row],[2034]]*1000)/(NB_cap[[#This Row],[2034]]*8760), 0)</f>
        <v>0.20251175276366998</v>
      </c>
      <c r="AF56" s="11">
        <f>IFERROR((NB_gen[[#This Row],[2035]]*1000)/(NB_cap[[#This Row],[2035]]*8760), 0)</f>
        <v>0.202678420429562</v>
      </c>
      <c r="AG56" s="11">
        <f>IFERROR((NB_gen[[#This Row],[2036]]*1000)/(NB_cap[[#This Row],[2036]]*8760), 0)</f>
        <v>0.20281399760069843</v>
      </c>
      <c r="AH56" s="11">
        <f>IFERROR((NB_gen[[#This Row],[2037]]*1000)/(NB_cap[[#This Row],[2037]]*8760), 0)</f>
        <v>0.20295953560672303</v>
      </c>
      <c r="AI56" s="11">
        <f>IFERROR((NB_gen[[#This Row],[2038]]*1000)/(NB_cap[[#This Row],[2038]]*8760), 0)</f>
        <v>0.20309570823269454</v>
      </c>
      <c r="AJ56" s="11">
        <f>IFERROR((NB_gen[[#This Row],[2039]]*1000)/(NB_cap[[#This Row],[2039]]*8760), 0)</f>
        <v>0.20320559901615826</v>
      </c>
      <c r="AK56" s="11">
        <f>IFERROR((NB_gen[[#This Row],[2040]]*1000)/(NB_cap[[#This Row],[2040]]*8760), 0)</f>
        <v>0.20332610027993575</v>
      </c>
      <c r="AL56" s="11">
        <f>IFERROR((NB_gen[[#This Row],[2041]]*1000)/(NB_cap[[#This Row],[2041]]*8760), 0)</f>
        <v>0.20343952987330377</v>
      </c>
      <c r="AM56" s="11">
        <f>IFERROR((NB_gen[[#This Row],[2042]]*1000)/(NB_cap[[#This Row],[2042]]*8760), 0)</f>
        <v>0.2035302218542874</v>
      </c>
      <c r="AN56" s="11">
        <f>IFERROR((NB_gen[[#This Row],[2043]]*1000)/(NB_cap[[#This Row],[2043]]*8760), 0)</f>
        <v>0.20363170630460975</v>
      </c>
      <c r="AO56" s="11">
        <f>IFERROR((NB_gen[[#This Row],[2044]]*1000)/(NB_cap[[#This Row],[2044]]*8760), 0)</f>
        <v>0.20372771694423511</v>
      </c>
      <c r="AP56" s="11">
        <f>IFERROR((NB_gen[[#This Row],[2045]]*1000)/(NB_cap[[#This Row],[2045]]*8760), 0)</f>
        <v>0.20380369613598864</v>
      </c>
      <c r="AQ56" s="11">
        <f>IFERROR((NB_gen[[#This Row],[2046]]*1000)/(NB_cap[[#This Row],[2046]]*8760), 0)</f>
        <v>0.20389039226408304</v>
      </c>
      <c r="AR56" s="11">
        <f>IFERROR((NB_gen[[#This Row],[2047]]*1000)/(NB_cap[[#This Row],[2047]]*8760), 0)</f>
        <v>0.20397276223808092</v>
      </c>
      <c r="AS56" s="11">
        <f>IFERROR((NB_gen[[#This Row],[2048]]*1000)/(NB_cap[[#This Row],[2048]]*8760), 0)</f>
        <v>0.20403722772805485</v>
      </c>
      <c r="AT56" s="11">
        <f>IFERROR((NB_gen[[#This Row],[2049]]*1000)/(NB_cap[[#This Row],[2049]]*8760), 0)</f>
        <v>0.2041121933434033</v>
      </c>
      <c r="AU56" s="11">
        <f>IFERROR((NB_gen[[#This Row],[2050]]*1000)/(NB_cap[[#This Row],[2050]]*8760), 0)</f>
        <v>0.20418367866091758</v>
      </c>
    </row>
    <row r="57" spans="1:47" x14ac:dyDescent="0.3">
      <c r="A57" s="2" t="s">
        <v>58</v>
      </c>
      <c r="B57" s="11">
        <f>IFERROR((NB_gen[[#This Row],[2005]]*1000)/(NB_cap[[#This Row],[2005]]*8760), 0)</f>
        <v>0.73495836690840721</v>
      </c>
      <c r="C57" s="11">
        <f>IFERROR((NB_gen[[#This Row],[2006]]*1000)/(NB_cap[[#This Row],[2006]]*8760), 0)</f>
        <v>0.73294386247649745</v>
      </c>
      <c r="D57" s="11">
        <f>IFERROR((NB_gen[[#This Row],[2007]]*1000)/(NB_cap[[#This Row],[2007]]*8760), 0)</f>
        <v>0.6914786462530218</v>
      </c>
      <c r="E57" s="11">
        <f>IFERROR((NB_gen[[#This Row],[2008]]*1000)/(NB_cap[[#This Row],[2008]]*8760), 0)</f>
        <v>0.18953129196884233</v>
      </c>
      <c r="F57" s="11">
        <f>IFERROR((NB_gen[[#This Row],[2009]]*1000)/(NB_cap[[#This Row],[2009]]*8760), 0)</f>
        <v>0</v>
      </c>
      <c r="G57" s="11">
        <f>IFERROR((NB_gen[[#This Row],[2010]]*1000)/(NB_cap[[#This Row],[2010]]*8760), 0)</f>
        <v>0</v>
      </c>
      <c r="H57" s="11">
        <f>IFERROR((NB_gen[[#This Row],[2011]]*1000)/(NB_cap[[#This Row],[2011]]*8760), 0)</f>
        <v>0</v>
      </c>
      <c r="I57" s="11">
        <f>IFERROR((NB_gen[[#This Row],[2012]]*1000)/(NB_cap[[#This Row],[2012]]*8760), 0)</f>
        <v>6.8661026054257321E-2</v>
      </c>
      <c r="J57" s="11">
        <f>IFERROR((NB_gen[[#This Row],[2013]]*1000)/(NB_cap[[#This Row],[2013]]*8760), 0)</f>
        <v>0.72525017001845915</v>
      </c>
      <c r="K57" s="11">
        <f>IFERROR((NB_gen[[#This Row],[2014]]*1000)/(NB_cap[[#This Row],[2014]]*8760), 0)</f>
        <v>0.81159040124356363</v>
      </c>
      <c r="L57" s="11">
        <f>IFERROR((NB_gen[[#This Row],[2015]]*1000)/(NB_cap[[#This Row],[2015]]*8760), 0)</f>
        <v>0.69254185692541859</v>
      </c>
      <c r="M57" s="11">
        <f>IFERROR((NB_gen[[#This Row],[2016]]*1000)/(NB_cap[[#This Row],[2016]]*8760), 0)</f>
        <v>0.73593704459341303</v>
      </c>
      <c r="N57" s="11">
        <f>IFERROR((NB_gen[[#This Row],[2017]]*1000)/(NB_cap[[#This Row],[2017]]*8760), 0)</f>
        <v>0.82904239126914736</v>
      </c>
      <c r="O57" s="11">
        <f>IFERROR((NB_gen[[#This Row],[2018]]*1000)/(NB_cap[[#This Row],[2018]]*8760), 0)</f>
        <v>0.78920949512613747</v>
      </c>
      <c r="P57" s="11">
        <f>IFERROR((NB_gen[[#This Row],[2019]]*1000)/(NB_cap[[#This Row],[2019]]*8760), 0)</f>
        <v>0.81220246769649274</v>
      </c>
      <c r="Q57" s="11">
        <f>IFERROR((NB_gen[[#This Row],[2020]]*1000)/(NB_cap[[#This Row],[2020]]*8760), 0)</f>
        <v>0.8</v>
      </c>
      <c r="R57" s="11">
        <f>IFERROR((NB_gen[[#This Row],[2021]]*1000)/(NB_cap[[#This Row],[2021]]*8760), 0)</f>
        <v>0.8</v>
      </c>
      <c r="S57" s="11">
        <f>IFERROR((NB_gen[[#This Row],[2022]]*1000)/(NB_cap[[#This Row],[2022]]*8760), 0)</f>
        <v>0.8</v>
      </c>
      <c r="T57" s="11">
        <f>IFERROR((NB_gen[[#This Row],[2023]]*1000)/(NB_cap[[#This Row],[2023]]*8760), 0)</f>
        <v>0.8</v>
      </c>
      <c r="U57" s="11">
        <f>IFERROR((NB_gen[[#This Row],[2024]]*1000)/(NB_cap[[#This Row],[2024]]*8760), 0)</f>
        <v>0.8</v>
      </c>
      <c r="V57" s="11">
        <f>IFERROR((NB_gen[[#This Row],[2025]]*1000)/(NB_cap[[#This Row],[2025]]*8760), 0)</f>
        <v>0.8</v>
      </c>
      <c r="W57" s="11">
        <f>IFERROR((NB_gen[[#This Row],[2026]]*1000)/(NB_cap[[#This Row],[2026]]*8760), 0)</f>
        <v>0.8</v>
      </c>
      <c r="X57" s="11">
        <f>IFERROR((NB_gen[[#This Row],[2027]]*1000)/(NB_cap[[#This Row],[2027]]*8760), 0)</f>
        <v>0.8</v>
      </c>
      <c r="Y57" s="11">
        <f>IFERROR((NB_gen[[#This Row],[2028]]*1000)/(NB_cap[[#This Row],[2028]]*8760), 0)</f>
        <v>0.8</v>
      </c>
      <c r="Z57" s="11">
        <f>IFERROR((NB_gen[[#This Row],[2029]]*1000)/(NB_cap[[#This Row],[2029]]*8760), 0)</f>
        <v>0.8</v>
      </c>
      <c r="AA57" s="11">
        <f>IFERROR((NB_gen[[#This Row],[2030]]*1000)/(NB_cap[[#This Row],[2030]]*8760), 0)</f>
        <v>0.8</v>
      </c>
      <c r="AB57" s="11">
        <f>IFERROR((NB_gen[[#This Row],[2031]]*1000)/(NB_cap[[#This Row],[2031]]*8760), 0)</f>
        <v>0.8</v>
      </c>
      <c r="AC57" s="11">
        <f>IFERROR((NB_gen[[#This Row],[2032]]*1000)/(NB_cap[[#This Row],[2032]]*8760), 0)</f>
        <v>0.8</v>
      </c>
      <c r="AD57" s="11">
        <f>IFERROR((NB_gen[[#This Row],[2033]]*1000)/(NB_cap[[#This Row],[2033]]*8760), 0)</f>
        <v>0.8</v>
      </c>
      <c r="AE57" s="11">
        <f>IFERROR((NB_gen[[#This Row],[2034]]*1000)/(NB_cap[[#This Row],[2034]]*8760), 0)</f>
        <v>0.8</v>
      </c>
      <c r="AF57" s="11">
        <f>IFERROR((NB_gen[[#This Row],[2035]]*1000)/(NB_cap[[#This Row],[2035]]*8760), 0)</f>
        <v>0.8</v>
      </c>
      <c r="AG57" s="11">
        <f>IFERROR((NB_gen[[#This Row],[2036]]*1000)/(NB_cap[[#This Row],[2036]]*8760), 0)</f>
        <v>0.8</v>
      </c>
      <c r="AH57" s="11">
        <f>IFERROR((NB_gen[[#This Row],[2037]]*1000)/(NB_cap[[#This Row],[2037]]*8760), 0)</f>
        <v>0.8</v>
      </c>
      <c r="AI57" s="11">
        <f>IFERROR((NB_gen[[#This Row],[2038]]*1000)/(NB_cap[[#This Row],[2038]]*8760), 0)</f>
        <v>0.8</v>
      </c>
      <c r="AJ57" s="11">
        <f>IFERROR((NB_gen[[#This Row],[2039]]*1000)/(NB_cap[[#This Row],[2039]]*8760), 0)</f>
        <v>0.8</v>
      </c>
      <c r="AK57" s="11">
        <f>IFERROR((NB_gen[[#This Row],[2040]]*1000)/(NB_cap[[#This Row],[2040]]*8760), 0)</f>
        <v>0.8</v>
      </c>
      <c r="AL57" s="11">
        <f>IFERROR((NB_gen[[#This Row],[2041]]*1000)/(NB_cap[[#This Row],[2041]]*8760), 0)</f>
        <v>0</v>
      </c>
      <c r="AM57" s="11">
        <f>IFERROR((NB_gen[[#This Row],[2042]]*1000)/(NB_cap[[#This Row],[2042]]*8760), 0)</f>
        <v>0</v>
      </c>
      <c r="AN57" s="11">
        <f>IFERROR((NB_gen[[#This Row],[2043]]*1000)/(NB_cap[[#This Row],[2043]]*8760), 0)</f>
        <v>0</v>
      </c>
      <c r="AO57" s="11">
        <f>IFERROR((NB_gen[[#This Row],[2044]]*1000)/(NB_cap[[#This Row],[2044]]*8760), 0)</f>
        <v>0.89999731003826466</v>
      </c>
      <c r="AP57" s="11">
        <f>IFERROR((NB_gen[[#This Row],[2045]]*1000)/(NB_cap[[#This Row],[2045]]*8760), 0)</f>
        <v>0.90000067249043381</v>
      </c>
      <c r="AQ57" s="11">
        <f>IFERROR((NB_gen[[#This Row],[2046]]*1000)/(NB_cap[[#This Row],[2046]]*8760), 0)</f>
        <v>0.89999731003826466</v>
      </c>
      <c r="AR57" s="11">
        <f>IFERROR((NB_gen[[#This Row],[2047]]*1000)/(NB_cap[[#This Row],[2047]]*8760), 0)</f>
        <v>0.89999731003826466</v>
      </c>
      <c r="AS57" s="11">
        <f>IFERROR((NB_gen[[#This Row],[2048]]*1000)/(NB_cap[[#This Row],[2048]]*8760), 0)</f>
        <v>0.89999731003826466</v>
      </c>
      <c r="AT57" s="11">
        <f>IFERROR((NB_gen[[#This Row],[2049]]*1000)/(NB_cap[[#This Row],[2049]]*8760), 0)</f>
        <v>0.90000235371651838</v>
      </c>
      <c r="AU57" s="11">
        <f>IFERROR((NB_gen[[#This Row],[2050]]*1000)/(NB_cap[[#This Row],[2050]]*8760), 0)</f>
        <v>0.90000235371651838</v>
      </c>
    </row>
    <row r="58" spans="1:47" x14ac:dyDescent="0.3">
      <c r="A58" s="2" t="s">
        <v>59</v>
      </c>
      <c r="B58" s="11">
        <f>IFERROR((NB_gen[[#This Row],[2005]]*1000)/(NB_cap[[#This Row],[2005]]*8760), 0)</f>
        <v>0.65434591784198048</v>
      </c>
      <c r="C58" s="11">
        <f>IFERROR((NB_gen[[#This Row],[2006]]*1000)/(NB_cap[[#This Row],[2006]]*8760), 0)</f>
        <v>0.65579765190455697</v>
      </c>
      <c r="D58" s="11">
        <f>IFERROR((NB_gen[[#This Row],[2007]]*1000)/(NB_cap[[#This Row],[2007]]*8760), 0)</f>
        <v>0.65285409228639679</v>
      </c>
      <c r="E58" s="11">
        <f>IFERROR((NB_gen[[#This Row],[2008]]*1000)/(NB_cap[[#This Row],[2008]]*8760), 0)</f>
        <v>0.65990386481992591</v>
      </c>
      <c r="F58" s="11">
        <f>IFERROR((NB_gen[[#This Row],[2009]]*1000)/(NB_cap[[#This Row],[2009]]*8760), 0)</f>
        <v>0.65904928299529875</v>
      </c>
      <c r="G58" s="11">
        <f>IFERROR((NB_gen[[#This Row],[2010]]*1000)/(NB_cap[[#This Row],[2010]]*8760), 0)</f>
        <v>0.53771549715776723</v>
      </c>
      <c r="H58" s="11">
        <f>IFERROR((NB_gen[[#This Row],[2011]]*1000)/(NB_cap[[#This Row],[2011]]*8760), 0)</f>
        <v>0.60890177989003824</v>
      </c>
      <c r="I58" s="11">
        <f>IFERROR((NB_gen[[#This Row],[2012]]*1000)/(NB_cap[[#This Row],[2012]]*8760), 0)</f>
        <v>0.49161541328860309</v>
      </c>
      <c r="J58" s="11">
        <f>IFERROR((NB_gen[[#This Row],[2013]]*1000)/(NB_cap[[#This Row],[2013]]*8760), 0)</f>
        <v>0.60863852390271178</v>
      </c>
      <c r="K58" s="11">
        <f>IFERROR((NB_gen[[#This Row],[2014]]*1000)/(NB_cap[[#This Row],[2014]]*8760), 0)</f>
        <v>0.72225561457459697</v>
      </c>
      <c r="L58" s="11">
        <f>IFERROR((NB_gen[[#This Row],[2015]]*1000)/(NB_cap[[#This Row],[2015]]*8760), 0)</f>
        <v>0.40402804957599481</v>
      </c>
      <c r="M58" s="11">
        <f>IFERROR((NB_gen[[#This Row],[2016]]*1000)/(NB_cap[[#This Row],[2016]]*8760), 0)</f>
        <v>0.51395955642530988</v>
      </c>
      <c r="N58" s="11">
        <f>IFERROR((NB_gen[[#This Row],[2017]]*1000)/(NB_cap[[#This Row],[2017]]*8760), 0)</f>
        <v>0.49080234833659492</v>
      </c>
      <c r="O58" s="11">
        <f>IFERROR((NB_gen[[#This Row],[2018]]*1000)/(NB_cap[[#This Row],[2018]]*8760), 0)</f>
        <v>0.54787764420836826</v>
      </c>
      <c r="P58" s="11">
        <f>IFERROR((NB_gen[[#This Row],[2019]]*1000)/(NB_cap[[#This Row],[2019]]*8760), 0)</f>
        <v>0.42660283291398754</v>
      </c>
      <c r="Q58" s="11">
        <f>IFERROR((NB_gen[[#This Row],[2020]]*1000)/(NB_cap[[#This Row],[2020]]*8760), 0)</f>
        <v>0.54532662380020502</v>
      </c>
      <c r="R58" s="11">
        <f>IFERROR((NB_gen[[#This Row],[2021]]*1000)/(NB_cap[[#This Row],[2021]]*8760), 0)</f>
        <v>0.55568679526605158</v>
      </c>
      <c r="S58" s="11">
        <f>IFERROR((NB_gen[[#This Row],[2022]]*1000)/(NB_cap[[#This Row],[2022]]*8760), 0)</f>
        <v>0.55336175566116863</v>
      </c>
      <c r="T58" s="11">
        <f>IFERROR((NB_gen[[#This Row],[2023]]*1000)/(NB_cap[[#This Row],[2023]]*8760), 0)</f>
        <v>0.13457972229987886</v>
      </c>
      <c r="U58" s="11">
        <f>IFERROR((NB_gen[[#This Row],[2024]]*1000)/(NB_cap[[#This Row],[2024]]*8760), 0)</f>
        <v>0.11335383468455876</v>
      </c>
      <c r="V58" s="11">
        <f>IFERROR((NB_gen[[#This Row],[2025]]*1000)/(NB_cap[[#This Row],[2025]]*8760), 0)</f>
        <v>0.10359472556145746</v>
      </c>
      <c r="W58" s="11">
        <f>IFERROR((NB_gen[[#This Row],[2026]]*1000)/(NB_cap[[#This Row],[2026]]*8760), 0)</f>
        <v>0.10764840182648402</v>
      </c>
      <c r="X58" s="11">
        <f>IFERROR((NB_gen[[#This Row],[2027]]*1000)/(NB_cap[[#This Row],[2027]]*8760), 0)</f>
        <v>8.1464914733016494E-2</v>
      </c>
      <c r="Y58" s="11">
        <f>IFERROR((NB_gen[[#This Row],[2028]]*1000)/(NB_cap[[#This Row],[2028]]*8760), 0)</f>
        <v>7.9794520547945211E-2</v>
      </c>
      <c r="Z58" s="11">
        <f>IFERROR((NB_gen[[#This Row],[2029]]*1000)/(NB_cap[[#This Row],[2029]]*8760), 0)</f>
        <v>9.1198397167086012E-2</v>
      </c>
      <c r="AA58" s="11">
        <f>IFERROR((NB_gen[[#This Row],[2030]]*1000)/(NB_cap[[#This Row],[2030]]*8760), 0)</f>
        <v>9.734647283570963E-2</v>
      </c>
      <c r="AB58" s="11">
        <f>IFERROR((NB_gen[[#This Row],[2031]]*1000)/(NB_cap[[#This Row],[2031]]*8760), 0)</f>
        <v>0.1340718479172491</v>
      </c>
      <c r="AC58" s="11">
        <f>IFERROR((NB_gen[[#This Row],[2032]]*1000)/(NB_cap[[#This Row],[2032]]*8760), 0)</f>
        <v>0.11909421302767682</v>
      </c>
      <c r="AD58" s="11">
        <f>IFERROR((NB_gen[[#This Row],[2033]]*1000)/(NB_cap[[#This Row],[2033]]*8760), 0)</f>
        <v>0.14133119001025068</v>
      </c>
      <c r="AE58" s="11">
        <f>IFERROR((NB_gen[[#This Row],[2034]]*1000)/(NB_cap[[#This Row],[2034]]*8760), 0)</f>
        <v>0.1408233156276209</v>
      </c>
      <c r="AF58" s="11">
        <f>IFERROR((NB_gen[[#This Row],[2035]]*1000)/(NB_cap[[#This Row],[2035]]*8760), 0)</f>
        <v>0.14039232131208648</v>
      </c>
      <c r="AG58" s="11">
        <f>IFERROR((NB_gen[[#This Row],[2036]]*1000)/(NB_cap[[#This Row],[2036]]*8760), 0)</f>
        <v>7.7387941477961047E-2</v>
      </c>
      <c r="AH58" s="11">
        <f>IFERROR((NB_gen[[#This Row],[2037]]*1000)/(NB_cap[[#This Row],[2037]]*8760), 0)</f>
        <v>0.10477588295592209</v>
      </c>
      <c r="AI58" s="11">
        <f>IFERROR((NB_gen[[#This Row],[2038]]*1000)/(NB_cap[[#This Row],[2038]]*8760), 0)</f>
        <v>0.10364830863852391</v>
      </c>
      <c r="AJ58" s="11">
        <f>IFERROR((NB_gen[[#This Row],[2039]]*1000)/(NB_cap[[#This Row],[2039]]*8760), 0)</f>
        <v>0.103855651849781</v>
      </c>
      <c r="AK58" s="11">
        <f>IFERROR((NB_gen[[#This Row],[2040]]*1000)/(NB_cap[[#This Row],[2040]]*8760), 0)</f>
        <v>0.10409095144907278</v>
      </c>
      <c r="AL58" s="11">
        <f>IFERROR((NB_gen[[#This Row],[2041]]*1000)/(NB_cap[[#This Row],[2041]]*8760), 0)</f>
        <v>0</v>
      </c>
      <c r="AM58" s="11">
        <f>IFERROR((NB_gen[[#This Row],[2042]]*1000)/(NB_cap[[#This Row],[2042]]*8760), 0)</f>
        <v>0</v>
      </c>
      <c r="AN58" s="11">
        <f>IFERROR((NB_gen[[#This Row],[2043]]*1000)/(NB_cap[[#This Row],[2043]]*8760), 0)</f>
        <v>0</v>
      </c>
      <c r="AO58" s="11">
        <f>IFERROR((NB_gen[[#This Row],[2044]]*1000)/(NB_cap[[#This Row],[2044]]*8760), 0)</f>
        <v>0</v>
      </c>
      <c r="AP58" s="11">
        <f>IFERROR((NB_gen[[#This Row],[2045]]*1000)/(NB_cap[[#This Row],[2045]]*8760), 0)</f>
        <v>0</v>
      </c>
      <c r="AQ58" s="11">
        <f>IFERROR((NB_gen[[#This Row],[2046]]*1000)/(NB_cap[[#This Row],[2046]]*8760), 0)</f>
        <v>0</v>
      </c>
      <c r="AR58" s="11">
        <f>IFERROR((NB_gen[[#This Row],[2047]]*1000)/(NB_cap[[#This Row],[2047]]*8760), 0)</f>
        <v>0</v>
      </c>
      <c r="AS58" s="11">
        <f>IFERROR((NB_gen[[#This Row],[2048]]*1000)/(NB_cap[[#This Row],[2048]]*8760), 0)</f>
        <v>0</v>
      </c>
      <c r="AT58" s="11">
        <f>IFERROR((NB_gen[[#This Row],[2049]]*1000)/(NB_cap[[#This Row],[2049]]*8760), 0)</f>
        <v>0</v>
      </c>
      <c r="AU58" s="11">
        <f>IFERROR((NB_gen[[#This Row],[2050]]*1000)/(NB_cap[[#This Row],[2050]]*8760), 0)</f>
        <v>0</v>
      </c>
    </row>
    <row r="59" spans="1:47" x14ac:dyDescent="0.3">
      <c r="A59" s="2" t="s">
        <v>60</v>
      </c>
      <c r="B59" s="11">
        <f>IFERROR((NB_gen[[#This Row],[2005]]*1000)/(NB_cap[[#This Row],[2005]]*8760), 0)</f>
        <v>0.66478646253021756</v>
      </c>
      <c r="C59" s="11">
        <f>IFERROR((NB_gen[[#This Row],[2006]]*1000)/(NB_cap[[#This Row],[2006]]*8760), 0)</f>
        <v>0.78297072253558953</v>
      </c>
      <c r="D59" s="11">
        <f>IFERROR((NB_gen[[#This Row],[2007]]*1000)/(NB_cap[[#This Row],[2007]]*8760), 0)</f>
        <v>0.62986838571044856</v>
      </c>
      <c r="E59" s="11">
        <f>IFERROR((NB_gen[[#This Row],[2008]]*1000)/(NB_cap[[#This Row],[2008]]*8760), 0)</f>
        <v>0.4979183454203599</v>
      </c>
      <c r="F59" s="11">
        <f>IFERROR((NB_gen[[#This Row],[2009]]*1000)/(NB_cap[[#This Row],[2009]]*8760), 0)</f>
        <v>0.64383561643835618</v>
      </c>
      <c r="G59" s="11">
        <f>IFERROR((NB_gen[[#This Row],[2010]]*1000)/(NB_cap[[#This Row],[2010]]*8760), 0)</f>
        <v>0.66373124592302679</v>
      </c>
      <c r="H59" s="11">
        <f>IFERROR((NB_gen[[#This Row],[2011]]*1000)/(NB_cap[[#This Row],[2011]]*8760), 0)</f>
        <v>0.71004566210045661</v>
      </c>
      <c r="I59" s="11">
        <f>IFERROR((NB_gen[[#This Row],[2012]]*1000)/(NB_cap[[#This Row],[2012]]*8760), 0)</f>
        <v>0.64155251141552516</v>
      </c>
      <c r="J59" s="11">
        <f>IFERROR((NB_gen[[#This Row],[2013]]*1000)/(NB_cap[[#This Row],[2013]]*8760), 0)</f>
        <v>0.6412263535551207</v>
      </c>
      <c r="K59" s="11">
        <f>IFERROR((NB_gen[[#This Row],[2014]]*1000)/(NB_cap[[#This Row],[2014]]*8760), 0)</f>
        <v>0.65759947814742337</v>
      </c>
      <c r="L59" s="11">
        <f>IFERROR((NB_gen[[#This Row],[2015]]*1000)/(NB_cap[[#This Row],[2015]]*8760), 0)</f>
        <v>1.0251141552511416</v>
      </c>
      <c r="M59" s="11">
        <f>IFERROR((NB_gen[[#This Row],[2016]]*1000)/(NB_cap[[#This Row],[2016]]*8760), 0)</f>
        <v>1.1154598825831703</v>
      </c>
      <c r="N59" s="11">
        <f>IFERROR((NB_gen[[#This Row],[2017]]*1000)/(NB_cap[[#This Row],[2017]]*8760), 0)</f>
        <v>0.76223091976516633</v>
      </c>
      <c r="O59" s="11">
        <f>IFERROR((NB_gen[[#This Row],[2018]]*1000)/(NB_cap[[#This Row],[2018]]*8760), 0)</f>
        <v>0.67351598173515981</v>
      </c>
      <c r="P59" s="11">
        <f>IFERROR((NB_gen[[#This Row],[2019]]*1000)/(NB_cap[[#This Row],[2019]]*8760), 0)</f>
        <v>0.63307240704500978</v>
      </c>
      <c r="Q59" s="11">
        <f>IFERROR((NB_gen[[#This Row],[2020]]*1000)/(NB_cap[[#This Row],[2020]]*8760), 0)</f>
        <v>0.37568166992824525</v>
      </c>
      <c r="R59" s="11">
        <f>IFERROR((NB_gen[[#This Row],[2021]]*1000)/(NB_cap[[#This Row],[2021]]*8760), 0)</f>
        <v>0.44117416829745598</v>
      </c>
      <c r="S59" s="11">
        <f>IFERROR((NB_gen[[#This Row],[2022]]*1000)/(NB_cap[[#This Row],[2022]]*8760), 0)</f>
        <v>0.44117090671885195</v>
      </c>
      <c r="T59" s="11">
        <f>IFERROR((NB_gen[[#This Row],[2023]]*1000)/(NB_cap[[#This Row],[2023]]*8760), 0)</f>
        <v>0.44117090671885195</v>
      </c>
      <c r="U59" s="11">
        <f>IFERROR((NB_gen[[#This Row],[2024]]*1000)/(NB_cap[[#This Row],[2024]]*8760), 0)</f>
        <v>0.44117090671885195</v>
      </c>
      <c r="V59" s="11">
        <f>IFERROR((NB_gen[[#This Row],[2025]]*1000)/(NB_cap[[#This Row],[2025]]*8760), 0)</f>
        <v>0.42570864576732903</v>
      </c>
      <c r="W59" s="11">
        <f>IFERROR((NB_gen[[#This Row],[2026]]*1000)/(NB_cap[[#This Row],[2026]]*8760), 0)</f>
        <v>0.4256932219659203</v>
      </c>
      <c r="X59" s="11">
        <f>IFERROR((NB_gen[[#This Row],[2027]]*1000)/(NB_cap[[#This Row],[2027]]*8760), 0)</f>
        <v>0.47421877472287943</v>
      </c>
      <c r="Y59" s="11">
        <f>IFERROR((NB_gen[[#This Row],[2028]]*1000)/(NB_cap[[#This Row],[2028]]*8760), 0)</f>
        <v>0.38277413279715833</v>
      </c>
      <c r="Z59" s="11">
        <f>IFERROR((NB_gen[[#This Row],[2029]]*1000)/(NB_cap[[#This Row],[2029]]*8760), 0)</f>
        <v>0.44631660683188656</v>
      </c>
      <c r="AA59" s="11">
        <f>IFERROR((NB_gen[[#This Row],[2030]]*1000)/(NB_cap[[#This Row],[2030]]*8760), 0)</f>
        <v>0.41517119076171782</v>
      </c>
      <c r="AB59" s="11">
        <f>IFERROR((NB_gen[[#This Row],[2031]]*1000)/(NB_cap[[#This Row],[2031]]*8760), 0)</f>
        <v>0.88281792654642488</v>
      </c>
      <c r="AC59" s="11">
        <f>IFERROR((NB_gen[[#This Row],[2032]]*1000)/(NB_cap[[#This Row],[2032]]*8760), 0)</f>
        <v>0.79077818899487318</v>
      </c>
      <c r="AD59" s="11">
        <f>IFERROR((NB_gen[[#This Row],[2033]]*1000)/(NB_cap[[#This Row],[2033]]*8760), 0)</f>
        <v>0.8608165524641852</v>
      </c>
      <c r="AE59" s="11">
        <f>IFERROR((NB_gen[[#This Row],[2034]]*1000)/(NB_cap[[#This Row],[2034]]*8760), 0)</f>
        <v>0.85377926143394478</v>
      </c>
      <c r="AF59" s="11">
        <f>IFERROR((NB_gen[[#This Row],[2035]]*1000)/(NB_cap[[#This Row],[2035]]*8760), 0)</f>
        <v>0.84769050907165056</v>
      </c>
      <c r="AG59" s="11">
        <f>IFERROR((NB_gen[[#This Row],[2036]]*1000)/(NB_cap[[#This Row],[2036]]*8760), 0)</f>
        <v>0.32565969486809876</v>
      </c>
      <c r="AH59" s="11">
        <f>IFERROR((NB_gen[[#This Row],[2037]]*1000)/(NB_cap[[#This Row],[2037]]*8760), 0)</f>
        <v>0.65318104446623315</v>
      </c>
      <c r="AI59" s="11">
        <f>IFERROR((NB_gen[[#This Row],[2038]]*1000)/(NB_cap[[#This Row],[2038]]*8760), 0)</f>
        <v>0.65318104446623315</v>
      </c>
      <c r="AJ59" s="11">
        <f>IFERROR((NB_gen[[#This Row],[2039]]*1000)/(NB_cap[[#This Row],[2039]]*8760), 0)</f>
        <v>0.65318104446623315</v>
      </c>
      <c r="AK59" s="11">
        <f>IFERROR((NB_gen[[#This Row],[2040]]*1000)/(NB_cap[[#This Row],[2040]]*8760), 0)</f>
        <v>0.65318104446623315</v>
      </c>
      <c r="AL59" s="11">
        <f>IFERROR((NB_gen[[#This Row],[2041]]*1000)/(NB_cap[[#This Row],[2041]]*8760), 0)</f>
        <v>0.74200913242009126</v>
      </c>
      <c r="AM59" s="11">
        <f>IFERROR((NB_gen[[#This Row],[2042]]*1000)/(NB_cap[[#This Row],[2042]]*8760), 0)</f>
        <v>0.74200913242009126</v>
      </c>
      <c r="AN59" s="11">
        <f>IFERROR((NB_gen[[#This Row],[2043]]*1000)/(NB_cap[[#This Row],[2043]]*8760), 0)</f>
        <v>0.74200913242009126</v>
      </c>
      <c r="AO59" s="11">
        <f>IFERROR((NB_gen[[#This Row],[2044]]*1000)/(NB_cap[[#This Row],[2044]]*8760), 0)</f>
        <v>0.19977168949771687</v>
      </c>
      <c r="AP59" s="11">
        <f>IFERROR((NB_gen[[#This Row],[2045]]*1000)/(NB_cap[[#This Row],[2045]]*8760), 0)</f>
        <v>0.19977168949771687</v>
      </c>
      <c r="AQ59" s="11">
        <f>IFERROR((NB_gen[[#This Row],[2046]]*1000)/(NB_cap[[#This Row],[2046]]*8760), 0)</f>
        <v>0.19977168949771687</v>
      </c>
      <c r="AR59" s="11">
        <f>IFERROR((NB_gen[[#This Row],[2047]]*1000)/(NB_cap[[#This Row],[2047]]*8760), 0)</f>
        <v>0.19977168949771687</v>
      </c>
      <c r="AS59" s="11">
        <f>IFERROR((NB_gen[[#This Row],[2048]]*1000)/(NB_cap[[#This Row],[2048]]*8760), 0)</f>
        <v>0.19977168949771687</v>
      </c>
      <c r="AT59" s="11">
        <f>IFERROR((NB_gen[[#This Row],[2049]]*1000)/(NB_cap[[#This Row],[2049]]*8760), 0)</f>
        <v>0.19977168949771687</v>
      </c>
      <c r="AU59" s="11">
        <f>IFERROR((NB_gen[[#This Row],[2050]]*1000)/(NB_cap[[#This Row],[2050]]*8760), 0)</f>
        <v>0.19977168949771687</v>
      </c>
    </row>
    <row r="60" spans="1:47" x14ac:dyDescent="0.3">
      <c r="A60" s="2" t="s">
        <v>61</v>
      </c>
      <c r="B60" s="11">
        <f>IFERROR((NB_gen[[#This Row],[2005]]*1000)/(NB_cap[[#This Row],[2005]]*8760), 0)</f>
        <v>0.25960244414802564</v>
      </c>
      <c r="C60" s="11">
        <f>IFERROR((NB_gen[[#This Row],[2006]]*1000)/(NB_cap[[#This Row],[2006]]*8760), 0)</f>
        <v>0.2596045939104511</v>
      </c>
      <c r="D60" s="11">
        <f>IFERROR((NB_gen[[#This Row],[2007]]*1000)/(NB_cap[[#This Row],[2007]]*8760), 0)</f>
        <v>0.25960101097307536</v>
      </c>
      <c r="E60" s="11">
        <f>IFERROR((NB_gen[[#This Row],[2008]]*1000)/(NB_cap[[#This Row],[2008]]*8760), 0)</f>
        <v>0.23948138443324352</v>
      </c>
      <c r="F60" s="11">
        <f>IFERROR((NB_gen[[#This Row],[2009]]*1000)/(NB_cap[[#This Row],[2009]]*8760), 0)</f>
        <v>0.30102048362431372</v>
      </c>
      <c r="G60" s="11">
        <f>IFERROR((NB_gen[[#This Row],[2010]]*1000)/(NB_cap[[#This Row],[2010]]*8760), 0)</f>
        <v>0.18244388776107573</v>
      </c>
      <c r="H60" s="11">
        <f>IFERROR((NB_gen[[#This Row],[2011]]*1000)/(NB_cap[[#This Row],[2011]]*8760), 0)</f>
        <v>0.13690260395276529</v>
      </c>
      <c r="I60" s="11">
        <f>IFERROR((NB_gen[[#This Row],[2012]]*1000)/(NB_cap[[#This Row],[2012]]*8760), 0)</f>
        <v>0.11675359732645225</v>
      </c>
      <c r="J60" s="11">
        <f>IFERROR((NB_gen[[#This Row],[2013]]*1000)/(NB_cap[[#This Row],[2013]]*8760), 0)</f>
        <v>9.4831753286614126E-2</v>
      </c>
      <c r="K60" s="11">
        <f>IFERROR((NB_gen[[#This Row],[2014]]*1000)/(NB_cap[[#This Row],[2014]]*8760), 0)</f>
        <v>0.11412372129264584</v>
      </c>
      <c r="L60" s="11">
        <f>IFERROR((NB_gen[[#This Row],[2015]]*1000)/(NB_cap[[#This Row],[2015]]*8760), 0)</f>
        <v>7.6656945154343764E-2</v>
      </c>
      <c r="M60" s="11">
        <f>IFERROR((NB_gen[[#This Row],[2016]]*1000)/(NB_cap[[#This Row],[2016]]*8760), 0)</f>
        <v>5.0224182958426233E-2</v>
      </c>
      <c r="N60" s="11">
        <f>IFERROR((NB_gen[[#This Row],[2017]]*1000)/(NB_cap[[#This Row],[2017]]*8760), 0)</f>
        <v>1.8149727570640047E-2</v>
      </c>
      <c r="O60" s="11">
        <f>IFERROR((NB_gen[[#This Row],[2018]]*1000)/(NB_cap[[#This Row],[2018]]*8760), 0)</f>
        <v>2.7681057577631646E-2</v>
      </c>
      <c r="P60" s="11">
        <f>IFERROR((NB_gen[[#This Row],[2019]]*1000)/(NB_cap[[#This Row],[2019]]*8760), 0)</f>
        <v>1.3246119478177561E-2</v>
      </c>
      <c r="Q60" s="11">
        <f>IFERROR((NB_gen[[#This Row],[2020]]*1000)/(NB_cap[[#This Row],[2020]]*8760), 0)</f>
        <v>0.12632505623205234</v>
      </c>
      <c r="R60" s="11">
        <f>IFERROR((NB_gen[[#This Row],[2021]]*1000)/(NB_cap[[#This Row],[2021]]*8760), 0)</f>
        <v>0.16006701067451634</v>
      </c>
      <c r="S60" s="11">
        <f>IFERROR((NB_gen[[#This Row],[2022]]*1000)/(NB_cap[[#This Row],[2022]]*8760), 0)</f>
        <v>0.1536506864220088</v>
      </c>
      <c r="T60" s="11">
        <f>IFERROR((NB_gen[[#This Row],[2023]]*1000)/(NB_cap[[#This Row],[2023]]*8760), 0)</f>
        <v>0.25138461898298692</v>
      </c>
      <c r="U60" s="11">
        <f>IFERROR((NB_gen[[#This Row],[2024]]*1000)/(NB_cap[[#This Row],[2024]]*8760), 0)</f>
        <v>0.19761189484760994</v>
      </c>
      <c r="V60" s="11">
        <f>IFERROR((NB_gen[[#This Row],[2025]]*1000)/(NB_cap[[#This Row],[2025]]*8760), 0)</f>
        <v>0.16689250637533545</v>
      </c>
      <c r="W60" s="11">
        <f>IFERROR((NB_gen[[#This Row],[2026]]*1000)/(NB_cap[[#This Row],[2026]]*8760), 0)</f>
        <v>0.17917238559415813</v>
      </c>
      <c r="X60" s="11">
        <f>IFERROR((NB_gen[[#This Row],[2027]]*1000)/(NB_cap[[#This Row],[2027]]*8760), 0)</f>
        <v>0.1069848821826504</v>
      </c>
      <c r="Y60" s="11">
        <f>IFERROR((NB_gen[[#This Row],[2028]]*1000)/(NB_cap[[#This Row],[2028]]*8760), 0)</f>
        <v>0.11591318100334727</v>
      </c>
      <c r="Z60" s="11">
        <f>IFERROR((NB_gen[[#This Row],[2029]]*1000)/(NB_cap[[#This Row],[2029]]*8760), 0)</f>
        <v>0.14609353103410996</v>
      </c>
      <c r="AA60" s="11">
        <f>IFERROR((NB_gen[[#This Row],[2030]]*1000)/(NB_cap[[#This Row],[2030]]*8760), 0)</f>
        <v>0.16111657049644643</v>
      </c>
      <c r="AB60" s="11">
        <f>IFERROR((NB_gen[[#This Row],[2031]]*1000)/(NB_cap[[#This Row],[2031]]*8760), 0)</f>
        <v>0.25330609030969514</v>
      </c>
      <c r="AC60" s="11">
        <f>IFERROR((NB_gen[[#This Row],[2032]]*1000)/(NB_cap[[#This Row],[2032]]*8760), 0)</f>
        <v>0.2085726496879102</v>
      </c>
      <c r="AD60" s="11">
        <f>IFERROR((NB_gen[[#This Row],[2033]]*1000)/(NB_cap[[#This Row],[2033]]*8760), 0)</f>
        <v>0.29340061016293334</v>
      </c>
      <c r="AE60" s="11">
        <f>IFERROR((NB_gen[[#This Row],[2034]]*1000)/(NB_cap[[#This Row],[2034]]*8760), 0)</f>
        <v>0.29160327465043834</v>
      </c>
      <c r="AF60" s="11">
        <f>IFERROR((NB_gen[[#This Row],[2035]]*1000)/(NB_cap[[#This Row],[2035]]*8760), 0)</f>
        <v>0.29073562060076047</v>
      </c>
      <c r="AG60" s="11">
        <f>IFERROR((NB_gen[[#This Row],[2036]]*1000)/(NB_cap[[#This Row],[2036]]*8760), 0)</f>
        <v>9.0775294793672898E-2</v>
      </c>
      <c r="AH60" s="11">
        <f>IFERROR((NB_gen[[#This Row],[2037]]*1000)/(NB_cap[[#This Row],[2037]]*8760), 0)</f>
        <v>0.18798976480547649</v>
      </c>
      <c r="AI60" s="11">
        <f>IFERROR((NB_gen[[#This Row],[2038]]*1000)/(NB_cap[[#This Row],[2038]]*8760), 0)</f>
        <v>0.18440676952884213</v>
      </c>
      <c r="AJ60" s="11">
        <f>IFERROR((NB_gen[[#This Row],[2039]]*1000)/(NB_cap[[#This Row],[2039]]*8760), 0)</f>
        <v>0.19080362015918367</v>
      </c>
      <c r="AK60" s="11">
        <f>IFERROR((NB_gen[[#This Row],[2040]]*1000)/(NB_cap[[#This Row],[2040]]*8760), 0)</f>
        <v>0.1883495238016844</v>
      </c>
      <c r="AL60" s="11">
        <f>IFERROR((NB_gen[[#This Row],[2041]]*1000)/(NB_cap[[#This Row],[2041]]*8760), 0)</f>
        <v>0.93228711956609545</v>
      </c>
      <c r="AM60" s="11">
        <f>IFERROR((NB_gen[[#This Row],[2042]]*1000)/(NB_cap[[#This Row],[2042]]*8760), 0)</f>
        <v>0.49928773373262142</v>
      </c>
      <c r="AN60" s="11">
        <f>IFERROR((NB_gen[[#This Row],[2043]]*1000)/(NB_cap[[#This Row],[2043]]*8760), 0)</f>
        <v>0.53624381505544272</v>
      </c>
      <c r="AO60" s="11">
        <f>IFERROR((NB_gen[[#This Row],[2044]]*1000)/(NB_cap[[#This Row],[2044]]*8760), 0)</f>
        <v>0.23182611292603028</v>
      </c>
      <c r="AP60" s="11">
        <f>IFERROR((NB_gen[[#This Row],[2045]]*1000)/(NB_cap[[#This Row],[2045]]*8760), 0)</f>
        <v>0.21490945615811582</v>
      </c>
      <c r="AQ60" s="11">
        <f>IFERROR((NB_gen[[#This Row],[2046]]*1000)/(NB_cap[[#This Row],[2046]]*8760), 0)</f>
        <v>0.20820893309562122</v>
      </c>
      <c r="AR60" s="11">
        <f>IFERROR((NB_gen[[#This Row],[2047]]*1000)/(NB_cap[[#This Row],[2047]]*8760), 0)</f>
        <v>0.22040703669001349</v>
      </c>
      <c r="AS60" s="11">
        <f>IFERROR((NB_gen[[#This Row],[2048]]*1000)/(NB_cap[[#This Row],[2048]]*8760), 0)</f>
        <v>0.21650968044697258</v>
      </c>
      <c r="AT60" s="11">
        <f>IFERROR((NB_gen[[#This Row],[2049]]*1000)/(NB_cap[[#This Row],[2049]]*8760), 0)</f>
        <v>0.21442783525564435</v>
      </c>
      <c r="AU60" s="11">
        <f>IFERROR((NB_gen[[#This Row],[2050]]*1000)/(NB_cap[[#This Row],[2050]]*8760), 0)</f>
        <v>0.2118865636734793</v>
      </c>
    </row>
    <row r="62" spans="1:47" ht="18" x14ac:dyDescent="0.35">
      <c r="A62" s="4" t="s">
        <v>66</v>
      </c>
    </row>
    <row r="63" spans="1:47" x14ac:dyDescent="0.3">
      <c r="A63" s="2" t="s">
        <v>7</v>
      </c>
      <c r="B63" s="2" t="s">
        <v>8</v>
      </c>
      <c r="C63" s="2" t="s">
        <v>9</v>
      </c>
      <c r="D63" s="2" t="s">
        <v>10</v>
      </c>
      <c r="E63" s="2" t="s">
        <v>11</v>
      </c>
      <c r="F63" s="2" t="s">
        <v>12</v>
      </c>
      <c r="G63" s="2" t="s">
        <v>13</v>
      </c>
      <c r="H63" s="2" t="s">
        <v>14</v>
      </c>
      <c r="I63" s="2" t="s">
        <v>15</v>
      </c>
      <c r="J63" s="2" t="s">
        <v>16</v>
      </c>
      <c r="K63" s="2" t="s">
        <v>17</v>
      </c>
      <c r="L63" s="2" t="s">
        <v>18</v>
      </c>
      <c r="M63" s="2" t="s">
        <v>19</v>
      </c>
      <c r="N63" s="2" t="s">
        <v>20</v>
      </c>
      <c r="O63" s="2" t="s">
        <v>21</v>
      </c>
      <c r="P63" s="2" t="s">
        <v>22</v>
      </c>
      <c r="Q63" s="2" t="s">
        <v>23</v>
      </c>
      <c r="R63" s="2" t="s">
        <v>24</v>
      </c>
      <c r="S63" s="2" t="s">
        <v>25</v>
      </c>
      <c r="T63" s="2" t="s">
        <v>26</v>
      </c>
      <c r="U63" s="2" t="s">
        <v>27</v>
      </c>
      <c r="V63" s="2" t="s">
        <v>28</v>
      </c>
      <c r="W63" s="2" t="s">
        <v>29</v>
      </c>
      <c r="X63" s="2" t="s">
        <v>30</v>
      </c>
      <c r="Y63" s="2" t="s">
        <v>31</v>
      </c>
      <c r="Z63" s="2" t="s">
        <v>32</v>
      </c>
      <c r="AA63" s="2" t="s">
        <v>33</v>
      </c>
      <c r="AB63" s="2" t="s">
        <v>34</v>
      </c>
      <c r="AC63" s="2" t="s">
        <v>35</v>
      </c>
      <c r="AD63" s="2" t="s">
        <v>36</v>
      </c>
      <c r="AE63" s="2" t="s">
        <v>37</v>
      </c>
      <c r="AF63" s="2" t="s">
        <v>38</v>
      </c>
      <c r="AG63" s="2" t="s">
        <v>39</v>
      </c>
      <c r="AH63" s="2" t="s">
        <v>40</v>
      </c>
      <c r="AI63" s="2" t="s">
        <v>41</v>
      </c>
      <c r="AJ63" s="2" t="s">
        <v>42</v>
      </c>
      <c r="AK63" s="2" t="s">
        <v>43</v>
      </c>
      <c r="AL63" s="2" t="s">
        <v>44</v>
      </c>
      <c r="AM63" s="2" t="s">
        <v>45</v>
      </c>
      <c r="AN63" s="2" t="s">
        <v>46</v>
      </c>
      <c r="AO63" s="2" t="s">
        <v>47</v>
      </c>
      <c r="AP63" s="2" t="s">
        <v>48</v>
      </c>
      <c r="AQ63" s="2" t="s">
        <v>49</v>
      </c>
      <c r="AR63" s="2" t="s">
        <v>50</v>
      </c>
      <c r="AS63" s="2" t="s">
        <v>51</v>
      </c>
      <c r="AT63" s="2" t="s">
        <v>52</v>
      </c>
      <c r="AU63" s="2" t="s">
        <v>53</v>
      </c>
    </row>
    <row r="64" spans="1:47" x14ac:dyDescent="0.3">
      <c r="A64" s="2" t="s">
        <v>54</v>
      </c>
      <c r="B64" s="11">
        <f>IFERROR((QC_gen[[#This Row],[2005]]*1000)/(QC_cap[[#This Row],[2005]]*8760), 0)</f>
        <v>0.54181757269122699</v>
      </c>
      <c r="C64" s="11">
        <f>IFERROR((QC_gen[[#This Row],[2006]]*1000)/(QC_cap[[#This Row],[2006]]*8760), 0)</f>
        <v>0.53629132534601309</v>
      </c>
      <c r="D64" s="11">
        <f>IFERROR((QC_gen[[#This Row],[2007]]*1000)/(QC_cap[[#This Row],[2007]]*8760), 0)</f>
        <v>0.55143511200874218</v>
      </c>
      <c r="E64" s="11">
        <f>IFERROR((QC_gen[[#This Row],[2008]]*1000)/(QC_cap[[#This Row],[2008]]*8760), 0)</f>
        <v>0.56021186069031936</v>
      </c>
      <c r="F64" s="11">
        <f>IFERROR((QC_gen[[#This Row],[2009]]*1000)/(QC_cap[[#This Row],[2009]]*8760), 0)</f>
        <v>0.5629099939575769</v>
      </c>
      <c r="G64" s="11">
        <f>IFERROR((QC_gen[[#This Row],[2010]]*1000)/(QC_cap[[#This Row],[2010]]*8760), 0)</f>
        <v>0.52702304231076624</v>
      </c>
      <c r="H64" s="11">
        <f>IFERROR((QC_gen[[#This Row],[2011]]*1000)/(QC_cap[[#This Row],[2011]]*8760), 0)</f>
        <v>0.56705598558099357</v>
      </c>
      <c r="I64" s="11">
        <f>IFERROR((QC_gen[[#This Row],[2012]]*1000)/(QC_cap[[#This Row],[2012]]*8760), 0)</f>
        <v>0.55875556251057368</v>
      </c>
      <c r="J64" s="11">
        <f>IFERROR((QC_gen[[#This Row],[2013]]*1000)/(QC_cap[[#This Row],[2013]]*8760), 0)</f>
        <v>0.60151022469631366</v>
      </c>
      <c r="K64" s="11">
        <f>IFERROR((QC_gen[[#This Row],[2014]]*1000)/(QC_cap[[#This Row],[2014]]*8760), 0)</f>
        <v>0.56232852760085439</v>
      </c>
      <c r="L64" s="11">
        <f>IFERROR((QC_gen[[#This Row],[2015]]*1000)/(QC_cap[[#This Row],[2015]]*8760), 0)</f>
        <v>0.55190736811792473</v>
      </c>
      <c r="M64" s="11">
        <f>IFERROR((QC_gen[[#This Row],[2016]]*1000)/(QC_cap[[#This Row],[2016]]*8760), 0)</f>
        <v>0.55758284025703575</v>
      </c>
      <c r="N64" s="11">
        <f>IFERROR((QC_gen[[#This Row],[2017]]*1000)/(QC_cap[[#This Row],[2017]]*8760), 0)</f>
        <v>0.56927134382384648</v>
      </c>
      <c r="O64" s="11">
        <f>IFERROR((QC_gen[[#This Row],[2018]]*1000)/(QC_cap[[#This Row],[2018]]*8760), 0)</f>
        <v>0.55838039841520137</v>
      </c>
      <c r="P64" s="11">
        <f>IFERROR((QC_gen[[#This Row],[2019]]*1000)/(QC_cap[[#This Row],[2019]]*8760), 0)</f>
        <v>0.55773827224592598</v>
      </c>
      <c r="Q64" s="11">
        <f>IFERROR((QC_gen[[#This Row],[2020]]*1000)/(QC_cap[[#This Row],[2020]]*8760), 0)</f>
        <v>0.55753289246593585</v>
      </c>
      <c r="R64" s="11">
        <f>IFERROR((QC_gen[[#This Row],[2021]]*1000)/(QC_cap[[#This Row],[2021]]*8760), 0)</f>
        <v>0.55753289246593585</v>
      </c>
      <c r="S64" s="11">
        <f>IFERROR((QC_gen[[#This Row],[2022]]*1000)/(QC_cap[[#This Row],[2022]]*8760), 0)</f>
        <v>0.55212747915965155</v>
      </c>
      <c r="T64" s="11">
        <f>IFERROR((QC_gen[[#This Row],[2023]]*1000)/(QC_cap[[#This Row],[2023]]*8760), 0)</f>
        <v>0.55212720244077995</v>
      </c>
      <c r="U64" s="11">
        <f>IFERROR((QC_gen[[#This Row],[2024]]*1000)/(QC_cap[[#This Row],[2024]]*8760), 0)</f>
        <v>0.55191289201153659</v>
      </c>
      <c r="V64" s="11">
        <f>IFERROR((QC_gen[[#This Row],[2025]]*1000)/(QC_cap[[#This Row],[2025]]*8760), 0)</f>
        <v>0.55172056343571918</v>
      </c>
      <c r="W64" s="11">
        <f>IFERROR((QC_gen[[#This Row],[2026]]*1000)/(QC_cap[[#This Row],[2026]]*8760), 0)</f>
        <v>0.5515485771608124</v>
      </c>
      <c r="X64" s="11">
        <f>IFERROR((QC_gen[[#This Row],[2027]]*1000)/(QC_cap[[#This Row],[2027]]*8760), 0)</f>
        <v>0.55910272105430603</v>
      </c>
      <c r="Y64" s="11">
        <f>IFERROR((QC_gen[[#This Row],[2028]]*1000)/(QC_cap[[#This Row],[2028]]*8760), 0)</f>
        <v>0.55895313762033727</v>
      </c>
      <c r="Z64" s="11">
        <f>IFERROR((QC_gen[[#This Row],[2029]]*1000)/(QC_cap[[#This Row],[2029]]*8760), 0)</f>
        <v>0.55881904026378204</v>
      </c>
      <c r="AA64" s="11">
        <f>IFERROR((QC_gen[[#This Row],[2030]]*1000)/(QC_cap[[#This Row],[2030]]*8760), 0)</f>
        <v>0.55869897649246447</v>
      </c>
      <c r="AB64" s="11">
        <f>IFERROR((QC_gen[[#This Row],[2031]]*1000)/(QC_cap[[#This Row],[2031]]*8760), 0)</f>
        <v>0.55859027284936658</v>
      </c>
      <c r="AC64" s="11">
        <f>IFERROR((QC_gen[[#This Row],[2032]]*1000)/(QC_cap[[#This Row],[2032]]*8760), 0)</f>
        <v>0.55859027284936658</v>
      </c>
      <c r="AD64" s="11">
        <f>IFERROR((QC_gen[[#This Row],[2033]]*1000)/(QC_cap[[#This Row],[2033]]*8760), 0)</f>
        <v>0.55849230876303102</v>
      </c>
      <c r="AE64" s="11">
        <f>IFERROR((QC_gen[[#This Row],[2034]]*1000)/(QC_cap[[#This Row],[2034]]*8760), 0)</f>
        <v>0.55840596936502096</v>
      </c>
      <c r="AF64" s="11">
        <f>IFERROR((QC_gen[[#This Row],[2035]]*1000)/(QC_cap[[#This Row],[2035]]*8760), 0)</f>
        <v>0.55832667924748192</v>
      </c>
      <c r="AG64" s="11">
        <f>IFERROR((QC_gen[[#This Row],[2036]]*1000)/(QC_cap[[#This Row],[2036]]*8760), 0)</f>
        <v>0.55825695311606272</v>
      </c>
      <c r="AH64" s="11">
        <f>IFERROR((QC_gen[[#This Row],[2037]]*1000)/(QC_cap[[#This Row],[2037]]*8760), 0)</f>
        <v>0.55819358391701457</v>
      </c>
      <c r="AI64" s="11">
        <f>IFERROR((QC_gen[[#This Row],[2038]]*1000)/(QC_cap[[#This Row],[2038]]*8760), 0)</f>
        <v>0.55813594881865802</v>
      </c>
      <c r="AJ64" s="11">
        <f>IFERROR((QC_gen[[#This Row],[2039]]*1000)/(QC_cap[[#This Row],[2039]]*8760), 0)</f>
        <v>0.55808573429996622</v>
      </c>
      <c r="AK64" s="11">
        <f>IFERROR((QC_gen[[#This Row],[2040]]*1000)/(QC_cap[[#This Row],[2040]]*8760), 0)</f>
        <v>0.55803986308073228</v>
      </c>
      <c r="AL64" s="11">
        <f>IFERROR((QC_gen[[#This Row],[2041]]*1000)/(QC_cap[[#This Row],[2041]]*8760), 0)</f>
        <v>0.55803850282007061</v>
      </c>
      <c r="AM64" s="11">
        <f>IFERROR((QC_gen[[#This Row],[2042]]*1000)/(QC_cap[[#This Row],[2042]]*8760), 0)</f>
        <v>0.55799783401367131</v>
      </c>
      <c r="AN64" s="11">
        <f>IFERROR((QC_gen[[#This Row],[2043]]*1000)/(QC_cap[[#This Row],[2043]]*8760), 0)</f>
        <v>0.55796024202932148</v>
      </c>
      <c r="AO64" s="11">
        <f>IFERROR((QC_gen[[#This Row],[2044]]*1000)/(QC_cap[[#This Row],[2044]]*8760), 0)</f>
        <v>0.55792671647064485</v>
      </c>
      <c r="AP64" s="11">
        <f>IFERROR((QC_gen[[#This Row],[2045]]*1000)/(QC_cap[[#This Row],[2045]]*8760), 0)</f>
        <v>0.5579272600098778</v>
      </c>
      <c r="AQ64" s="11">
        <f>IFERROR((QC_gen[[#This Row],[2046]]*1000)/(QC_cap[[#This Row],[2046]]*8760), 0)</f>
        <v>0.55789702130030594</v>
      </c>
      <c r="AR64" s="11">
        <f>IFERROR((QC_gen[[#This Row],[2047]]*1000)/(QC_cap[[#This Row],[2047]]*8760), 0)</f>
        <v>0.55789647791281738</v>
      </c>
      <c r="AS64" s="11">
        <f>IFERROR((QC_gen[[#This Row],[2048]]*1000)/(QC_cap[[#This Row],[2048]]*8760), 0)</f>
        <v>0.55789729299405022</v>
      </c>
      <c r="AT64" s="11">
        <f>IFERROR((QC_gen[[#This Row],[2049]]*1000)/(QC_cap[[#This Row],[2049]]*8760), 0)</f>
        <v>0.55789647791281738</v>
      </c>
      <c r="AU64" s="11">
        <f>IFERROR((QC_gen[[#This Row],[2050]]*1000)/(QC_cap[[#This Row],[2050]]*8760), 0)</f>
        <v>0.55789674960656166</v>
      </c>
    </row>
    <row r="65" spans="1:47" x14ac:dyDescent="0.3">
      <c r="A65" s="2" t="s">
        <v>55</v>
      </c>
      <c r="B65" s="11">
        <f>IFERROR((QC_gen[[#This Row],[2005]]*1000)/(QC_cap[[#This Row],[2005]]*8760), 0)</f>
        <v>0.22941345156949683</v>
      </c>
      <c r="C65" s="11">
        <f>IFERROR((QC_gen[[#This Row],[2006]]*1000)/(QC_cap[[#This Row],[2006]]*8760), 0)</f>
        <v>0.15088659378015931</v>
      </c>
      <c r="D65" s="11">
        <f>IFERROR((QC_gen[[#This Row],[2007]]*1000)/(QC_cap[[#This Row],[2007]]*8760), 0)</f>
        <v>0.16890597111352015</v>
      </c>
      <c r="E65" s="11">
        <f>IFERROR((QC_gen[[#This Row],[2008]]*1000)/(QC_cap[[#This Row],[2008]]*8760), 0)</f>
        <v>0.1223865595730117</v>
      </c>
      <c r="F65" s="11">
        <f>IFERROR((QC_gen[[#This Row],[2009]]*1000)/(QC_cap[[#This Row],[2009]]*8760), 0)</f>
        <v>0.22865642728656427</v>
      </c>
      <c r="G65" s="11">
        <f>IFERROR((QC_gen[[#This Row],[2010]]*1000)/(QC_cap[[#This Row],[2010]]*8760), 0)</f>
        <v>0.2639340515948656</v>
      </c>
      <c r="H65" s="11">
        <f>IFERROR((QC_gen[[#This Row],[2011]]*1000)/(QC_cap[[#This Row],[2011]]*8760), 0)</f>
        <v>0.17238308671841374</v>
      </c>
      <c r="I65" s="11">
        <f>IFERROR((QC_gen[[#This Row],[2012]]*1000)/(QC_cap[[#This Row],[2012]]*8760), 0)</f>
        <v>0.21678810858518063</v>
      </c>
      <c r="J65" s="11">
        <f>IFERROR((QC_gen[[#This Row],[2013]]*1000)/(QC_cap[[#This Row],[2013]]*8760), 0)</f>
        <v>0.24621399522295187</v>
      </c>
      <c r="K65" s="11">
        <f>IFERROR((QC_gen[[#This Row],[2014]]*1000)/(QC_cap[[#This Row],[2014]]*8760), 0)</f>
        <v>0.26397906136486993</v>
      </c>
      <c r="L65" s="11">
        <f>IFERROR((QC_gen[[#This Row],[2015]]*1000)/(QC_cap[[#This Row],[2015]]*8760), 0)</f>
        <v>0.24068787928676322</v>
      </c>
      <c r="M65" s="11">
        <f>IFERROR((QC_gen[[#This Row],[2016]]*1000)/(QC_cap[[#This Row],[2016]]*8760), 0)</f>
        <v>0.33502739846597529</v>
      </c>
      <c r="N65" s="11">
        <f>IFERROR((QC_gen[[#This Row],[2017]]*1000)/(QC_cap[[#This Row],[2017]]*8760), 0)</f>
        <v>0.30294632165543012</v>
      </c>
      <c r="O65" s="11">
        <f>IFERROR((QC_gen[[#This Row],[2018]]*1000)/(QC_cap[[#This Row],[2018]]*8760), 0)</f>
        <v>0.31307899384367821</v>
      </c>
      <c r="P65" s="11">
        <f>IFERROR((QC_gen[[#This Row],[2019]]*1000)/(QC_cap[[#This Row],[2019]]*8760), 0)</f>
        <v>0.29432845069036451</v>
      </c>
      <c r="Q65" s="11">
        <f>IFERROR((QC_gen[[#This Row],[2020]]*1000)/(QC_cap[[#This Row],[2020]]*8760), 0)</f>
        <v>0.27913815046099583</v>
      </c>
      <c r="R65" s="11">
        <f>IFERROR((QC_gen[[#This Row],[2021]]*1000)/(QC_cap[[#This Row],[2021]]*8760), 0)</f>
        <v>0.27913815046099583</v>
      </c>
      <c r="S65" s="11">
        <f>IFERROR((QC_gen[[#This Row],[2022]]*1000)/(QC_cap[[#This Row],[2022]]*8760), 0)</f>
        <v>0.27913815046099583</v>
      </c>
      <c r="T65" s="11">
        <f>IFERROR((QC_gen[[#This Row],[2023]]*1000)/(QC_cap[[#This Row],[2023]]*8760), 0)</f>
        <v>0.2818664273915169</v>
      </c>
      <c r="U65" s="11">
        <f>IFERROR((QC_gen[[#This Row],[2024]]*1000)/(QC_cap[[#This Row],[2024]]*8760), 0)</f>
        <v>0.31472923028086819</v>
      </c>
      <c r="V65" s="11">
        <f>IFERROR((QC_gen[[#This Row],[2025]]*1000)/(QC_cap[[#This Row],[2025]]*8760), 0)</f>
        <v>0.31645977268749781</v>
      </c>
      <c r="W65" s="11">
        <f>IFERROR((QC_gen[[#This Row],[2026]]*1000)/(QC_cap[[#This Row],[2026]]*8760), 0)</f>
        <v>0.3181300864755589</v>
      </c>
      <c r="X65" s="11">
        <f>IFERROR((QC_gen[[#This Row],[2027]]*1000)/(QC_cap[[#This Row],[2027]]*8760), 0)</f>
        <v>0.31972549428362868</v>
      </c>
      <c r="Y65" s="11">
        <f>IFERROR((QC_gen[[#This Row],[2028]]*1000)/(QC_cap[[#This Row],[2028]]*8760), 0)</f>
        <v>0.32125905814227945</v>
      </c>
      <c r="Z65" s="11">
        <f>IFERROR((QC_gen[[#This Row],[2029]]*1000)/(QC_cap[[#This Row],[2029]]*8760), 0)</f>
        <v>0.32273817778894492</v>
      </c>
      <c r="AA65" s="11">
        <f>IFERROR((QC_gen[[#This Row],[2030]]*1000)/(QC_cap[[#This Row],[2030]]*8760), 0)</f>
        <v>0.32535449673685812</v>
      </c>
      <c r="AB65" s="11">
        <f>IFERROR((QC_gen[[#This Row],[2031]]*1000)/(QC_cap[[#This Row],[2031]]*8760), 0)</f>
        <v>0.32794381377337806</v>
      </c>
      <c r="AC65" s="11">
        <f>IFERROR((QC_gen[[#This Row],[2032]]*1000)/(QC_cap[[#This Row],[2032]]*8760), 0)</f>
        <v>0.33048024539290249</v>
      </c>
      <c r="AD65" s="11">
        <f>IFERROR((QC_gen[[#This Row],[2033]]*1000)/(QC_cap[[#This Row],[2033]]*8760), 0)</f>
        <v>0.33296661552968498</v>
      </c>
      <c r="AE65" s="11">
        <f>IFERROR((QC_gen[[#This Row],[2034]]*1000)/(QC_cap[[#This Row],[2034]]*8760), 0)</f>
        <v>0.33540634911029743</v>
      </c>
      <c r="AF65" s="11">
        <f>IFERROR((QC_gen[[#This Row],[2035]]*1000)/(QC_cap[[#This Row],[2035]]*8760), 0)</f>
        <v>0.33779930017798682</v>
      </c>
      <c r="AG65" s="11">
        <f>IFERROR((QC_gen[[#This Row],[2036]]*1000)/(QC_cap[[#This Row],[2036]]*8760), 0)</f>
        <v>0.34015073345395508</v>
      </c>
      <c r="AH65" s="11">
        <f>IFERROR((QC_gen[[#This Row],[2037]]*1000)/(QC_cap[[#This Row],[2037]]*8760), 0)</f>
        <v>0.34245342293961312</v>
      </c>
      <c r="AI65" s="11">
        <f>IFERROR((QC_gen[[#This Row],[2038]]*1000)/(QC_cap[[#This Row],[2038]]*8760), 0)</f>
        <v>0.34470971647535259</v>
      </c>
      <c r="AJ65" s="11">
        <f>IFERROR((QC_gen[[#This Row],[2039]]*1000)/(QC_cap[[#This Row],[2039]]*8760), 0)</f>
        <v>0.346924489434774</v>
      </c>
      <c r="AK65" s="11">
        <f>IFERROR((QC_gen[[#This Row],[2040]]*1000)/(QC_cap[[#This Row],[2040]]*8760), 0)</f>
        <v>0.34912323693652986</v>
      </c>
      <c r="AL65" s="11">
        <f>IFERROR((QC_gen[[#This Row],[2041]]*1000)/(QC_cap[[#This Row],[2041]]*8760), 0)</f>
        <v>0.35128653038510205</v>
      </c>
      <c r="AM65" s="11">
        <f>IFERROR((QC_gen[[#This Row],[2042]]*1000)/(QC_cap[[#This Row],[2042]]*8760), 0)</f>
        <v>0.35341845572252689</v>
      </c>
      <c r="AN65" s="11">
        <f>IFERROR((QC_gen[[#This Row],[2043]]*1000)/(QC_cap[[#This Row],[2043]]*8760), 0)</f>
        <v>0.35551853723109833</v>
      </c>
      <c r="AO65" s="11">
        <f>IFERROR((QC_gen[[#This Row],[2044]]*1000)/(QC_cap[[#This Row],[2044]]*8760), 0)</f>
        <v>0.35758870770812584</v>
      </c>
      <c r="AP65" s="11">
        <f>IFERROR((QC_gen[[#This Row],[2045]]*1000)/(QC_cap[[#This Row],[2045]]*8760), 0)</f>
        <v>0.35963055221813728</v>
      </c>
      <c r="AQ65" s="11">
        <f>IFERROR((QC_gen[[#This Row],[2046]]*1000)/(QC_cap[[#This Row],[2046]]*8760), 0)</f>
        <v>0.36164395712704345</v>
      </c>
      <c r="AR65" s="11">
        <f>IFERROR((QC_gen[[#This Row],[2047]]*1000)/(QC_cap[[#This Row],[2047]]*8760), 0)</f>
        <v>0.36363055048190207</v>
      </c>
      <c r="AS65" s="11">
        <f>IFERROR((QC_gen[[#This Row],[2048]]*1000)/(QC_cap[[#This Row],[2048]]*8760), 0)</f>
        <v>0.36559274649799045</v>
      </c>
      <c r="AT65" s="11">
        <f>IFERROR((QC_gen[[#This Row],[2049]]*1000)/(QC_cap[[#This Row],[2049]]*8760), 0)</f>
        <v>0.36752902799894216</v>
      </c>
      <c r="AU65" s="11">
        <f>IFERROR((QC_gen[[#This Row],[2050]]*1000)/(QC_cap[[#This Row],[2050]]*8760), 0)</f>
        <v>0.3694423306664022</v>
      </c>
    </row>
    <row r="66" spans="1:47" x14ac:dyDescent="0.3">
      <c r="A66" s="2" t="s">
        <v>56</v>
      </c>
      <c r="B66" s="11">
        <f>IFERROR((QC_gen[[#This Row],[2005]]*1000)/(QC_cap[[#This Row],[2005]]*8760), 0)</f>
        <v>0.26526723826418319</v>
      </c>
      <c r="C66" s="11">
        <f>IFERROR((QC_gen[[#This Row],[2006]]*1000)/(QC_cap[[#This Row],[2006]]*8760), 0)</f>
        <v>0.26526723826418319</v>
      </c>
      <c r="D66" s="11">
        <f>IFERROR((QC_gen[[#This Row],[2007]]*1000)/(QC_cap[[#This Row],[2007]]*8760), 0)</f>
        <v>0.26526723826418319</v>
      </c>
      <c r="E66" s="11">
        <f>IFERROR((QC_gen[[#This Row],[2008]]*1000)/(QC_cap[[#This Row],[2008]]*8760), 0)</f>
        <v>0.2178876315267024</v>
      </c>
      <c r="F66" s="11">
        <f>IFERROR((QC_gen[[#This Row],[2009]]*1000)/(QC_cap[[#This Row],[2009]]*8760), 0)</f>
        <v>0.27297994838197337</v>
      </c>
      <c r="G66" s="11">
        <f>IFERROR((QC_gen[[#This Row],[2010]]*1000)/(QC_cap[[#This Row],[2010]]*8760), 0)</f>
        <v>0.41885546952551123</v>
      </c>
      <c r="H66" s="11">
        <f>IFERROR((QC_gen[[#This Row],[2011]]*1000)/(QC_cap[[#This Row],[2011]]*8760), 0)</f>
        <v>0.51789383561643831</v>
      </c>
      <c r="I66" s="11">
        <f>IFERROR((QC_gen[[#This Row],[2012]]*1000)/(QC_cap[[#This Row],[2012]]*8760), 0)</f>
        <v>0.58640125570776258</v>
      </c>
      <c r="J66" s="11">
        <f>IFERROR((QC_gen[[#This Row],[2013]]*1000)/(QC_cap[[#This Row],[2013]]*8760), 0)</f>
        <v>0.76761796042617958</v>
      </c>
      <c r="K66" s="11">
        <f>IFERROR((QC_gen[[#This Row],[2014]]*1000)/(QC_cap[[#This Row],[2014]]*8760), 0)</f>
        <v>0.44878234398782346</v>
      </c>
      <c r="L66" s="11">
        <f>IFERROR((QC_gen[[#This Row],[2015]]*1000)/(QC_cap[[#This Row],[2015]]*8760), 0)</f>
        <v>0.43113875687261205</v>
      </c>
      <c r="M66" s="11">
        <f>IFERROR((QC_gen[[#This Row],[2016]]*1000)/(QC_cap[[#This Row],[2016]]*8760), 0)</f>
        <v>0.62868845855162891</v>
      </c>
      <c r="N66" s="11">
        <f>IFERROR((QC_gen[[#This Row],[2017]]*1000)/(QC_cap[[#This Row],[2017]]*8760), 0)</f>
        <v>0.79528686705473117</v>
      </c>
      <c r="O66" s="11">
        <f>IFERROR((QC_gen[[#This Row],[2018]]*1000)/(QC_cap[[#This Row],[2018]]*8760), 0)</f>
        <v>0.6967777257177773</v>
      </c>
      <c r="P66" s="11">
        <f>IFERROR((QC_gen[[#This Row],[2019]]*1000)/(QC_cap[[#This Row],[2019]]*8760), 0)</f>
        <v>0.64692685021926855</v>
      </c>
      <c r="Q66" s="11">
        <f>IFERROR((QC_gen[[#This Row],[2020]]*1000)/(QC_cap[[#This Row],[2020]]*8760), 0)</f>
        <v>0.47998126225804644</v>
      </c>
      <c r="R66" s="11">
        <f>IFERROR((QC_gen[[#This Row],[2021]]*1000)/(QC_cap[[#This Row],[2021]]*8760), 0)</f>
        <v>0.47998155546920929</v>
      </c>
      <c r="S66" s="11">
        <f>IFERROR((QC_gen[[#This Row],[2022]]*1000)/(QC_cap[[#This Row],[2022]]*8760), 0)</f>
        <v>0.47998155546920929</v>
      </c>
      <c r="T66" s="11">
        <f>IFERROR((QC_gen[[#This Row],[2023]]*1000)/(QC_cap[[#This Row],[2023]]*8760), 0)</f>
        <v>0.47998155546920929</v>
      </c>
      <c r="U66" s="11">
        <f>IFERROR((QC_gen[[#This Row],[2024]]*1000)/(QC_cap[[#This Row],[2024]]*8760), 0)</f>
        <v>0.47996678848697388</v>
      </c>
      <c r="V66" s="11">
        <f>IFERROR((QC_gen[[#This Row],[2025]]*1000)/(QC_cap[[#This Row],[2025]]*8760), 0)</f>
        <v>0.4799805413001374</v>
      </c>
      <c r="W66" s="11">
        <f>IFERROR((QC_gen[[#This Row],[2026]]*1000)/(QC_cap[[#This Row],[2026]]*8760), 0)</f>
        <v>0.47999966947042583</v>
      </c>
      <c r="X66" s="11">
        <f>IFERROR((QC_gen[[#This Row],[2027]]*1000)/(QC_cap[[#This Row],[2027]]*8760), 0)</f>
        <v>0.47997341407536831</v>
      </c>
      <c r="Y66" s="11">
        <f>IFERROR((QC_gen[[#This Row],[2028]]*1000)/(QC_cap[[#This Row],[2028]]*8760), 0)</f>
        <v>0.47997912333047077</v>
      </c>
      <c r="Z66" s="11">
        <f>IFERROR((QC_gen[[#This Row],[2029]]*1000)/(QC_cap[[#This Row],[2029]]*8760), 0)</f>
        <v>0.47998130661998978</v>
      </c>
      <c r="AA66" s="11">
        <f>IFERROR((QC_gen[[#This Row],[2030]]*1000)/(QC_cap[[#This Row],[2030]]*8760), 0)</f>
        <v>0.47999835983475336</v>
      </c>
      <c r="AB66" s="11">
        <f>IFERROR((QC_gen[[#This Row],[2031]]*1000)/(QC_cap[[#This Row],[2031]]*8760), 0)</f>
        <v>0.47998712899999924</v>
      </c>
      <c r="AC66" s="11">
        <f>IFERROR((QC_gen[[#This Row],[2032]]*1000)/(QC_cap[[#This Row],[2032]]*8760), 0)</f>
        <v>0.47998712899999924</v>
      </c>
      <c r="AD66" s="11">
        <f>IFERROR((QC_gen[[#This Row],[2033]]*1000)/(QC_cap[[#This Row],[2033]]*8760), 0)</f>
        <v>0.47999613101355354</v>
      </c>
      <c r="AE66" s="11">
        <f>IFERROR((QC_gen[[#This Row],[2034]]*1000)/(QC_cap[[#This Row],[2034]]*8760), 0)</f>
        <v>0.47998091484937422</v>
      </c>
      <c r="AF66" s="11">
        <f>IFERROR((QC_gen[[#This Row],[2035]]*1000)/(QC_cap[[#This Row],[2035]]*8760), 0)</f>
        <v>0.47999562443321891</v>
      </c>
      <c r="AG66" s="11">
        <f>IFERROR((QC_gen[[#This Row],[2036]]*1000)/(QC_cap[[#This Row],[2036]]*8760), 0)</f>
        <v>0.47998685296970572</v>
      </c>
      <c r="AH66" s="11">
        <f>IFERROR((QC_gen[[#This Row],[2037]]*1000)/(QC_cap[[#This Row],[2037]]*8760), 0)</f>
        <v>0.47999134983619046</v>
      </c>
      <c r="AI66" s="11">
        <f>IFERROR((QC_gen[[#This Row],[2038]]*1000)/(QC_cap[[#This Row],[2038]]*8760), 0)</f>
        <v>0.47999005099910663</v>
      </c>
      <c r="AJ66" s="11">
        <f>IFERROR((QC_gen[[#This Row],[2039]]*1000)/(QC_cap[[#This Row],[2039]]*8760), 0)</f>
        <v>0.47999504140529031</v>
      </c>
      <c r="AK66" s="11">
        <f>IFERROR((QC_gen[[#This Row],[2040]]*1000)/(QC_cap[[#This Row],[2040]]*8760), 0)</f>
        <v>0.47998734548743932</v>
      </c>
      <c r="AL66" s="11">
        <f>IFERROR((QC_gen[[#This Row],[2041]]*1000)/(QC_cap[[#This Row],[2041]]*8760), 0)</f>
        <v>0.47997562177991593</v>
      </c>
      <c r="AM66" s="11">
        <f>IFERROR((QC_gen[[#This Row],[2042]]*1000)/(QC_cap[[#This Row],[2042]]*8760), 0)</f>
        <v>0.4799835895829927</v>
      </c>
      <c r="AN66" s="11">
        <f>IFERROR((QC_gen[[#This Row],[2043]]*1000)/(QC_cap[[#This Row],[2043]]*8760), 0)</f>
        <v>0.47998134929614167</v>
      </c>
      <c r="AO66" s="11">
        <f>IFERROR((QC_gen[[#This Row],[2044]]*1000)/(QC_cap[[#This Row],[2044]]*8760), 0)</f>
        <v>0.47999158824573251</v>
      </c>
      <c r="AP66" s="11">
        <f>IFERROR((QC_gen[[#This Row],[2045]]*1000)/(QC_cap[[#This Row],[2045]]*8760), 0)</f>
        <v>0.47998205568416497</v>
      </c>
      <c r="AQ66" s="11">
        <f>IFERROR((QC_gen[[#This Row],[2046]]*1000)/(QC_cap[[#This Row],[2046]]*8760), 0)</f>
        <v>0.4799828450019229</v>
      </c>
      <c r="AR66" s="11">
        <f>IFERROR((QC_gen[[#This Row],[2047]]*1000)/(QC_cap[[#This Row],[2047]]*8760), 0)</f>
        <v>0.47998207215204725</v>
      </c>
      <c r="AS66" s="11">
        <f>IFERROR((QC_gen[[#This Row],[2048]]*1000)/(QC_cap[[#This Row],[2048]]*8760), 0)</f>
        <v>0.47999605599132317</v>
      </c>
      <c r="AT66" s="11">
        <f>IFERROR((QC_gen[[#This Row],[2049]]*1000)/(QC_cap[[#This Row],[2049]]*8760), 0)</f>
        <v>0.47999951299985999</v>
      </c>
      <c r="AU66" s="11">
        <f>IFERROR((QC_gen[[#This Row],[2050]]*1000)/(QC_cap[[#This Row],[2050]]*8760), 0)</f>
        <v>0.48000027820292368</v>
      </c>
    </row>
    <row r="67" spans="1:47" x14ac:dyDescent="0.3">
      <c r="A67" s="2" t="s">
        <v>57</v>
      </c>
      <c r="B67" s="11">
        <f>IFERROR((QC_gen[[#This Row],[2005]]*1000)/(QC_cap[[#This Row],[2005]]*8760), 0)</f>
        <v>0</v>
      </c>
      <c r="C67" s="11">
        <f>IFERROR((QC_gen[[#This Row],[2006]]*1000)/(QC_cap[[#This Row],[2006]]*8760), 0)</f>
        <v>0</v>
      </c>
      <c r="D67" s="11">
        <f>IFERROR((QC_gen[[#This Row],[2007]]*1000)/(QC_cap[[#This Row],[2007]]*8760), 0)</f>
        <v>0</v>
      </c>
      <c r="E67" s="11">
        <f>IFERROR((QC_gen[[#This Row],[2008]]*1000)/(QC_cap[[#This Row],[2008]]*8760), 0)</f>
        <v>0</v>
      </c>
      <c r="F67" s="11">
        <f>IFERROR((QC_gen[[#This Row],[2009]]*1000)/(QC_cap[[#This Row],[2009]]*8760), 0)</f>
        <v>0</v>
      </c>
      <c r="G67" s="11">
        <f>IFERROR((QC_gen[[#This Row],[2010]]*1000)/(QC_cap[[#This Row],[2010]]*8760), 0)</f>
        <v>0</v>
      </c>
      <c r="H67" s="11">
        <f>IFERROR((QC_gen[[#This Row],[2011]]*1000)/(QC_cap[[#This Row],[2011]]*8760), 0)</f>
        <v>0</v>
      </c>
      <c r="I67" s="11">
        <f>IFERROR((QC_gen[[#This Row],[2012]]*1000)/(QC_cap[[#This Row],[2012]]*8760), 0)</f>
        <v>0</v>
      </c>
      <c r="J67" s="11">
        <f>IFERROR((QC_gen[[#This Row],[2013]]*1000)/(QC_cap[[#This Row],[2013]]*8760), 0)</f>
        <v>0</v>
      </c>
      <c r="K67" s="11">
        <f>IFERROR((QC_gen[[#This Row],[2014]]*1000)/(QC_cap[[#This Row],[2014]]*8760), 0)</f>
        <v>0</v>
      </c>
      <c r="L67" s="11">
        <f>IFERROR((QC_gen[[#This Row],[2015]]*1000)/(QC_cap[[#This Row],[2015]]*8760), 0)</f>
        <v>0.38051750380517502</v>
      </c>
      <c r="M67" s="11">
        <f>IFERROR((QC_gen[[#This Row],[2016]]*1000)/(QC_cap[[#This Row],[2016]]*8760), 0)</f>
        <v>0.38051750380517502</v>
      </c>
      <c r="N67" s="11">
        <f>IFERROR((QC_gen[[#This Row],[2017]]*1000)/(QC_cap[[#This Row],[2017]]*8760), 0)</f>
        <v>0.38051750380517502</v>
      </c>
      <c r="O67" s="11">
        <f>IFERROR((QC_gen[[#This Row],[2018]]*1000)/(QC_cap[[#This Row],[2018]]*8760), 0)</f>
        <v>0.38051750380517502</v>
      </c>
      <c r="P67" s="11">
        <f>IFERROR((QC_gen[[#This Row],[2019]]*1000)/(QC_cap[[#This Row],[2019]]*8760), 0)</f>
        <v>0.38051750380517502</v>
      </c>
      <c r="Q67" s="11">
        <f>IFERROR((QC_gen[[#This Row],[2020]]*1000)/(QC_cap[[#This Row],[2020]]*8760), 0)</f>
        <v>9.8934550989345504E-2</v>
      </c>
      <c r="R67" s="11">
        <f>IFERROR((QC_gen[[#This Row],[2021]]*1000)/(QC_cap[[#This Row],[2021]]*8760), 0)</f>
        <v>9.8934550989345504E-2</v>
      </c>
      <c r="S67" s="11">
        <f>IFERROR((QC_gen[[#This Row],[2022]]*1000)/(QC_cap[[#This Row],[2022]]*8760), 0)</f>
        <v>0.2038169969410826</v>
      </c>
      <c r="T67" s="11">
        <f>IFERROR((QC_gen[[#This Row],[2023]]*1000)/(QC_cap[[#This Row],[2023]]*8760), 0)</f>
        <v>0.20542321794093168</v>
      </c>
      <c r="U67" s="11">
        <f>IFERROR((QC_gen[[#This Row],[2024]]*1000)/(QC_cap[[#This Row],[2024]]*8760), 0)</f>
        <v>0.20593155205931551</v>
      </c>
      <c r="V67" s="11">
        <f>IFERROR((QC_gen[[#This Row],[2025]]*1000)/(QC_cap[[#This Row],[2025]]*8760), 0)</f>
        <v>0.2061876111809828</v>
      </c>
      <c r="W67" s="11">
        <f>IFERROR((QC_gen[[#This Row],[2026]]*1000)/(QC_cap[[#This Row],[2026]]*8760), 0)</f>
        <v>0.20636455241155804</v>
      </c>
      <c r="X67" s="11">
        <f>IFERROR((QC_gen[[#This Row],[2027]]*1000)/(QC_cap[[#This Row],[2027]]*8760), 0)</f>
        <v>0.20646387544772332</v>
      </c>
      <c r="Y67" s="11">
        <f>IFERROR((QC_gen[[#This Row],[2028]]*1000)/(QC_cap[[#This Row],[2028]]*8760), 0)</f>
        <v>0.20653494157459551</v>
      </c>
      <c r="Z67" s="11">
        <f>IFERROR((QC_gen[[#This Row],[2029]]*1000)/(QC_cap[[#This Row],[2029]]*8760), 0)</f>
        <v>0.20660252364136769</v>
      </c>
      <c r="AA67" s="11">
        <f>IFERROR((QC_gen[[#This Row],[2030]]*1000)/(QC_cap[[#This Row],[2030]]*8760), 0)</f>
        <v>0.20664249558801964</v>
      </c>
      <c r="AB67" s="11">
        <f>IFERROR((QC_gen[[#This Row],[2031]]*1000)/(QC_cap[[#This Row],[2031]]*8760), 0)</f>
        <v>0.20667449705677488</v>
      </c>
      <c r="AC67" s="11">
        <f>IFERROR((QC_gen[[#This Row],[2032]]*1000)/(QC_cap[[#This Row],[2032]]*8760), 0)</f>
        <v>0.20671104542613131</v>
      </c>
      <c r="AD67" s="11">
        <f>IFERROR((QC_gen[[#This Row],[2033]]*1000)/(QC_cap[[#This Row],[2033]]*8760), 0)</f>
        <v>0.20673202837654722</v>
      </c>
      <c r="AE67" s="11">
        <f>IFERROR((QC_gen[[#This Row],[2034]]*1000)/(QC_cap[[#This Row],[2034]]*8760), 0)</f>
        <v>0.20679080840075048</v>
      </c>
      <c r="AF67" s="11">
        <f>IFERROR((QC_gen[[#This Row],[2035]]*1000)/(QC_cap[[#This Row],[2035]]*8760), 0)</f>
        <v>0.20681976212166761</v>
      </c>
      <c r="AG67" s="11">
        <f>IFERROR((QC_gen[[#This Row],[2036]]*1000)/(QC_cap[[#This Row],[2036]]*8760), 0)</f>
        <v>0.20685025143661737</v>
      </c>
      <c r="AH67" s="11">
        <f>IFERROR((QC_gen[[#This Row],[2037]]*1000)/(QC_cap[[#This Row],[2037]]*8760), 0)</f>
        <v>0.2068679748323814</v>
      </c>
      <c r="AI67" s="11">
        <f>IFERROR((QC_gen[[#This Row],[2038]]*1000)/(QC_cap[[#This Row],[2038]]*8760), 0)</f>
        <v>0.20687910538838555</v>
      </c>
      <c r="AJ67" s="11">
        <f>IFERROR((QC_gen[[#This Row],[2039]]*1000)/(QC_cap[[#This Row],[2039]]*8760), 0)</f>
        <v>0.20689541402453052</v>
      </c>
      <c r="AK67" s="11">
        <f>IFERROR((QC_gen[[#This Row],[2040]]*1000)/(QC_cap[[#This Row],[2040]]*8760), 0)</f>
        <v>0.20689761692137471</v>
      </c>
      <c r="AL67" s="11">
        <f>IFERROR((QC_gen[[#This Row],[2041]]*1000)/(QC_cap[[#This Row],[2041]]*8760), 0)</f>
        <v>0.20690513117997253</v>
      </c>
      <c r="AM67" s="11">
        <f>IFERROR((QC_gen[[#This Row],[2042]]*1000)/(QC_cap[[#This Row],[2042]]*8760), 0)</f>
        <v>0.20691623313171476</v>
      </c>
      <c r="AN67" s="11">
        <f>IFERROR((QC_gen[[#This Row],[2043]]*1000)/(QC_cap[[#This Row],[2043]]*8760), 0)</f>
        <v>0.20691976190679912</v>
      </c>
      <c r="AO67" s="11">
        <f>IFERROR((QC_gen[[#This Row],[2044]]*1000)/(QC_cap[[#This Row],[2044]]*8760), 0)</f>
        <v>0.20692610593747254</v>
      </c>
      <c r="AP67" s="11">
        <f>IFERROR((QC_gen[[#This Row],[2045]]*1000)/(QC_cap[[#This Row],[2045]]*8760), 0)</f>
        <v>0.20693303090170853</v>
      </c>
      <c r="AQ67" s="11">
        <f>IFERROR((QC_gen[[#This Row],[2046]]*1000)/(QC_cap[[#This Row],[2046]]*8760), 0)</f>
        <v>0.2069336776132307</v>
      </c>
      <c r="AR67" s="11">
        <f>IFERROR((QC_gen[[#This Row],[2047]]*1000)/(QC_cap[[#This Row],[2047]]*8760), 0)</f>
        <v>0.20693429741655942</v>
      </c>
      <c r="AS67" s="11">
        <f>IFERROR((QC_gen[[#This Row],[2048]]*1000)/(QC_cap[[#This Row],[2048]]*8760), 0)</f>
        <v>0.20693721842728366</v>
      </c>
      <c r="AT67" s="11">
        <f>IFERROR((QC_gen[[#This Row],[2049]]*1000)/(QC_cap[[#This Row],[2049]]*8760), 0)</f>
        <v>0.20693774275204901</v>
      </c>
      <c r="AU67" s="11">
        <f>IFERROR((QC_gen[[#This Row],[2050]]*1000)/(QC_cap[[#This Row],[2050]]*8760), 0)</f>
        <v>0.20693878467398816</v>
      </c>
    </row>
    <row r="68" spans="1:47" x14ac:dyDescent="0.3">
      <c r="A68" s="2" t="s">
        <v>58</v>
      </c>
      <c r="B68" s="11">
        <f>IFERROR((QC_gen[[#This Row],[2005]]*1000)/(QC_cap[[#This Row],[2005]]*8760), 0)</f>
        <v>0.73086081515305257</v>
      </c>
      <c r="C68" s="11">
        <f>IFERROR((QC_gen[[#This Row],[2006]]*1000)/(QC_cap[[#This Row],[2006]]*8760), 0)</f>
        <v>0.73086081515305257</v>
      </c>
      <c r="D68" s="11">
        <f>IFERROR((QC_gen[[#This Row],[2007]]*1000)/(QC_cap[[#This Row],[2007]]*8760), 0)</f>
        <v>0.73086081515305257</v>
      </c>
      <c r="E68" s="11">
        <f>IFERROR((QC_gen[[#This Row],[2008]]*1000)/(QC_cap[[#This Row],[2008]]*8760), 0)</f>
        <v>0.61292575680703532</v>
      </c>
      <c r="F68" s="11">
        <f>IFERROR((QC_gen[[#This Row],[2009]]*1000)/(QC_cap[[#This Row],[2009]]*8760), 0)</f>
        <v>0.60819888381532217</v>
      </c>
      <c r="G68" s="11">
        <f>IFERROR((QC_gen[[#This Row],[2010]]*1000)/(QC_cap[[#This Row],[2010]]*8760), 0)</f>
        <v>0.60064096059529848</v>
      </c>
      <c r="H68" s="11">
        <f>IFERROR((QC_gen[[#This Row],[2011]]*1000)/(QC_cap[[#This Row],[2011]]*8760), 0)</f>
        <v>0.59618129545070186</v>
      </c>
      <c r="I68" s="11">
        <f>IFERROR((QC_gen[[#This Row],[2012]]*1000)/(QC_cap[[#This Row],[2012]]*8760), 0)</f>
        <v>0.71243362083544737</v>
      </c>
      <c r="J68" s="11">
        <f>IFERROR((QC_gen[[#This Row],[2013]]*1000)/(QC_cap[[#This Row],[2013]]*8760), 0)</f>
        <v>0</v>
      </c>
      <c r="K68" s="11">
        <f>IFERROR((QC_gen[[#This Row],[2014]]*1000)/(QC_cap[[#This Row],[2014]]*8760), 0)</f>
        <v>0</v>
      </c>
      <c r="L68" s="11">
        <f>IFERROR((QC_gen[[#This Row],[2015]]*1000)/(QC_cap[[#This Row],[2015]]*8760), 0)</f>
        <v>0</v>
      </c>
      <c r="M68" s="11">
        <f>IFERROR((QC_gen[[#This Row],[2016]]*1000)/(QC_cap[[#This Row],[2016]]*8760), 0)</f>
        <v>0</v>
      </c>
      <c r="N68" s="11">
        <f>IFERROR((QC_gen[[#This Row],[2017]]*1000)/(QC_cap[[#This Row],[2017]]*8760), 0)</f>
        <v>0</v>
      </c>
      <c r="O68" s="11">
        <f>IFERROR((QC_gen[[#This Row],[2018]]*1000)/(QC_cap[[#This Row],[2018]]*8760), 0)</f>
        <v>0</v>
      </c>
      <c r="P68" s="11">
        <f>IFERROR((QC_gen[[#This Row],[2019]]*1000)/(QC_cap[[#This Row],[2019]]*8760), 0)</f>
        <v>0</v>
      </c>
      <c r="Q68" s="11">
        <f>IFERROR((QC_gen[[#This Row],[2020]]*1000)/(QC_cap[[#This Row],[2020]]*8760), 0)</f>
        <v>0</v>
      </c>
      <c r="R68" s="11">
        <f>IFERROR((QC_gen[[#This Row],[2021]]*1000)/(QC_cap[[#This Row],[2021]]*8760), 0)</f>
        <v>0</v>
      </c>
      <c r="S68" s="11">
        <f>IFERROR((QC_gen[[#This Row],[2022]]*1000)/(QC_cap[[#This Row],[2022]]*8760), 0)</f>
        <v>0</v>
      </c>
      <c r="T68" s="11">
        <f>IFERROR((QC_gen[[#This Row],[2023]]*1000)/(QC_cap[[#This Row],[2023]]*8760), 0)</f>
        <v>0</v>
      </c>
      <c r="U68" s="11">
        <f>IFERROR((QC_gen[[#This Row],[2024]]*1000)/(QC_cap[[#This Row],[2024]]*8760), 0)</f>
        <v>0</v>
      </c>
      <c r="V68" s="11">
        <f>IFERROR((QC_gen[[#This Row],[2025]]*1000)/(QC_cap[[#This Row],[2025]]*8760), 0)</f>
        <v>0</v>
      </c>
      <c r="W68" s="11">
        <f>IFERROR((QC_gen[[#This Row],[2026]]*1000)/(QC_cap[[#This Row],[2026]]*8760), 0)</f>
        <v>0</v>
      </c>
      <c r="X68" s="11">
        <f>IFERROR((QC_gen[[#This Row],[2027]]*1000)/(QC_cap[[#This Row],[2027]]*8760), 0)</f>
        <v>0</v>
      </c>
      <c r="Y68" s="11">
        <f>IFERROR((QC_gen[[#This Row],[2028]]*1000)/(QC_cap[[#This Row],[2028]]*8760), 0)</f>
        <v>0</v>
      </c>
      <c r="Z68" s="11">
        <f>IFERROR((QC_gen[[#This Row],[2029]]*1000)/(QC_cap[[#This Row],[2029]]*8760), 0)</f>
        <v>0</v>
      </c>
      <c r="AA68" s="11">
        <f>IFERROR((QC_gen[[#This Row],[2030]]*1000)/(QC_cap[[#This Row],[2030]]*8760), 0)</f>
        <v>0</v>
      </c>
      <c r="AB68" s="11">
        <f>IFERROR((QC_gen[[#This Row],[2031]]*1000)/(QC_cap[[#This Row],[2031]]*8760), 0)</f>
        <v>0</v>
      </c>
      <c r="AC68" s="11">
        <f>IFERROR((QC_gen[[#This Row],[2032]]*1000)/(QC_cap[[#This Row],[2032]]*8760), 0)</f>
        <v>0</v>
      </c>
      <c r="AD68" s="11">
        <f>IFERROR((QC_gen[[#This Row],[2033]]*1000)/(QC_cap[[#This Row],[2033]]*8760), 0)</f>
        <v>0</v>
      </c>
      <c r="AE68" s="11">
        <f>IFERROR((QC_gen[[#This Row],[2034]]*1000)/(QC_cap[[#This Row],[2034]]*8760), 0)</f>
        <v>0</v>
      </c>
      <c r="AF68" s="11">
        <f>IFERROR((QC_gen[[#This Row],[2035]]*1000)/(QC_cap[[#This Row],[2035]]*8760), 0)</f>
        <v>0</v>
      </c>
      <c r="AG68" s="11">
        <f>IFERROR((QC_gen[[#This Row],[2036]]*1000)/(QC_cap[[#This Row],[2036]]*8760), 0)</f>
        <v>0</v>
      </c>
      <c r="AH68" s="11">
        <f>IFERROR((QC_gen[[#This Row],[2037]]*1000)/(QC_cap[[#This Row],[2037]]*8760), 0)</f>
        <v>0</v>
      </c>
      <c r="AI68" s="11">
        <f>IFERROR((QC_gen[[#This Row],[2038]]*1000)/(QC_cap[[#This Row],[2038]]*8760), 0)</f>
        <v>0</v>
      </c>
      <c r="AJ68" s="11">
        <f>IFERROR((QC_gen[[#This Row],[2039]]*1000)/(QC_cap[[#This Row],[2039]]*8760), 0)</f>
        <v>0</v>
      </c>
      <c r="AK68" s="11">
        <f>IFERROR((QC_gen[[#This Row],[2040]]*1000)/(QC_cap[[#This Row],[2040]]*8760), 0)</f>
        <v>0</v>
      </c>
      <c r="AL68" s="11">
        <f>IFERROR((QC_gen[[#This Row],[2041]]*1000)/(QC_cap[[#This Row],[2041]]*8760), 0)</f>
        <v>0</v>
      </c>
      <c r="AM68" s="11">
        <f>IFERROR((QC_gen[[#This Row],[2042]]*1000)/(QC_cap[[#This Row],[2042]]*8760), 0)</f>
        <v>0</v>
      </c>
      <c r="AN68" s="11">
        <f>IFERROR((QC_gen[[#This Row],[2043]]*1000)/(QC_cap[[#This Row],[2043]]*8760), 0)</f>
        <v>0</v>
      </c>
      <c r="AO68" s="11">
        <f>IFERROR((QC_gen[[#This Row],[2044]]*1000)/(QC_cap[[#This Row],[2044]]*8760), 0)</f>
        <v>0</v>
      </c>
      <c r="AP68" s="11">
        <f>IFERROR((QC_gen[[#This Row],[2045]]*1000)/(QC_cap[[#This Row],[2045]]*8760), 0)</f>
        <v>0</v>
      </c>
      <c r="AQ68" s="11">
        <f>IFERROR((QC_gen[[#This Row],[2046]]*1000)/(QC_cap[[#This Row],[2046]]*8760), 0)</f>
        <v>0</v>
      </c>
      <c r="AR68" s="11">
        <f>IFERROR((QC_gen[[#This Row],[2047]]*1000)/(QC_cap[[#This Row],[2047]]*8760), 0)</f>
        <v>0</v>
      </c>
      <c r="AS68" s="11">
        <f>IFERROR((QC_gen[[#This Row],[2048]]*1000)/(QC_cap[[#This Row],[2048]]*8760), 0)</f>
        <v>0</v>
      </c>
      <c r="AT68" s="11">
        <f>IFERROR((QC_gen[[#This Row],[2049]]*1000)/(QC_cap[[#This Row],[2049]]*8760), 0)</f>
        <v>0</v>
      </c>
      <c r="AU68" s="11">
        <f>IFERROR((QC_gen[[#This Row],[2050]]*1000)/(QC_cap[[#This Row],[2050]]*8760), 0)</f>
        <v>0</v>
      </c>
    </row>
    <row r="69" spans="1:47" x14ac:dyDescent="0.3">
      <c r="A69" s="2" t="s">
        <v>59</v>
      </c>
      <c r="B69" s="11">
        <f>IFERROR((QC_gen[[#This Row],[2005]]*1000)/(QC_cap[[#This Row],[2005]]*8760), 0)</f>
        <v>0</v>
      </c>
      <c r="C69" s="11">
        <f>IFERROR((QC_gen[[#This Row],[2006]]*1000)/(QC_cap[[#This Row],[2006]]*8760), 0)</f>
        <v>0</v>
      </c>
      <c r="D69" s="11">
        <f>IFERROR((QC_gen[[#This Row],[2007]]*1000)/(QC_cap[[#This Row],[2007]]*8760), 0)</f>
        <v>0</v>
      </c>
      <c r="E69" s="11">
        <f>IFERROR((QC_gen[[#This Row],[2008]]*1000)/(QC_cap[[#This Row],[2008]]*8760), 0)</f>
        <v>0</v>
      </c>
      <c r="F69" s="11">
        <f>IFERROR((QC_gen[[#This Row],[2009]]*1000)/(QC_cap[[#This Row],[2009]]*8760), 0)</f>
        <v>0</v>
      </c>
      <c r="G69" s="11">
        <f>IFERROR((QC_gen[[#This Row],[2010]]*1000)/(QC_cap[[#This Row],[2010]]*8760), 0)</f>
        <v>0</v>
      </c>
      <c r="H69" s="11">
        <f>IFERROR((QC_gen[[#This Row],[2011]]*1000)/(QC_cap[[#This Row],[2011]]*8760), 0)</f>
        <v>0</v>
      </c>
      <c r="I69" s="11">
        <f>IFERROR((QC_gen[[#This Row],[2012]]*1000)/(QC_cap[[#This Row],[2012]]*8760), 0)</f>
        <v>0</v>
      </c>
      <c r="J69" s="11">
        <f>IFERROR((QC_gen[[#This Row],[2013]]*1000)/(QC_cap[[#This Row],[2013]]*8760), 0)</f>
        <v>0</v>
      </c>
      <c r="K69" s="11">
        <f>IFERROR((QC_gen[[#This Row],[2014]]*1000)/(QC_cap[[#This Row],[2014]]*8760), 0)</f>
        <v>0</v>
      </c>
      <c r="L69" s="11">
        <f>IFERROR((QC_gen[[#This Row],[2015]]*1000)/(QC_cap[[#This Row],[2015]]*8760), 0)</f>
        <v>0</v>
      </c>
      <c r="M69" s="11">
        <f>IFERROR((QC_gen[[#This Row],[2016]]*1000)/(QC_cap[[#This Row],[2016]]*8760), 0)</f>
        <v>0</v>
      </c>
      <c r="N69" s="11">
        <f>IFERROR((QC_gen[[#This Row],[2017]]*1000)/(QC_cap[[#This Row],[2017]]*8760), 0)</f>
        <v>0</v>
      </c>
      <c r="O69" s="11">
        <f>IFERROR((QC_gen[[#This Row],[2018]]*1000)/(QC_cap[[#This Row],[2018]]*8760), 0)</f>
        <v>0</v>
      </c>
      <c r="P69" s="11">
        <f>IFERROR((QC_gen[[#This Row],[2019]]*1000)/(QC_cap[[#This Row],[2019]]*8760), 0)</f>
        <v>0</v>
      </c>
      <c r="Q69" s="11">
        <f>IFERROR((QC_gen[[#This Row],[2020]]*1000)/(QC_cap[[#This Row],[2020]]*8760), 0)</f>
        <v>0</v>
      </c>
      <c r="R69" s="11">
        <f>IFERROR((QC_gen[[#This Row],[2021]]*1000)/(QC_cap[[#This Row],[2021]]*8760), 0)</f>
        <v>0</v>
      </c>
      <c r="S69" s="11">
        <f>IFERROR((QC_gen[[#This Row],[2022]]*1000)/(QC_cap[[#This Row],[2022]]*8760), 0)</f>
        <v>0</v>
      </c>
      <c r="T69" s="11">
        <f>IFERROR((QC_gen[[#This Row],[2023]]*1000)/(QC_cap[[#This Row],[2023]]*8760), 0)</f>
        <v>0</v>
      </c>
      <c r="U69" s="11">
        <f>IFERROR((QC_gen[[#This Row],[2024]]*1000)/(QC_cap[[#This Row],[2024]]*8760), 0)</f>
        <v>0</v>
      </c>
      <c r="V69" s="11">
        <f>IFERROR((QC_gen[[#This Row],[2025]]*1000)/(QC_cap[[#This Row],[2025]]*8760), 0)</f>
        <v>0</v>
      </c>
      <c r="W69" s="11">
        <f>IFERROR((QC_gen[[#This Row],[2026]]*1000)/(QC_cap[[#This Row],[2026]]*8760), 0)</f>
        <v>0</v>
      </c>
      <c r="X69" s="11">
        <f>IFERROR((QC_gen[[#This Row],[2027]]*1000)/(QC_cap[[#This Row],[2027]]*8760), 0)</f>
        <v>0</v>
      </c>
      <c r="Y69" s="11">
        <f>IFERROR((QC_gen[[#This Row],[2028]]*1000)/(QC_cap[[#This Row],[2028]]*8760), 0)</f>
        <v>0</v>
      </c>
      <c r="Z69" s="11">
        <f>IFERROR((QC_gen[[#This Row],[2029]]*1000)/(QC_cap[[#This Row],[2029]]*8760), 0)</f>
        <v>0</v>
      </c>
      <c r="AA69" s="11">
        <f>IFERROR((QC_gen[[#This Row],[2030]]*1000)/(QC_cap[[#This Row],[2030]]*8760), 0)</f>
        <v>0</v>
      </c>
      <c r="AB69" s="11">
        <f>IFERROR((QC_gen[[#This Row],[2031]]*1000)/(QC_cap[[#This Row],[2031]]*8760), 0)</f>
        <v>0</v>
      </c>
      <c r="AC69" s="11">
        <f>IFERROR((QC_gen[[#This Row],[2032]]*1000)/(QC_cap[[#This Row],[2032]]*8760), 0)</f>
        <v>0</v>
      </c>
      <c r="AD69" s="11">
        <f>IFERROR((QC_gen[[#This Row],[2033]]*1000)/(QC_cap[[#This Row],[2033]]*8760), 0)</f>
        <v>0</v>
      </c>
      <c r="AE69" s="11">
        <f>IFERROR((QC_gen[[#This Row],[2034]]*1000)/(QC_cap[[#This Row],[2034]]*8760), 0)</f>
        <v>0</v>
      </c>
      <c r="AF69" s="11">
        <f>IFERROR((QC_gen[[#This Row],[2035]]*1000)/(QC_cap[[#This Row],[2035]]*8760), 0)</f>
        <v>0</v>
      </c>
      <c r="AG69" s="11">
        <f>IFERROR((QC_gen[[#This Row],[2036]]*1000)/(QC_cap[[#This Row],[2036]]*8760), 0)</f>
        <v>0</v>
      </c>
      <c r="AH69" s="11">
        <f>IFERROR((QC_gen[[#This Row],[2037]]*1000)/(QC_cap[[#This Row],[2037]]*8760), 0)</f>
        <v>0</v>
      </c>
      <c r="AI69" s="11">
        <f>IFERROR((QC_gen[[#This Row],[2038]]*1000)/(QC_cap[[#This Row],[2038]]*8760), 0)</f>
        <v>0</v>
      </c>
      <c r="AJ69" s="11">
        <f>IFERROR((QC_gen[[#This Row],[2039]]*1000)/(QC_cap[[#This Row],[2039]]*8760), 0)</f>
        <v>0</v>
      </c>
      <c r="AK69" s="11">
        <f>IFERROR((QC_gen[[#This Row],[2040]]*1000)/(QC_cap[[#This Row],[2040]]*8760), 0)</f>
        <v>0</v>
      </c>
      <c r="AL69" s="11">
        <f>IFERROR((QC_gen[[#This Row],[2041]]*1000)/(QC_cap[[#This Row],[2041]]*8760), 0)</f>
        <v>0</v>
      </c>
      <c r="AM69" s="11">
        <f>IFERROR((QC_gen[[#This Row],[2042]]*1000)/(QC_cap[[#This Row],[2042]]*8760), 0)</f>
        <v>0</v>
      </c>
      <c r="AN69" s="11">
        <f>IFERROR((QC_gen[[#This Row],[2043]]*1000)/(QC_cap[[#This Row],[2043]]*8760), 0)</f>
        <v>0</v>
      </c>
      <c r="AO69" s="11">
        <f>IFERROR((QC_gen[[#This Row],[2044]]*1000)/(QC_cap[[#This Row],[2044]]*8760), 0)</f>
        <v>0</v>
      </c>
      <c r="AP69" s="11">
        <f>IFERROR((QC_gen[[#This Row],[2045]]*1000)/(QC_cap[[#This Row],[2045]]*8760), 0)</f>
        <v>0</v>
      </c>
      <c r="AQ69" s="11">
        <f>IFERROR((QC_gen[[#This Row],[2046]]*1000)/(QC_cap[[#This Row],[2046]]*8760), 0)</f>
        <v>0</v>
      </c>
      <c r="AR69" s="11">
        <f>IFERROR((QC_gen[[#This Row],[2047]]*1000)/(QC_cap[[#This Row],[2047]]*8760), 0)</f>
        <v>0</v>
      </c>
      <c r="AS69" s="11">
        <f>IFERROR((QC_gen[[#This Row],[2048]]*1000)/(QC_cap[[#This Row],[2048]]*8760), 0)</f>
        <v>0</v>
      </c>
      <c r="AT69" s="11">
        <f>IFERROR((QC_gen[[#This Row],[2049]]*1000)/(QC_cap[[#This Row],[2049]]*8760), 0)</f>
        <v>0</v>
      </c>
      <c r="AU69" s="11">
        <f>IFERROR((QC_gen[[#This Row],[2050]]*1000)/(QC_cap[[#This Row],[2050]]*8760), 0)</f>
        <v>0</v>
      </c>
    </row>
    <row r="70" spans="1:47" x14ac:dyDescent="0.3">
      <c r="A70" s="2" t="s">
        <v>60</v>
      </c>
      <c r="B70" s="11">
        <f>IFERROR((QC_gen[[#This Row],[2005]]*1000)/(QC_cap[[#This Row],[2005]]*8760), 0)</f>
        <v>0.98897786013132449</v>
      </c>
      <c r="C70" s="11">
        <f>IFERROR((QC_gen[[#This Row],[2006]]*1000)/(QC_cap[[#This Row],[2006]]*8760), 0)</f>
        <v>0.2561033127716752</v>
      </c>
      <c r="D70" s="11">
        <f>IFERROR((QC_gen[[#This Row],[2007]]*1000)/(QC_cap[[#This Row],[2007]]*8760), 0)</f>
        <v>0.76193632645871701</v>
      </c>
      <c r="E70" s="11">
        <f>IFERROR((QC_gen[[#This Row],[2008]]*1000)/(QC_cap[[#This Row],[2008]]*8760), 0)</f>
        <v>4.4035863734496188E-2</v>
      </c>
      <c r="F70" s="11">
        <f>IFERROR((QC_gen[[#This Row],[2009]]*1000)/(QC_cap[[#This Row],[2009]]*8760), 0)</f>
        <v>5.0988894850469271E-2</v>
      </c>
      <c r="G70" s="11">
        <f>IFERROR((QC_gen[[#This Row],[2010]]*1000)/(QC_cap[[#This Row],[2010]]*8760), 0)</f>
        <v>4.3070875992673306E-2</v>
      </c>
      <c r="H70" s="11">
        <f>IFERROR((QC_gen[[#This Row],[2011]]*1000)/(QC_cap[[#This Row],[2011]]*8760), 0)</f>
        <v>3.5238570216855537E-2</v>
      </c>
      <c r="I70" s="11">
        <f>IFERROR((QC_gen[[#This Row],[2012]]*1000)/(QC_cap[[#This Row],[2012]]*8760), 0)</f>
        <v>3.7416711867656355E-2</v>
      </c>
      <c r="J70" s="11">
        <f>IFERROR((QC_gen[[#This Row],[2013]]*1000)/(QC_cap[[#This Row],[2013]]*8760), 0)</f>
        <v>2.281770417659431E-2</v>
      </c>
      <c r="K70" s="11">
        <f>IFERROR((QC_gen[[#This Row],[2014]]*1000)/(QC_cap[[#This Row],[2014]]*8760), 0)</f>
        <v>3.1880297243142439E-2</v>
      </c>
      <c r="L70" s="11">
        <f>IFERROR((QC_gen[[#This Row],[2015]]*1000)/(QC_cap[[#This Row],[2015]]*8760), 0)</f>
        <v>2.8798983219322678E-2</v>
      </c>
      <c r="M70" s="11">
        <f>IFERROR((QC_gen[[#This Row],[2016]]*1000)/(QC_cap[[#This Row],[2016]]*8760), 0)</f>
        <v>2.8997364720056991E-2</v>
      </c>
      <c r="N70" s="11">
        <f>IFERROR((QC_gen[[#This Row],[2017]]*1000)/(QC_cap[[#This Row],[2017]]*8760), 0)</f>
        <v>3.3105427306390496E-2</v>
      </c>
      <c r="O70" s="11">
        <f>IFERROR((QC_gen[[#This Row],[2018]]*1000)/(QC_cap[[#This Row],[2018]]*8760), 0)</f>
        <v>2.9853797288355115E-2</v>
      </c>
      <c r="P70" s="11">
        <f>IFERROR((QC_gen[[#This Row],[2019]]*1000)/(QC_cap[[#This Row],[2019]]*8760), 0)</f>
        <v>2.8675543036281722E-2</v>
      </c>
      <c r="Q70" s="11">
        <f>IFERROR((QC_gen[[#This Row],[2020]]*1000)/(QC_cap[[#This Row],[2020]]*8760), 0)</f>
        <v>2.8730059277795563E-2</v>
      </c>
      <c r="R70" s="11">
        <f>IFERROR((QC_gen[[#This Row],[2021]]*1000)/(QC_cap[[#This Row],[2021]]*8760), 0)</f>
        <v>2.8744127985283006E-2</v>
      </c>
      <c r="S70" s="11">
        <f>IFERROR((QC_gen[[#This Row],[2022]]*1000)/(QC_cap[[#This Row],[2022]]*8760), 0)</f>
        <v>2.8744127985283006E-2</v>
      </c>
      <c r="T70" s="11">
        <f>IFERROR((QC_gen[[#This Row],[2023]]*1000)/(QC_cap[[#This Row],[2023]]*8760), 0)</f>
        <v>2.8744127985283006E-2</v>
      </c>
      <c r="U70" s="11">
        <f>IFERROR((QC_gen[[#This Row],[2024]]*1000)/(QC_cap[[#This Row],[2024]]*8760), 0)</f>
        <v>2.8744127985283006E-2</v>
      </c>
      <c r="V70" s="11">
        <f>IFERROR((QC_gen[[#This Row],[2025]]*1000)/(QC_cap[[#This Row],[2025]]*8760), 0)</f>
        <v>2.8750719427446194E-2</v>
      </c>
      <c r="W70" s="11">
        <f>IFERROR((QC_gen[[#This Row],[2026]]*1000)/(QC_cap[[#This Row],[2026]]*8760), 0)</f>
        <v>2.8750719427446194E-2</v>
      </c>
      <c r="X70" s="11">
        <f>IFERROR((QC_gen[[#This Row],[2027]]*1000)/(QC_cap[[#This Row],[2027]]*8760), 0)</f>
        <v>2.8694003433362279E-2</v>
      </c>
      <c r="Y70" s="11">
        <f>IFERROR((QC_gen[[#This Row],[2028]]*1000)/(QC_cap[[#This Row],[2028]]*8760), 0)</f>
        <v>2.8750276529511547E-2</v>
      </c>
      <c r="Z70" s="11">
        <f>IFERROR((QC_gen[[#This Row],[2029]]*1000)/(QC_cap[[#This Row],[2029]]*8760), 0)</f>
        <v>2.8766103337803526E-2</v>
      </c>
      <c r="AA70" s="11">
        <f>IFERROR((QC_gen[[#This Row],[2030]]*1000)/(QC_cap[[#This Row],[2030]]*8760), 0)</f>
        <v>2.8767861872058192E-2</v>
      </c>
      <c r="AB70" s="11">
        <f>IFERROR((QC_gen[[#This Row],[2031]]*1000)/(QC_cap[[#This Row],[2031]]*8760), 0)</f>
        <v>2.880479109140615E-2</v>
      </c>
      <c r="AC70" s="11">
        <f>IFERROR((QC_gen[[#This Row],[2032]]*1000)/(QC_cap[[#This Row],[2032]]*8760), 0)</f>
        <v>2.8788964283114168E-2</v>
      </c>
      <c r="AD70" s="11">
        <f>IFERROR((QC_gen[[#This Row],[2033]]*1000)/(QC_cap[[#This Row],[2033]]*8760), 0)</f>
        <v>2.8825893502462122E-2</v>
      </c>
      <c r="AE70" s="11">
        <f>IFERROR((QC_gen[[#This Row],[2034]]*1000)/(QC_cap[[#This Row],[2034]]*8760), 0)</f>
        <v>2.8825449453329363E-2</v>
      </c>
      <c r="AF70" s="11">
        <f>IFERROR((QC_gen[[#This Row],[2035]]*1000)/(QC_cap[[#This Row],[2035]]*8760), 0)</f>
        <v>2.8825449453329363E-2</v>
      </c>
      <c r="AG70" s="11">
        <f>IFERROR((QC_gen[[#This Row],[2036]]*1000)/(QC_cap[[#This Row],[2036]]*8760), 0)</f>
        <v>2.8732248573569329E-2</v>
      </c>
      <c r="AH70" s="11">
        <f>IFERROR((QC_gen[[#This Row],[2037]]*1000)/(QC_cap[[#This Row],[2037]]*8760), 0)</f>
        <v>2.8816656917502945E-2</v>
      </c>
      <c r="AI70" s="11">
        <f>IFERROR((QC_gen[[#This Row],[2038]]*1000)/(QC_cap[[#This Row],[2038]]*8760), 0)</f>
        <v>2.8816656917502945E-2</v>
      </c>
      <c r="AJ70" s="11">
        <f>IFERROR((QC_gen[[#This Row],[2039]]*1000)/(QC_cap[[#This Row],[2039]]*8760), 0)</f>
        <v>2.8816656917502945E-2</v>
      </c>
      <c r="AK70" s="11">
        <f>IFERROR((QC_gen[[#This Row],[2040]]*1000)/(QC_cap[[#This Row],[2040]]*8760), 0)</f>
        <v>2.8816656917502945E-2</v>
      </c>
      <c r="AL70" s="11">
        <f>IFERROR((QC_gen[[#This Row],[2041]]*1000)/(QC_cap[[#This Row],[2041]]*8760), 0)</f>
        <v>2.8825449453329363E-2</v>
      </c>
      <c r="AM70" s="11">
        <f>IFERROR((QC_gen[[#This Row],[2042]]*1000)/(QC_cap[[#This Row],[2042]]*8760), 0)</f>
        <v>2.8742799616561031E-2</v>
      </c>
      <c r="AN70" s="11">
        <f>IFERROR((QC_gen[[#This Row],[2043]]*1000)/(QC_cap[[#This Row],[2043]]*8760), 0)</f>
        <v>2.8760384688213868E-2</v>
      </c>
      <c r="AO70" s="11">
        <f>IFERROR((QC_gen[[#This Row],[2044]]*1000)/(QC_cap[[#This Row],[2044]]*8760), 0)</f>
        <v>2.8759941655037841E-2</v>
      </c>
      <c r="AP70" s="11">
        <f>IFERROR((QC_gen[[#This Row],[2045]]*1000)/(QC_cap[[#This Row],[2045]]*8760), 0)</f>
        <v>2.8770492535498265E-2</v>
      </c>
      <c r="AQ70" s="11">
        <f>IFERROR((QC_gen[[#This Row],[2046]]*1000)/(QC_cap[[#This Row],[2046]]*8760), 0)</f>
        <v>2.8770492535498265E-2</v>
      </c>
      <c r="AR70" s="11">
        <f>IFERROR((QC_gen[[#This Row],[2047]]*1000)/(QC_cap[[#This Row],[2047]]*8760), 0)</f>
        <v>2.8770492535498265E-2</v>
      </c>
      <c r="AS70" s="11">
        <f>IFERROR((QC_gen[[#This Row],[2048]]*1000)/(QC_cap[[#This Row],[2048]]*8760), 0)</f>
        <v>2.8770492535498265E-2</v>
      </c>
      <c r="AT70" s="11">
        <f>IFERROR((QC_gen[[#This Row],[2049]]*1000)/(QC_cap[[#This Row],[2049]]*8760), 0)</f>
        <v>2.8770492535498265E-2</v>
      </c>
      <c r="AU70" s="11">
        <f>IFERROR((QC_gen[[#This Row],[2050]]*1000)/(QC_cap[[#This Row],[2050]]*8760), 0)</f>
        <v>2.8770492535498265E-2</v>
      </c>
    </row>
    <row r="71" spans="1:47" x14ac:dyDescent="0.3">
      <c r="A71" s="2" t="s">
        <v>61</v>
      </c>
      <c r="B71" s="11">
        <f>IFERROR((QC_gen[[#This Row],[2005]]*1000)/(QC_cap[[#This Row],[2005]]*8760), 0)</f>
        <v>1.2904326126296542E-2</v>
      </c>
      <c r="C71" s="11">
        <f>IFERROR((QC_gen[[#This Row],[2006]]*1000)/(QC_cap[[#This Row],[2006]]*8760), 0)</f>
        <v>3.0212978094810855E-2</v>
      </c>
      <c r="D71" s="11">
        <f>IFERROR((QC_gen[[#This Row],[2007]]*1000)/(QC_cap[[#This Row],[2007]]*8760), 0)</f>
        <v>5.5206803101254934E-2</v>
      </c>
      <c r="E71" s="11">
        <f>IFERROR((QC_gen[[#This Row],[2008]]*1000)/(QC_cap[[#This Row],[2008]]*8760), 0)</f>
        <v>4.3985995401862571E-2</v>
      </c>
      <c r="F71" s="11">
        <f>IFERROR((QC_gen[[#This Row],[2009]]*1000)/(QC_cap[[#This Row],[2009]]*8760), 0)</f>
        <v>3.236650812921682E-2</v>
      </c>
      <c r="G71" s="11">
        <f>IFERROR((QC_gen[[#This Row],[2010]]*1000)/(QC_cap[[#This Row],[2010]]*8760), 0)</f>
        <v>4.8359914777990287E-2</v>
      </c>
      <c r="H71" s="11">
        <f>IFERROR((QC_gen[[#This Row],[2011]]*1000)/(QC_cap[[#This Row],[2011]]*8760), 0)</f>
        <v>8.6203565795394801E-2</v>
      </c>
      <c r="I71" s="11">
        <f>IFERROR((QC_gen[[#This Row],[2012]]*1000)/(QC_cap[[#This Row],[2012]]*8760), 0)</f>
        <v>0.14262531558240077</v>
      </c>
      <c r="J71" s="11">
        <f>IFERROR((QC_gen[[#This Row],[2013]]*1000)/(QC_cap[[#This Row],[2013]]*8760), 0)</f>
        <v>0.13063835422843018</v>
      </c>
      <c r="K71" s="11">
        <f>IFERROR((QC_gen[[#This Row],[2014]]*1000)/(QC_cap[[#This Row],[2014]]*8760), 0)</f>
        <v>0.13658371106423756</v>
      </c>
      <c r="L71" s="11">
        <f>IFERROR((QC_gen[[#This Row],[2015]]*1000)/(QC_cap[[#This Row],[2015]]*8760), 0)</f>
        <v>0.23994611179421457</v>
      </c>
      <c r="M71" s="11">
        <f>IFERROR((QC_gen[[#This Row],[2016]]*1000)/(QC_cap[[#This Row],[2016]]*8760), 0)</f>
        <v>0.24224959834263485</v>
      </c>
      <c r="N71" s="11">
        <f>IFERROR((QC_gen[[#This Row],[2017]]*1000)/(QC_cap[[#This Row],[2017]]*8760), 0)</f>
        <v>0.15454119454309712</v>
      </c>
      <c r="O71" s="11">
        <f>IFERROR((QC_gen[[#This Row],[2018]]*1000)/(QC_cap[[#This Row],[2018]]*8760), 0)</f>
        <v>0.21766349921077849</v>
      </c>
      <c r="P71" s="11">
        <f>IFERROR((QC_gen[[#This Row],[2019]]*1000)/(QC_cap[[#This Row],[2019]]*8760), 0)</f>
        <v>0.18389844293176991</v>
      </c>
      <c r="Q71" s="11">
        <f>IFERROR((QC_gen[[#This Row],[2020]]*1000)/(QC_cap[[#This Row],[2020]]*8760), 0)</f>
        <v>0.18389110270214404</v>
      </c>
      <c r="R71" s="11">
        <f>IFERROR((QC_gen[[#This Row],[2021]]*1000)/(QC_cap[[#This Row],[2021]]*8760), 0)</f>
        <v>0.18389110270214404</v>
      </c>
      <c r="S71" s="11">
        <f>IFERROR((QC_gen[[#This Row],[2022]]*1000)/(QC_cap[[#This Row],[2022]]*8760), 0)</f>
        <v>0.18389110270214404</v>
      </c>
      <c r="T71" s="11">
        <f>IFERROR((QC_gen[[#This Row],[2023]]*1000)/(QC_cap[[#This Row],[2023]]*8760), 0)</f>
        <v>0.18389110270214404</v>
      </c>
      <c r="U71" s="11">
        <f>IFERROR((QC_gen[[#This Row],[2024]]*1000)/(QC_cap[[#This Row],[2024]]*8760), 0)</f>
        <v>0.18389110270214404</v>
      </c>
      <c r="V71" s="11">
        <f>IFERROR((QC_gen[[#This Row],[2025]]*1000)/(QC_cap[[#This Row],[2025]]*8760), 0)</f>
        <v>0.18389110270214404</v>
      </c>
      <c r="W71" s="11">
        <f>IFERROR((QC_gen[[#This Row],[2026]]*1000)/(QC_cap[[#This Row],[2026]]*8760), 0)</f>
        <v>0.18389110270214404</v>
      </c>
      <c r="X71" s="11">
        <f>IFERROR((QC_gen[[#This Row],[2027]]*1000)/(QC_cap[[#This Row],[2027]]*8760), 0)</f>
        <v>0.18389110270214404</v>
      </c>
      <c r="Y71" s="11">
        <f>IFERROR((QC_gen[[#This Row],[2028]]*1000)/(QC_cap[[#This Row],[2028]]*8760), 0)</f>
        <v>0.18389110270214404</v>
      </c>
      <c r="Z71" s="11">
        <f>IFERROR((QC_gen[[#This Row],[2029]]*1000)/(QC_cap[[#This Row],[2029]]*8760), 0)</f>
        <v>0.18389110270214404</v>
      </c>
      <c r="AA71" s="11">
        <f>IFERROR((QC_gen[[#This Row],[2030]]*1000)/(QC_cap[[#This Row],[2030]]*8760), 0)</f>
        <v>0.18389110270214404</v>
      </c>
      <c r="AB71" s="11">
        <f>IFERROR((QC_gen[[#This Row],[2031]]*1000)/(QC_cap[[#This Row],[2031]]*8760), 0)</f>
        <v>0.18389110270214404</v>
      </c>
      <c r="AC71" s="11">
        <f>IFERROR((QC_gen[[#This Row],[2032]]*1000)/(QC_cap[[#This Row],[2032]]*8760), 0)</f>
        <v>0.18389110270214404</v>
      </c>
      <c r="AD71" s="11">
        <f>IFERROR((QC_gen[[#This Row],[2033]]*1000)/(QC_cap[[#This Row],[2033]]*8760), 0)</f>
        <v>0.18389110270214404</v>
      </c>
      <c r="AE71" s="11">
        <f>IFERROR((QC_gen[[#This Row],[2034]]*1000)/(QC_cap[[#This Row],[2034]]*8760), 0)</f>
        <v>0.18389110270214404</v>
      </c>
      <c r="AF71" s="11">
        <f>IFERROR((QC_gen[[#This Row],[2035]]*1000)/(QC_cap[[#This Row],[2035]]*8760), 0)</f>
        <v>0.18389288120368291</v>
      </c>
      <c r="AG71" s="11">
        <f>IFERROR((QC_gen[[#This Row],[2036]]*1000)/(QC_cap[[#This Row],[2036]]*8760), 0)</f>
        <v>0.18389288120368291</v>
      </c>
      <c r="AH71" s="11">
        <f>IFERROR((QC_gen[[#This Row],[2037]]*1000)/(QC_cap[[#This Row],[2037]]*8760), 0)</f>
        <v>0.18389288120368291</v>
      </c>
      <c r="AI71" s="11">
        <f>IFERROR((QC_gen[[#This Row],[2038]]*1000)/(QC_cap[[#This Row],[2038]]*8760), 0)</f>
        <v>0.18389288120368291</v>
      </c>
      <c r="AJ71" s="11">
        <f>IFERROR((QC_gen[[#This Row],[2039]]*1000)/(QC_cap[[#This Row],[2039]]*8760), 0)</f>
        <v>0.18389288120368291</v>
      </c>
      <c r="AK71" s="11">
        <f>IFERROR((QC_gen[[#This Row],[2040]]*1000)/(QC_cap[[#This Row],[2040]]*8760), 0)</f>
        <v>0.18389288120368291</v>
      </c>
      <c r="AL71" s="11">
        <f>IFERROR((QC_gen[[#This Row],[2041]]*1000)/(QC_cap[[#This Row],[2041]]*8760), 0)</f>
        <v>0.18389288120368291</v>
      </c>
      <c r="AM71" s="11">
        <f>IFERROR((QC_gen[[#This Row],[2042]]*1000)/(QC_cap[[#This Row],[2042]]*8760), 0)</f>
        <v>0.18389288120368291</v>
      </c>
      <c r="AN71" s="11">
        <f>IFERROR((QC_gen[[#This Row],[2043]]*1000)/(QC_cap[[#This Row],[2043]]*8760), 0)</f>
        <v>0.18389288120368291</v>
      </c>
      <c r="AO71" s="11">
        <f>IFERROR((QC_gen[[#This Row],[2044]]*1000)/(QC_cap[[#This Row],[2044]]*8760), 0)</f>
        <v>0.18389288120368291</v>
      </c>
      <c r="AP71" s="11">
        <f>IFERROR((QC_gen[[#This Row],[2045]]*1000)/(QC_cap[[#This Row],[2045]]*8760), 0)</f>
        <v>0.18389288120368291</v>
      </c>
      <c r="AQ71" s="11">
        <f>IFERROR((QC_gen[[#This Row],[2046]]*1000)/(QC_cap[[#This Row],[2046]]*8760), 0)</f>
        <v>0.18389288120368291</v>
      </c>
      <c r="AR71" s="11">
        <f>IFERROR((QC_gen[[#This Row],[2047]]*1000)/(QC_cap[[#This Row],[2047]]*8760), 0)</f>
        <v>0.18389288120368291</v>
      </c>
      <c r="AS71" s="11">
        <f>IFERROR((QC_gen[[#This Row],[2048]]*1000)/(QC_cap[[#This Row],[2048]]*8760), 0)</f>
        <v>0.18389288120368291</v>
      </c>
      <c r="AT71" s="11">
        <f>IFERROR((QC_gen[[#This Row],[2049]]*1000)/(QC_cap[[#This Row],[2049]]*8760), 0)</f>
        <v>0.18389288120368291</v>
      </c>
      <c r="AU71" s="11">
        <f>IFERROR((QC_gen[[#This Row],[2050]]*1000)/(QC_cap[[#This Row],[2050]]*8760), 0)</f>
        <v>0.18389288120368291</v>
      </c>
    </row>
    <row r="73" spans="1:47" ht="18" x14ac:dyDescent="0.35">
      <c r="A73" s="4" t="s">
        <v>67</v>
      </c>
    </row>
    <row r="74" spans="1:47" x14ac:dyDescent="0.3">
      <c r="A74" s="2" t="s">
        <v>7</v>
      </c>
      <c r="B74" s="2" t="s">
        <v>8</v>
      </c>
      <c r="C74" s="2" t="s">
        <v>9</v>
      </c>
      <c r="D74" s="2" t="s">
        <v>10</v>
      </c>
      <c r="E74" s="2" t="s">
        <v>11</v>
      </c>
      <c r="F74" s="2" t="s">
        <v>12</v>
      </c>
      <c r="G74" s="2" t="s">
        <v>13</v>
      </c>
      <c r="H74" s="2" t="s">
        <v>14</v>
      </c>
      <c r="I74" s="2" t="s">
        <v>15</v>
      </c>
      <c r="J74" s="2" t="s">
        <v>16</v>
      </c>
      <c r="K74" s="2" t="s">
        <v>17</v>
      </c>
      <c r="L74" s="2" t="s">
        <v>18</v>
      </c>
      <c r="M74" s="2" t="s">
        <v>19</v>
      </c>
      <c r="N74" s="2" t="s">
        <v>20</v>
      </c>
      <c r="O74" s="2" t="s">
        <v>21</v>
      </c>
      <c r="P74" s="2" t="s">
        <v>22</v>
      </c>
      <c r="Q74" s="2" t="s">
        <v>23</v>
      </c>
      <c r="R74" s="2" t="s">
        <v>24</v>
      </c>
      <c r="S74" s="2" t="s">
        <v>25</v>
      </c>
      <c r="T74" s="2" t="s">
        <v>26</v>
      </c>
      <c r="U74" s="2" t="s">
        <v>27</v>
      </c>
      <c r="V74" s="2" t="s">
        <v>28</v>
      </c>
      <c r="W74" s="2" t="s">
        <v>29</v>
      </c>
      <c r="X74" s="2" t="s">
        <v>30</v>
      </c>
      <c r="Y74" s="2" t="s">
        <v>31</v>
      </c>
      <c r="Z74" s="2" t="s">
        <v>32</v>
      </c>
      <c r="AA74" s="2" t="s">
        <v>33</v>
      </c>
      <c r="AB74" s="2" t="s">
        <v>34</v>
      </c>
      <c r="AC74" s="2" t="s">
        <v>35</v>
      </c>
      <c r="AD74" s="2" t="s">
        <v>36</v>
      </c>
      <c r="AE74" s="2" t="s">
        <v>37</v>
      </c>
      <c r="AF74" s="2" t="s">
        <v>38</v>
      </c>
      <c r="AG74" s="2" t="s">
        <v>39</v>
      </c>
      <c r="AH74" s="2" t="s">
        <v>40</v>
      </c>
      <c r="AI74" s="2" t="s">
        <v>41</v>
      </c>
      <c r="AJ74" s="2" t="s">
        <v>42</v>
      </c>
      <c r="AK74" s="2" t="s">
        <v>43</v>
      </c>
      <c r="AL74" s="2" t="s">
        <v>44</v>
      </c>
      <c r="AM74" s="2" t="s">
        <v>45</v>
      </c>
      <c r="AN74" s="2" t="s">
        <v>46</v>
      </c>
      <c r="AO74" s="2" t="s">
        <v>47</v>
      </c>
      <c r="AP74" s="2" t="s">
        <v>48</v>
      </c>
      <c r="AQ74" s="2" t="s">
        <v>49</v>
      </c>
      <c r="AR74" s="2" t="s">
        <v>50</v>
      </c>
      <c r="AS74" s="2" t="s">
        <v>51</v>
      </c>
      <c r="AT74" s="2" t="s">
        <v>52</v>
      </c>
      <c r="AU74" s="2" t="s">
        <v>53</v>
      </c>
    </row>
    <row r="75" spans="1:47" x14ac:dyDescent="0.3">
      <c r="A75" s="2" t="s">
        <v>54</v>
      </c>
      <c r="B75" s="11">
        <f>IFERROR((ON_gen[[#This Row],[2005]]*1000)/(ON_cap[[#This Row],[2005]]*8760), 0)</f>
        <v>0.47621732045882226</v>
      </c>
      <c r="C75" s="11">
        <f>IFERROR((ON_gen[[#This Row],[2006]]*1000)/(ON_cap[[#This Row],[2006]]*8760), 0)</f>
        <v>0.4890892827086693</v>
      </c>
      <c r="D75" s="11">
        <f>IFERROR((ON_gen[[#This Row],[2007]]*1000)/(ON_cap[[#This Row],[2007]]*8760), 0)</f>
        <v>0.46578328691110277</v>
      </c>
      <c r="E75" s="11">
        <f>IFERROR((ON_gen[[#This Row],[2008]]*1000)/(ON_cap[[#This Row],[2008]]*8760), 0)</f>
        <v>0.53734067638071425</v>
      </c>
      <c r="F75" s="11">
        <f>IFERROR((ON_gen[[#This Row],[2009]]*1000)/(ON_cap[[#This Row],[2009]]*8760), 0)</f>
        <v>0.53777923588616128</v>
      </c>
      <c r="G75" s="11">
        <f>IFERROR((ON_gen[[#This Row],[2010]]*1000)/(ON_cap[[#This Row],[2010]]*8760), 0)</f>
        <v>0.43912610196304408</v>
      </c>
      <c r="H75" s="11">
        <f>IFERROR((ON_gen[[#This Row],[2011]]*1000)/(ON_cap[[#This Row],[2011]]*8760), 0)</f>
        <v>0.46748209192845769</v>
      </c>
      <c r="I75" s="11">
        <f>IFERROR((ON_gen[[#This Row],[2012]]*1000)/(ON_cap[[#This Row],[2012]]*8760), 0)</f>
        <v>0.45382203137421279</v>
      </c>
      <c r="J75" s="11">
        <f>IFERROR((ON_gen[[#This Row],[2013]]*1000)/(ON_cap[[#This Row],[2013]]*8760), 0)</f>
        <v>0.50561513220151033</v>
      </c>
      <c r="K75" s="11">
        <f>IFERROR((ON_gen[[#This Row],[2014]]*1000)/(ON_cap[[#This Row],[2014]]*8760), 0)</f>
        <v>0.49875462372027024</v>
      </c>
      <c r="L75" s="11">
        <f>IFERROR((ON_gen[[#This Row],[2015]]*1000)/(ON_cap[[#This Row],[2015]]*8760), 0)</f>
        <v>0.44334810026330479</v>
      </c>
      <c r="M75" s="11">
        <f>IFERROR((ON_gen[[#This Row],[2016]]*1000)/(ON_cap[[#This Row],[2016]]*8760), 0)</f>
        <v>0.45777192238932346</v>
      </c>
      <c r="N75" s="11">
        <f>IFERROR((ON_gen[[#This Row],[2017]]*1000)/(ON_cap[[#This Row],[2017]]*8760), 0)</f>
        <v>0.49862330359587359</v>
      </c>
      <c r="O75" s="11">
        <f>IFERROR((ON_gen[[#This Row],[2018]]*1000)/(ON_cap[[#This Row],[2018]]*8760), 0)</f>
        <v>0.47700392164837524</v>
      </c>
      <c r="P75" s="11">
        <f>IFERROR((ON_gen[[#This Row],[2019]]*1000)/(ON_cap[[#This Row],[2019]]*8760), 0)</f>
        <v>0.45119840273112322</v>
      </c>
      <c r="Q75" s="11">
        <f>IFERROR((ON_gen[[#This Row],[2020]]*1000)/(ON_cap[[#This Row],[2020]]*8760), 0)</f>
        <v>0.45047518978358786</v>
      </c>
      <c r="R75" s="11">
        <f>IFERROR((ON_gen[[#This Row],[2021]]*1000)/(ON_cap[[#This Row],[2021]]*8760), 0)</f>
        <v>0.45047481596573075</v>
      </c>
      <c r="S75" s="11">
        <f>IFERROR((ON_gen[[#This Row],[2022]]*1000)/(ON_cap[[#This Row],[2022]]*8760), 0)</f>
        <v>0.45086869538116137</v>
      </c>
      <c r="T75" s="11">
        <f>IFERROR((ON_gen[[#This Row],[2023]]*1000)/(ON_cap[[#This Row],[2023]]*8760), 0)</f>
        <v>0.45119815351921849</v>
      </c>
      <c r="U75" s="11">
        <f>IFERROR((ON_gen[[#This Row],[2024]]*1000)/(ON_cap[[#This Row],[2024]]*8760), 0)</f>
        <v>0.45053238391572409</v>
      </c>
      <c r="V75" s="11">
        <f>IFERROR((ON_gen[[#This Row],[2025]]*1000)/(ON_cap[[#This Row],[2025]]*8760), 0)</f>
        <v>0.45119840273112322</v>
      </c>
      <c r="W75" s="11">
        <f>IFERROR((ON_gen[[#This Row],[2026]]*1000)/(ON_cap[[#This Row],[2026]]*8760), 0)</f>
        <v>0.45119840273112322</v>
      </c>
      <c r="X75" s="11">
        <f>IFERROR((ON_gen[[#This Row],[2027]]*1000)/(ON_cap[[#This Row],[2027]]*8760), 0)</f>
        <v>0.45119865194302794</v>
      </c>
      <c r="Y75" s="11">
        <f>IFERROR((ON_gen[[#This Row],[2028]]*1000)/(ON_cap[[#This Row],[2028]]*8760), 0)</f>
        <v>0.45119815351921849</v>
      </c>
      <c r="Z75" s="11">
        <f>IFERROR((ON_gen[[#This Row],[2029]]*1000)/(ON_cap[[#This Row],[2029]]*8760), 0)</f>
        <v>0.45119852733707561</v>
      </c>
      <c r="AA75" s="11">
        <f>IFERROR((ON_gen[[#This Row],[2030]]*1000)/(ON_cap[[#This Row],[2030]]*8760), 0)</f>
        <v>0.45119790430731377</v>
      </c>
      <c r="AB75" s="11">
        <f>IFERROR((ON_gen[[#This Row],[2031]]*1000)/(ON_cap[[#This Row],[2031]]*8760), 0)</f>
        <v>0.45119840273112322</v>
      </c>
      <c r="AC75" s="11">
        <f>IFERROR((ON_gen[[#This Row],[2032]]*1000)/(ON_cap[[#This Row],[2032]]*8760), 0)</f>
        <v>0.45119777970136138</v>
      </c>
      <c r="AD75" s="11">
        <f>IFERROR((ON_gen[[#This Row],[2033]]*1000)/(ON_cap[[#This Row],[2033]]*8760), 0)</f>
        <v>0.45119827812517088</v>
      </c>
      <c r="AE75" s="11">
        <f>IFERROR((ON_gen[[#This Row],[2034]]*1000)/(ON_cap[[#This Row],[2034]]*8760), 0)</f>
        <v>0.45119815351921849</v>
      </c>
      <c r="AF75" s="11">
        <f>IFERROR((ON_gen[[#This Row],[2035]]*1000)/(ON_cap[[#This Row],[2035]]*8760), 0)</f>
        <v>0.45119815351921849</v>
      </c>
      <c r="AG75" s="11">
        <f>IFERROR((ON_gen[[#This Row],[2036]]*1000)/(ON_cap[[#This Row],[2036]]*8760), 0)</f>
        <v>0.4511780073191613</v>
      </c>
      <c r="AH75" s="11">
        <f>IFERROR((ON_gen[[#This Row],[2037]]*1000)/(ON_cap[[#This Row],[2037]]*8760), 0)</f>
        <v>0.4511780073191613</v>
      </c>
      <c r="AI75" s="11">
        <f>IFERROR((ON_gen[[#This Row],[2038]]*1000)/(ON_cap[[#This Row],[2038]]*8760), 0)</f>
        <v>0.45117862014508026</v>
      </c>
      <c r="AJ75" s="11">
        <f>IFERROR((ON_gen[[#This Row],[2039]]*1000)/(ON_cap[[#This Row],[2039]]*8760), 0)</f>
        <v>0.45117825244952892</v>
      </c>
      <c r="AK75" s="11">
        <f>IFERROR((ON_gen[[#This Row],[2040]]*1000)/(ON_cap[[#This Row],[2040]]*8760), 0)</f>
        <v>0.4511783750147127</v>
      </c>
      <c r="AL75" s="11">
        <f>IFERROR((ON_gen[[#This Row],[2041]]*1000)/(ON_cap[[#This Row],[2041]]*8760), 0)</f>
        <v>0.4511783750147127</v>
      </c>
      <c r="AM75" s="11">
        <f>IFERROR((ON_gen[[#This Row],[2042]]*1000)/(ON_cap[[#This Row],[2042]]*8760), 0)</f>
        <v>0.45117874271026409</v>
      </c>
      <c r="AN75" s="11">
        <f>IFERROR((ON_gen[[#This Row],[2043]]*1000)/(ON_cap[[#This Row],[2043]]*8760), 0)</f>
        <v>0.45117825244952892</v>
      </c>
      <c r="AO75" s="11">
        <f>IFERROR((ON_gen[[#This Row],[2044]]*1000)/(ON_cap[[#This Row],[2044]]*8760), 0)</f>
        <v>0.45117812988434508</v>
      </c>
      <c r="AP75" s="11">
        <f>IFERROR((ON_gen[[#This Row],[2045]]*1000)/(ON_cap[[#This Row],[2045]]*8760), 0)</f>
        <v>0.45117849757989648</v>
      </c>
      <c r="AQ75" s="11">
        <f>IFERROR((ON_gen[[#This Row],[2046]]*1000)/(ON_cap[[#This Row],[2046]]*8760), 0)</f>
        <v>0.4511783750147127</v>
      </c>
      <c r="AR75" s="11">
        <f>IFERROR((ON_gen[[#This Row],[2047]]*1000)/(ON_cap[[#This Row],[2047]]*8760), 0)</f>
        <v>0.45116201057333555</v>
      </c>
      <c r="AS75" s="11">
        <f>IFERROR((ON_gen[[#This Row],[2048]]*1000)/(ON_cap[[#This Row],[2048]]*8760), 0)</f>
        <v>0.45114685378423797</v>
      </c>
      <c r="AT75" s="11">
        <f>IFERROR((ON_gen[[#This Row],[2049]]*1000)/(ON_cap[[#This Row],[2049]]*8760), 0)</f>
        <v>0.45113285746480314</v>
      </c>
      <c r="AU75" s="11">
        <f>IFERROR((ON_gen[[#This Row],[2050]]*1000)/(ON_cap[[#This Row],[2050]]*8760), 0)</f>
        <v>0.45112382896180886</v>
      </c>
    </row>
    <row r="76" spans="1:47" x14ac:dyDescent="0.3">
      <c r="A76" s="2" t="s">
        <v>55</v>
      </c>
      <c r="B76" s="11">
        <f>IFERROR((ON_gen[[#This Row],[2005]]*1000)/(ON_cap[[#This Row],[2005]]*8760), 0)</f>
        <v>0.19786910197869101</v>
      </c>
      <c r="C76" s="11">
        <f>IFERROR((ON_gen[[#This Row],[2006]]*1000)/(ON_cap[[#This Row],[2006]]*8760), 0)</f>
        <v>3.9981911631703171E-2</v>
      </c>
      <c r="D76" s="11">
        <f>IFERROR((ON_gen[[#This Row],[2007]]*1000)/(ON_cap[[#This Row],[2007]]*8760), 0)</f>
        <v>0.1148527374010732</v>
      </c>
      <c r="E76" s="11">
        <f>IFERROR((ON_gen[[#This Row],[2008]]*1000)/(ON_cap[[#This Row],[2008]]*8760), 0)</f>
        <v>0.20437001483142395</v>
      </c>
      <c r="F76" s="11">
        <f>IFERROR((ON_gen[[#This Row],[2009]]*1000)/(ON_cap[[#This Row],[2009]]*8760), 0)</f>
        <v>0.22479201851504346</v>
      </c>
      <c r="G76" s="11">
        <f>IFERROR((ON_gen[[#This Row],[2010]]*1000)/(ON_cap[[#This Row],[2010]]*8760), 0)</f>
        <v>0.22089474996292124</v>
      </c>
      <c r="H76" s="11">
        <f>IFERROR((ON_gen[[#This Row],[2011]]*1000)/(ON_cap[[#This Row],[2011]]*8760), 0)</f>
        <v>0.22599262916347959</v>
      </c>
      <c r="I76" s="11">
        <f>IFERROR((ON_gen[[#This Row],[2012]]*1000)/(ON_cap[[#This Row],[2012]]*8760), 0)</f>
        <v>0.25577893582617706</v>
      </c>
      <c r="J76" s="11">
        <f>IFERROR((ON_gen[[#This Row],[2013]]*1000)/(ON_cap[[#This Row],[2013]]*8760), 0)</f>
        <v>0.23830080527341352</v>
      </c>
      <c r="K76" s="11">
        <f>IFERROR((ON_gen[[#This Row],[2014]]*1000)/(ON_cap[[#This Row],[2014]]*8760), 0)</f>
        <v>0.22571469691617277</v>
      </c>
      <c r="L76" s="11">
        <f>IFERROR((ON_gen[[#This Row],[2015]]*1000)/(ON_cap[[#This Row],[2015]]*8760), 0)</f>
        <v>0.2974195797917541</v>
      </c>
      <c r="M76" s="11">
        <f>IFERROR((ON_gen[[#This Row],[2016]]*1000)/(ON_cap[[#This Row],[2016]]*8760), 0)</f>
        <v>0.25365999685648349</v>
      </c>
      <c r="N76" s="11">
        <f>IFERROR((ON_gen[[#This Row],[2017]]*1000)/(ON_cap[[#This Row],[2017]]*8760), 0)</f>
        <v>0.23351231034321623</v>
      </c>
      <c r="O76" s="11">
        <f>IFERROR((ON_gen[[#This Row],[2018]]*1000)/(ON_cap[[#This Row],[2018]]*8760), 0)</f>
        <v>0.26809286916291908</v>
      </c>
      <c r="P76" s="11">
        <f>IFERROR((ON_gen[[#This Row],[2019]]*1000)/(ON_cap[[#This Row],[2019]]*8760), 0)</f>
        <v>0.24639247638763129</v>
      </c>
      <c r="Q76" s="11">
        <f>IFERROR((ON_gen[[#This Row],[2020]]*1000)/(ON_cap[[#This Row],[2020]]*8760), 0)</f>
        <v>0.30652918055322531</v>
      </c>
      <c r="R76" s="11">
        <f>IFERROR((ON_gen[[#This Row],[2021]]*1000)/(ON_cap[[#This Row],[2021]]*8760), 0)</f>
        <v>0.32657006074025557</v>
      </c>
      <c r="S76" s="11">
        <f>IFERROR((ON_gen[[#This Row],[2022]]*1000)/(ON_cap[[#This Row],[2022]]*8760), 0)</f>
        <v>0.32656985455172116</v>
      </c>
      <c r="T76" s="11">
        <f>IFERROR((ON_gen[[#This Row],[2023]]*1000)/(ON_cap[[#This Row],[2023]]*8760), 0)</f>
        <v>0.32657006074025557</v>
      </c>
      <c r="U76" s="11">
        <f>IFERROR((ON_gen[[#This Row],[2024]]*1000)/(ON_cap[[#This Row],[2024]]*8760), 0)</f>
        <v>0.32657006074025557</v>
      </c>
      <c r="V76" s="11">
        <f>IFERROR((ON_gen[[#This Row],[2025]]*1000)/(ON_cap[[#This Row],[2025]]*8760), 0)</f>
        <v>0.32657006074025557</v>
      </c>
      <c r="W76" s="11">
        <f>IFERROR((ON_gen[[#This Row],[2026]]*1000)/(ON_cap[[#This Row],[2026]]*8760), 0)</f>
        <v>0.32657006074025557</v>
      </c>
      <c r="X76" s="11">
        <f>IFERROR((ON_gen[[#This Row],[2027]]*1000)/(ON_cap[[#This Row],[2027]]*8760), 0)</f>
        <v>0.32722707107964388</v>
      </c>
      <c r="Y76" s="11">
        <f>IFERROR((ON_gen[[#This Row],[2028]]*1000)/(ON_cap[[#This Row],[2028]]*8760), 0)</f>
        <v>0.32722707107964388</v>
      </c>
      <c r="Z76" s="11">
        <f>IFERROR((ON_gen[[#This Row],[2029]]*1000)/(ON_cap[[#This Row],[2029]]*8760), 0)</f>
        <v>0.32787283002339918</v>
      </c>
      <c r="AA76" s="11">
        <f>IFERROR((ON_gen[[#This Row],[2030]]*1000)/(ON_cap[[#This Row],[2030]]*8760), 0)</f>
        <v>0.33096380561160155</v>
      </c>
      <c r="AB76" s="11">
        <f>IFERROR((ON_gen[[#This Row],[2031]]*1000)/(ON_cap[[#This Row],[2031]]*8760), 0)</f>
        <v>0.33403333509647171</v>
      </c>
      <c r="AC76" s="11">
        <f>IFERROR((ON_gen[[#This Row],[2032]]*1000)/(ON_cap[[#This Row],[2032]]*8760), 0)</f>
        <v>0.3370807907356862</v>
      </c>
      <c r="AD76" s="11">
        <f>IFERROR((ON_gen[[#This Row],[2033]]*1000)/(ON_cap[[#This Row],[2033]]*8760), 0)</f>
        <v>0.34010791338060437</v>
      </c>
      <c r="AE76" s="11">
        <f>IFERROR((ON_gen[[#This Row],[2034]]*1000)/(ON_cap[[#This Row],[2034]]*8760), 0)</f>
        <v>0.34311366973085894</v>
      </c>
      <c r="AF76" s="11">
        <f>IFERROR((ON_gen[[#This Row],[2035]]*1000)/(ON_cap[[#This Row],[2035]]*8760), 0)</f>
        <v>0.34609879195747995</v>
      </c>
      <c r="AG76" s="11">
        <f>IFERROR((ON_gen[[#This Row],[2036]]*1000)/(ON_cap[[#This Row],[2036]]*8760), 0)</f>
        <v>0.34906379708116325</v>
      </c>
      <c r="AH76" s="11">
        <f>IFERROR((ON_gen[[#This Row],[2037]]*1000)/(ON_cap[[#This Row],[2037]]*8760), 0)</f>
        <v>0.35200899588273687</v>
      </c>
      <c r="AI76" s="11">
        <f>IFERROR((ON_gen[[#This Row],[2038]]*1000)/(ON_cap[[#This Row],[2038]]*8760), 0)</f>
        <v>0.35493487648718608</v>
      </c>
      <c r="AJ76" s="11">
        <f>IFERROR((ON_gen[[#This Row],[2039]]*1000)/(ON_cap[[#This Row],[2039]]*8760), 0)</f>
        <v>0.35784135302597686</v>
      </c>
      <c r="AK76" s="11">
        <f>IFERROR((ON_gen[[#This Row],[2040]]*1000)/(ON_cap[[#This Row],[2040]]*8760), 0)</f>
        <v>0.36072834240659485</v>
      </c>
      <c r="AL76" s="11">
        <f>IFERROR((ON_gen[[#This Row],[2041]]*1000)/(ON_cap[[#This Row],[2041]]*8760), 0)</f>
        <v>0.36359686247272671</v>
      </c>
      <c r="AM76" s="11">
        <f>IFERROR((ON_gen[[#This Row],[2042]]*1000)/(ON_cap[[#This Row],[2042]]*8760), 0)</f>
        <v>0.36644717232842355</v>
      </c>
      <c r="AN76" s="11">
        <f>IFERROR((ON_gen[[#This Row],[2043]]*1000)/(ON_cap[[#This Row],[2043]]*8760), 0)</f>
        <v>0.36927898243009544</v>
      </c>
      <c r="AO76" s="11">
        <f>IFERROR((ON_gen[[#This Row],[2044]]*1000)/(ON_cap[[#This Row],[2044]]*8760), 0)</f>
        <v>0.37209272728566201</v>
      </c>
      <c r="AP76" s="11">
        <f>IFERROR((ON_gen[[#This Row],[2045]]*1000)/(ON_cap[[#This Row],[2045]]*8760), 0)</f>
        <v>0.37488882790156564</v>
      </c>
      <c r="AQ76" s="11">
        <f>IFERROR((ON_gen[[#This Row],[2046]]*1000)/(ON_cap[[#This Row],[2046]]*8760), 0)</f>
        <v>0.37766769230314362</v>
      </c>
      <c r="AR76" s="11">
        <f>IFERROR((ON_gen[[#This Row],[2047]]*1000)/(ON_cap[[#This Row],[2047]]*8760), 0)</f>
        <v>0.38042884281055328</v>
      </c>
      <c r="AS76" s="11">
        <f>IFERROR((ON_gen[[#This Row],[2048]]*1000)/(ON_cap[[#This Row],[2048]]*8760), 0)</f>
        <v>0.38317337611384322</v>
      </c>
      <c r="AT76" s="11">
        <f>IFERROR((ON_gen[[#This Row],[2049]]*1000)/(ON_cap[[#This Row],[2049]]*8760), 0)</f>
        <v>0.38590097975237148</v>
      </c>
      <c r="AU76" s="11">
        <f>IFERROR((ON_gen[[#This Row],[2050]]*1000)/(ON_cap[[#This Row],[2050]]*8760), 0)</f>
        <v>0.38861203351656698</v>
      </c>
    </row>
    <row r="77" spans="1:47" x14ac:dyDescent="0.3">
      <c r="A77" s="2" t="s">
        <v>56</v>
      </c>
      <c r="B77" s="11">
        <f>IFERROR((ON_gen[[#This Row],[2005]]*1000)/(ON_cap[[#This Row],[2005]]*8760), 0)</f>
        <v>0.44107076533176026</v>
      </c>
      <c r="C77" s="11">
        <f>IFERROR((ON_gen[[#This Row],[2006]]*1000)/(ON_cap[[#This Row],[2006]]*8760), 0)</f>
        <v>0.47576146741386466</v>
      </c>
      <c r="D77" s="11">
        <f>IFERROR((ON_gen[[#This Row],[2007]]*1000)/(ON_cap[[#This Row],[2007]]*8760), 0)</f>
        <v>0.3884845890410959</v>
      </c>
      <c r="E77" s="11">
        <f>IFERROR((ON_gen[[#This Row],[2008]]*1000)/(ON_cap[[#This Row],[2008]]*8760), 0)</f>
        <v>0.37334937677403429</v>
      </c>
      <c r="F77" s="11">
        <f>IFERROR((ON_gen[[#This Row],[2009]]*1000)/(ON_cap[[#This Row],[2009]]*8760), 0)</f>
        <v>0.36234641431186992</v>
      </c>
      <c r="G77" s="11">
        <f>IFERROR((ON_gen[[#This Row],[2010]]*1000)/(ON_cap[[#This Row],[2010]]*8760), 0)</f>
        <v>0.40538901021331042</v>
      </c>
      <c r="H77" s="11">
        <f>IFERROR((ON_gen[[#This Row],[2011]]*1000)/(ON_cap[[#This Row],[2011]]*8760), 0)</f>
        <v>0.3352359208523592</v>
      </c>
      <c r="I77" s="11">
        <f>IFERROR((ON_gen[[#This Row],[2012]]*1000)/(ON_cap[[#This Row],[2012]]*8760), 0)</f>
        <v>0.3710652284207972</v>
      </c>
      <c r="J77" s="11">
        <f>IFERROR((ON_gen[[#This Row],[2013]]*1000)/(ON_cap[[#This Row],[2013]]*8760), 0)</f>
        <v>0.32335164229148744</v>
      </c>
      <c r="K77" s="11">
        <f>IFERROR((ON_gen[[#This Row],[2014]]*1000)/(ON_cap[[#This Row],[2014]]*8760), 0)</f>
        <v>0.1745379797605825</v>
      </c>
      <c r="L77" s="11">
        <f>IFERROR((ON_gen[[#This Row],[2015]]*1000)/(ON_cap[[#This Row],[2015]]*8760), 0)</f>
        <v>0.2298582453744312</v>
      </c>
      <c r="M77" s="11">
        <f>IFERROR((ON_gen[[#This Row],[2016]]*1000)/(ON_cap[[#This Row],[2016]]*8760), 0)</f>
        <v>0.20573730929249104</v>
      </c>
      <c r="N77" s="11">
        <f>IFERROR((ON_gen[[#This Row],[2017]]*1000)/(ON_cap[[#This Row],[2017]]*8760), 0)</f>
        <v>0.15854346666772137</v>
      </c>
      <c r="O77" s="11">
        <f>IFERROR((ON_gen[[#This Row],[2018]]*1000)/(ON_cap[[#This Row],[2018]]*8760), 0)</f>
        <v>0.21601166239181865</v>
      </c>
      <c r="P77" s="11">
        <f>IFERROR((ON_gen[[#This Row],[2019]]*1000)/(ON_cap[[#This Row],[2019]]*8760), 0)</f>
        <v>0.28947519631366814</v>
      </c>
      <c r="Q77" s="11">
        <f>IFERROR((ON_gen[[#This Row],[2020]]*1000)/(ON_cap[[#This Row],[2020]]*8760), 0)</f>
        <v>0.1751762953736424</v>
      </c>
      <c r="R77" s="11">
        <f>IFERROR((ON_gen[[#This Row],[2021]]*1000)/(ON_cap[[#This Row],[2021]]*8760), 0)</f>
        <v>0.17517861230587584</v>
      </c>
      <c r="S77" s="11">
        <f>IFERROR((ON_gen[[#This Row],[2022]]*1000)/(ON_cap[[#This Row],[2022]]*8760), 0)</f>
        <v>0.17817672261594625</v>
      </c>
      <c r="T77" s="11">
        <f>IFERROR((ON_gen[[#This Row],[2023]]*1000)/(ON_cap[[#This Row],[2023]]*8760), 0)</f>
        <v>0.18116556519708288</v>
      </c>
      <c r="U77" s="11">
        <f>IFERROR((ON_gen[[#This Row],[2024]]*1000)/(ON_cap[[#This Row],[2024]]*8760), 0)</f>
        <v>0.17518092923810927</v>
      </c>
      <c r="V77" s="11">
        <f>IFERROR((ON_gen[[#This Row],[2025]]*1000)/(ON_cap[[#This Row],[2025]]*8760), 0)</f>
        <v>0.18116556519708288</v>
      </c>
      <c r="W77" s="11">
        <f>IFERROR((ON_gen[[#This Row],[2026]]*1000)/(ON_cap[[#This Row],[2026]]*8760), 0)</f>
        <v>0.18116093133261602</v>
      </c>
      <c r="X77" s="11">
        <f>IFERROR((ON_gen[[#This Row],[2027]]*1000)/(ON_cap[[#This Row],[2027]]*8760), 0)</f>
        <v>0.18116093133261602</v>
      </c>
      <c r="Y77" s="11">
        <f>IFERROR((ON_gen[[#This Row],[2028]]*1000)/(ON_cap[[#This Row],[2028]]*8760), 0)</f>
        <v>0.18116093133261602</v>
      </c>
      <c r="Z77" s="11">
        <f>IFERROR((ON_gen[[#This Row],[2029]]*1000)/(ON_cap[[#This Row],[2029]]*8760), 0)</f>
        <v>0.18116093133261602</v>
      </c>
      <c r="AA77" s="11">
        <f>IFERROR((ON_gen[[#This Row],[2030]]*1000)/(ON_cap[[#This Row],[2030]]*8760), 0)</f>
        <v>0.18116093133261602</v>
      </c>
      <c r="AB77" s="11">
        <f>IFERROR((ON_gen[[#This Row],[2031]]*1000)/(ON_cap[[#This Row],[2031]]*8760), 0)</f>
        <v>0.18116093133261602</v>
      </c>
      <c r="AC77" s="11">
        <f>IFERROR((ON_gen[[#This Row],[2032]]*1000)/(ON_cap[[#This Row],[2032]]*8760), 0)</f>
        <v>0.18115629746814912</v>
      </c>
      <c r="AD77" s="11">
        <f>IFERROR((ON_gen[[#This Row],[2033]]*1000)/(ON_cap[[#This Row],[2033]]*8760), 0)</f>
        <v>0.18115629746814912</v>
      </c>
      <c r="AE77" s="11">
        <f>IFERROR((ON_gen[[#This Row],[2034]]*1000)/(ON_cap[[#This Row],[2034]]*8760), 0)</f>
        <v>0.18115629746814912</v>
      </c>
      <c r="AF77" s="11">
        <f>IFERROR((ON_gen[[#This Row],[2035]]*1000)/(ON_cap[[#This Row],[2035]]*8760), 0)</f>
        <v>0.18115629746814912</v>
      </c>
      <c r="AG77" s="11">
        <f>IFERROR((ON_gen[[#This Row],[2036]]*1000)/(ON_cap[[#This Row],[2036]]*8760), 0)</f>
        <v>0.18115629746814912</v>
      </c>
      <c r="AH77" s="11">
        <f>IFERROR((ON_gen[[#This Row],[2037]]*1000)/(ON_cap[[#This Row],[2037]]*8760), 0)</f>
        <v>0.18115629746814912</v>
      </c>
      <c r="AI77" s="11">
        <f>IFERROR((ON_gen[[#This Row],[2038]]*1000)/(ON_cap[[#This Row],[2038]]*8760), 0)</f>
        <v>0.18115629746814912</v>
      </c>
      <c r="AJ77" s="11">
        <f>IFERROR((ON_gen[[#This Row],[2039]]*1000)/(ON_cap[[#This Row],[2039]]*8760), 0)</f>
        <v>0.18115629746814912</v>
      </c>
      <c r="AK77" s="11">
        <f>IFERROR((ON_gen[[#This Row],[2040]]*1000)/(ON_cap[[#This Row],[2040]]*8760), 0)</f>
        <v>0.18115629746814912</v>
      </c>
      <c r="AL77" s="11">
        <f>IFERROR((ON_gen[[#This Row],[2041]]*1000)/(ON_cap[[#This Row],[2041]]*8760), 0)</f>
        <v>0.18115629746814912</v>
      </c>
      <c r="AM77" s="11">
        <f>IFERROR((ON_gen[[#This Row],[2042]]*1000)/(ON_cap[[#This Row],[2042]]*8760), 0)</f>
        <v>0.18115629746814912</v>
      </c>
      <c r="AN77" s="11">
        <f>IFERROR((ON_gen[[#This Row],[2043]]*1000)/(ON_cap[[#This Row],[2043]]*8760), 0)</f>
        <v>0.18115629746814912</v>
      </c>
      <c r="AO77" s="11">
        <f>IFERROR((ON_gen[[#This Row],[2044]]*1000)/(ON_cap[[#This Row],[2044]]*8760), 0)</f>
        <v>0.18115629746814912</v>
      </c>
      <c r="AP77" s="11">
        <f>IFERROR((ON_gen[[#This Row],[2045]]*1000)/(ON_cap[[#This Row],[2045]]*8760), 0)</f>
        <v>0.18115629746814912</v>
      </c>
      <c r="AQ77" s="11">
        <f>IFERROR((ON_gen[[#This Row],[2046]]*1000)/(ON_cap[[#This Row],[2046]]*8760), 0)</f>
        <v>0.18115629746814912</v>
      </c>
      <c r="AR77" s="11">
        <f>IFERROR((ON_gen[[#This Row],[2047]]*1000)/(ON_cap[[#This Row],[2047]]*8760), 0)</f>
        <v>0.18115629746814912</v>
      </c>
      <c r="AS77" s="11">
        <f>IFERROR((ON_gen[[#This Row],[2048]]*1000)/(ON_cap[[#This Row],[2048]]*8760), 0)</f>
        <v>0.18115629746814912</v>
      </c>
      <c r="AT77" s="11">
        <f>IFERROR((ON_gen[[#This Row],[2049]]*1000)/(ON_cap[[#This Row],[2049]]*8760), 0)</f>
        <v>0.18115629746814912</v>
      </c>
      <c r="AU77" s="11">
        <f>IFERROR((ON_gen[[#This Row],[2050]]*1000)/(ON_cap[[#This Row],[2050]]*8760), 0)</f>
        <v>0.18115629746814912</v>
      </c>
    </row>
    <row r="78" spans="1:47" x14ac:dyDescent="0.3">
      <c r="A78" s="2" t="s">
        <v>57</v>
      </c>
      <c r="B78" s="11">
        <f>IFERROR((ON_gen[[#This Row],[2005]]*1000)/(ON_cap[[#This Row],[2005]]*8760), 0)</f>
        <v>0</v>
      </c>
      <c r="C78" s="11">
        <f>IFERROR((ON_gen[[#This Row],[2006]]*1000)/(ON_cap[[#This Row],[2006]]*8760), 0)</f>
        <v>0</v>
      </c>
      <c r="D78" s="11">
        <f>IFERROR((ON_gen[[#This Row],[2007]]*1000)/(ON_cap[[#This Row],[2007]]*8760), 0)</f>
        <v>0</v>
      </c>
      <c r="E78" s="11">
        <f>IFERROR((ON_gen[[#This Row],[2008]]*1000)/(ON_cap[[#This Row],[2008]]*8760), 0)</f>
        <v>0</v>
      </c>
      <c r="F78" s="11">
        <f>IFERROR((ON_gen[[#This Row],[2009]]*1000)/(ON_cap[[#This Row],[2009]]*8760), 0)</f>
        <v>6.0354896447897067E-3</v>
      </c>
      <c r="G78" s="11">
        <f>IFERROR((ON_gen[[#This Row],[2010]]*1000)/(ON_cap[[#This Row],[2010]]*8760), 0)</f>
        <v>4.9945206453992676E-2</v>
      </c>
      <c r="H78" s="11">
        <f>IFERROR((ON_gen[[#This Row],[2011]]*1000)/(ON_cap[[#This Row],[2011]]*8760), 0)</f>
        <v>0.10833044815054339</v>
      </c>
      <c r="I78" s="11">
        <f>IFERROR((ON_gen[[#This Row],[2012]]*1000)/(ON_cap[[#This Row],[2012]]*8760), 0)</f>
        <v>0.14895199358621913</v>
      </c>
      <c r="J78" s="11">
        <f>IFERROR((ON_gen[[#This Row],[2013]]*1000)/(ON_cap[[#This Row],[2013]]*8760), 0)</f>
        <v>0.13144606811528525</v>
      </c>
      <c r="K78" s="11">
        <f>IFERROR((ON_gen[[#This Row],[2014]]*1000)/(ON_cap[[#This Row],[2014]]*8760), 0)</f>
        <v>0.13293482607924889</v>
      </c>
      <c r="L78" s="11">
        <f>IFERROR((ON_gen[[#This Row],[2015]]*1000)/(ON_cap[[#This Row],[2015]]*8760), 0)</f>
        <v>7.6767924906423937E-2</v>
      </c>
      <c r="M78" s="11">
        <f>IFERROR((ON_gen[[#This Row],[2016]]*1000)/(ON_cap[[#This Row],[2016]]*8760), 0)</f>
        <v>8.4458697927646056E-2</v>
      </c>
      <c r="N78" s="11">
        <f>IFERROR((ON_gen[[#This Row],[2017]]*1000)/(ON_cap[[#This Row],[2017]]*8760), 0)</f>
        <v>8.8388191167784777E-2</v>
      </c>
      <c r="O78" s="11">
        <f>IFERROR((ON_gen[[#This Row],[2018]]*1000)/(ON_cap[[#This Row],[2018]]*8760), 0)</f>
        <v>9.2497287173877132E-2</v>
      </c>
      <c r="P78" s="11">
        <f>IFERROR((ON_gen[[#This Row],[2019]]*1000)/(ON_cap[[#This Row],[2019]]*8760), 0)</f>
        <v>9.2711104296331781E-2</v>
      </c>
      <c r="Q78" s="11">
        <f>IFERROR((ON_gen[[#This Row],[2020]]*1000)/(ON_cap[[#This Row],[2020]]*8760), 0)</f>
        <v>9.2711104296331781E-2</v>
      </c>
      <c r="R78" s="11">
        <f>IFERROR((ON_gen[[#This Row],[2021]]*1000)/(ON_cap[[#This Row],[2021]]*8760), 0)</f>
        <v>9.2711104296331781E-2</v>
      </c>
      <c r="S78" s="11">
        <f>IFERROR((ON_gen[[#This Row],[2022]]*1000)/(ON_cap[[#This Row],[2022]]*8760), 0)</f>
        <v>9.2711104296331781E-2</v>
      </c>
      <c r="T78" s="11">
        <f>IFERROR((ON_gen[[#This Row],[2023]]*1000)/(ON_cap[[#This Row],[2023]]*8760), 0)</f>
        <v>9.2711104296331781E-2</v>
      </c>
      <c r="U78" s="11">
        <f>IFERROR((ON_gen[[#This Row],[2024]]*1000)/(ON_cap[[#This Row],[2024]]*8760), 0)</f>
        <v>9.2711104296331781E-2</v>
      </c>
      <c r="V78" s="11">
        <f>IFERROR((ON_gen[[#This Row],[2025]]*1000)/(ON_cap[[#This Row],[2025]]*8760), 0)</f>
        <v>9.2711104296331781E-2</v>
      </c>
      <c r="W78" s="11">
        <f>IFERROR((ON_gen[[#This Row],[2026]]*1000)/(ON_cap[[#This Row],[2026]]*8760), 0)</f>
        <v>9.2711104296331781E-2</v>
      </c>
      <c r="X78" s="11">
        <f>IFERROR((ON_gen[[#This Row],[2027]]*1000)/(ON_cap[[#This Row],[2027]]*8760), 0)</f>
        <v>9.2711104296331781E-2</v>
      </c>
      <c r="Y78" s="11">
        <f>IFERROR((ON_gen[[#This Row],[2028]]*1000)/(ON_cap[[#This Row],[2028]]*8760), 0)</f>
        <v>9.2711104296331781E-2</v>
      </c>
      <c r="Z78" s="11">
        <f>IFERROR((ON_gen[[#This Row],[2029]]*1000)/(ON_cap[[#This Row],[2029]]*8760), 0)</f>
        <v>9.6837779265410415E-2</v>
      </c>
      <c r="AA78" s="11">
        <f>IFERROR((ON_gen[[#This Row],[2030]]*1000)/(ON_cap[[#This Row],[2030]]*8760), 0)</f>
        <v>0.1006768269478861</v>
      </c>
      <c r="AB78" s="11">
        <f>IFERROR((ON_gen[[#This Row],[2031]]*1000)/(ON_cap[[#This Row],[2031]]*8760), 0)</f>
        <v>0.10425769031941511</v>
      </c>
      <c r="AC78" s="11">
        <f>IFERROR((ON_gen[[#This Row],[2032]]*1000)/(ON_cap[[#This Row],[2032]]*8760), 0)</f>
        <v>0.10760485974255671</v>
      </c>
      <c r="AD78" s="11">
        <f>IFERROR((ON_gen[[#This Row],[2033]]*1000)/(ON_cap[[#This Row],[2033]]*8760), 0)</f>
        <v>0.11074081530446379</v>
      </c>
      <c r="AE78" s="11">
        <f>IFERROR((ON_gen[[#This Row],[2034]]*1000)/(ON_cap[[#This Row],[2034]]*8760), 0)</f>
        <v>0.11368493762406744</v>
      </c>
      <c r="AF78" s="11">
        <f>IFERROR((ON_gen[[#This Row],[2035]]*1000)/(ON_cap[[#This Row],[2035]]*8760), 0)</f>
        <v>0.11645430658143478</v>
      </c>
      <c r="AG78" s="11">
        <f>IFERROR((ON_gen[[#This Row],[2036]]*1000)/(ON_cap[[#This Row],[2036]]*8760), 0)</f>
        <v>0.1190643619168085</v>
      </c>
      <c r="AH78" s="11">
        <f>IFERROR((ON_gen[[#This Row],[2037]]*1000)/(ON_cap[[#This Row],[2037]]*8760), 0)</f>
        <v>0.12152785373288624</v>
      </c>
      <c r="AI78" s="11">
        <f>IFERROR((ON_gen[[#This Row],[2038]]*1000)/(ON_cap[[#This Row],[2038]]*8760), 0)</f>
        <v>0.12385707555740785</v>
      </c>
      <c r="AJ78" s="11">
        <f>IFERROR((ON_gen[[#This Row],[2039]]*1000)/(ON_cap[[#This Row],[2039]]*8760), 0)</f>
        <v>0.12606271353572754</v>
      </c>
      <c r="AK78" s="11">
        <f>IFERROR((ON_gen[[#This Row],[2040]]*1000)/(ON_cap[[#This Row],[2040]]*8760), 0)</f>
        <v>0.12815434914791243</v>
      </c>
      <c r="AL78" s="11">
        <f>IFERROR((ON_gen[[#This Row],[2041]]*1000)/(ON_cap[[#This Row],[2041]]*8760), 0)</f>
        <v>0.13014088593811007</v>
      </c>
      <c r="AM78" s="11">
        <f>IFERROR((ON_gen[[#This Row],[2042]]*1000)/(ON_cap[[#This Row],[2042]]*8760), 0)</f>
        <v>0.13202951074230687</v>
      </c>
      <c r="AN78" s="11">
        <f>IFERROR((ON_gen[[#This Row],[2043]]*1000)/(ON_cap[[#This Row],[2043]]*8760), 0)</f>
        <v>0.13382754228962163</v>
      </c>
      <c r="AO78" s="11">
        <f>IFERROR((ON_gen[[#This Row],[2044]]*1000)/(ON_cap[[#This Row],[2044]]*8760), 0)</f>
        <v>0.13554134625090375</v>
      </c>
      <c r="AP78" s="11">
        <f>IFERROR((ON_gen[[#This Row],[2045]]*1000)/(ON_cap[[#This Row],[2045]]*8760), 0)</f>
        <v>0.13717670555489264</v>
      </c>
      <c r="AQ78" s="11">
        <f>IFERROR((ON_gen[[#This Row],[2046]]*1000)/(ON_cap[[#This Row],[2046]]*8760), 0)</f>
        <v>0.13873914099150467</v>
      </c>
      <c r="AR78" s="11">
        <f>IFERROR((ON_gen[[#This Row],[2047]]*1000)/(ON_cap[[#This Row],[2047]]*8760), 0)</f>
        <v>0.14023294060685249</v>
      </c>
      <c r="AS78" s="11">
        <f>IFERROR((ON_gen[[#This Row],[2048]]*1000)/(ON_cap[[#This Row],[2048]]*8760), 0)</f>
        <v>0.14166275853629451</v>
      </c>
      <c r="AT78" s="11">
        <f>IFERROR((ON_gen[[#This Row],[2049]]*1000)/(ON_cap[[#This Row],[2049]]*8760), 0)</f>
        <v>0.14303261924083305</v>
      </c>
      <c r="AU78" s="11">
        <f>IFERROR((ON_gen[[#This Row],[2050]]*1000)/(ON_cap[[#This Row],[2050]]*8760), 0)</f>
        <v>0.14434645102462956</v>
      </c>
    </row>
    <row r="79" spans="1:47" x14ac:dyDescent="0.3">
      <c r="A79" s="2" t="s">
        <v>58</v>
      </c>
      <c r="B79" s="11">
        <f>IFERROR((ON_gen[[#This Row],[2005]]*1000)/(ON_cap[[#This Row],[2005]]*8760), 0)</f>
        <v>0.77734242587386093</v>
      </c>
      <c r="C79" s="11">
        <f>IFERROR((ON_gen[[#This Row],[2006]]*1000)/(ON_cap[[#This Row],[2006]]*8760), 0)</f>
        <v>0.79458338569812748</v>
      </c>
      <c r="D79" s="11">
        <f>IFERROR((ON_gen[[#This Row],[2007]]*1000)/(ON_cap[[#This Row],[2007]]*8760), 0)</f>
        <v>0.75928951447362913</v>
      </c>
      <c r="E79" s="11">
        <f>IFERROR((ON_gen[[#This Row],[2008]]*1000)/(ON_cap[[#This Row],[2008]]*8760), 0)</f>
        <v>0.81719545587837661</v>
      </c>
      <c r="F79" s="11">
        <f>IFERROR((ON_gen[[#This Row],[2009]]*1000)/(ON_cap[[#This Row],[2009]]*8760), 0)</f>
        <v>0.77496067880006547</v>
      </c>
      <c r="G79" s="11">
        <f>IFERROR((ON_gen[[#This Row],[2010]]*1000)/(ON_cap[[#This Row],[2010]]*8760), 0)</f>
        <v>0.78047345390565193</v>
      </c>
      <c r="H79" s="11">
        <f>IFERROR((ON_gen[[#This Row],[2011]]*1000)/(ON_cap[[#This Row],[2011]]*8760), 0)</f>
        <v>0.80704620669431526</v>
      </c>
      <c r="I79" s="11">
        <f>IFERROR((ON_gen[[#This Row],[2012]]*1000)/(ON_cap[[#This Row],[2012]]*8760), 0)</f>
        <v>0.80799829385979949</v>
      </c>
      <c r="J79" s="11">
        <f>IFERROR((ON_gen[[#This Row],[2013]]*1000)/(ON_cap[[#This Row],[2013]]*8760), 0)</f>
        <v>0.77919319688265776</v>
      </c>
      <c r="K79" s="11">
        <f>IFERROR((ON_gen[[#This Row],[2014]]*1000)/(ON_cap[[#This Row],[2014]]*8760), 0)</f>
        <v>0.80934785783901952</v>
      </c>
      <c r="L79" s="11">
        <f>IFERROR((ON_gen[[#This Row],[2015]]*1000)/(ON_cap[[#This Row],[2015]]*8760), 0)</f>
        <v>0.77210428647583351</v>
      </c>
      <c r="M79" s="11">
        <f>IFERROR((ON_gen[[#This Row],[2016]]*1000)/(ON_cap[[#This Row],[2016]]*8760), 0)</f>
        <v>0.76682923357133626</v>
      </c>
      <c r="N79" s="11">
        <f>IFERROR((ON_gen[[#This Row],[2017]]*1000)/(ON_cap[[#This Row],[2017]]*8760), 0)</f>
        <v>0.81728581409781653</v>
      </c>
      <c r="O79" s="11">
        <f>IFERROR((ON_gen[[#This Row],[2018]]*1000)/(ON_cap[[#This Row],[2018]]*8760), 0)</f>
        <v>0.81466538496154339</v>
      </c>
      <c r="P79" s="11">
        <f>IFERROR((ON_gen[[#This Row],[2019]]*1000)/(ON_cap[[#This Row],[2019]]*8760), 0)</f>
        <v>0.81736714056502735</v>
      </c>
      <c r="Q79" s="11">
        <f>IFERROR((ON_gen[[#This Row],[2020]]*1000)/(ON_cap[[#This Row],[2020]]*8760), 0)</f>
        <v>0.77440039490292167</v>
      </c>
      <c r="R79" s="11">
        <f>IFERROR((ON_gen[[#This Row],[2021]]*1000)/(ON_cap[[#This Row],[2021]]*8760), 0)</f>
        <v>0.74933757471136353</v>
      </c>
      <c r="S79" s="11">
        <f>IFERROR((ON_gen[[#This Row],[2022]]*1000)/(ON_cap[[#This Row],[2022]]*8760), 0)</f>
        <v>0.82606007004069815</v>
      </c>
      <c r="T79" s="11">
        <f>IFERROR((ON_gen[[#This Row],[2023]]*1000)/(ON_cap[[#This Row],[2023]]*8760), 0)</f>
        <v>0.838369417566455</v>
      </c>
      <c r="U79" s="11">
        <f>IFERROR((ON_gen[[#This Row],[2024]]*1000)/(ON_cap[[#This Row],[2024]]*8760), 0)</f>
        <v>0.83875625895824224</v>
      </c>
      <c r="V79" s="11">
        <f>IFERROR((ON_gen[[#This Row],[2025]]*1000)/(ON_cap[[#This Row],[2025]]*8760), 0)</f>
        <v>0.8799999389203873</v>
      </c>
      <c r="W79" s="11">
        <f>IFERROR((ON_gen[[#This Row],[2026]]*1000)/(ON_cap[[#This Row],[2026]]*8760), 0)</f>
        <v>0.87999992926088233</v>
      </c>
      <c r="X79" s="11">
        <f>IFERROR((ON_gen[[#This Row],[2027]]*1000)/(ON_cap[[#This Row],[2027]]*8760), 0)</f>
        <v>0.87999987906168708</v>
      </c>
      <c r="Y79" s="11">
        <f>IFERROR((ON_gen[[#This Row],[2028]]*1000)/(ON_cap[[#This Row],[2028]]*8760), 0)</f>
        <v>0.87999986575610956</v>
      </c>
      <c r="Z79" s="11">
        <f>IFERROR((ON_gen[[#This Row],[2029]]*1000)/(ON_cap[[#This Row],[2029]]*8760), 0)</f>
        <v>0.87999990030109065</v>
      </c>
      <c r="AA79" s="11">
        <f>IFERROR((ON_gen[[#This Row],[2030]]*1000)/(ON_cap[[#This Row],[2030]]*8760), 0)</f>
        <v>0.87999988515086869</v>
      </c>
      <c r="AB79" s="11">
        <f>IFERROR((ON_gen[[#This Row],[2031]]*1000)/(ON_cap[[#This Row],[2031]]*8760), 0)</f>
        <v>0.87999992145280881</v>
      </c>
      <c r="AC79" s="11">
        <f>IFERROR((ON_gen[[#This Row],[2032]]*1000)/(ON_cap[[#This Row],[2032]]*8760), 0)</f>
        <v>0.87999990447259324</v>
      </c>
      <c r="AD79" s="11">
        <f>IFERROR((ON_gen[[#This Row],[2033]]*1000)/(ON_cap[[#This Row],[2033]]*8760), 0)</f>
        <v>0.87999985678379367</v>
      </c>
      <c r="AE79" s="11">
        <f>IFERROR((ON_gen[[#This Row],[2034]]*1000)/(ON_cap[[#This Row],[2034]]*8760), 0)</f>
        <v>0.87999984640331419</v>
      </c>
      <c r="AF79" s="11">
        <f>IFERROR((ON_gen[[#This Row],[2035]]*1000)/(ON_cap[[#This Row],[2035]]*8760), 0)</f>
        <v>0.87999984640331419</v>
      </c>
      <c r="AG79" s="11">
        <f>IFERROR((ON_gen[[#This Row],[2036]]*1000)/(ON_cap[[#This Row],[2036]]*8760), 0)</f>
        <v>0.87999984640331419</v>
      </c>
      <c r="AH79" s="11">
        <f>IFERROR((ON_gen[[#This Row],[2037]]*1000)/(ON_cap[[#This Row],[2037]]*8760), 0)</f>
        <v>0.87999991227262164</v>
      </c>
      <c r="AI79" s="11">
        <f>IFERROR((ON_gen[[#This Row],[2038]]*1000)/(ON_cap[[#This Row],[2038]]*8760), 0)</f>
        <v>0.87999991227262164</v>
      </c>
      <c r="AJ79" s="11">
        <f>IFERROR((ON_gen[[#This Row],[2039]]*1000)/(ON_cap[[#This Row],[2039]]*8760), 0)</f>
        <v>0.8799999342676097</v>
      </c>
      <c r="AK79" s="11">
        <f>IFERROR((ON_gen[[#This Row],[2040]]*1000)/(ON_cap[[#This Row],[2040]]*8760), 0)</f>
        <v>0.87999986878706771</v>
      </c>
      <c r="AL79" s="11">
        <f>IFERROR((ON_gen[[#This Row],[2041]]*1000)/(ON_cap[[#This Row],[2041]]*8760), 0)</f>
        <v>0.87999991269196853</v>
      </c>
      <c r="AM79" s="11">
        <f>IFERROR((ON_gen[[#This Row],[2042]]*1000)/(ON_cap[[#This Row],[2042]]*8760), 0)</f>
        <v>0.87999995642929341</v>
      </c>
      <c r="AN79" s="11">
        <f>IFERROR((ON_gen[[#This Row],[2043]]*1000)/(ON_cap[[#This Row],[2043]]*8760), 0)</f>
        <v>0.87999989128071321</v>
      </c>
      <c r="AO79" s="11">
        <f>IFERROR((ON_gen[[#This Row],[2044]]*1000)/(ON_cap[[#This Row],[2044]]*8760), 0)</f>
        <v>0.87999989153895375</v>
      </c>
      <c r="AP79" s="11">
        <f>IFERROR((ON_gen[[#This Row],[2045]]*1000)/(ON_cap[[#This Row],[2045]]*8760), 0)</f>
        <v>0.87999989179597049</v>
      </c>
      <c r="AQ79" s="11">
        <f>IFERROR((ON_gen[[#This Row],[2046]]*1000)/(ON_cap[[#This Row],[2046]]*8760), 0)</f>
        <v>0.87999989230636688</v>
      </c>
      <c r="AR79" s="11">
        <f>IFERROR((ON_gen[[#This Row],[2047]]*1000)/(ON_cap[[#This Row],[2047]]*8760), 0)</f>
        <v>0.87999989331284945</v>
      </c>
      <c r="AS79" s="11">
        <f>IFERROR((ON_gen[[#This Row],[2048]]*1000)/(ON_cap[[#This Row],[2048]]*8760), 0)</f>
        <v>0.87999989430069336</v>
      </c>
      <c r="AT79" s="11">
        <f>IFERROR((ON_gen[[#This Row],[2049]]*1000)/(ON_cap[[#This Row],[2049]]*8760), 0)</f>
        <v>0.87999989527041178</v>
      </c>
      <c r="AU79" s="11">
        <f>IFERROR((ON_gen[[#This Row],[2050]]*1000)/(ON_cap[[#This Row],[2050]]*8760), 0)</f>
        <v>0.87999989527041178</v>
      </c>
    </row>
    <row r="80" spans="1:47" x14ac:dyDescent="0.3">
      <c r="A80" s="2" t="s">
        <v>59</v>
      </c>
      <c r="B80" s="11">
        <f>IFERROR((ON_gen[[#This Row],[2005]]*1000)/(ON_cap[[#This Row],[2005]]*8760), 0)</f>
        <v>0.526846469438076</v>
      </c>
      <c r="C80" s="11">
        <f>IFERROR((ON_gen[[#This Row],[2006]]*1000)/(ON_cap[[#This Row],[2006]]*8760), 0)</f>
        <v>0.44423297672412121</v>
      </c>
      <c r="D80" s="11">
        <f>IFERROR((ON_gen[[#This Row],[2007]]*1000)/(ON_cap[[#This Row],[2007]]*8760), 0)</f>
        <v>0.51170016810329411</v>
      </c>
      <c r="E80" s="11">
        <f>IFERROR((ON_gen[[#This Row],[2008]]*1000)/(ON_cap[[#This Row],[2008]]*8760), 0)</f>
        <v>0.43440419363678023</v>
      </c>
      <c r="F80" s="11">
        <f>IFERROR((ON_gen[[#This Row],[2009]]*1000)/(ON_cap[[#This Row],[2009]]*8760), 0)</f>
        <v>0.20073881416699479</v>
      </c>
      <c r="G80" s="11">
        <f>IFERROR((ON_gen[[#This Row],[2010]]*1000)/(ON_cap[[#This Row],[2010]]*8760), 0)</f>
        <v>0.2629773684098049</v>
      </c>
      <c r="H80" s="11">
        <f>IFERROR((ON_gen[[#This Row],[2011]]*1000)/(ON_cap[[#This Row],[2011]]*8760), 0)</f>
        <v>0.12160848793729551</v>
      </c>
      <c r="I80" s="11">
        <f>IFERROR((ON_gen[[#This Row],[2012]]*1000)/(ON_cap[[#This Row],[2012]]*8760), 0)</f>
        <v>0.12457122511858847</v>
      </c>
      <c r="J80" s="11">
        <f>IFERROR((ON_gen[[#This Row],[2013]]*1000)/(ON_cap[[#This Row],[2013]]*8760), 0)</f>
        <v>0.13663950060690133</v>
      </c>
      <c r="K80" s="11">
        <f>IFERROR((ON_gen[[#This Row],[2014]]*1000)/(ON_cap[[#This Row],[2014]]*8760), 0)</f>
        <v>7.0738950070134601E-2</v>
      </c>
      <c r="L80" s="11">
        <f>IFERROR((ON_gen[[#This Row],[2015]]*1000)/(ON_cap[[#This Row],[2015]]*8760), 0)</f>
        <v>0</v>
      </c>
      <c r="M80" s="11">
        <f>IFERROR((ON_gen[[#This Row],[2016]]*1000)/(ON_cap[[#This Row],[2016]]*8760), 0)</f>
        <v>0</v>
      </c>
      <c r="N80" s="11">
        <f>IFERROR((ON_gen[[#This Row],[2017]]*1000)/(ON_cap[[#This Row],[2017]]*8760), 0)</f>
        <v>0</v>
      </c>
      <c r="O80" s="11">
        <f>IFERROR((ON_gen[[#This Row],[2018]]*1000)/(ON_cap[[#This Row],[2018]]*8760), 0)</f>
        <v>0</v>
      </c>
      <c r="P80" s="11">
        <f>IFERROR((ON_gen[[#This Row],[2019]]*1000)/(ON_cap[[#This Row],[2019]]*8760), 0)</f>
        <v>0</v>
      </c>
      <c r="Q80" s="11">
        <f>IFERROR((ON_gen[[#This Row],[2020]]*1000)/(ON_cap[[#This Row],[2020]]*8760), 0)</f>
        <v>0</v>
      </c>
      <c r="R80" s="11">
        <f>IFERROR((ON_gen[[#This Row],[2021]]*1000)/(ON_cap[[#This Row],[2021]]*8760), 0)</f>
        <v>0</v>
      </c>
      <c r="S80" s="11">
        <f>IFERROR((ON_gen[[#This Row],[2022]]*1000)/(ON_cap[[#This Row],[2022]]*8760), 0)</f>
        <v>0</v>
      </c>
      <c r="T80" s="11">
        <f>IFERROR((ON_gen[[#This Row],[2023]]*1000)/(ON_cap[[#This Row],[2023]]*8760), 0)</f>
        <v>0</v>
      </c>
      <c r="U80" s="11">
        <f>IFERROR((ON_gen[[#This Row],[2024]]*1000)/(ON_cap[[#This Row],[2024]]*8760), 0)</f>
        <v>0</v>
      </c>
      <c r="V80" s="11">
        <f>IFERROR((ON_gen[[#This Row],[2025]]*1000)/(ON_cap[[#This Row],[2025]]*8760), 0)</f>
        <v>0</v>
      </c>
      <c r="W80" s="11">
        <f>IFERROR((ON_gen[[#This Row],[2026]]*1000)/(ON_cap[[#This Row],[2026]]*8760), 0)</f>
        <v>0</v>
      </c>
      <c r="X80" s="11">
        <f>IFERROR((ON_gen[[#This Row],[2027]]*1000)/(ON_cap[[#This Row],[2027]]*8760), 0)</f>
        <v>0</v>
      </c>
      <c r="Y80" s="11">
        <f>IFERROR((ON_gen[[#This Row],[2028]]*1000)/(ON_cap[[#This Row],[2028]]*8760), 0)</f>
        <v>0</v>
      </c>
      <c r="Z80" s="11">
        <f>IFERROR((ON_gen[[#This Row],[2029]]*1000)/(ON_cap[[#This Row],[2029]]*8760), 0)</f>
        <v>0</v>
      </c>
      <c r="AA80" s="11">
        <f>IFERROR((ON_gen[[#This Row],[2030]]*1000)/(ON_cap[[#This Row],[2030]]*8760), 0)</f>
        <v>0</v>
      </c>
      <c r="AB80" s="11">
        <f>IFERROR((ON_gen[[#This Row],[2031]]*1000)/(ON_cap[[#This Row],[2031]]*8760), 0)</f>
        <v>0</v>
      </c>
      <c r="AC80" s="11">
        <f>IFERROR((ON_gen[[#This Row],[2032]]*1000)/(ON_cap[[#This Row],[2032]]*8760), 0)</f>
        <v>0</v>
      </c>
      <c r="AD80" s="11">
        <f>IFERROR((ON_gen[[#This Row],[2033]]*1000)/(ON_cap[[#This Row],[2033]]*8760), 0)</f>
        <v>0</v>
      </c>
      <c r="AE80" s="11">
        <f>IFERROR((ON_gen[[#This Row],[2034]]*1000)/(ON_cap[[#This Row],[2034]]*8760), 0)</f>
        <v>0</v>
      </c>
      <c r="AF80" s="11">
        <f>IFERROR((ON_gen[[#This Row],[2035]]*1000)/(ON_cap[[#This Row],[2035]]*8760), 0)</f>
        <v>0</v>
      </c>
      <c r="AG80" s="11">
        <f>IFERROR((ON_gen[[#This Row],[2036]]*1000)/(ON_cap[[#This Row],[2036]]*8760), 0)</f>
        <v>0</v>
      </c>
      <c r="AH80" s="11">
        <f>IFERROR((ON_gen[[#This Row],[2037]]*1000)/(ON_cap[[#This Row],[2037]]*8760), 0)</f>
        <v>0</v>
      </c>
      <c r="AI80" s="11">
        <f>IFERROR((ON_gen[[#This Row],[2038]]*1000)/(ON_cap[[#This Row],[2038]]*8760), 0)</f>
        <v>0</v>
      </c>
      <c r="AJ80" s="11">
        <f>IFERROR((ON_gen[[#This Row],[2039]]*1000)/(ON_cap[[#This Row],[2039]]*8760), 0)</f>
        <v>0</v>
      </c>
      <c r="AK80" s="11">
        <f>IFERROR((ON_gen[[#This Row],[2040]]*1000)/(ON_cap[[#This Row],[2040]]*8760), 0)</f>
        <v>0</v>
      </c>
      <c r="AL80" s="11">
        <f>IFERROR((ON_gen[[#This Row],[2041]]*1000)/(ON_cap[[#This Row],[2041]]*8760), 0)</f>
        <v>0</v>
      </c>
      <c r="AM80" s="11">
        <f>IFERROR((ON_gen[[#This Row],[2042]]*1000)/(ON_cap[[#This Row],[2042]]*8760), 0)</f>
        <v>0</v>
      </c>
      <c r="AN80" s="11">
        <f>IFERROR((ON_gen[[#This Row],[2043]]*1000)/(ON_cap[[#This Row],[2043]]*8760), 0)</f>
        <v>0</v>
      </c>
      <c r="AO80" s="11">
        <f>IFERROR((ON_gen[[#This Row],[2044]]*1000)/(ON_cap[[#This Row],[2044]]*8760), 0)</f>
        <v>0</v>
      </c>
      <c r="AP80" s="11">
        <f>IFERROR((ON_gen[[#This Row],[2045]]*1000)/(ON_cap[[#This Row],[2045]]*8760), 0)</f>
        <v>0</v>
      </c>
      <c r="AQ80" s="11">
        <f>IFERROR((ON_gen[[#This Row],[2046]]*1000)/(ON_cap[[#This Row],[2046]]*8760), 0)</f>
        <v>0</v>
      </c>
      <c r="AR80" s="11">
        <f>IFERROR((ON_gen[[#This Row],[2047]]*1000)/(ON_cap[[#This Row],[2047]]*8760), 0)</f>
        <v>0</v>
      </c>
      <c r="AS80" s="11">
        <f>IFERROR((ON_gen[[#This Row],[2048]]*1000)/(ON_cap[[#This Row],[2048]]*8760), 0)</f>
        <v>0</v>
      </c>
      <c r="AT80" s="11">
        <f>IFERROR((ON_gen[[#This Row],[2049]]*1000)/(ON_cap[[#This Row],[2049]]*8760), 0)</f>
        <v>0</v>
      </c>
      <c r="AU80" s="11">
        <f>IFERROR((ON_gen[[#This Row],[2050]]*1000)/(ON_cap[[#This Row],[2050]]*8760), 0)</f>
        <v>0</v>
      </c>
    </row>
    <row r="81" spans="1:47" x14ac:dyDescent="0.3">
      <c r="A81" s="2" t="s">
        <v>60</v>
      </c>
      <c r="B81" s="11">
        <f>IFERROR((ON_gen[[#This Row],[2005]]*1000)/(ON_cap[[#This Row],[2005]]*8760), 0)</f>
        <v>0.30838014062902797</v>
      </c>
      <c r="C81" s="11">
        <f>IFERROR((ON_gen[[#This Row],[2006]]*1000)/(ON_cap[[#This Row],[2006]]*8760), 0)</f>
        <v>0.26919078837452531</v>
      </c>
      <c r="D81" s="11">
        <f>IFERROR((ON_gen[[#This Row],[2007]]*1000)/(ON_cap[[#This Row],[2007]]*8760), 0)</f>
        <v>0.30858686023578952</v>
      </c>
      <c r="E81" s="11">
        <f>IFERROR((ON_gen[[#This Row],[2008]]*1000)/(ON_cap[[#This Row],[2008]]*8760), 0)</f>
        <v>0.2012234055770272</v>
      </c>
      <c r="F81" s="11">
        <f>IFERROR((ON_gen[[#This Row],[2009]]*1000)/(ON_cap[[#This Row],[2009]]*8760), 0)</f>
        <v>0.14199625231042226</v>
      </c>
      <c r="G81" s="11">
        <f>IFERROR((ON_gen[[#This Row],[2010]]*1000)/(ON_cap[[#This Row],[2010]]*8760), 0)</f>
        <v>0.21729195823200725</v>
      </c>
      <c r="H81" s="11">
        <f>IFERROR((ON_gen[[#This Row],[2011]]*1000)/(ON_cap[[#This Row],[2011]]*8760), 0)</f>
        <v>0.30480150742644174</v>
      </c>
      <c r="I81" s="11">
        <f>IFERROR((ON_gen[[#This Row],[2012]]*1000)/(ON_cap[[#This Row],[2012]]*8760), 0)</f>
        <v>0.2877284531345069</v>
      </c>
      <c r="J81" s="11">
        <f>IFERROR((ON_gen[[#This Row],[2013]]*1000)/(ON_cap[[#This Row],[2013]]*8760), 0)</f>
        <v>0.22861838007472193</v>
      </c>
      <c r="K81" s="11">
        <f>IFERROR((ON_gen[[#This Row],[2014]]*1000)/(ON_cap[[#This Row],[2014]]*8760), 0)</f>
        <v>0.20053224914226217</v>
      </c>
      <c r="L81" s="11">
        <f>IFERROR((ON_gen[[#This Row],[2015]]*1000)/(ON_cap[[#This Row],[2015]]*8760), 0)</f>
        <v>0.19373783870542974</v>
      </c>
      <c r="M81" s="11">
        <f>IFERROR((ON_gen[[#This Row],[2016]]*1000)/(ON_cap[[#This Row],[2016]]*8760), 0)</f>
        <v>0.17618518816569087</v>
      </c>
      <c r="N81" s="11">
        <f>IFERROR((ON_gen[[#This Row],[2017]]*1000)/(ON_cap[[#This Row],[2017]]*8760), 0)</f>
        <v>9.6431006128833804E-2</v>
      </c>
      <c r="O81" s="11">
        <f>IFERROR((ON_gen[[#This Row],[2018]]*1000)/(ON_cap[[#This Row],[2018]]*8760), 0)</f>
        <v>0.13616758467761766</v>
      </c>
      <c r="P81" s="11">
        <f>IFERROR((ON_gen[[#This Row],[2019]]*1000)/(ON_cap[[#This Row],[2019]]*8760), 0)</f>
        <v>0.13240350890446706</v>
      </c>
      <c r="Q81" s="11">
        <f>IFERROR((ON_gen[[#This Row],[2020]]*1000)/(ON_cap[[#This Row],[2020]]*8760), 0)</f>
        <v>0.12691261709890028</v>
      </c>
      <c r="R81" s="11">
        <f>IFERROR((ON_gen[[#This Row],[2021]]*1000)/(ON_cap[[#This Row],[2021]]*8760), 0)</f>
        <v>0.14552346496211263</v>
      </c>
      <c r="S81" s="11">
        <f>IFERROR((ON_gen[[#This Row],[2022]]*1000)/(ON_cap[[#This Row],[2022]]*8760), 0)</f>
        <v>0.202544817119825</v>
      </c>
      <c r="T81" s="11">
        <f>IFERROR((ON_gen[[#This Row],[2023]]*1000)/(ON_cap[[#This Row],[2023]]*8760), 0)</f>
        <v>0.23604765162682176</v>
      </c>
      <c r="U81" s="11">
        <f>IFERROR((ON_gen[[#This Row],[2024]]*1000)/(ON_cap[[#This Row],[2024]]*8760), 0)</f>
        <v>0.16616507634755812</v>
      </c>
      <c r="V81" s="11">
        <f>IFERROR((ON_gen[[#This Row],[2025]]*1000)/(ON_cap[[#This Row],[2025]]*8760), 0)</f>
        <v>0.27091350671926751</v>
      </c>
      <c r="W81" s="11">
        <f>IFERROR((ON_gen[[#This Row],[2026]]*1000)/(ON_cap[[#This Row],[2026]]*8760), 0)</f>
        <v>0.34258144109244471</v>
      </c>
      <c r="X81" s="11">
        <f>IFERROR((ON_gen[[#This Row],[2027]]*1000)/(ON_cap[[#This Row],[2027]]*8760), 0)</f>
        <v>0.30787126705158224</v>
      </c>
      <c r="Y81" s="11">
        <f>IFERROR((ON_gen[[#This Row],[2028]]*1000)/(ON_cap[[#This Row],[2028]]*8760), 0)</f>
        <v>0.27861820069917065</v>
      </c>
      <c r="Z81" s="11">
        <f>IFERROR((ON_gen[[#This Row],[2029]]*1000)/(ON_cap[[#This Row],[2029]]*8760), 0)</f>
        <v>0.3288566959040079</v>
      </c>
      <c r="AA81" s="11">
        <f>IFERROR((ON_gen[[#This Row],[2030]]*1000)/(ON_cap[[#This Row],[2030]]*8760), 0)</f>
        <v>0.32343382338964433</v>
      </c>
      <c r="AB81" s="11">
        <f>IFERROR((ON_gen[[#This Row],[2031]]*1000)/(ON_cap[[#This Row],[2031]]*8760), 0)</f>
        <v>0.36040843957219776</v>
      </c>
      <c r="AC81" s="11">
        <f>IFERROR((ON_gen[[#This Row],[2032]]*1000)/(ON_cap[[#This Row],[2032]]*8760), 0)</f>
        <v>0.34725166325049878</v>
      </c>
      <c r="AD81" s="11">
        <f>IFERROR((ON_gen[[#This Row],[2033]]*1000)/(ON_cap[[#This Row],[2033]]*8760), 0)</f>
        <v>0.35177112500890273</v>
      </c>
      <c r="AE81" s="11">
        <f>IFERROR((ON_gen[[#This Row],[2034]]*1000)/(ON_cap[[#This Row],[2034]]*8760), 0)</f>
        <v>0.32131030034373748</v>
      </c>
      <c r="AF81" s="11">
        <f>IFERROR((ON_gen[[#This Row],[2035]]*1000)/(ON_cap[[#This Row],[2035]]*8760), 0)</f>
        <v>0.29919301685199329</v>
      </c>
      <c r="AG81" s="11">
        <f>IFERROR((ON_gen[[#This Row],[2036]]*1000)/(ON_cap[[#This Row],[2036]]*8760), 0)</f>
        <v>0.33349163594075498</v>
      </c>
      <c r="AH81" s="11">
        <f>IFERROR((ON_gen[[#This Row],[2037]]*1000)/(ON_cap[[#This Row],[2037]]*8760), 0)</f>
        <v>0.33159373002071363</v>
      </c>
      <c r="AI81" s="11">
        <f>IFERROR((ON_gen[[#This Row],[2038]]*1000)/(ON_cap[[#This Row],[2038]]*8760), 0)</f>
        <v>0.32741923737123163</v>
      </c>
      <c r="AJ81" s="11">
        <f>IFERROR((ON_gen[[#This Row],[2039]]*1000)/(ON_cap[[#This Row],[2039]]*8760), 0)</f>
        <v>0.32214691586707433</v>
      </c>
      <c r="AK81" s="11">
        <f>IFERROR((ON_gen[[#This Row],[2040]]*1000)/(ON_cap[[#This Row],[2040]]*8760), 0)</f>
        <v>0.32195501044168623</v>
      </c>
      <c r="AL81" s="11">
        <f>IFERROR((ON_gen[[#This Row],[2041]]*1000)/(ON_cap[[#This Row],[2041]]*8760), 0)</f>
        <v>0.31840062463048785</v>
      </c>
      <c r="AM81" s="11">
        <f>IFERROR((ON_gen[[#This Row],[2042]]*1000)/(ON_cap[[#This Row],[2042]]*8760), 0)</f>
        <v>0.35264553532687415</v>
      </c>
      <c r="AN81" s="11">
        <f>IFERROR((ON_gen[[#This Row],[2043]]*1000)/(ON_cap[[#This Row],[2043]]*8760), 0)</f>
        <v>0.35765276979497973</v>
      </c>
      <c r="AO81" s="11">
        <f>IFERROR((ON_gen[[#This Row],[2044]]*1000)/(ON_cap[[#This Row],[2044]]*8760), 0)</f>
        <v>0.35761256702173966</v>
      </c>
      <c r="AP81" s="11">
        <f>IFERROR((ON_gen[[#This Row],[2045]]*1000)/(ON_cap[[#This Row],[2045]]*8760), 0)</f>
        <v>0.35762502569365523</v>
      </c>
      <c r="AQ81" s="11">
        <f>IFERROR((ON_gen[[#This Row],[2046]]*1000)/(ON_cap[[#This Row],[2046]]*8760), 0)</f>
        <v>0.35690765745865283</v>
      </c>
      <c r="AR81" s="11">
        <f>IFERROR((ON_gen[[#This Row],[2047]]*1000)/(ON_cap[[#This Row],[2047]]*8760), 0)</f>
        <v>0.35503393601938865</v>
      </c>
      <c r="AS81" s="11">
        <f>IFERROR((ON_gen[[#This Row],[2048]]*1000)/(ON_cap[[#This Row],[2048]]*8760), 0)</f>
        <v>0.35166925704441682</v>
      </c>
      <c r="AT81" s="11">
        <f>IFERROR((ON_gen[[#This Row],[2049]]*1000)/(ON_cap[[#This Row],[2049]]*8760), 0)</f>
        <v>0.35049929352629777</v>
      </c>
      <c r="AU81" s="11">
        <f>IFERROR((ON_gen[[#This Row],[2050]]*1000)/(ON_cap[[#This Row],[2050]]*8760), 0)</f>
        <v>0.3524735218986621</v>
      </c>
    </row>
    <row r="82" spans="1:47" x14ac:dyDescent="0.3">
      <c r="A82" s="2" t="s">
        <v>61</v>
      </c>
      <c r="B82" s="11">
        <f>IFERROR((ON_gen[[#This Row],[2005]]*1000)/(ON_cap[[#This Row],[2005]]*8760), 0)</f>
        <v>0.30552128565170711</v>
      </c>
      <c r="C82" s="11">
        <f>IFERROR((ON_gen[[#This Row],[2006]]*1000)/(ON_cap[[#This Row],[2006]]*8760), 0)</f>
        <v>0.30552128565170711</v>
      </c>
      <c r="D82" s="11">
        <f>IFERROR((ON_gen[[#This Row],[2007]]*1000)/(ON_cap[[#This Row],[2007]]*8760), 0)</f>
        <v>0.30552128565170711</v>
      </c>
      <c r="E82" s="11">
        <f>IFERROR((ON_gen[[#This Row],[2008]]*1000)/(ON_cap[[#This Row],[2008]]*8760), 0)</f>
        <v>0.17995149510751945</v>
      </c>
      <c r="F82" s="11">
        <f>IFERROR((ON_gen[[#This Row],[2009]]*1000)/(ON_cap[[#This Row],[2009]]*8760), 0)</f>
        <v>0.2121645475840408</v>
      </c>
      <c r="G82" s="11">
        <f>IFERROR((ON_gen[[#This Row],[2010]]*1000)/(ON_cap[[#This Row],[2010]]*8760), 0)</f>
        <v>3.3639444494504511E-2</v>
      </c>
      <c r="H82" s="11">
        <f>IFERROR((ON_gen[[#This Row],[2011]]*1000)/(ON_cap[[#This Row],[2011]]*8760), 0)</f>
        <v>2.0910758541772437E-2</v>
      </c>
      <c r="I82" s="11">
        <f>IFERROR((ON_gen[[#This Row],[2012]]*1000)/(ON_cap[[#This Row],[2012]]*8760), 0)</f>
        <v>3.0118451869450204E-2</v>
      </c>
      <c r="J82" s="11">
        <f>IFERROR((ON_gen[[#This Row],[2013]]*1000)/(ON_cap[[#This Row],[2013]]*8760), 0)</f>
        <v>2.0672668013160183E-2</v>
      </c>
      <c r="K82" s="11">
        <f>IFERROR((ON_gen[[#This Row],[2014]]*1000)/(ON_cap[[#This Row],[2014]]*8760), 0)</f>
        <v>0.17371926878650393</v>
      </c>
      <c r="L82" s="11">
        <f>IFERROR((ON_gen[[#This Row],[2015]]*1000)/(ON_cap[[#This Row],[2015]]*8760), 0)</f>
        <v>0.29967975452404849</v>
      </c>
      <c r="M82" s="11">
        <f>IFERROR((ON_gen[[#This Row],[2016]]*1000)/(ON_cap[[#This Row],[2016]]*8760), 0)</f>
        <v>0.24807401471871179</v>
      </c>
      <c r="N82" s="11">
        <f>IFERROR((ON_gen[[#This Row],[2017]]*1000)/(ON_cap[[#This Row],[2017]]*8760), 0)</f>
        <v>0.1722789390056802</v>
      </c>
      <c r="O82" s="11">
        <f>IFERROR((ON_gen[[#This Row],[2018]]*1000)/(ON_cap[[#This Row],[2018]]*8760), 0)</f>
        <v>0.20952696105913465</v>
      </c>
      <c r="P82" s="11">
        <f>IFERROR((ON_gen[[#This Row],[2019]]*1000)/(ON_cap[[#This Row],[2019]]*8760), 0)</f>
        <v>0.18650447459413239</v>
      </c>
      <c r="Q82" s="11">
        <f>IFERROR((ON_gen[[#This Row],[2020]]*1000)/(ON_cap[[#This Row],[2020]]*8760), 0)</f>
        <v>3.7316392137987237E-2</v>
      </c>
      <c r="R82" s="11">
        <f>IFERROR((ON_gen[[#This Row],[2021]]*1000)/(ON_cap[[#This Row],[2021]]*8760), 0)</f>
        <v>3.8811417986437197E-2</v>
      </c>
      <c r="S82" s="11">
        <f>IFERROR((ON_gen[[#This Row],[2022]]*1000)/(ON_cap[[#This Row],[2022]]*8760), 0)</f>
        <v>8.1219102419298236E-2</v>
      </c>
      <c r="T82" s="11">
        <f>IFERROR((ON_gen[[#This Row],[2023]]*1000)/(ON_cap[[#This Row],[2023]]*8760), 0)</f>
        <v>0.13266531202739179</v>
      </c>
      <c r="U82" s="11">
        <f>IFERROR((ON_gen[[#This Row],[2024]]*1000)/(ON_cap[[#This Row],[2024]]*8760), 0)</f>
        <v>3.2954380744796355E-2</v>
      </c>
      <c r="V82" s="11">
        <f>IFERROR((ON_gen[[#This Row],[2025]]*1000)/(ON_cap[[#This Row],[2025]]*8760), 0)</f>
        <v>0.22425843527312936</v>
      </c>
      <c r="W82" s="11">
        <f>IFERROR((ON_gen[[#This Row],[2026]]*1000)/(ON_cap[[#This Row],[2026]]*8760), 0)</f>
        <v>0.43527130616944293</v>
      </c>
      <c r="X82" s="11">
        <f>IFERROR((ON_gen[[#This Row],[2027]]*1000)/(ON_cap[[#This Row],[2027]]*8760), 0)</f>
        <v>0.30339452911699583</v>
      </c>
      <c r="Y82" s="11">
        <f>IFERROR((ON_gen[[#This Row],[2028]]*1000)/(ON_cap[[#This Row],[2028]]*8760), 0)</f>
        <v>0.27016211002843282</v>
      </c>
      <c r="Z82" s="11">
        <f>IFERROR((ON_gen[[#This Row],[2029]]*1000)/(ON_cap[[#This Row],[2029]]*8760), 0)</f>
        <v>0.38937674742541051</v>
      </c>
      <c r="AA82" s="11">
        <f>IFERROR((ON_gen[[#This Row],[2030]]*1000)/(ON_cap[[#This Row],[2030]]*8760), 0)</f>
        <v>0.32729215266401757</v>
      </c>
      <c r="AB82" s="11">
        <f>IFERROR((ON_gen[[#This Row],[2031]]*1000)/(ON_cap[[#This Row],[2031]]*8760), 0)</f>
        <v>0.54519217007559906</v>
      </c>
      <c r="AC82" s="11">
        <f>IFERROR((ON_gen[[#This Row],[2032]]*1000)/(ON_cap[[#This Row],[2032]]*8760), 0)</f>
        <v>0.39075782313297253</v>
      </c>
      <c r="AD82" s="11">
        <f>IFERROR((ON_gen[[#This Row],[2033]]*1000)/(ON_cap[[#This Row],[2033]]*8760), 0)</f>
        <v>0.41993361720592431</v>
      </c>
      <c r="AE82" s="11">
        <f>IFERROR((ON_gen[[#This Row],[2034]]*1000)/(ON_cap[[#This Row],[2034]]*8760), 0)</f>
        <v>0.31234189417951796</v>
      </c>
      <c r="AF82" s="11">
        <f>IFERROR((ON_gen[[#This Row],[2035]]*1000)/(ON_cap[[#This Row],[2035]]*8760), 0)</f>
        <v>0.18772602010445125</v>
      </c>
      <c r="AG82" s="11">
        <f>IFERROR((ON_gen[[#This Row],[2036]]*1000)/(ON_cap[[#This Row],[2036]]*8760), 0)</f>
        <v>0.29437879396994088</v>
      </c>
      <c r="AH82" s="11">
        <f>IFERROR((ON_gen[[#This Row],[2037]]*1000)/(ON_cap[[#This Row],[2037]]*8760), 0)</f>
        <v>0.32347254394145331</v>
      </c>
      <c r="AI82" s="11">
        <f>IFERROR((ON_gen[[#This Row],[2038]]*1000)/(ON_cap[[#This Row],[2038]]*8760), 0)</f>
        <v>0.33343178625506054</v>
      </c>
      <c r="AJ82" s="11">
        <f>IFERROR((ON_gen[[#This Row],[2039]]*1000)/(ON_cap[[#This Row],[2039]]*8760), 0)</f>
        <v>0.33670899230699808</v>
      </c>
      <c r="AK82" s="11">
        <f>IFERROR((ON_gen[[#This Row],[2040]]*1000)/(ON_cap[[#This Row],[2040]]*8760), 0)</f>
        <v>0.33592045733205345</v>
      </c>
      <c r="AL82" s="11">
        <f>IFERROR((ON_gen[[#This Row],[2041]]*1000)/(ON_cap[[#This Row],[2041]]*8760), 0)</f>
        <v>0.36017816332428115</v>
      </c>
      <c r="AM82" s="11">
        <f>IFERROR((ON_gen[[#This Row],[2042]]*1000)/(ON_cap[[#This Row],[2042]]*8760), 0)</f>
        <v>0.40682935100380957</v>
      </c>
      <c r="AN82" s="11">
        <f>IFERROR((ON_gen[[#This Row],[2043]]*1000)/(ON_cap[[#This Row],[2043]]*8760), 0)</f>
        <v>0.47950675086214678</v>
      </c>
      <c r="AO82" s="11">
        <f>IFERROR((ON_gen[[#This Row],[2044]]*1000)/(ON_cap[[#This Row],[2044]]*8760), 0)</f>
        <v>0.47317112302877645</v>
      </c>
      <c r="AP82" s="11">
        <f>IFERROR((ON_gen[[#This Row],[2045]]*1000)/(ON_cap[[#This Row],[2045]]*8760), 0)</f>
        <v>0.4732440511189448</v>
      </c>
      <c r="AQ82" s="11">
        <f>IFERROR((ON_gen[[#This Row],[2046]]*1000)/(ON_cap[[#This Row],[2046]]*8760), 0)</f>
        <v>0.46663038494180792</v>
      </c>
      <c r="AR82" s="11">
        <f>IFERROR((ON_gen[[#This Row],[2047]]*1000)/(ON_cap[[#This Row],[2047]]*8760), 0)</f>
        <v>0.46569599378652671</v>
      </c>
      <c r="AS82" s="11">
        <f>IFERROR((ON_gen[[#This Row],[2048]]*1000)/(ON_cap[[#This Row],[2048]]*8760), 0)</f>
        <v>0.45126078993884067</v>
      </c>
      <c r="AT82" s="11">
        <f>IFERROR((ON_gen[[#This Row],[2049]]*1000)/(ON_cap[[#This Row],[2049]]*8760), 0)</f>
        <v>0.47644377107507857</v>
      </c>
      <c r="AU82" s="11">
        <f>IFERROR((ON_gen[[#This Row],[2050]]*1000)/(ON_cap[[#This Row],[2050]]*8760), 0)</f>
        <v>0.50607992371721766</v>
      </c>
    </row>
    <row r="84" spans="1:47" ht="18" x14ac:dyDescent="0.35">
      <c r="A84" s="4" t="s">
        <v>68</v>
      </c>
    </row>
    <row r="85" spans="1:47" x14ac:dyDescent="0.3">
      <c r="A85" s="2" t="s">
        <v>7</v>
      </c>
      <c r="B85" s="2" t="s">
        <v>8</v>
      </c>
      <c r="C85" s="2" t="s">
        <v>9</v>
      </c>
      <c r="D85" s="2" t="s">
        <v>10</v>
      </c>
      <c r="E85" s="2" t="s">
        <v>11</v>
      </c>
      <c r="F85" s="2" t="s">
        <v>12</v>
      </c>
      <c r="G85" s="2" t="s">
        <v>13</v>
      </c>
      <c r="H85" s="2" t="s">
        <v>14</v>
      </c>
      <c r="I85" s="2" t="s">
        <v>15</v>
      </c>
      <c r="J85" s="2" t="s">
        <v>16</v>
      </c>
      <c r="K85" s="2" t="s">
        <v>17</v>
      </c>
      <c r="L85" s="2" t="s">
        <v>18</v>
      </c>
      <c r="M85" s="2" t="s">
        <v>19</v>
      </c>
      <c r="N85" s="2" t="s">
        <v>20</v>
      </c>
      <c r="O85" s="2" t="s">
        <v>21</v>
      </c>
      <c r="P85" s="2" t="s">
        <v>22</v>
      </c>
      <c r="Q85" s="2" t="s">
        <v>23</v>
      </c>
      <c r="R85" s="2" t="s">
        <v>24</v>
      </c>
      <c r="S85" s="2" t="s">
        <v>25</v>
      </c>
      <c r="T85" s="2" t="s">
        <v>26</v>
      </c>
      <c r="U85" s="2" t="s">
        <v>27</v>
      </c>
      <c r="V85" s="2" t="s">
        <v>28</v>
      </c>
      <c r="W85" s="2" t="s">
        <v>29</v>
      </c>
      <c r="X85" s="2" t="s">
        <v>30</v>
      </c>
      <c r="Y85" s="2" t="s">
        <v>31</v>
      </c>
      <c r="Z85" s="2" t="s">
        <v>32</v>
      </c>
      <c r="AA85" s="2" t="s">
        <v>33</v>
      </c>
      <c r="AB85" s="2" t="s">
        <v>34</v>
      </c>
      <c r="AC85" s="2" t="s">
        <v>35</v>
      </c>
      <c r="AD85" s="2" t="s">
        <v>36</v>
      </c>
      <c r="AE85" s="2" t="s">
        <v>37</v>
      </c>
      <c r="AF85" s="2" t="s">
        <v>38</v>
      </c>
      <c r="AG85" s="2" t="s">
        <v>39</v>
      </c>
      <c r="AH85" s="2" t="s">
        <v>40</v>
      </c>
      <c r="AI85" s="2" t="s">
        <v>41</v>
      </c>
      <c r="AJ85" s="2" t="s">
        <v>42</v>
      </c>
      <c r="AK85" s="2" t="s">
        <v>43</v>
      </c>
      <c r="AL85" s="2" t="s">
        <v>44</v>
      </c>
      <c r="AM85" s="2" t="s">
        <v>45</v>
      </c>
      <c r="AN85" s="2" t="s">
        <v>46</v>
      </c>
      <c r="AO85" s="2" t="s">
        <v>47</v>
      </c>
      <c r="AP85" s="2" t="s">
        <v>48</v>
      </c>
      <c r="AQ85" s="2" t="s">
        <v>49</v>
      </c>
      <c r="AR85" s="2" t="s">
        <v>50</v>
      </c>
      <c r="AS85" s="2" t="s">
        <v>51</v>
      </c>
      <c r="AT85" s="2" t="s">
        <v>52</v>
      </c>
      <c r="AU85" s="2" t="s">
        <v>53</v>
      </c>
    </row>
    <row r="86" spans="1:47" x14ac:dyDescent="0.3">
      <c r="A86" s="2" t="s">
        <v>54</v>
      </c>
      <c r="B86" s="11">
        <f>IFERROR((MB_gen[[#This Row],[2005]]*1000)/(MB_cap[[#This Row],[2005]]*8760), 0)</f>
        <v>0.82313452935774345</v>
      </c>
      <c r="C86" s="11">
        <f>IFERROR((MB_gen[[#This Row],[2006]]*1000)/(MB_cap[[#This Row],[2006]]*8760), 0)</f>
        <v>0.76013446891924874</v>
      </c>
      <c r="D86" s="11">
        <f>IFERROR((MB_gen[[#This Row],[2007]]*1000)/(MB_cap[[#This Row],[2007]]*8760), 0)</f>
        <v>0.75701721960389834</v>
      </c>
      <c r="E86" s="11">
        <f>IFERROR((MB_gen[[#This Row],[2008]]*1000)/(MB_cap[[#This Row],[2008]]*8760), 0)</f>
        <v>0.78130013999521486</v>
      </c>
      <c r="F86" s="11">
        <f>IFERROR((MB_gen[[#This Row],[2009]]*1000)/(MB_cap[[#This Row],[2009]]*8760), 0)</f>
        <v>0.75783041507746807</v>
      </c>
      <c r="G86" s="11">
        <f>IFERROR((MB_gen[[#This Row],[2010]]*1000)/(MB_cap[[#This Row],[2010]]*8760), 0)</f>
        <v>0.75150556139414837</v>
      </c>
      <c r="H86" s="11">
        <f>IFERROR((MB_gen[[#This Row],[2011]]*1000)/(MB_cap[[#This Row],[2011]]*8760), 0)</f>
        <v>0.77267123247011449</v>
      </c>
      <c r="I86" s="11">
        <f>IFERROR((MB_gen[[#This Row],[2012]]*1000)/(MB_cap[[#This Row],[2012]]*8760), 0)</f>
        <v>0.72701934213443942</v>
      </c>
      <c r="J86" s="11">
        <f>IFERROR((MB_gen[[#This Row],[2013]]*1000)/(MB_cap[[#This Row],[2013]]*8760), 0)</f>
        <v>0.76768566189989418</v>
      </c>
      <c r="K86" s="11">
        <f>IFERROR((MB_gen[[#This Row],[2014]]*1000)/(MB_cap[[#This Row],[2014]]*8760), 0)</f>
        <v>0.74115088122598449</v>
      </c>
      <c r="L86" s="11">
        <f>IFERROR((MB_gen[[#This Row],[2015]]*1000)/(MB_cap[[#This Row],[2015]]*8760), 0)</f>
        <v>0.74210431230255725</v>
      </c>
      <c r="M86" s="11">
        <f>IFERROR((MB_gen[[#This Row],[2016]]*1000)/(MB_cap[[#This Row],[2016]]*8760), 0)</f>
        <v>0.78105123730261949</v>
      </c>
      <c r="N86" s="11">
        <f>IFERROR((MB_gen[[#This Row],[2017]]*1000)/(MB_cap[[#This Row],[2017]]*8760), 0)</f>
        <v>0.76807604256287276</v>
      </c>
      <c r="O86" s="11">
        <f>IFERROR((MB_gen[[#This Row],[2018]]*1000)/(MB_cap[[#This Row],[2018]]*8760), 0)</f>
        <v>0.65584487622022747</v>
      </c>
      <c r="P86" s="11">
        <f>IFERROR((MB_gen[[#This Row],[2019]]*1000)/(MB_cap[[#This Row],[2019]]*8760), 0)</f>
        <v>0.70285861637098757</v>
      </c>
      <c r="Q86" s="11">
        <f>IFERROR((MB_gen[[#This Row],[2020]]*1000)/(MB_cap[[#This Row],[2020]]*8760), 0)</f>
        <v>0.70285904318660397</v>
      </c>
      <c r="R86" s="11">
        <f>IFERROR((MB_gen[[#This Row],[2021]]*1000)/(MB_cap[[#This Row],[2021]]*8760), 0)</f>
        <v>0.68996055895808794</v>
      </c>
      <c r="S86" s="11">
        <f>IFERROR((MB_gen[[#This Row],[2022]]*1000)/(MB_cap[[#This Row],[2022]]*8760), 0)</f>
        <v>0.62152483920858959</v>
      </c>
      <c r="T86" s="11">
        <f>IFERROR((MB_gen[[#This Row],[2023]]*1000)/(MB_cap[[#This Row],[2023]]*8760), 0)</f>
        <v>0.6215252166337234</v>
      </c>
      <c r="U86" s="11">
        <f>IFERROR((MB_gen[[#This Row],[2024]]*1000)/(MB_cap[[#This Row],[2024]]*8760), 0)</f>
        <v>0.62152483920858959</v>
      </c>
      <c r="V86" s="11">
        <f>IFERROR((MB_gen[[#This Row],[2025]]*1000)/(MB_cap[[#This Row],[2025]]*8760), 0)</f>
        <v>0.6215252166337234</v>
      </c>
      <c r="W86" s="11">
        <f>IFERROR((MB_gen[[#This Row],[2026]]*1000)/(MB_cap[[#This Row],[2026]]*8760), 0)</f>
        <v>0.62152465049602257</v>
      </c>
      <c r="X86" s="11">
        <f>IFERROR((MB_gen[[#This Row],[2027]]*1000)/(MB_cap[[#This Row],[2027]]*8760), 0)</f>
        <v>0.62152483920858959</v>
      </c>
      <c r="Y86" s="11">
        <f>IFERROR((MB_gen[[#This Row],[2028]]*1000)/(MB_cap[[#This Row],[2028]]*8760), 0)</f>
        <v>0.62152427307088876</v>
      </c>
      <c r="Z86" s="11">
        <f>IFERROR((MB_gen[[#This Row],[2029]]*1000)/(MB_cap[[#This Row],[2029]]*8760), 0)</f>
        <v>0.62152483920858959</v>
      </c>
      <c r="AA86" s="11">
        <f>IFERROR((MB_gen[[#This Row],[2030]]*1000)/(MB_cap[[#This Row],[2030]]*8760), 0)</f>
        <v>0.6215252166337234</v>
      </c>
      <c r="AB86" s="11">
        <f>IFERROR((MB_gen[[#This Row],[2031]]*1000)/(MB_cap[[#This Row],[2031]]*8760), 0)</f>
        <v>0.62152559405885732</v>
      </c>
      <c r="AC86" s="11">
        <f>IFERROR((MB_gen[[#This Row],[2032]]*1000)/(MB_cap[[#This Row],[2032]]*8760), 0)</f>
        <v>0.6215252166337234</v>
      </c>
      <c r="AD86" s="11">
        <f>IFERROR((MB_gen[[#This Row],[2033]]*1000)/(MB_cap[[#This Row],[2033]]*8760), 0)</f>
        <v>0.62152559405885732</v>
      </c>
      <c r="AE86" s="11">
        <f>IFERROR((MB_gen[[#This Row],[2034]]*1000)/(MB_cap[[#This Row],[2034]]*8760), 0)</f>
        <v>0.62085729579271598</v>
      </c>
      <c r="AF86" s="11">
        <f>IFERROR((MB_gen[[#This Row],[2035]]*1000)/(MB_cap[[#This Row],[2035]]*8760), 0)</f>
        <v>0.6202638870780901</v>
      </c>
      <c r="AG86" s="11">
        <f>IFERROR((MB_gen[[#This Row],[2036]]*1000)/(MB_cap[[#This Row],[2036]]*8760), 0)</f>
        <v>0.61972909259139086</v>
      </c>
      <c r="AH86" s="11">
        <f>IFERROR((MB_gen[[#This Row],[2037]]*1000)/(MB_cap[[#This Row],[2037]]*8760), 0)</f>
        <v>0.61925395180753195</v>
      </c>
      <c r="AI86" s="11">
        <f>IFERROR((MB_gen[[#This Row],[2038]]*1000)/(MB_cap[[#This Row],[2038]]*8760), 0)</f>
        <v>0.61925413802171192</v>
      </c>
      <c r="AJ86" s="11">
        <f>IFERROR((MB_gen[[#This Row],[2039]]*1000)/(MB_cap[[#This Row],[2039]]*8760), 0)</f>
        <v>0.61925395180753195</v>
      </c>
      <c r="AK86" s="11">
        <f>IFERROR((MB_gen[[#This Row],[2040]]*1000)/(MB_cap[[#This Row],[2040]]*8760), 0)</f>
        <v>0.61882778170814501</v>
      </c>
      <c r="AL86" s="11">
        <f>IFERROR((MB_gen[[#This Row],[2041]]*1000)/(MB_cap[[#This Row],[2041]]*8760), 0)</f>
        <v>0.61882815319843487</v>
      </c>
      <c r="AM86" s="11">
        <f>IFERROR((MB_gen[[#This Row],[2042]]*1000)/(MB_cap[[#This Row],[2042]]*8760), 0)</f>
        <v>0.61882759596300008</v>
      </c>
      <c r="AN86" s="11">
        <f>IFERROR((MB_gen[[#This Row],[2043]]*1000)/(MB_cap[[#This Row],[2043]]*8760), 0)</f>
        <v>0.61882778170814501</v>
      </c>
      <c r="AO86" s="11">
        <f>IFERROR((MB_gen[[#This Row],[2044]]*1000)/(MB_cap[[#This Row],[2044]]*8760), 0)</f>
        <v>0.61882778170814501</v>
      </c>
      <c r="AP86" s="11">
        <f>IFERROR((MB_gen[[#This Row],[2045]]*1000)/(MB_cap[[#This Row],[2045]]*8760), 0)</f>
        <v>0.61882741021785537</v>
      </c>
      <c r="AQ86" s="11">
        <f>IFERROR((MB_gen[[#This Row],[2046]]*1000)/(MB_cap[[#This Row],[2046]]*8760), 0)</f>
        <v>0.61844457112752771</v>
      </c>
      <c r="AR86" s="11">
        <f>IFERROR((MB_gen[[#This Row],[2047]]*1000)/(MB_cap[[#This Row],[2047]]*8760), 0)</f>
        <v>0.61844586840104576</v>
      </c>
      <c r="AS86" s="11">
        <f>IFERROR((MB_gen[[#This Row],[2048]]*1000)/(MB_cap[[#This Row],[2048]]*8760), 0)</f>
        <v>0.61844605372583406</v>
      </c>
      <c r="AT86" s="11">
        <f>IFERROR((MB_gen[[#This Row],[2049]]*1000)/(MB_cap[[#This Row],[2049]]*8760), 0)</f>
        <v>0.61844642437541053</v>
      </c>
      <c r="AU86" s="11">
        <f>IFERROR((MB_gen[[#This Row],[2050]]*1000)/(MB_cap[[#This Row],[2050]]*8760), 0)</f>
        <v>0.61844531242668088</v>
      </c>
    </row>
    <row r="87" spans="1:47" x14ac:dyDescent="0.3">
      <c r="A87" s="2" t="s">
        <v>55</v>
      </c>
      <c r="B87" s="11">
        <f>IFERROR((MB_gen[[#This Row],[2005]]*1000)/(MB_cap[[#This Row],[2005]]*8760), 0)</f>
        <v>0.30251141552511418</v>
      </c>
      <c r="C87" s="11">
        <f>IFERROR((MB_gen[[#This Row],[2006]]*1000)/(MB_cap[[#This Row],[2006]]*8760), 0)</f>
        <v>0.35690674960081353</v>
      </c>
      <c r="D87" s="11">
        <f>IFERROR((MB_gen[[#This Row],[2007]]*1000)/(MB_cap[[#This Row],[2007]]*8760), 0)</f>
        <v>0.35690674960081353</v>
      </c>
      <c r="E87" s="11">
        <f>IFERROR((MB_gen[[#This Row],[2008]]*1000)/(MB_cap[[#This Row],[2008]]*8760), 0)</f>
        <v>0.45244794103241592</v>
      </c>
      <c r="F87" s="11">
        <f>IFERROR((MB_gen[[#This Row],[2009]]*1000)/(MB_cap[[#This Row],[2009]]*8760), 0)</f>
        <v>0.40083373416706752</v>
      </c>
      <c r="G87" s="11">
        <f>IFERROR((MB_gen[[#This Row],[2010]]*1000)/(MB_cap[[#This Row],[2010]]*8760), 0)</f>
        <v>0.37667389265562784</v>
      </c>
      <c r="H87" s="11">
        <f>IFERROR((MB_gen[[#This Row],[2011]]*1000)/(MB_cap[[#This Row],[2011]]*8760), 0)</f>
        <v>0.35244460674825262</v>
      </c>
      <c r="I87" s="11">
        <f>IFERROR((MB_gen[[#This Row],[2012]]*1000)/(MB_cap[[#This Row],[2012]]*8760), 0)</f>
        <v>0.38736372703092109</v>
      </c>
      <c r="J87" s="11">
        <f>IFERROR((MB_gen[[#This Row],[2013]]*1000)/(MB_cap[[#This Row],[2013]]*8760), 0)</f>
        <v>0.38338850064177821</v>
      </c>
      <c r="K87" s="11">
        <f>IFERROR((MB_gen[[#This Row],[2014]]*1000)/(MB_cap[[#This Row],[2014]]*8760), 0)</f>
        <v>0.40252259032818588</v>
      </c>
      <c r="L87" s="11">
        <f>IFERROR((MB_gen[[#This Row],[2015]]*1000)/(MB_cap[[#This Row],[2015]]*8760), 0)</f>
        <v>0.3988477143773338</v>
      </c>
      <c r="M87" s="11">
        <f>IFERROR((MB_gen[[#This Row],[2016]]*1000)/(MB_cap[[#This Row],[2016]]*8760), 0)</f>
        <v>0.42667429910133381</v>
      </c>
      <c r="N87" s="11">
        <f>IFERROR((MB_gen[[#This Row],[2017]]*1000)/(MB_cap[[#This Row],[2017]]*8760), 0)</f>
        <v>0.40944831808171478</v>
      </c>
      <c r="O87" s="11">
        <f>IFERROR((MB_gen[[#This Row],[2018]]*1000)/(MB_cap[[#This Row],[2018]]*8760), 0)</f>
        <v>0.38559695974685759</v>
      </c>
      <c r="P87" s="11">
        <f>IFERROR((MB_gen[[#This Row],[2019]]*1000)/(MB_cap[[#This Row],[2019]]*8760), 0)</f>
        <v>0.3904555697780322</v>
      </c>
      <c r="Q87" s="11">
        <f>IFERROR((MB_gen[[#This Row],[2020]]*1000)/(MB_cap[[#This Row],[2020]]*8760), 0)</f>
        <v>0.3904555697780322</v>
      </c>
      <c r="R87" s="11">
        <f>IFERROR((MB_gen[[#This Row],[2021]]*1000)/(MB_cap[[#This Row],[2021]]*8760), 0)</f>
        <v>0.3904555697780322</v>
      </c>
      <c r="S87" s="11">
        <f>IFERROR((MB_gen[[#This Row],[2022]]*1000)/(MB_cap[[#This Row],[2022]]*8760), 0)</f>
        <v>0.3904555697780322</v>
      </c>
      <c r="T87" s="11">
        <f>IFERROR((MB_gen[[#This Row],[2023]]*1000)/(MB_cap[[#This Row],[2023]]*8760), 0)</f>
        <v>0.3904555697780322</v>
      </c>
      <c r="U87" s="11">
        <f>IFERROR((MB_gen[[#This Row],[2024]]*1000)/(MB_cap[[#This Row],[2024]]*8760), 0)</f>
        <v>0.3904555697780322</v>
      </c>
      <c r="V87" s="11">
        <f>IFERROR((MB_gen[[#This Row],[2025]]*1000)/(MB_cap[[#This Row],[2025]]*8760), 0)</f>
        <v>0.3904555697780322</v>
      </c>
      <c r="W87" s="11">
        <f>IFERROR((MB_gen[[#This Row],[2026]]*1000)/(MB_cap[[#This Row],[2026]]*8760), 0)</f>
        <v>0.39156394684531232</v>
      </c>
      <c r="X87" s="11">
        <f>IFERROR((MB_gen[[#This Row],[2027]]*1000)/(MB_cap[[#This Row],[2027]]*8760), 0)</f>
        <v>0.39247011799970277</v>
      </c>
      <c r="Y87" s="11">
        <f>IFERROR((MB_gen[[#This Row],[2028]]*1000)/(MB_cap[[#This Row],[2028]]*8760), 0)</f>
        <v>0.39320805481161586</v>
      </c>
      <c r="Z87" s="11">
        <f>IFERROR((MB_gen[[#This Row],[2029]]*1000)/(MB_cap[[#This Row],[2029]]*8760), 0)</f>
        <v>0.3938280493018646</v>
      </c>
      <c r="AA87" s="11">
        <f>IFERROR((MB_gen[[#This Row],[2030]]*1000)/(MB_cap[[#This Row],[2030]]*8760), 0)</f>
        <v>0.39496117174018691</v>
      </c>
      <c r="AB87" s="11">
        <f>IFERROR((MB_gen[[#This Row],[2031]]*1000)/(MB_cap[[#This Row],[2031]]*8760), 0)</f>
        <v>0.3960078525522962</v>
      </c>
      <c r="AC87" s="11">
        <f>IFERROR((MB_gen[[#This Row],[2032]]*1000)/(MB_cap[[#This Row],[2032]]*8760), 0)</f>
        <v>0.3969963157315099</v>
      </c>
      <c r="AD87" s="11">
        <f>IFERROR((MB_gen[[#This Row],[2033]]*1000)/(MB_cap[[#This Row],[2033]]*8760), 0)</f>
        <v>0.39793025477445343</v>
      </c>
      <c r="AE87" s="11">
        <f>IFERROR((MB_gen[[#This Row],[2034]]*1000)/(MB_cap[[#This Row],[2034]]*8760), 0)</f>
        <v>0.39882293941675229</v>
      </c>
      <c r="AF87" s="11">
        <f>IFERROR((MB_gen[[#This Row],[2035]]*1000)/(MB_cap[[#This Row],[2035]]*8760), 0)</f>
        <v>0.39968166518700443</v>
      </c>
      <c r="AG87" s="11">
        <f>IFERROR((MB_gen[[#This Row],[2036]]*1000)/(MB_cap[[#This Row],[2036]]*8760), 0)</f>
        <v>0.40051303220769957</v>
      </c>
      <c r="AH87" s="11">
        <f>IFERROR((MB_gen[[#This Row],[2037]]*1000)/(MB_cap[[#This Row],[2037]]*8760), 0)</f>
        <v>0.40131585546946924</v>
      </c>
      <c r="AI87" s="11">
        <f>IFERROR((MB_gen[[#This Row],[2038]]*1000)/(MB_cap[[#This Row],[2038]]*8760), 0)</f>
        <v>0.40209877335553823</v>
      </c>
      <c r="AJ87" s="11">
        <f>IFERROR((MB_gen[[#This Row],[2039]]*1000)/(MB_cap[[#This Row],[2039]]*8760), 0)</f>
        <v>0.40285782659904529</v>
      </c>
      <c r="AK87" s="11">
        <f>IFERROR((MB_gen[[#This Row],[2040]]*1000)/(MB_cap[[#This Row],[2040]]*8760), 0)</f>
        <v>0.40360689362718982</v>
      </c>
      <c r="AL87" s="11">
        <f>IFERROR((MB_gen[[#This Row],[2041]]*1000)/(MB_cap[[#This Row],[2041]]*8760), 0)</f>
        <v>0.4043406068243362</v>
      </c>
      <c r="AM87" s="11">
        <f>IFERROR((MB_gen[[#This Row],[2042]]*1000)/(MB_cap[[#This Row],[2042]]*8760), 0)</f>
        <v>0.40506017082060236</v>
      </c>
      <c r="AN87" s="11">
        <f>IFERROR((MB_gen[[#This Row],[2043]]*1000)/(MB_cap[[#This Row],[2043]]*8760), 0)</f>
        <v>0.40576749763069436</v>
      </c>
      <c r="AO87" s="11">
        <f>IFERROR((MB_gen[[#This Row],[2044]]*1000)/(MB_cap[[#This Row],[2044]]*8760), 0)</f>
        <v>0.40646606829723819</v>
      </c>
      <c r="AP87" s="11">
        <f>IFERROR((MB_gen[[#This Row],[2045]]*1000)/(MB_cap[[#This Row],[2045]]*8760), 0)</f>
        <v>0.40715294751509046</v>
      </c>
      <c r="AQ87" s="11">
        <f>IFERROR((MB_gen[[#This Row],[2046]]*1000)/(MB_cap[[#This Row],[2046]]*8760), 0)</f>
        <v>0.40783564377655557</v>
      </c>
      <c r="AR87" s="11">
        <f>IFERROR((MB_gen[[#This Row],[2047]]*1000)/(MB_cap[[#This Row],[2047]]*8760), 0)</f>
        <v>0.40851033808149245</v>
      </c>
      <c r="AS87" s="11">
        <f>IFERROR((MB_gen[[#This Row],[2048]]*1000)/(MB_cap[[#This Row],[2048]]*8760), 0)</f>
        <v>0.40917957569233504</v>
      </c>
      <c r="AT87" s="11">
        <f>IFERROR((MB_gen[[#This Row],[2049]]*1000)/(MB_cap[[#This Row],[2049]]*8760), 0)</f>
        <v>0.40984336224203027</v>
      </c>
      <c r="AU87" s="11">
        <f>IFERROR((MB_gen[[#This Row],[2050]]*1000)/(MB_cap[[#This Row],[2050]]*8760), 0)</f>
        <v>0.41049758591122643</v>
      </c>
    </row>
    <row r="88" spans="1:47" x14ac:dyDescent="0.3">
      <c r="A88" s="2" t="s">
        <v>56</v>
      </c>
      <c r="B88" s="11">
        <f>IFERROR((MB_gen[[#This Row],[2005]]*1000)/(MB_cap[[#This Row],[2005]]*8760), 0)</f>
        <v>0.14181195516811956</v>
      </c>
      <c r="C88" s="11">
        <f>IFERROR((MB_gen[[#This Row],[2006]]*1000)/(MB_cap[[#This Row],[2006]]*8760), 0)</f>
        <v>0.16604400166044</v>
      </c>
      <c r="D88" s="11">
        <f>IFERROR((MB_gen[[#This Row],[2007]]*1000)/(MB_cap[[#This Row],[2007]]*8760), 0)</f>
        <v>0.14009962640099627</v>
      </c>
      <c r="E88" s="11">
        <f>IFERROR((MB_gen[[#This Row],[2008]]*1000)/(MB_cap[[#This Row],[2008]]*8760), 0)</f>
        <v>0.19717725197177252</v>
      </c>
      <c r="F88" s="11">
        <f>IFERROR((MB_gen[[#This Row],[2009]]*1000)/(MB_cap[[#This Row],[2009]]*8760), 0)</f>
        <v>0</v>
      </c>
      <c r="G88" s="11">
        <f>IFERROR((MB_gen[[#This Row],[2010]]*1000)/(MB_cap[[#This Row],[2010]]*8760), 0)</f>
        <v>0</v>
      </c>
      <c r="H88" s="11">
        <f>IFERROR((MB_gen[[#This Row],[2011]]*1000)/(MB_cap[[#This Row],[2011]]*8760), 0)</f>
        <v>0</v>
      </c>
      <c r="I88" s="11">
        <f>IFERROR((MB_gen[[#This Row],[2012]]*1000)/(MB_cap[[#This Row],[2012]]*8760), 0)</f>
        <v>0.20236612702366127</v>
      </c>
      <c r="J88" s="11">
        <f>IFERROR((MB_gen[[#This Row],[2013]]*1000)/(MB_cap[[#This Row],[2013]]*8760), 0)</f>
        <v>0.21793275217932753</v>
      </c>
      <c r="K88" s="11">
        <f>IFERROR((MB_gen[[#This Row],[2014]]*1000)/(MB_cap[[#This Row],[2014]]*8760), 0)</f>
        <v>0.33416355334163556</v>
      </c>
      <c r="L88" s="11">
        <f>IFERROR((MB_gen[[#This Row],[2015]]*1000)/(MB_cap[[#This Row],[2015]]*8760), 0)</f>
        <v>0.42548775425487756</v>
      </c>
      <c r="M88" s="11">
        <f>IFERROR((MB_gen[[#This Row],[2016]]*1000)/(MB_cap[[#This Row],[2016]]*8760), 0)</f>
        <v>0.56039850560398508</v>
      </c>
      <c r="N88" s="11">
        <f>IFERROR((MB_gen[[#This Row],[2017]]*1000)/(MB_cap[[#This Row],[2017]]*8760), 0)</f>
        <v>0.29057700290577004</v>
      </c>
      <c r="O88" s="11">
        <f>IFERROR((MB_gen[[#This Row],[2018]]*1000)/(MB_cap[[#This Row],[2018]]*8760), 0)</f>
        <v>0.23868825238688252</v>
      </c>
      <c r="P88" s="11">
        <f>IFERROR((MB_gen[[#This Row],[2019]]*1000)/(MB_cap[[#This Row],[2019]]*8760), 0)</f>
        <v>0.42548775425487756</v>
      </c>
      <c r="Q88" s="11">
        <f>IFERROR((MB_gen[[#This Row],[2020]]*1000)/(MB_cap[[#This Row],[2020]]*8760), 0)</f>
        <v>0.42548775425487756</v>
      </c>
      <c r="R88" s="11">
        <f>IFERROR((MB_gen[[#This Row],[2021]]*1000)/(MB_cap[[#This Row],[2021]]*8760), 0)</f>
        <v>0.42548775425487756</v>
      </c>
      <c r="S88" s="11">
        <f>IFERROR((MB_gen[[#This Row],[2022]]*1000)/(MB_cap[[#This Row],[2022]]*8760), 0)</f>
        <v>0.42548775425487756</v>
      </c>
      <c r="T88" s="11">
        <f>IFERROR((MB_gen[[#This Row],[2023]]*1000)/(MB_cap[[#This Row],[2023]]*8760), 0)</f>
        <v>0.42548775425487756</v>
      </c>
      <c r="U88" s="11">
        <f>IFERROR((MB_gen[[#This Row],[2024]]*1000)/(MB_cap[[#This Row],[2024]]*8760), 0)</f>
        <v>0.42548775425487756</v>
      </c>
      <c r="V88" s="11">
        <f>IFERROR((MB_gen[[#This Row],[2025]]*1000)/(MB_cap[[#This Row],[2025]]*8760), 0)</f>
        <v>0.42548775425487756</v>
      </c>
      <c r="W88" s="11">
        <f>IFERROR((MB_gen[[#This Row],[2026]]*1000)/(MB_cap[[#This Row],[2026]]*8760), 0)</f>
        <v>0.42548775425487756</v>
      </c>
      <c r="X88" s="11">
        <f>IFERROR((MB_gen[[#This Row],[2027]]*1000)/(MB_cap[[#This Row],[2027]]*8760), 0)</f>
        <v>0.42548775425487756</v>
      </c>
      <c r="Y88" s="11">
        <f>IFERROR((MB_gen[[#This Row],[2028]]*1000)/(MB_cap[[#This Row],[2028]]*8760), 0)</f>
        <v>0.42548775425487756</v>
      </c>
      <c r="Z88" s="11">
        <f>IFERROR((MB_gen[[#This Row],[2029]]*1000)/(MB_cap[[#This Row],[2029]]*8760), 0)</f>
        <v>0.42548775425487756</v>
      </c>
      <c r="AA88" s="11">
        <f>IFERROR((MB_gen[[#This Row],[2030]]*1000)/(MB_cap[[#This Row],[2030]]*8760), 0)</f>
        <v>0.42548775425487756</v>
      </c>
      <c r="AB88" s="11">
        <f>IFERROR((MB_gen[[#This Row],[2031]]*1000)/(MB_cap[[#This Row],[2031]]*8760), 0)</f>
        <v>0.42548775425487756</v>
      </c>
      <c r="AC88" s="11">
        <f>IFERROR((MB_gen[[#This Row],[2032]]*1000)/(MB_cap[[#This Row],[2032]]*8760), 0)</f>
        <v>0.42548775425487756</v>
      </c>
      <c r="AD88" s="11">
        <f>IFERROR((MB_gen[[#This Row],[2033]]*1000)/(MB_cap[[#This Row],[2033]]*8760), 0)</f>
        <v>0.42548775425487756</v>
      </c>
      <c r="AE88" s="11">
        <f>IFERROR((MB_gen[[#This Row],[2034]]*1000)/(MB_cap[[#This Row],[2034]]*8760), 0)</f>
        <v>0.42548775425487756</v>
      </c>
      <c r="AF88" s="11">
        <f>IFERROR((MB_gen[[#This Row],[2035]]*1000)/(MB_cap[[#This Row],[2035]]*8760), 0)</f>
        <v>0.42548775425487756</v>
      </c>
      <c r="AG88" s="11">
        <f>IFERROR((MB_gen[[#This Row],[2036]]*1000)/(MB_cap[[#This Row],[2036]]*8760), 0)</f>
        <v>0.42548775425487756</v>
      </c>
      <c r="AH88" s="11">
        <f>IFERROR((MB_gen[[#This Row],[2037]]*1000)/(MB_cap[[#This Row],[2037]]*8760), 0)</f>
        <v>0.42548775425487756</v>
      </c>
      <c r="AI88" s="11">
        <f>IFERROR((MB_gen[[#This Row],[2038]]*1000)/(MB_cap[[#This Row],[2038]]*8760), 0)</f>
        <v>0.42548775425487756</v>
      </c>
      <c r="AJ88" s="11">
        <f>IFERROR((MB_gen[[#This Row],[2039]]*1000)/(MB_cap[[#This Row],[2039]]*8760), 0)</f>
        <v>0.42548775425487756</v>
      </c>
      <c r="AK88" s="11">
        <f>IFERROR((MB_gen[[#This Row],[2040]]*1000)/(MB_cap[[#This Row],[2040]]*8760), 0)</f>
        <v>0.42548775425487756</v>
      </c>
      <c r="AL88" s="11">
        <f>IFERROR((MB_gen[[#This Row],[2041]]*1000)/(MB_cap[[#This Row],[2041]]*8760), 0)</f>
        <v>0.42548775425487756</v>
      </c>
      <c r="AM88" s="11">
        <f>IFERROR((MB_gen[[#This Row],[2042]]*1000)/(MB_cap[[#This Row],[2042]]*8760), 0)</f>
        <v>0.42548775425487756</v>
      </c>
      <c r="AN88" s="11">
        <f>IFERROR((MB_gen[[#This Row],[2043]]*1000)/(MB_cap[[#This Row],[2043]]*8760), 0)</f>
        <v>0.42548775425487756</v>
      </c>
      <c r="AO88" s="11">
        <f>IFERROR((MB_gen[[#This Row],[2044]]*1000)/(MB_cap[[#This Row],[2044]]*8760), 0)</f>
        <v>0.42548775425487756</v>
      </c>
      <c r="AP88" s="11">
        <f>IFERROR((MB_gen[[#This Row],[2045]]*1000)/(MB_cap[[#This Row],[2045]]*8760), 0)</f>
        <v>0.42548775425487756</v>
      </c>
      <c r="AQ88" s="11">
        <f>IFERROR((MB_gen[[#This Row],[2046]]*1000)/(MB_cap[[#This Row],[2046]]*8760), 0)</f>
        <v>0.42548775425487756</v>
      </c>
      <c r="AR88" s="11">
        <f>IFERROR((MB_gen[[#This Row],[2047]]*1000)/(MB_cap[[#This Row],[2047]]*8760), 0)</f>
        <v>0.42548775425487756</v>
      </c>
      <c r="AS88" s="11">
        <f>IFERROR((MB_gen[[#This Row],[2048]]*1000)/(MB_cap[[#This Row],[2048]]*8760), 0)</f>
        <v>0.42548775425487756</v>
      </c>
      <c r="AT88" s="11">
        <f>IFERROR((MB_gen[[#This Row],[2049]]*1000)/(MB_cap[[#This Row],[2049]]*8760), 0)</f>
        <v>0.42548775425487756</v>
      </c>
      <c r="AU88" s="11">
        <f>IFERROR((MB_gen[[#This Row],[2050]]*1000)/(MB_cap[[#This Row],[2050]]*8760), 0)</f>
        <v>0.42548775425487756</v>
      </c>
    </row>
    <row r="89" spans="1:47" x14ac:dyDescent="0.3">
      <c r="A89" s="2" t="s">
        <v>57</v>
      </c>
      <c r="B89" s="11">
        <f>IFERROR((MB_gen[[#This Row],[2005]]*1000)/(MB_cap[[#This Row],[2005]]*8760), 0)</f>
        <v>0</v>
      </c>
      <c r="C89" s="11">
        <f>IFERROR((MB_gen[[#This Row],[2006]]*1000)/(MB_cap[[#This Row],[2006]]*8760), 0)</f>
        <v>0</v>
      </c>
      <c r="D89" s="11">
        <f>IFERROR((MB_gen[[#This Row],[2007]]*1000)/(MB_cap[[#This Row],[2007]]*8760), 0)</f>
        <v>0</v>
      </c>
      <c r="E89" s="11">
        <f>IFERROR((MB_gen[[#This Row],[2008]]*1000)/(MB_cap[[#This Row],[2008]]*8760), 0)</f>
        <v>0</v>
      </c>
      <c r="F89" s="11">
        <f>IFERROR((MB_gen[[#This Row],[2009]]*1000)/(MB_cap[[#This Row],[2009]]*8760), 0)</f>
        <v>0</v>
      </c>
      <c r="G89" s="11">
        <f>IFERROR((MB_gen[[#This Row],[2010]]*1000)/(MB_cap[[#This Row],[2010]]*8760), 0)</f>
        <v>0</v>
      </c>
      <c r="H89" s="11">
        <f>IFERROR((MB_gen[[#This Row],[2011]]*1000)/(MB_cap[[#This Row],[2011]]*8760), 0)</f>
        <v>0</v>
      </c>
      <c r="I89" s="11">
        <f>IFERROR((MB_gen[[#This Row],[2012]]*1000)/(MB_cap[[#This Row],[2012]]*8760), 0)</f>
        <v>0</v>
      </c>
      <c r="J89" s="11">
        <f>IFERROR((MB_gen[[#This Row],[2013]]*1000)/(MB_cap[[#This Row],[2013]]*8760), 0)</f>
        <v>0</v>
      </c>
      <c r="K89" s="11">
        <f>IFERROR((MB_gen[[#This Row],[2014]]*1000)/(MB_cap[[#This Row],[2014]]*8760), 0)</f>
        <v>0</v>
      </c>
      <c r="L89" s="11">
        <f>IFERROR((MB_gen[[#This Row],[2015]]*1000)/(MB_cap[[#This Row],[2015]]*8760), 0)</f>
        <v>0</v>
      </c>
      <c r="M89" s="11">
        <f>IFERROR((MB_gen[[#This Row],[2016]]*1000)/(MB_cap[[#This Row],[2016]]*8760), 0)</f>
        <v>0</v>
      </c>
      <c r="N89" s="11">
        <f>IFERROR((MB_gen[[#This Row],[2017]]*1000)/(MB_cap[[#This Row],[2017]]*8760), 0)</f>
        <v>0</v>
      </c>
      <c r="O89" s="11">
        <f>IFERROR((MB_gen[[#This Row],[2018]]*1000)/(MB_cap[[#This Row],[2018]]*8760), 0)</f>
        <v>0</v>
      </c>
      <c r="P89" s="11">
        <f>IFERROR((MB_gen[[#This Row],[2019]]*1000)/(MB_cap[[#This Row],[2019]]*8760), 0)</f>
        <v>0</v>
      </c>
      <c r="Q89" s="11">
        <f>IFERROR((MB_gen[[#This Row],[2020]]*1000)/(MB_cap[[#This Row],[2020]]*8760), 0)</f>
        <v>0.10007610350076103</v>
      </c>
      <c r="R89" s="11">
        <f>IFERROR((MB_gen[[#This Row],[2021]]*1000)/(MB_cap[[#This Row],[2021]]*8760), 0)</f>
        <v>0.10007610350076103</v>
      </c>
      <c r="S89" s="11">
        <f>IFERROR((MB_gen[[#This Row],[2022]]*1000)/(MB_cap[[#This Row],[2022]]*8760), 0)</f>
        <v>0.10007610350076103</v>
      </c>
      <c r="T89" s="11">
        <f>IFERROR((MB_gen[[#This Row],[2023]]*1000)/(MB_cap[[#This Row],[2023]]*8760), 0)</f>
        <v>0.10007610350076103</v>
      </c>
      <c r="U89" s="11">
        <f>IFERROR((MB_gen[[#This Row],[2024]]*1000)/(MB_cap[[#This Row],[2024]]*8760), 0)</f>
        <v>0.10007610350076103</v>
      </c>
      <c r="V89" s="11">
        <f>IFERROR((MB_gen[[#This Row],[2025]]*1000)/(MB_cap[[#This Row],[2025]]*8760), 0)</f>
        <v>0.10007610350076103</v>
      </c>
      <c r="W89" s="11">
        <f>IFERROR((MB_gen[[#This Row],[2026]]*1000)/(MB_cap[[#This Row],[2026]]*8760), 0)</f>
        <v>0.10007610350076103</v>
      </c>
      <c r="X89" s="11">
        <f>IFERROR((MB_gen[[#This Row],[2027]]*1000)/(MB_cap[[#This Row],[2027]]*8760), 0)</f>
        <v>0.10007610350076103</v>
      </c>
      <c r="Y89" s="11">
        <f>IFERROR((MB_gen[[#This Row],[2028]]*1000)/(MB_cap[[#This Row],[2028]]*8760), 0)</f>
        <v>0.10007610350076103</v>
      </c>
      <c r="Z89" s="11">
        <f>IFERROR((MB_gen[[#This Row],[2029]]*1000)/(MB_cap[[#This Row],[2029]]*8760), 0)</f>
        <v>0.14860938148609382</v>
      </c>
      <c r="AA89" s="11">
        <f>IFERROR((MB_gen[[#This Row],[2030]]*1000)/(MB_cap[[#This Row],[2030]]*8760), 0)</f>
        <v>0.16688070776255709</v>
      </c>
      <c r="AB89" s="11">
        <f>IFERROR((MB_gen[[#This Row],[2031]]*1000)/(MB_cap[[#This Row],[2031]]*8760), 0)</f>
        <v>0.17645140247879973</v>
      </c>
      <c r="AC89" s="11">
        <f>IFERROR((MB_gen[[#This Row],[2032]]*1000)/(MB_cap[[#This Row],[2032]]*8760), 0)</f>
        <v>0.18229715489989462</v>
      </c>
      <c r="AD89" s="11">
        <f>IFERROR((MB_gen[[#This Row],[2033]]*1000)/(MB_cap[[#This Row],[2033]]*8760), 0)</f>
        <v>0.18629400500810134</v>
      </c>
      <c r="AE89" s="11">
        <f>IFERROR((MB_gen[[#This Row],[2034]]*1000)/(MB_cap[[#This Row],[2034]]*8760), 0)</f>
        <v>0.18918061897513952</v>
      </c>
      <c r="AF89" s="11">
        <f>IFERROR((MB_gen[[#This Row],[2035]]*1000)/(MB_cap[[#This Row],[2035]]*8760), 0)</f>
        <v>0.19133533801091435</v>
      </c>
      <c r="AG89" s="11">
        <f>IFERROR((MB_gen[[#This Row],[2036]]*1000)/(MB_cap[[#This Row],[2036]]*8760), 0)</f>
        <v>0.19304645622394281</v>
      </c>
      <c r="AH89" s="11">
        <f>IFERROR((MB_gen[[#This Row],[2037]]*1000)/(MB_cap[[#This Row],[2037]]*8760), 0)</f>
        <v>0.19442206106186766</v>
      </c>
      <c r="AI89" s="11">
        <f>IFERROR((MB_gen[[#This Row],[2038]]*1000)/(MB_cap[[#This Row],[2038]]*8760), 0)</f>
        <v>0.19553163731245923</v>
      </c>
      <c r="AJ89" s="11">
        <f>IFERROR((MB_gen[[#This Row],[2039]]*1000)/(MB_cap[[#This Row],[2039]]*8760), 0)</f>
        <v>0.19647802979264914</v>
      </c>
      <c r="AK89" s="11">
        <f>IFERROR((MB_gen[[#This Row],[2040]]*1000)/(MB_cap[[#This Row],[2040]]*8760), 0)</f>
        <v>0.19728102947281029</v>
      </c>
      <c r="AL89" s="11">
        <f>IFERROR((MB_gen[[#This Row],[2041]]*1000)/(MB_cap[[#This Row],[2041]]*8760), 0)</f>
        <v>0.19795485240208374</v>
      </c>
      <c r="AM89" s="11">
        <f>IFERROR((MB_gen[[#This Row],[2042]]*1000)/(MB_cap[[#This Row],[2042]]*8760), 0)</f>
        <v>0.19855503484739245</v>
      </c>
      <c r="AN89" s="11">
        <f>IFERROR((MB_gen[[#This Row],[2043]]*1000)/(MB_cap[[#This Row],[2043]]*8760), 0)</f>
        <v>0.19908112069451492</v>
      </c>
      <c r="AO89" s="11">
        <f>IFERROR((MB_gen[[#This Row],[2044]]*1000)/(MB_cap[[#This Row],[2044]]*8760), 0)</f>
        <v>0.19953275990230435</v>
      </c>
      <c r="AP89" s="11">
        <f>IFERROR((MB_gen[[#This Row],[2045]]*1000)/(MB_cap[[#This Row],[2045]]*8760), 0)</f>
        <v>0.19994731296101159</v>
      </c>
      <c r="AQ89" s="11">
        <f>IFERROR((MB_gen[[#This Row],[2046]]*1000)/(MB_cap[[#This Row],[2046]]*8760), 0)</f>
        <v>0.20030679223744291</v>
      </c>
      <c r="AR89" s="11">
        <f>IFERROR((MB_gen[[#This Row],[2047]]*1000)/(MB_cap[[#This Row],[2047]]*8760), 0)</f>
        <v>0.20064198200641983</v>
      </c>
      <c r="AS89" s="11">
        <f>IFERROR((MB_gen[[#This Row],[2048]]*1000)/(MB_cap[[#This Row],[2048]]*8760), 0)</f>
        <v>0.20094555009907814</v>
      </c>
      <c r="AT89" s="11">
        <f>IFERROR((MB_gen[[#This Row],[2049]]*1000)/(MB_cap[[#This Row],[2049]]*8760), 0)</f>
        <v>0.20121148545806081</v>
      </c>
      <c r="AU89" s="11">
        <f>IFERROR((MB_gen[[#This Row],[2050]]*1000)/(MB_cap[[#This Row],[2050]]*8760), 0)</f>
        <v>0.2014643363249882</v>
      </c>
    </row>
    <row r="90" spans="1:47" x14ac:dyDescent="0.3">
      <c r="A90" s="2" t="s">
        <v>58</v>
      </c>
      <c r="B90" s="11">
        <f>IFERROR((MB_gen[[#This Row],[2005]]*1000)/(MB_cap[[#This Row],[2005]]*8760), 0)</f>
        <v>0</v>
      </c>
      <c r="C90" s="11">
        <f>IFERROR((MB_gen[[#This Row],[2006]]*1000)/(MB_cap[[#This Row],[2006]]*8760), 0)</f>
        <v>0</v>
      </c>
      <c r="D90" s="11">
        <f>IFERROR((MB_gen[[#This Row],[2007]]*1000)/(MB_cap[[#This Row],[2007]]*8760), 0)</f>
        <v>0</v>
      </c>
      <c r="E90" s="11">
        <f>IFERROR((MB_gen[[#This Row],[2008]]*1000)/(MB_cap[[#This Row],[2008]]*8760), 0)</f>
        <v>0</v>
      </c>
      <c r="F90" s="11">
        <f>IFERROR((MB_gen[[#This Row],[2009]]*1000)/(MB_cap[[#This Row],[2009]]*8760), 0)</f>
        <v>0</v>
      </c>
      <c r="G90" s="11">
        <f>IFERROR((MB_gen[[#This Row],[2010]]*1000)/(MB_cap[[#This Row],[2010]]*8760), 0)</f>
        <v>0</v>
      </c>
      <c r="H90" s="11">
        <f>IFERROR((MB_gen[[#This Row],[2011]]*1000)/(MB_cap[[#This Row],[2011]]*8760), 0)</f>
        <v>0</v>
      </c>
      <c r="I90" s="11">
        <f>IFERROR((MB_gen[[#This Row],[2012]]*1000)/(MB_cap[[#This Row],[2012]]*8760), 0)</f>
        <v>0</v>
      </c>
      <c r="J90" s="11">
        <f>IFERROR((MB_gen[[#This Row],[2013]]*1000)/(MB_cap[[#This Row],[2013]]*8760), 0)</f>
        <v>0</v>
      </c>
      <c r="K90" s="11">
        <f>IFERROR((MB_gen[[#This Row],[2014]]*1000)/(MB_cap[[#This Row],[2014]]*8760), 0)</f>
        <v>0</v>
      </c>
      <c r="L90" s="11">
        <f>IFERROR((MB_gen[[#This Row],[2015]]*1000)/(MB_cap[[#This Row],[2015]]*8760), 0)</f>
        <v>0</v>
      </c>
      <c r="M90" s="11">
        <f>IFERROR((MB_gen[[#This Row],[2016]]*1000)/(MB_cap[[#This Row],[2016]]*8760), 0)</f>
        <v>0</v>
      </c>
      <c r="N90" s="11">
        <f>IFERROR((MB_gen[[#This Row],[2017]]*1000)/(MB_cap[[#This Row],[2017]]*8760), 0)</f>
        <v>0</v>
      </c>
      <c r="O90" s="11">
        <f>IFERROR((MB_gen[[#This Row],[2018]]*1000)/(MB_cap[[#This Row],[2018]]*8760), 0)</f>
        <v>0</v>
      </c>
      <c r="P90" s="11">
        <f>IFERROR((MB_gen[[#This Row],[2019]]*1000)/(MB_cap[[#This Row],[2019]]*8760), 0)</f>
        <v>0</v>
      </c>
      <c r="Q90" s="11">
        <f>IFERROR((MB_gen[[#This Row],[2020]]*1000)/(MB_cap[[#This Row],[2020]]*8760), 0)</f>
        <v>0</v>
      </c>
      <c r="R90" s="11">
        <f>IFERROR((MB_gen[[#This Row],[2021]]*1000)/(MB_cap[[#This Row],[2021]]*8760), 0)</f>
        <v>0</v>
      </c>
      <c r="S90" s="11">
        <f>IFERROR((MB_gen[[#This Row],[2022]]*1000)/(MB_cap[[#This Row],[2022]]*8760), 0)</f>
        <v>0</v>
      </c>
      <c r="T90" s="11">
        <f>IFERROR((MB_gen[[#This Row],[2023]]*1000)/(MB_cap[[#This Row],[2023]]*8760), 0)</f>
        <v>0</v>
      </c>
      <c r="U90" s="11">
        <f>IFERROR((MB_gen[[#This Row],[2024]]*1000)/(MB_cap[[#This Row],[2024]]*8760), 0)</f>
        <v>0</v>
      </c>
      <c r="V90" s="11">
        <f>IFERROR((MB_gen[[#This Row],[2025]]*1000)/(MB_cap[[#This Row],[2025]]*8760), 0)</f>
        <v>0</v>
      </c>
      <c r="W90" s="11">
        <f>IFERROR((MB_gen[[#This Row],[2026]]*1000)/(MB_cap[[#This Row],[2026]]*8760), 0)</f>
        <v>0</v>
      </c>
      <c r="X90" s="11">
        <f>IFERROR((MB_gen[[#This Row],[2027]]*1000)/(MB_cap[[#This Row],[2027]]*8760), 0)</f>
        <v>0</v>
      </c>
      <c r="Y90" s="11">
        <f>IFERROR((MB_gen[[#This Row],[2028]]*1000)/(MB_cap[[#This Row],[2028]]*8760), 0)</f>
        <v>0</v>
      </c>
      <c r="Z90" s="11">
        <f>IFERROR((MB_gen[[#This Row],[2029]]*1000)/(MB_cap[[#This Row],[2029]]*8760), 0)</f>
        <v>0</v>
      </c>
      <c r="AA90" s="11">
        <f>IFERROR((MB_gen[[#This Row],[2030]]*1000)/(MB_cap[[#This Row],[2030]]*8760), 0)</f>
        <v>0</v>
      </c>
      <c r="AB90" s="11">
        <f>IFERROR((MB_gen[[#This Row],[2031]]*1000)/(MB_cap[[#This Row],[2031]]*8760), 0)</f>
        <v>0</v>
      </c>
      <c r="AC90" s="11">
        <f>IFERROR((MB_gen[[#This Row],[2032]]*1000)/(MB_cap[[#This Row],[2032]]*8760), 0)</f>
        <v>0</v>
      </c>
      <c r="AD90" s="11">
        <f>IFERROR((MB_gen[[#This Row],[2033]]*1000)/(MB_cap[[#This Row],[2033]]*8760), 0)</f>
        <v>0</v>
      </c>
      <c r="AE90" s="11">
        <f>IFERROR((MB_gen[[#This Row],[2034]]*1000)/(MB_cap[[#This Row],[2034]]*8760), 0)</f>
        <v>0</v>
      </c>
      <c r="AF90" s="11">
        <f>IFERROR((MB_gen[[#This Row],[2035]]*1000)/(MB_cap[[#This Row],[2035]]*8760), 0)</f>
        <v>0</v>
      </c>
      <c r="AG90" s="11">
        <f>IFERROR((MB_gen[[#This Row],[2036]]*1000)/(MB_cap[[#This Row],[2036]]*8760), 0)</f>
        <v>0</v>
      </c>
      <c r="AH90" s="11">
        <f>IFERROR((MB_gen[[#This Row],[2037]]*1000)/(MB_cap[[#This Row],[2037]]*8760), 0)</f>
        <v>0</v>
      </c>
      <c r="AI90" s="11">
        <f>IFERROR((MB_gen[[#This Row],[2038]]*1000)/(MB_cap[[#This Row],[2038]]*8760), 0)</f>
        <v>0</v>
      </c>
      <c r="AJ90" s="11">
        <f>IFERROR((MB_gen[[#This Row],[2039]]*1000)/(MB_cap[[#This Row],[2039]]*8760), 0)</f>
        <v>0</v>
      </c>
      <c r="AK90" s="11">
        <f>IFERROR((MB_gen[[#This Row],[2040]]*1000)/(MB_cap[[#This Row],[2040]]*8760), 0)</f>
        <v>0</v>
      </c>
      <c r="AL90" s="11">
        <f>IFERROR((MB_gen[[#This Row],[2041]]*1000)/(MB_cap[[#This Row],[2041]]*8760), 0)</f>
        <v>0</v>
      </c>
      <c r="AM90" s="11">
        <f>IFERROR((MB_gen[[#This Row],[2042]]*1000)/(MB_cap[[#This Row],[2042]]*8760), 0)</f>
        <v>0</v>
      </c>
      <c r="AN90" s="11">
        <f>IFERROR((MB_gen[[#This Row],[2043]]*1000)/(MB_cap[[#This Row],[2043]]*8760), 0)</f>
        <v>0</v>
      </c>
      <c r="AO90" s="11">
        <f>IFERROR((MB_gen[[#This Row],[2044]]*1000)/(MB_cap[[#This Row],[2044]]*8760), 0)</f>
        <v>0</v>
      </c>
      <c r="AP90" s="11">
        <f>IFERROR((MB_gen[[#This Row],[2045]]*1000)/(MB_cap[[#This Row],[2045]]*8760), 0)</f>
        <v>0</v>
      </c>
      <c r="AQ90" s="11">
        <f>IFERROR((MB_gen[[#This Row],[2046]]*1000)/(MB_cap[[#This Row],[2046]]*8760), 0)</f>
        <v>0</v>
      </c>
      <c r="AR90" s="11">
        <f>IFERROR((MB_gen[[#This Row],[2047]]*1000)/(MB_cap[[#This Row],[2047]]*8760), 0)</f>
        <v>0</v>
      </c>
      <c r="AS90" s="11">
        <f>IFERROR((MB_gen[[#This Row],[2048]]*1000)/(MB_cap[[#This Row],[2048]]*8760), 0)</f>
        <v>0</v>
      </c>
      <c r="AT90" s="11">
        <f>IFERROR((MB_gen[[#This Row],[2049]]*1000)/(MB_cap[[#This Row],[2049]]*8760), 0)</f>
        <v>0</v>
      </c>
      <c r="AU90" s="11">
        <f>IFERROR((MB_gen[[#This Row],[2050]]*1000)/(MB_cap[[#This Row],[2050]]*8760), 0)</f>
        <v>0</v>
      </c>
    </row>
    <row r="91" spans="1:47" x14ac:dyDescent="0.3">
      <c r="A91" s="2" t="s">
        <v>59</v>
      </c>
      <c r="B91" s="11">
        <f>IFERROR((MB_gen[[#This Row],[2005]]*1000)/(MB_cap[[#This Row],[2005]]*8760), 0)</f>
        <v>0.48316058056900851</v>
      </c>
      <c r="C91" s="11">
        <f>IFERROR((MB_gen[[#This Row],[2006]]*1000)/(MB_cap[[#This Row],[2006]]*8760), 0)</f>
        <v>0.37059536569898927</v>
      </c>
      <c r="D91" s="11">
        <f>IFERROR((MB_gen[[#This Row],[2007]]*1000)/(MB_cap[[#This Row],[2007]]*8760), 0)</f>
        <v>0.44540891056326565</v>
      </c>
      <c r="E91" s="11">
        <f>IFERROR((MB_gen[[#This Row],[2008]]*1000)/(MB_cap[[#This Row],[2008]]*8760), 0)</f>
        <v>0.44448528655259556</v>
      </c>
      <c r="F91" s="11">
        <f>IFERROR((MB_gen[[#This Row],[2009]]*1000)/(MB_cap[[#This Row],[2009]]*8760), 0)</f>
        <v>0.16109639548130397</v>
      </c>
      <c r="G91" s="11">
        <f>IFERROR((MB_gen[[#This Row],[2010]]*1000)/(MB_cap[[#This Row],[2010]]*8760), 0)</f>
        <v>5.0939617904930796E-2</v>
      </c>
      <c r="H91" s="11">
        <f>IFERROR((MB_gen[[#This Row],[2011]]*1000)/(MB_cap[[#This Row],[2011]]*8760), 0)</f>
        <v>5.7019168354911061E-2</v>
      </c>
      <c r="I91" s="11">
        <f>IFERROR((MB_gen[[#This Row],[2012]]*1000)/(MB_cap[[#This Row],[2012]]*8760), 0)</f>
        <v>5.9088553796538955E-2</v>
      </c>
      <c r="J91" s="11">
        <f>IFERROR((MB_gen[[#This Row],[2013]]*1000)/(MB_cap[[#This Row],[2013]]*8760), 0)</f>
        <v>7.5035682284564115E-2</v>
      </c>
      <c r="K91" s="11">
        <f>IFERROR((MB_gen[[#This Row],[2014]]*1000)/(MB_cap[[#This Row],[2014]]*8760), 0)</f>
        <v>7.9057538736089519E-2</v>
      </c>
      <c r="L91" s="11">
        <f>IFERROR((MB_gen[[#This Row],[2015]]*1000)/(MB_cap[[#This Row],[2015]]*8760), 0)</f>
        <v>7.2288193138899962E-2</v>
      </c>
      <c r="M91" s="11">
        <f>IFERROR((MB_gen[[#This Row],[2016]]*1000)/(MB_cap[[#This Row],[2016]]*8760), 0)</f>
        <v>3.2128085839511093E-2</v>
      </c>
      <c r="N91" s="11">
        <f>IFERROR((MB_gen[[#This Row],[2017]]*1000)/(MB_cap[[#This Row],[2017]]*8760), 0)</f>
        <v>3.4419608701426727E-2</v>
      </c>
      <c r="O91" s="11">
        <f>IFERROR((MB_gen[[#This Row],[2018]]*1000)/(MB_cap[[#This Row],[2018]]*8760), 0)</f>
        <v>5.7404985979621348E-3</v>
      </c>
      <c r="P91" s="11">
        <f>IFERROR((MB_gen[[#This Row],[2019]]*1000)/(MB_cap[[#This Row],[2019]]*8760), 0)</f>
        <v>0</v>
      </c>
      <c r="Q91" s="11">
        <f>IFERROR((MB_gen[[#This Row],[2020]]*1000)/(MB_cap[[#This Row],[2020]]*8760), 0)</f>
        <v>0</v>
      </c>
      <c r="R91" s="11">
        <f>IFERROR((MB_gen[[#This Row],[2021]]*1000)/(MB_cap[[#This Row],[2021]]*8760), 0)</f>
        <v>0</v>
      </c>
      <c r="S91" s="11">
        <f>IFERROR((MB_gen[[#This Row],[2022]]*1000)/(MB_cap[[#This Row],[2022]]*8760), 0)</f>
        <v>0</v>
      </c>
      <c r="T91" s="11">
        <f>IFERROR((MB_gen[[#This Row],[2023]]*1000)/(MB_cap[[#This Row],[2023]]*8760), 0)</f>
        <v>0</v>
      </c>
      <c r="U91" s="11">
        <f>IFERROR((MB_gen[[#This Row],[2024]]*1000)/(MB_cap[[#This Row],[2024]]*8760), 0)</f>
        <v>0</v>
      </c>
      <c r="V91" s="11">
        <f>IFERROR((MB_gen[[#This Row],[2025]]*1000)/(MB_cap[[#This Row],[2025]]*8760), 0)</f>
        <v>0</v>
      </c>
      <c r="W91" s="11">
        <f>IFERROR((MB_gen[[#This Row],[2026]]*1000)/(MB_cap[[#This Row],[2026]]*8760), 0)</f>
        <v>0</v>
      </c>
      <c r="X91" s="11">
        <f>IFERROR((MB_gen[[#This Row],[2027]]*1000)/(MB_cap[[#This Row],[2027]]*8760), 0)</f>
        <v>0</v>
      </c>
      <c r="Y91" s="11">
        <f>IFERROR((MB_gen[[#This Row],[2028]]*1000)/(MB_cap[[#This Row],[2028]]*8760), 0)</f>
        <v>0</v>
      </c>
      <c r="Z91" s="11">
        <f>IFERROR((MB_gen[[#This Row],[2029]]*1000)/(MB_cap[[#This Row],[2029]]*8760), 0)</f>
        <v>0</v>
      </c>
      <c r="AA91" s="11">
        <f>IFERROR((MB_gen[[#This Row],[2030]]*1000)/(MB_cap[[#This Row],[2030]]*8760), 0)</f>
        <v>0</v>
      </c>
      <c r="AB91" s="11">
        <f>IFERROR((MB_gen[[#This Row],[2031]]*1000)/(MB_cap[[#This Row],[2031]]*8760), 0)</f>
        <v>0</v>
      </c>
      <c r="AC91" s="11">
        <f>IFERROR((MB_gen[[#This Row],[2032]]*1000)/(MB_cap[[#This Row],[2032]]*8760), 0)</f>
        <v>0</v>
      </c>
      <c r="AD91" s="11">
        <f>IFERROR((MB_gen[[#This Row],[2033]]*1000)/(MB_cap[[#This Row],[2033]]*8760), 0)</f>
        <v>0</v>
      </c>
      <c r="AE91" s="11">
        <f>IFERROR((MB_gen[[#This Row],[2034]]*1000)/(MB_cap[[#This Row],[2034]]*8760), 0)</f>
        <v>0</v>
      </c>
      <c r="AF91" s="11">
        <f>IFERROR((MB_gen[[#This Row],[2035]]*1000)/(MB_cap[[#This Row],[2035]]*8760), 0)</f>
        <v>0</v>
      </c>
      <c r="AG91" s="11">
        <f>IFERROR((MB_gen[[#This Row],[2036]]*1000)/(MB_cap[[#This Row],[2036]]*8760), 0)</f>
        <v>0</v>
      </c>
      <c r="AH91" s="11">
        <f>IFERROR((MB_gen[[#This Row],[2037]]*1000)/(MB_cap[[#This Row],[2037]]*8760), 0)</f>
        <v>0</v>
      </c>
      <c r="AI91" s="11">
        <f>IFERROR((MB_gen[[#This Row],[2038]]*1000)/(MB_cap[[#This Row],[2038]]*8760), 0)</f>
        <v>0</v>
      </c>
      <c r="AJ91" s="11">
        <f>IFERROR((MB_gen[[#This Row],[2039]]*1000)/(MB_cap[[#This Row],[2039]]*8760), 0)</f>
        <v>0</v>
      </c>
      <c r="AK91" s="11">
        <f>IFERROR((MB_gen[[#This Row],[2040]]*1000)/(MB_cap[[#This Row],[2040]]*8760), 0)</f>
        <v>0</v>
      </c>
      <c r="AL91" s="11">
        <f>IFERROR((MB_gen[[#This Row],[2041]]*1000)/(MB_cap[[#This Row],[2041]]*8760), 0)</f>
        <v>0</v>
      </c>
      <c r="AM91" s="11">
        <f>IFERROR((MB_gen[[#This Row],[2042]]*1000)/(MB_cap[[#This Row],[2042]]*8760), 0)</f>
        <v>0</v>
      </c>
      <c r="AN91" s="11">
        <f>IFERROR((MB_gen[[#This Row],[2043]]*1000)/(MB_cap[[#This Row],[2043]]*8760), 0)</f>
        <v>0</v>
      </c>
      <c r="AO91" s="11">
        <f>IFERROR((MB_gen[[#This Row],[2044]]*1000)/(MB_cap[[#This Row],[2044]]*8760), 0)</f>
        <v>0</v>
      </c>
      <c r="AP91" s="11">
        <f>IFERROR((MB_gen[[#This Row],[2045]]*1000)/(MB_cap[[#This Row],[2045]]*8760), 0)</f>
        <v>0</v>
      </c>
      <c r="AQ91" s="11">
        <f>IFERROR((MB_gen[[#This Row],[2046]]*1000)/(MB_cap[[#This Row],[2046]]*8760), 0)</f>
        <v>0</v>
      </c>
      <c r="AR91" s="11">
        <f>IFERROR((MB_gen[[#This Row],[2047]]*1000)/(MB_cap[[#This Row],[2047]]*8760), 0)</f>
        <v>0</v>
      </c>
      <c r="AS91" s="11">
        <f>IFERROR((MB_gen[[#This Row],[2048]]*1000)/(MB_cap[[#This Row],[2048]]*8760), 0)</f>
        <v>0</v>
      </c>
      <c r="AT91" s="11">
        <f>IFERROR((MB_gen[[#This Row],[2049]]*1000)/(MB_cap[[#This Row],[2049]]*8760), 0)</f>
        <v>0</v>
      </c>
      <c r="AU91" s="11">
        <f>IFERROR((MB_gen[[#This Row],[2050]]*1000)/(MB_cap[[#This Row],[2050]]*8760), 0)</f>
        <v>0</v>
      </c>
    </row>
    <row r="92" spans="1:47" x14ac:dyDescent="0.3">
      <c r="A92" s="2" t="s">
        <v>60</v>
      </c>
      <c r="B92" s="11">
        <f>IFERROR((MB_gen[[#This Row],[2005]]*1000)/(MB_cap[[#This Row],[2005]]*8760), 0)</f>
        <v>1.1875134147673865E-2</v>
      </c>
      <c r="C92" s="11">
        <f>IFERROR((MB_gen[[#This Row],[2006]]*1000)/(MB_cap[[#This Row],[2006]]*8760), 0)</f>
        <v>2.5901826484018266E-2</v>
      </c>
      <c r="D92" s="11">
        <f>IFERROR((MB_gen[[#This Row],[2007]]*1000)/(MB_cap[[#This Row],[2007]]*8760), 0)</f>
        <v>4.9255136986301372E-2</v>
      </c>
      <c r="E92" s="11">
        <f>IFERROR((MB_gen[[#This Row],[2008]]*1000)/(MB_cap[[#This Row],[2008]]*8760), 0)</f>
        <v>3.8144977168949774E-2</v>
      </c>
      <c r="F92" s="11">
        <f>IFERROR((MB_gen[[#This Row],[2009]]*1000)/(MB_cap[[#This Row],[2009]]*8760), 0)</f>
        <v>3.6932077625570776E-2</v>
      </c>
      <c r="G92" s="11">
        <f>IFERROR((MB_gen[[#This Row],[2010]]*1000)/(MB_cap[[#This Row],[2010]]*8760), 0)</f>
        <v>2.8239155251141554E-2</v>
      </c>
      <c r="H92" s="11">
        <f>IFERROR((MB_gen[[#This Row],[2011]]*1000)/(MB_cap[[#This Row],[2011]]*8760), 0)</f>
        <v>3.1192922374429225E-2</v>
      </c>
      <c r="I92" s="11">
        <f>IFERROR((MB_gen[[#This Row],[2012]]*1000)/(MB_cap[[#This Row],[2012]]*8760), 0)</f>
        <v>1.7323059360730593E-2</v>
      </c>
      <c r="J92" s="11">
        <f>IFERROR((MB_gen[[#This Row],[2013]]*1000)/(MB_cap[[#This Row],[2013]]*8760), 0)</f>
        <v>8.7014840182648399E-3</v>
      </c>
      <c r="K92" s="11">
        <f>IFERROR((MB_gen[[#This Row],[2014]]*1000)/(MB_cap[[#This Row],[2014]]*8760), 0)</f>
        <v>8.9855818512863533E-3</v>
      </c>
      <c r="L92" s="11">
        <f>IFERROR((MB_gen[[#This Row],[2015]]*1000)/(MB_cap[[#This Row],[2015]]*8760), 0)</f>
        <v>3.3419420191680461E-2</v>
      </c>
      <c r="M92" s="11">
        <f>IFERROR((MB_gen[[#This Row],[2016]]*1000)/(MB_cap[[#This Row],[2016]]*8760), 0)</f>
        <v>1.9569795667742862E-2</v>
      </c>
      <c r="N92" s="11">
        <f>IFERROR((MB_gen[[#This Row],[2017]]*1000)/(MB_cap[[#This Row],[2017]]*8760), 0)</f>
        <v>2.0051810339362146E-2</v>
      </c>
      <c r="O92" s="11">
        <f>IFERROR((MB_gen[[#This Row],[2018]]*1000)/(MB_cap[[#This Row],[2018]]*8760), 0)</f>
        <v>1.4590867647957806E-2</v>
      </c>
      <c r="P92" s="11">
        <f>IFERROR((MB_gen[[#This Row],[2019]]*1000)/(MB_cap[[#This Row],[2019]]*8760), 0)</f>
        <v>1.1313167880946686E-2</v>
      </c>
      <c r="Q92" s="11">
        <f>IFERROR((MB_gen[[#This Row],[2020]]*1000)/(MB_cap[[#This Row],[2020]]*8760), 0)</f>
        <v>1.1820700976357576E-2</v>
      </c>
      <c r="R92" s="11">
        <f>IFERROR((MB_gen[[#This Row],[2021]]*1000)/(MB_cap[[#This Row],[2021]]*8760), 0)</f>
        <v>2.103001658470716E-2</v>
      </c>
      <c r="S92" s="11">
        <f>IFERROR((MB_gen[[#This Row],[2022]]*1000)/(MB_cap[[#This Row],[2022]]*8760), 0)</f>
        <v>6.5667410557073997E-3</v>
      </c>
      <c r="T92" s="11">
        <f>IFERROR((MB_gen[[#This Row],[2023]]*1000)/(MB_cap[[#This Row],[2023]]*8760), 0)</f>
        <v>6.5667410557073997E-3</v>
      </c>
      <c r="U92" s="11">
        <f>IFERROR((MB_gen[[#This Row],[2024]]*1000)/(MB_cap[[#This Row],[2024]]*8760), 0)</f>
        <v>6.5667410557073997E-3</v>
      </c>
      <c r="V92" s="11">
        <f>IFERROR((MB_gen[[#This Row],[2025]]*1000)/(MB_cap[[#This Row],[2025]]*8760), 0)</f>
        <v>6.5667410557073997E-3</v>
      </c>
      <c r="W92" s="11">
        <f>IFERROR((MB_gen[[#This Row],[2026]]*1000)/(MB_cap[[#This Row],[2026]]*8760), 0)</f>
        <v>7.2889124490099363E-2</v>
      </c>
      <c r="X92" s="11">
        <f>IFERROR((MB_gen[[#This Row],[2027]]*1000)/(MB_cap[[#This Row],[2027]]*8760), 0)</f>
        <v>8.0779988202549141E-2</v>
      </c>
      <c r="Y92" s="11">
        <f>IFERROR((MB_gen[[#This Row],[2028]]*1000)/(MB_cap[[#This Row],[2028]]*8760), 0)</f>
        <v>8.5163486333863322E-2</v>
      </c>
      <c r="Z92" s="11">
        <f>IFERROR((MB_gen[[#This Row],[2029]]*1000)/(MB_cap[[#This Row],[2029]]*8760), 0)</f>
        <v>0.20675026955961665</v>
      </c>
      <c r="AA92" s="11">
        <f>IFERROR((MB_gen[[#This Row],[2030]]*1000)/(MB_cap[[#This Row],[2030]]*8760), 0)</f>
        <v>0.20675026955961665</v>
      </c>
      <c r="AB92" s="11">
        <f>IFERROR((MB_gen[[#This Row],[2031]]*1000)/(MB_cap[[#This Row],[2031]]*8760), 0)</f>
        <v>0.20500083983968079</v>
      </c>
      <c r="AC92" s="11">
        <f>IFERROR((MB_gen[[#This Row],[2032]]*1000)/(MB_cap[[#This Row],[2032]]*8760), 0)</f>
        <v>0.20178835382235932</v>
      </c>
      <c r="AD92" s="11">
        <f>IFERROR((MB_gen[[#This Row],[2033]]*1000)/(MB_cap[[#This Row],[2033]]*8760), 0)</f>
        <v>0.20178835382235932</v>
      </c>
      <c r="AE92" s="11">
        <f>IFERROR((MB_gen[[#This Row],[2034]]*1000)/(MB_cap[[#This Row],[2034]]*8760), 0)</f>
        <v>0.20178835382235932</v>
      </c>
      <c r="AF92" s="11">
        <f>IFERROR((MB_gen[[#This Row],[2035]]*1000)/(MB_cap[[#This Row],[2035]]*8760), 0)</f>
        <v>0.20398010288801641</v>
      </c>
      <c r="AG92" s="11">
        <f>IFERROR((MB_gen[[#This Row],[2036]]*1000)/(MB_cap[[#This Row],[2036]]*8760), 0)</f>
        <v>0.20178835382235932</v>
      </c>
      <c r="AH92" s="11">
        <f>IFERROR((MB_gen[[#This Row],[2037]]*1000)/(MB_cap[[#This Row],[2037]]*8760), 0)</f>
        <v>0.20178835382235932</v>
      </c>
      <c r="AI92" s="11">
        <f>IFERROR((MB_gen[[#This Row],[2038]]*1000)/(MB_cap[[#This Row],[2038]]*8760), 0)</f>
        <v>0.20178835382235932</v>
      </c>
      <c r="AJ92" s="11">
        <f>IFERROR((MB_gen[[#This Row],[2039]]*1000)/(MB_cap[[#This Row],[2039]]*8760), 0)</f>
        <v>0.20162673713834581</v>
      </c>
      <c r="AK92" s="11">
        <f>IFERROR((MB_gen[[#This Row],[2040]]*1000)/(MB_cap[[#This Row],[2040]]*8760), 0)</f>
        <v>0.20059465866499629</v>
      </c>
      <c r="AL92" s="11">
        <f>IFERROR((MB_gen[[#This Row],[2041]]*1000)/(MB_cap[[#This Row],[2041]]*8760), 0)</f>
        <v>0.19978941062534994</v>
      </c>
      <c r="AM92" s="11">
        <f>IFERROR((MB_gen[[#This Row],[2042]]*1000)/(MB_cap[[#This Row],[2042]]*8760), 0)</f>
        <v>0.19898416258570362</v>
      </c>
      <c r="AN92" s="11">
        <f>IFERROR((MB_gen[[#This Row],[2043]]*1000)/(MB_cap[[#This Row],[2043]]*8760), 0)</f>
        <v>0.19878568595621332</v>
      </c>
      <c r="AO92" s="11">
        <f>IFERROR((MB_gen[[#This Row],[2044]]*1000)/(MB_cap[[#This Row],[2044]]*8760), 0)</f>
        <v>0.1982866590020663</v>
      </c>
      <c r="AP92" s="11">
        <f>IFERROR((MB_gen[[#This Row],[2045]]*1000)/(MB_cap[[#This Row],[2045]]*8760), 0)</f>
        <v>0.19816757302437213</v>
      </c>
      <c r="AQ92" s="11">
        <f>IFERROR((MB_gen[[#This Row],[2046]]*1000)/(MB_cap[[#This Row],[2046]]*8760), 0)</f>
        <v>0.19757214313590124</v>
      </c>
      <c r="AR92" s="11">
        <f>IFERROR((MB_gen[[#This Row],[2047]]*1000)/(MB_cap[[#This Row],[2047]]*8760), 0)</f>
        <v>0.19536905254855899</v>
      </c>
      <c r="AS92" s="11">
        <f>IFERROR((MB_gen[[#This Row],[2048]]*1000)/(MB_cap[[#This Row],[2048]]*8760), 0)</f>
        <v>0.18586485737639527</v>
      </c>
      <c r="AT92" s="11">
        <f>IFERROR((MB_gen[[#This Row],[2049]]*1000)/(MB_cap[[#This Row],[2049]]*8760), 0)</f>
        <v>0.18843087665766262</v>
      </c>
      <c r="AU92" s="11">
        <f>IFERROR((MB_gen[[#This Row],[2050]]*1000)/(MB_cap[[#This Row],[2050]]*8760), 0)</f>
        <v>0.1982299513936405</v>
      </c>
    </row>
    <row r="93" spans="1:47" x14ac:dyDescent="0.3">
      <c r="A93" s="2" t="s">
        <v>61</v>
      </c>
      <c r="B93" s="11">
        <f>IFERROR((MB_gen[[#This Row],[2005]]*1000)/(MB_cap[[#This Row],[2005]]*8760), 0)</f>
        <v>0</v>
      </c>
      <c r="C93" s="11">
        <f>IFERROR((MB_gen[[#This Row],[2006]]*1000)/(MB_cap[[#This Row],[2006]]*8760), 0)</f>
        <v>0</v>
      </c>
      <c r="D93" s="11">
        <f>IFERROR((MB_gen[[#This Row],[2007]]*1000)/(MB_cap[[#This Row],[2007]]*8760), 0)</f>
        <v>0</v>
      </c>
      <c r="E93" s="11">
        <f>IFERROR((MB_gen[[#This Row],[2008]]*1000)/(MB_cap[[#This Row],[2008]]*8760), 0)</f>
        <v>0</v>
      </c>
      <c r="F93" s="11">
        <f>IFERROR((MB_gen[[#This Row],[2009]]*1000)/(MB_cap[[#This Row],[2009]]*8760), 0)</f>
        <v>0</v>
      </c>
      <c r="G93" s="11">
        <f>IFERROR((MB_gen[[#This Row],[2010]]*1000)/(MB_cap[[#This Row],[2010]]*8760), 0)</f>
        <v>0</v>
      </c>
      <c r="H93" s="11">
        <f>IFERROR((MB_gen[[#This Row],[2011]]*1000)/(MB_cap[[#This Row],[2011]]*8760), 0)</f>
        <v>0</v>
      </c>
      <c r="I93" s="11">
        <f>IFERROR((MB_gen[[#This Row],[2012]]*1000)/(MB_cap[[#This Row],[2012]]*8760), 0)</f>
        <v>0</v>
      </c>
      <c r="J93" s="11">
        <f>IFERROR((MB_gen[[#This Row],[2013]]*1000)/(MB_cap[[#This Row],[2013]]*8760), 0)</f>
        <v>0</v>
      </c>
      <c r="K93" s="11">
        <f>IFERROR((MB_gen[[#This Row],[2014]]*1000)/(MB_cap[[#This Row],[2014]]*8760), 0)</f>
        <v>0.15722396658238166</v>
      </c>
      <c r="L93" s="11">
        <f>IFERROR((MB_gen[[#This Row],[2015]]*1000)/(MB_cap[[#This Row],[2015]]*8760), 0)</f>
        <v>0.13476339992775571</v>
      </c>
      <c r="M93" s="11">
        <f>IFERROR((MB_gen[[#This Row],[2016]]*1000)/(MB_cap[[#This Row],[2016]]*8760), 0)</f>
        <v>5.8119610621764066E-2</v>
      </c>
      <c r="N93" s="11">
        <f>IFERROR((MB_gen[[#This Row],[2017]]*1000)/(MB_cap[[#This Row],[2017]]*8760), 0)</f>
        <v>6.576083432900795E-2</v>
      </c>
      <c r="O93" s="11">
        <f>IFERROR((MB_gen[[#This Row],[2018]]*1000)/(MB_cap[[#This Row],[2018]]*8760), 0)</f>
        <v>3.797456630266656E-2</v>
      </c>
      <c r="P93" s="11">
        <f>IFERROR((MB_gen[[#This Row],[2019]]*1000)/(MB_cap[[#This Row],[2019]]*8760), 0)</f>
        <v>2.5470745690812938E-2</v>
      </c>
      <c r="Q93" s="11">
        <f>IFERROR((MB_gen[[#This Row],[2020]]*1000)/(MB_cap[[#This Row],[2020]]*8760), 0)</f>
        <v>1.1809163911195089E-2</v>
      </c>
      <c r="R93" s="11">
        <f>IFERROR((MB_gen[[#This Row],[2021]]*1000)/(MB_cap[[#This Row],[2021]]*8760), 0)</f>
        <v>3.6816805134902333E-2</v>
      </c>
      <c r="S93" s="11">
        <f>IFERROR((MB_gen[[#This Row],[2022]]*1000)/(MB_cap[[#This Row],[2022]]*8760), 0)</f>
        <v>9.7251938092194849E-3</v>
      </c>
      <c r="T93" s="11">
        <f>IFERROR((MB_gen[[#This Row],[2023]]*1000)/(MB_cap[[#This Row],[2023]]*8760), 0)</f>
        <v>9.7251938092194849E-3</v>
      </c>
      <c r="U93" s="11">
        <f>IFERROR((MB_gen[[#This Row],[2024]]*1000)/(MB_cap[[#This Row],[2024]]*8760), 0)</f>
        <v>9.7251938092194849E-3</v>
      </c>
      <c r="V93" s="11">
        <f>IFERROR((MB_gen[[#This Row],[2025]]*1000)/(MB_cap[[#This Row],[2025]]*8760), 0)</f>
        <v>9.7251938092194849E-3</v>
      </c>
      <c r="W93" s="11">
        <f>IFERROR((MB_gen[[#This Row],[2026]]*1000)/(MB_cap[[#This Row],[2026]]*8760), 0)</f>
        <v>0.26396954625024316</v>
      </c>
      <c r="X93" s="11">
        <f>IFERROR((MB_gen[[#This Row],[2027]]*1000)/(MB_cap[[#This Row],[2027]]*8760), 0)</f>
        <v>0.30263876925356825</v>
      </c>
      <c r="Y93" s="11">
        <f>IFERROR((MB_gen[[#This Row],[2028]]*1000)/(MB_cap[[#This Row],[2028]]*8760), 0)</f>
        <v>0.36816805134902336</v>
      </c>
      <c r="Z93" s="11">
        <f>IFERROR((MB_gen[[#This Row],[2029]]*1000)/(MB_cap[[#This Row],[2029]]*8760), 0)</f>
        <v>0.7884353552474368</v>
      </c>
      <c r="AA93" s="11">
        <f>IFERROR((MB_gen[[#This Row],[2030]]*1000)/(MB_cap[[#This Row],[2030]]*8760), 0)</f>
        <v>0.7884353552474368</v>
      </c>
      <c r="AB93" s="11">
        <f>IFERROR((MB_gen[[#This Row],[2031]]*1000)/(MB_cap[[#This Row],[2031]]*8760), 0)</f>
        <v>0.7884353552474368</v>
      </c>
      <c r="AC93" s="11">
        <f>IFERROR((MB_gen[[#This Row],[2032]]*1000)/(MB_cap[[#This Row],[2032]]*8760), 0)</f>
        <v>0.7884353552474368</v>
      </c>
      <c r="AD93" s="11">
        <f>IFERROR((MB_gen[[#This Row],[2033]]*1000)/(MB_cap[[#This Row],[2033]]*8760), 0)</f>
        <v>0.7884353552474368</v>
      </c>
      <c r="AE93" s="11">
        <f>IFERROR((MB_gen[[#This Row],[2034]]*1000)/(MB_cap[[#This Row],[2034]]*8760), 0)</f>
        <v>0.7884353552474368</v>
      </c>
      <c r="AF93" s="11">
        <f>IFERROR((MB_gen[[#This Row],[2035]]*1000)/(MB_cap[[#This Row],[2035]]*8760), 0)</f>
        <v>0.7884353552474368</v>
      </c>
      <c r="AG93" s="11">
        <f>IFERROR((MB_gen[[#This Row],[2036]]*1000)/(MB_cap[[#This Row],[2036]]*8760), 0)</f>
        <v>0.7884353552474368</v>
      </c>
      <c r="AH93" s="11">
        <f>IFERROR((MB_gen[[#This Row],[2037]]*1000)/(MB_cap[[#This Row],[2037]]*8760), 0)</f>
        <v>0.7884353552474368</v>
      </c>
      <c r="AI93" s="11">
        <f>IFERROR((MB_gen[[#This Row],[2038]]*1000)/(MB_cap[[#This Row],[2038]]*8760), 0)</f>
        <v>0.7884353552474368</v>
      </c>
      <c r="AJ93" s="11">
        <f>IFERROR((MB_gen[[#This Row],[2039]]*1000)/(MB_cap[[#This Row],[2039]]*8760), 0)</f>
        <v>0.7884353552474368</v>
      </c>
      <c r="AK93" s="11">
        <f>IFERROR((MB_gen[[#This Row],[2040]]*1000)/(MB_cap[[#This Row],[2040]]*8760), 0)</f>
        <v>0.7884353552474368</v>
      </c>
      <c r="AL93" s="11">
        <f>IFERROR((MB_gen[[#This Row],[2041]]*1000)/(MB_cap[[#This Row],[2041]]*8760), 0)</f>
        <v>0.7884353552474368</v>
      </c>
      <c r="AM93" s="11">
        <f>IFERROR((MB_gen[[#This Row],[2042]]*1000)/(MB_cap[[#This Row],[2042]]*8760), 0)</f>
        <v>0.7884353552474368</v>
      </c>
      <c r="AN93" s="11">
        <f>IFERROR((MB_gen[[#This Row],[2043]]*1000)/(MB_cap[[#This Row],[2043]]*8760), 0)</f>
        <v>0.7884353552474368</v>
      </c>
      <c r="AO93" s="11">
        <f>IFERROR((MB_gen[[#This Row],[2044]]*1000)/(MB_cap[[#This Row],[2044]]*8760), 0)</f>
        <v>0.7884353552474368</v>
      </c>
      <c r="AP93" s="11">
        <f>IFERROR((MB_gen[[#This Row],[2045]]*1000)/(MB_cap[[#This Row],[2045]]*8760), 0)</f>
        <v>0.7884353552474368</v>
      </c>
      <c r="AQ93" s="11">
        <f>IFERROR((MB_gen[[#This Row],[2046]]*1000)/(MB_cap[[#This Row],[2046]]*8760), 0)</f>
        <v>0.7884353552474368</v>
      </c>
      <c r="AR93" s="11">
        <f>IFERROR((MB_gen[[#This Row],[2047]]*1000)/(MB_cap[[#This Row],[2047]]*8760), 0)</f>
        <v>0.77454222123426608</v>
      </c>
      <c r="AS93" s="11">
        <f>IFERROR((MB_gen[[#This Row],[2048]]*1000)/(MB_cap[[#This Row],[2048]]*8760), 0)</f>
        <v>0.72035899858290042</v>
      </c>
      <c r="AT93" s="11">
        <f>IFERROR((MB_gen[[#This Row],[2049]]*1000)/(MB_cap[[#This Row],[2049]]*8760), 0)</f>
        <v>0.73402058036251827</v>
      </c>
      <c r="AU93" s="11">
        <f>IFERROR((MB_gen[[#This Row],[2050]]*1000)/(MB_cap[[#This Row],[2050]]*8760), 0)</f>
        <v>0.78287810164216853</v>
      </c>
    </row>
    <row r="95" spans="1:47" ht="18" x14ac:dyDescent="0.35">
      <c r="A95" s="4" t="s">
        <v>69</v>
      </c>
    </row>
    <row r="96" spans="1:47" x14ac:dyDescent="0.3">
      <c r="A96" s="2" t="s">
        <v>7</v>
      </c>
      <c r="B96" s="2" t="s">
        <v>8</v>
      </c>
      <c r="C96" s="2" t="s">
        <v>9</v>
      </c>
      <c r="D96" s="2" t="s">
        <v>10</v>
      </c>
      <c r="E96" s="2" t="s">
        <v>11</v>
      </c>
      <c r="F96" s="2" t="s">
        <v>12</v>
      </c>
      <c r="G96" s="2" t="s">
        <v>13</v>
      </c>
      <c r="H96" s="2" t="s">
        <v>14</v>
      </c>
      <c r="I96" s="2" t="s">
        <v>15</v>
      </c>
      <c r="J96" s="2" t="s">
        <v>16</v>
      </c>
      <c r="K96" s="2" t="s">
        <v>17</v>
      </c>
      <c r="L96" s="2" t="s">
        <v>18</v>
      </c>
      <c r="M96" s="2" t="s">
        <v>19</v>
      </c>
      <c r="N96" s="2" t="s">
        <v>20</v>
      </c>
      <c r="O96" s="2" t="s">
        <v>21</v>
      </c>
      <c r="P96" s="2" t="s">
        <v>22</v>
      </c>
      <c r="Q96" s="2" t="s">
        <v>23</v>
      </c>
      <c r="R96" s="2" t="s">
        <v>24</v>
      </c>
      <c r="S96" s="2" t="s">
        <v>25</v>
      </c>
      <c r="T96" s="2" t="s">
        <v>26</v>
      </c>
      <c r="U96" s="2" t="s">
        <v>27</v>
      </c>
      <c r="V96" s="2" t="s">
        <v>28</v>
      </c>
      <c r="W96" s="2" t="s">
        <v>29</v>
      </c>
      <c r="X96" s="2" t="s">
        <v>30</v>
      </c>
      <c r="Y96" s="2" t="s">
        <v>31</v>
      </c>
      <c r="Z96" s="2" t="s">
        <v>32</v>
      </c>
      <c r="AA96" s="2" t="s">
        <v>33</v>
      </c>
      <c r="AB96" s="2" t="s">
        <v>34</v>
      </c>
      <c r="AC96" s="2" t="s">
        <v>35</v>
      </c>
      <c r="AD96" s="2" t="s">
        <v>36</v>
      </c>
      <c r="AE96" s="2" t="s">
        <v>37</v>
      </c>
      <c r="AF96" s="2" t="s">
        <v>38</v>
      </c>
      <c r="AG96" s="2" t="s">
        <v>39</v>
      </c>
      <c r="AH96" s="2" t="s">
        <v>40</v>
      </c>
      <c r="AI96" s="2" t="s">
        <v>41</v>
      </c>
      <c r="AJ96" s="2" t="s">
        <v>42</v>
      </c>
      <c r="AK96" s="2" t="s">
        <v>43</v>
      </c>
      <c r="AL96" s="2" t="s">
        <v>44</v>
      </c>
      <c r="AM96" s="2" t="s">
        <v>45</v>
      </c>
      <c r="AN96" s="2" t="s">
        <v>46</v>
      </c>
      <c r="AO96" s="2" t="s">
        <v>47</v>
      </c>
      <c r="AP96" s="2" t="s">
        <v>48</v>
      </c>
      <c r="AQ96" s="2" t="s">
        <v>49</v>
      </c>
      <c r="AR96" s="2" t="s">
        <v>50</v>
      </c>
      <c r="AS96" s="2" t="s">
        <v>51</v>
      </c>
      <c r="AT96" s="2" t="s">
        <v>52</v>
      </c>
      <c r="AU96" s="2" t="s">
        <v>53</v>
      </c>
    </row>
    <row r="97" spans="1:47" x14ac:dyDescent="0.3">
      <c r="A97" s="2" t="s">
        <v>54</v>
      </c>
      <c r="B97" s="11">
        <f>IFERROR((AB_gen[[#This Row],[2005]]*1000)/(AB_cap[[#This Row],[2005]]*8760), 0)</f>
        <v>0.30423885114365434</v>
      </c>
      <c r="C97" s="11">
        <f>IFERROR((AB_gen[[#This Row],[2006]]*1000)/(AB_cap[[#This Row],[2006]]*8760), 0)</f>
        <v>0.25678400886074626</v>
      </c>
      <c r="D97" s="11">
        <f>IFERROR((AB_gen[[#This Row],[2007]]*1000)/(AB_cap[[#This Row],[2007]]*8760), 0)</f>
        <v>0.27598403393833004</v>
      </c>
      <c r="E97" s="11">
        <f>IFERROR((AB_gen[[#This Row],[2008]]*1000)/(AB_cap[[#This Row],[2008]]*8760), 0)</f>
        <v>0.28081669331159942</v>
      </c>
      <c r="F97" s="11">
        <f>IFERROR((AB_gen[[#This Row],[2009]]*1000)/(AB_cap[[#This Row],[2009]]*8760), 0)</f>
        <v>0.22138804426193537</v>
      </c>
      <c r="G97" s="11">
        <f>IFERROR((AB_gen[[#This Row],[2010]]*1000)/(AB_cap[[#This Row],[2010]]*8760), 0)</f>
        <v>0.21159211309990283</v>
      </c>
      <c r="H97" s="11">
        <f>IFERROR((AB_gen[[#This Row],[2011]]*1000)/(AB_cap[[#This Row],[2011]]*8760), 0)</f>
        <v>0.26441421083526839</v>
      </c>
      <c r="I97" s="11">
        <f>IFERROR((AB_gen[[#This Row],[2012]]*1000)/(AB_cap[[#This Row],[2012]]*8760), 0)</f>
        <v>0.29611412460543657</v>
      </c>
      <c r="J97" s="11">
        <f>IFERROR((AB_gen[[#This Row],[2013]]*1000)/(AB_cap[[#This Row],[2013]]*8760), 0)</f>
        <v>0.25895620728754865</v>
      </c>
      <c r="K97" s="11">
        <f>IFERROR((AB_gen[[#This Row],[2014]]*1000)/(AB_cap[[#This Row],[2014]]*8760), 0)</f>
        <v>0.23257280908747305</v>
      </c>
      <c r="L97" s="11">
        <f>IFERROR((AB_gen[[#This Row],[2015]]*1000)/(AB_cap[[#This Row],[2015]]*8760), 0)</f>
        <v>0.25244399497410436</v>
      </c>
      <c r="M97" s="11">
        <f>IFERROR((AB_gen[[#This Row],[2016]]*1000)/(AB_cap[[#This Row],[2016]]*8760), 0)</f>
        <v>0.2515793593112316</v>
      </c>
      <c r="N97" s="11">
        <f>IFERROR((AB_gen[[#This Row],[2017]]*1000)/(AB_cap[[#This Row],[2017]]*8760), 0)</f>
        <v>0.26319464175533214</v>
      </c>
      <c r="O97" s="11">
        <f>IFERROR((AB_gen[[#This Row],[2018]]*1000)/(AB_cap[[#This Row],[2018]]*8760), 0)</f>
        <v>0.25413216863960536</v>
      </c>
      <c r="P97" s="11">
        <f>IFERROR((AB_gen[[#This Row],[2019]]*1000)/(AB_cap[[#This Row],[2019]]*8760), 0)</f>
        <v>0.26076947289337704</v>
      </c>
      <c r="Q97" s="11">
        <f>IFERROR((AB_gen[[#This Row],[2020]]*1000)/(AB_cap[[#This Row],[2020]]*8760), 0)</f>
        <v>0.26076819648871286</v>
      </c>
      <c r="R97" s="11">
        <f>IFERROR((AB_gen[[#This Row],[2021]]*1000)/(AB_cap[[#This Row],[2021]]*8760), 0)</f>
        <v>0.26077074929804128</v>
      </c>
      <c r="S97" s="11">
        <f>IFERROR((AB_gen[[#This Row],[2022]]*1000)/(AB_cap[[#This Row],[2022]]*8760), 0)</f>
        <v>0.2607643672747203</v>
      </c>
      <c r="T97" s="11">
        <f>IFERROR((AB_gen[[#This Row],[2023]]*1000)/(AB_cap[[#This Row],[2023]]*8760), 0)</f>
        <v>0.26076564367938448</v>
      </c>
      <c r="U97" s="11">
        <f>IFERROR((AB_gen[[#This Row],[2024]]*1000)/(AB_cap[[#This Row],[2024]]*8760), 0)</f>
        <v>0.26076309087005611</v>
      </c>
      <c r="V97" s="11">
        <f>IFERROR((AB_gen[[#This Row],[2025]]*1000)/(AB_cap[[#This Row],[2025]]*8760), 0)</f>
        <v>0.26076819648871286</v>
      </c>
      <c r="W97" s="11">
        <f>IFERROR((AB_gen[[#This Row],[2026]]*1000)/(AB_cap[[#This Row],[2026]]*8760), 0)</f>
        <v>0.26078096053535477</v>
      </c>
      <c r="X97" s="11">
        <f>IFERROR((AB_gen[[#This Row],[2027]]*1000)/(AB_cap[[#This Row],[2027]]*8760), 0)</f>
        <v>0.26077968413069058</v>
      </c>
      <c r="Y97" s="11">
        <f>IFERROR((AB_gen[[#This Row],[2028]]*1000)/(AB_cap[[#This Row],[2028]]*8760), 0)</f>
        <v>0.26076564367938448</v>
      </c>
      <c r="Z97" s="11">
        <f>IFERROR((AB_gen[[#This Row],[2029]]*1000)/(AB_cap[[#This Row],[2029]]*8760), 0)</f>
        <v>0.26076564367938448</v>
      </c>
      <c r="AA97" s="11">
        <f>IFERROR((AB_gen[[#This Row],[2030]]*1000)/(AB_cap[[#This Row],[2030]]*8760), 0)</f>
        <v>0.26077202570270547</v>
      </c>
      <c r="AB97" s="11">
        <f>IFERROR((AB_gen[[#This Row],[2031]]*1000)/(AB_cap[[#This Row],[2031]]*8760), 0)</f>
        <v>0.21664926927109379</v>
      </c>
      <c r="AC97" s="11">
        <f>IFERROR((AB_gen[[#This Row],[2032]]*1000)/(AB_cap[[#This Row],[2032]]*8760), 0)</f>
        <v>0.21533201965765295</v>
      </c>
      <c r="AD97" s="11">
        <f>IFERROR((AB_gen[[#This Row],[2033]]*1000)/(AB_cap[[#This Row],[2033]]*8760), 0)</f>
        <v>0.21514821738601003</v>
      </c>
      <c r="AE97" s="11">
        <f>IFERROR((AB_gen[[#This Row],[2034]]*1000)/(AB_cap[[#This Row],[2034]]*8760), 0)</f>
        <v>0.21510864884142025</v>
      </c>
      <c r="AF97" s="11">
        <f>IFERROR((AB_gen[[#This Row],[2035]]*1000)/(AB_cap[[#This Row],[2035]]*8760), 0)</f>
        <v>0.21478571846138098</v>
      </c>
      <c r="AG97" s="11">
        <f>IFERROR((AB_gen[[#This Row],[2036]]*1000)/(AB_cap[[#This Row],[2036]]*8760), 0)</f>
        <v>0.21461085102238736</v>
      </c>
      <c r="AH97" s="11">
        <f>IFERROR((AB_gen[[#This Row],[2037]]*1000)/(AB_cap[[#This Row],[2037]]*8760), 0)</f>
        <v>0.22026149447074264</v>
      </c>
      <c r="AI97" s="11">
        <f>IFERROR((AB_gen[[#This Row],[2038]]*1000)/(AB_cap[[#This Row],[2038]]*8760), 0)</f>
        <v>0.21675393445355712</v>
      </c>
      <c r="AJ97" s="11">
        <f>IFERROR((AB_gen[[#This Row],[2039]]*1000)/(AB_cap[[#This Row],[2039]]*8760), 0)</f>
        <v>0.21523756571250313</v>
      </c>
      <c r="AK97" s="11">
        <f>IFERROR((AB_gen[[#This Row],[2040]]*1000)/(AB_cap[[#This Row],[2040]]*8760), 0)</f>
        <v>0.21579407814608859</v>
      </c>
      <c r="AL97" s="11">
        <f>IFERROR((AB_gen[[#This Row],[2041]]*1000)/(AB_cap[[#This Row],[2041]]*8760), 0)</f>
        <v>0.21677308052351993</v>
      </c>
      <c r="AM97" s="11">
        <f>IFERROR((AB_gen[[#This Row],[2042]]*1000)/(AB_cap[[#This Row],[2042]]*8760), 0)</f>
        <v>0.21030043247142832</v>
      </c>
      <c r="AN97" s="11">
        <f>IFERROR((AB_gen[[#This Row],[2043]]*1000)/(AB_cap[[#This Row],[2043]]*8760), 0)</f>
        <v>0.20942481887179612</v>
      </c>
      <c r="AO97" s="11">
        <f>IFERROR((AB_gen[[#This Row],[2044]]*1000)/(AB_cap[[#This Row],[2044]]*8760), 0)</f>
        <v>0.20802460295518313</v>
      </c>
      <c r="AP97" s="11">
        <f>IFERROR((AB_gen[[#This Row],[2045]]*1000)/(AB_cap[[#This Row],[2045]]*8760), 0)</f>
        <v>0.20778974449697274</v>
      </c>
      <c r="AQ97" s="11">
        <f>IFERROR((AB_gen[[#This Row],[2046]]*1000)/(AB_cap[[#This Row],[2046]]*8760), 0)</f>
        <v>0.20842922323373037</v>
      </c>
      <c r="AR97" s="11">
        <f>IFERROR((AB_gen[[#This Row],[2047]]*1000)/(AB_cap[[#This Row],[2047]]*8760), 0)</f>
        <v>0.20959202788280462</v>
      </c>
      <c r="AS97" s="11">
        <f>IFERROR((AB_gen[[#This Row],[2048]]*1000)/(AB_cap[[#This Row],[2048]]*8760), 0)</f>
        <v>0.20798631081525754</v>
      </c>
      <c r="AT97" s="11">
        <f>IFERROR((AB_gen[[#This Row],[2049]]*1000)/(AB_cap[[#This Row],[2049]]*8760), 0)</f>
        <v>0.20795312429398868</v>
      </c>
      <c r="AU97" s="11">
        <f>IFERROR((AB_gen[[#This Row],[2050]]*1000)/(AB_cap[[#This Row],[2050]]*8760), 0)</f>
        <v>0.20868578057123194</v>
      </c>
    </row>
    <row r="98" spans="1:47" x14ac:dyDescent="0.3">
      <c r="A98" s="2" t="s">
        <v>55</v>
      </c>
      <c r="B98" s="11">
        <f>IFERROR((AB_gen[[#This Row],[2005]]*1000)/(AB_cap[[#This Row],[2005]]*8760), 0)</f>
        <v>0.33700813185613709</v>
      </c>
      <c r="C98" s="11">
        <f>IFERROR((AB_gen[[#This Row],[2006]]*1000)/(AB_cap[[#This Row],[2006]]*8760), 0)</f>
        <v>0.27237561217971468</v>
      </c>
      <c r="D98" s="11">
        <f>IFERROR((AB_gen[[#This Row],[2007]]*1000)/(AB_cap[[#This Row],[2007]]*8760), 0)</f>
        <v>0.31093716025222873</v>
      </c>
      <c r="E98" s="11">
        <f>IFERROR((AB_gen[[#This Row],[2008]]*1000)/(AB_cap[[#This Row],[2008]]*8760), 0)</f>
        <v>0.32028701891715589</v>
      </c>
      <c r="F98" s="11">
        <f>IFERROR((AB_gen[[#This Row],[2009]]*1000)/(AB_cap[[#This Row],[2009]]*8760), 0)</f>
        <v>0.30093719336470187</v>
      </c>
      <c r="G98" s="11">
        <f>IFERROR((AB_gen[[#This Row],[2010]]*1000)/(AB_cap[[#This Row],[2010]]*8760), 0)</f>
        <v>0.25720456999943159</v>
      </c>
      <c r="H98" s="11">
        <f>IFERROR((AB_gen[[#This Row],[2011]]*1000)/(AB_cap[[#This Row],[2011]]*8760), 0)</f>
        <v>0.31303613376619949</v>
      </c>
      <c r="I98" s="11">
        <f>IFERROR((AB_gen[[#This Row],[2012]]*1000)/(AB_cap[[#This Row],[2012]]*8760), 0)</f>
        <v>0.27290239726027399</v>
      </c>
      <c r="J98" s="11">
        <f>IFERROR((AB_gen[[#This Row],[2013]]*1000)/(AB_cap[[#This Row],[2013]]*8760), 0)</f>
        <v>0.32085179962395916</v>
      </c>
      <c r="K98" s="11">
        <f>IFERROR((AB_gen[[#This Row],[2014]]*1000)/(AB_cap[[#This Row],[2014]]*8760), 0)</f>
        <v>0.28012377167676072</v>
      </c>
      <c r="L98" s="11">
        <f>IFERROR((AB_gen[[#This Row],[2015]]*1000)/(AB_cap[[#This Row],[2015]]*8760), 0)</f>
        <v>0.31905729454395643</v>
      </c>
      <c r="M98" s="11">
        <f>IFERROR((AB_gen[[#This Row],[2016]]*1000)/(AB_cap[[#This Row],[2016]]*8760), 0)</f>
        <v>0.3569200017284081</v>
      </c>
      <c r="N98" s="11">
        <f>IFERROR((AB_gen[[#This Row],[2017]]*1000)/(AB_cap[[#This Row],[2017]]*8760), 0)</f>
        <v>0.36065575403607569</v>
      </c>
      <c r="O98" s="11">
        <f>IFERROR((AB_gen[[#This Row],[2018]]*1000)/(AB_cap[[#This Row],[2018]]*8760), 0)</f>
        <v>0.32057424490172542</v>
      </c>
      <c r="P98" s="11">
        <f>IFERROR((AB_gen[[#This Row],[2019]]*1000)/(AB_cap[[#This Row],[2019]]*8760), 0)</f>
        <v>0.32734529595937295</v>
      </c>
      <c r="Q98" s="11">
        <f>IFERROR((AB_gen[[#This Row],[2020]]*1000)/(AB_cap[[#This Row],[2020]]*8760), 0)</f>
        <v>0.32734607424110373</v>
      </c>
      <c r="R98" s="11">
        <f>IFERROR((AB_gen[[#This Row],[2021]]*1000)/(AB_cap[[#This Row],[2021]]*8760), 0)</f>
        <v>0.32734529595937295</v>
      </c>
      <c r="S98" s="11">
        <f>IFERROR((AB_gen[[#This Row],[2022]]*1000)/(AB_cap[[#This Row],[2022]]*8760), 0)</f>
        <v>0.64596012744149423</v>
      </c>
      <c r="T98" s="11">
        <f>IFERROR((AB_gen[[#This Row],[2023]]*1000)/(AB_cap[[#This Row],[2023]]*8760), 0)</f>
        <v>0.64596135634442597</v>
      </c>
      <c r="U98" s="11">
        <f>IFERROR((AB_gen[[#This Row],[2024]]*1000)/(AB_cap[[#This Row],[2024]]*8760), 0)</f>
        <v>0.64595971780718353</v>
      </c>
      <c r="V98" s="11">
        <f>IFERROR((AB_gen[[#This Row],[2025]]*1000)/(AB_cap[[#This Row],[2025]]*8760), 0)</f>
        <v>0.64596094671011539</v>
      </c>
      <c r="W98" s="11">
        <f>IFERROR((AB_gen[[#This Row],[2026]]*1000)/(AB_cap[[#This Row],[2026]]*8760), 0)</f>
        <v>0.64595971780718353</v>
      </c>
      <c r="X98" s="11">
        <f>IFERROR((AB_gen[[#This Row],[2027]]*1000)/(AB_cap[[#This Row],[2027]]*8760), 0)</f>
        <v>0.66631577968751554</v>
      </c>
      <c r="Y98" s="11">
        <f>IFERROR((AB_gen[[#This Row],[2028]]*1000)/(AB_cap[[#This Row],[2028]]*8760), 0)</f>
        <v>0.67723167772293114</v>
      </c>
      <c r="Z98" s="11">
        <f>IFERROR((AB_gen[[#This Row],[2029]]*1000)/(AB_cap[[#This Row],[2029]]*8760), 0)</f>
        <v>0.68745634866012839</v>
      </c>
      <c r="AA98" s="11">
        <f>IFERROR((AB_gen[[#This Row],[2030]]*1000)/(AB_cap[[#This Row],[2030]]*8760), 0)</f>
        <v>0.72260624453192501</v>
      </c>
      <c r="AB98" s="11">
        <f>IFERROR((AB_gen[[#This Row],[2031]]*1000)/(AB_cap[[#This Row],[2031]]*8760), 0)</f>
        <v>0.73845728316398351</v>
      </c>
      <c r="AC98" s="11">
        <f>IFERROR((AB_gen[[#This Row],[2032]]*1000)/(AB_cap[[#This Row],[2032]]*8760), 0)</f>
        <v>0.74760056108015527</v>
      </c>
      <c r="AD98" s="11">
        <f>IFERROR((AB_gen[[#This Row],[2033]]*1000)/(AB_cap[[#This Row],[2033]]*8760), 0)</f>
        <v>0.75065103257789367</v>
      </c>
      <c r="AE98" s="11">
        <f>IFERROR((AB_gen[[#This Row],[2034]]*1000)/(AB_cap[[#This Row],[2034]]*8760), 0)</f>
        <v>0.75173756875861364</v>
      </c>
      <c r="AF98" s="11">
        <f>IFERROR((AB_gen[[#This Row],[2035]]*1000)/(AB_cap[[#This Row],[2035]]*8760), 0)</f>
        <v>0.74915337681476402</v>
      </c>
      <c r="AG98" s="11">
        <f>IFERROR((AB_gen[[#This Row],[2036]]*1000)/(AB_cap[[#This Row],[2036]]*8760), 0)</f>
        <v>0.74948410231879481</v>
      </c>
      <c r="AH98" s="11">
        <f>IFERROR((AB_gen[[#This Row],[2037]]*1000)/(AB_cap[[#This Row],[2037]]*8760), 0)</f>
        <v>0.75067531761031359</v>
      </c>
      <c r="AI98" s="11">
        <f>IFERROR((AB_gen[[#This Row],[2038]]*1000)/(AB_cap[[#This Row],[2038]]*8760), 0)</f>
        <v>0.75064341087916531</v>
      </c>
      <c r="AJ98" s="11">
        <f>IFERROR((AB_gen[[#This Row],[2039]]*1000)/(AB_cap[[#This Row],[2039]]*8760), 0)</f>
        <v>0.75204634017396066</v>
      </c>
      <c r="AK98" s="11">
        <f>IFERROR((AB_gen[[#This Row],[2040]]*1000)/(AB_cap[[#This Row],[2040]]*8760), 0)</f>
        <v>0.75352434743099184</v>
      </c>
      <c r="AL98" s="11">
        <f>IFERROR((AB_gen[[#This Row],[2041]]*1000)/(AB_cap[[#This Row],[2041]]*8760), 0)</f>
        <v>0.75552990464596581</v>
      </c>
      <c r="AM98" s="11">
        <f>IFERROR((AB_gen[[#This Row],[2042]]*1000)/(AB_cap[[#This Row],[2042]]*8760), 0)</f>
        <v>0.75929307887487707</v>
      </c>
      <c r="AN98" s="11">
        <f>IFERROR((AB_gen[[#This Row],[2043]]*1000)/(AB_cap[[#This Row],[2043]]*8760), 0)</f>
        <v>0.76172322721783825</v>
      </c>
      <c r="AO98" s="11">
        <f>IFERROR((AB_gen[[#This Row],[2044]]*1000)/(AB_cap[[#This Row],[2044]]*8760), 0)</f>
        <v>0.76572672565170563</v>
      </c>
      <c r="AP98" s="11">
        <f>IFERROR((AB_gen[[#This Row],[2045]]*1000)/(AB_cap[[#This Row],[2045]]*8760), 0)</f>
        <v>0.76745474070458952</v>
      </c>
      <c r="AQ98" s="11">
        <f>IFERROR((AB_gen[[#This Row],[2046]]*1000)/(AB_cap[[#This Row],[2046]]*8760), 0)</f>
        <v>0.77123968413947219</v>
      </c>
      <c r="AR98" s="11">
        <f>IFERROR((AB_gen[[#This Row],[2047]]*1000)/(AB_cap[[#This Row],[2047]]*8760), 0)</f>
        <v>0.77412683111351199</v>
      </c>
      <c r="AS98" s="11">
        <f>IFERROR((AB_gen[[#This Row],[2048]]*1000)/(AB_cap[[#This Row],[2048]]*8760), 0)</f>
        <v>0.77797790973163594</v>
      </c>
      <c r="AT98" s="11">
        <f>IFERROR((AB_gen[[#This Row],[2049]]*1000)/(AB_cap[[#This Row],[2049]]*8760), 0)</f>
        <v>0.78168066861734509</v>
      </c>
      <c r="AU98" s="11">
        <f>IFERROR((AB_gen[[#This Row],[2050]]*1000)/(AB_cap[[#This Row],[2050]]*8760), 0)</f>
        <v>0.78588777021634859</v>
      </c>
    </row>
    <row r="99" spans="1:47" x14ac:dyDescent="0.3">
      <c r="A99" s="2" t="s">
        <v>56</v>
      </c>
      <c r="B99" s="11">
        <f>IFERROR((AB_gen[[#This Row],[2005]]*1000)/(AB_cap[[#This Row],[2005]]*8760), 0)</f>
        <v>0.72670558897369797</v>
      </c>
      <c r="C99" s="11">
        <f>IFERROR((AB_gen[[#This Row],[2006]]*1000)/(AB_cap[[#This Row],[2006]]*8760), 0)</f>
        <v>0.67638900434453519</v>
      </c>
      <c r="D99" s="11">
        <f>IFERROR((AB_gen[[#This Row],[2007]]*1000)/(AB_cap[[#This Row],[2007]]*8760), 0)</f>
        <v>0.68192722939991746</v>
      </c>
      <c r="E99" s="11">
        <f>IFERROR((AB_gen[[#This Row],[2008]]*1000)/(AB_cap[[#This Row],[2008]]*8760), 0)</f>
        <v>0.69907421586170992</v>
      </c>
      <c r="F99" s="11">
        <f>IFERROR((AB_gen[[#This Row],[2009]]*1000)/(AB_cap[[#This Row],[2009]]*8760), 0)</f>
        <v>0.65748762376237624</v>
      </c>
      <c r="G99" s="11">
        <f>IFERROR((AB_gen[[#This Row],[2010]]*1000)/(AB_cap[[#This Row],[2010]]*8760), 0)</f>
        <v>0.64049753166952561</v>
      </c>
      <c r="H99" s="11">
        <f>IFERROR((AB_gen[[#This Row],[2011]]*1000)/(AB_cap[[#This Row],[2011]]*8760), 0)</f>
        <v>0.62764383816241553</v>
      </c>
      <c r="I99" s="11">
        <f>IFERROR((AB_gen[[#This Row],[2012]]*1000)/(AB_cap[[#This Row],[2012]]*8760), 0)</f>
        <v>0.57632677202716331</v>
      </c>
      <c r="J99" s="11">
        <f>IFERROR((AB_gen[[#This Row],[2013]]*1000)/(AB_cap[[#This Row],[2013]]*8760), 0)</f>
        <v>0.61649041304117913</v>
      </c>
      <c r="K99" s="11">
        <f>IFERROR((AB_gen[[#This Row],[2014]]*1000)/(AB_cap[[#This Row],[2014]]*8760), 0)</f>
        <v>0.91097609381201972</v>
      </c>
      <c r="L99" s="11">
        <f>IFERROR((AB_gen[[#This Row],[2015]]*1000)/(AB_cap[[#This Row],[2015]]*8760), 0)</f>
        <v>0.56552191354073311</v>
      </c>
      <c r="M99" s="11">
        <f>IFERROR((AB_gen[[#This Row],[2016]]*1000)/(AB_cap[[#This Row],[2016]]*8760), 0)</f>
        <v>0.86239689301195233</v>
      </c>
      <c r="N99" s="11">
        <f>IFERROR((AB_gen[[#This Row],[2017]]*1000)/(AB_cap[[#This Row],[2017]]*8760), 0)</f>
        <v>0.46962110720499978</v>
      </c>
      <c r="O99" s="11">
        <f>IFERROR((AB_gen[[#This Row],[2018]]*1000)/(AB_cap[[#This Row],[2018]]*8760), 0)</f>
        <v>0.76929693162275914</v>
      </c>
      <c r="P99" s="11">
        <f>IFERROR((AB_gen[[#This Row],[2019]]*1000)/(AB_cap[[#This Row],[2019]]*8760), 0)</f>
        <v>0.77221980185117345</v>
      </c>
      <c r="Q99" s="11">
        <f>IFERROR((AB_gen[[#This Row],[2020]]*1000)/(AB_cap[[#This Row],[2020]]*8760), 0)</f>
        <v>0.66148916398678892</v>
      </c>
      <c r="R99" s="11">
        <f>IFERROR((AB_gen[[#This Row],[2021]]*1000)/(AB_cap[[#This Row],[2021]]*8760), 0)</f>
        <v>0.66148511032210577</v>
      </c>
      <c r="S99" s="11">
        <f>IFERROR((AB_gen[[#This Row],[2022]]*1000)/(AB_cap[[#This Row],[2022]]*8760), 0)</f>
        <v>0.68393230303308317</v>
      </c>
      <c r="T99" s="11">
        <f>IFERROR((AB_gen[[#This Row],[2023]]*1000)/(AB_cap[[#This Row],[2023]]*8760), 0)</f>
        <v>0.5866750715787612</v>
      </c>
      <c r="U99" s="11">
        <f>IFERROR((AB_gen[[#This Row],[2024]]*1000)/(AB_cap[[#This Row],[2024]]*8760), 0)</f>
        <v>0.60208640120781121</v>
      </c>
      <c r="V99" s="11">
        <f>IFERROR((AB_gen[[#This Row],[2025]]*1000)/(AB_cap[[#This Row],[2025]]*8760), 0)</f>
        <v>0.5866750715787612</v>
      </c>
      <c r="W99" s="11">
        <f>IFERROR((AB_gen[[#This Row],[2026]]*1000)/(AB_cap[[#This Row],[2026]]*8760), 0)</f>
        <v>0.5866750715787612</v>
      </c>
      <c r="X99" s="11">
        <f>IFERROR((AB_gen[[#This Row],[2027]]*1000)/(AB_cap[[#This Row],[2027]]*8760), 0)</f>
        <v>0.60208640120781121</v>
      </c>
      <c r="Y99" s="11">
        <f>IFERROR((AB_gen[[#This Row],[2028]]*1000)/(AB_cap[[#This Row],[2028]]*8760), 0)</f>
        <v>0.52540898580731055</v>
      </c>
      <c r="Z99" s="11">
        <f>IFERROR((AB_gen[[#This Row],[2029]]*1000)/(AB_cap[[#This Row],[2029]]*8760), 0)</f>
        <v>0.52540898580731055</v>
      </c>
      <c r="AA99" s="11">
        <f>IFERROR((AB_gen[[#This Row],[2030]]*1000)/(AB_cap[[#This Row],[2030]]*8760), 0)</f>
        <v>0.5136346752267329</v>
      </c>
      <c r="AB99" s="11">
        <f>IFERROR((AB_gen[[#This Row],[2031]]*1000)/(AB_cap[[#This Row],[2031]]*8760), 0)</f>
        <v>0.52384469745209405</v>
      </c>
      <c r="AC99" s="11">
        <f>IFERROR((AB_gen[[#This Row],[2032]]*1000)/(AB_cap[[#This Row],[2032]]*8760), 0)</f>
        <v>0.5198845473781073</v>
      </c>
      <c r="AD99" s="11">
        <f>IFERROR((AB_gen[[#This Row],[2033]]*1000)/(AB_cap[[#This Row],[2033]]*8760), 0)</f>
        <v>0.45146947112305147</v>
      </c>
      <c r="AE99" s="11">
        <f>IFERROR((AB_gen[[#This Row],[2034]]*1000)/(AB_cap[[#This Row],[2034]]*8760), 0)</f>
        <v>0.45058223449962231</v>
      </c>
      <c r="AF99" s="11">
        <f>IFERROR((AB_gen[[#This Row],[2035]]*1000)/(AB_cap[[#This Row],[2035]]*8760), 0)</f>
        <v>0.45913566464761385</v>
      </c>
      <c r="AG99" s="11">
        <f>IFERROR((AB_gen[[#This Row],[2036]]*1000)/(AB_cap[[#This Row],[2036]]*8760), 0)</f>
        <v>0.46424751724386237</v>
      </c>
      <c r="AH99" s="11">
        <f>IFERROR((AB_gen[[#This Row],[2037]]*1000)/(AB_cap[[#This Row],[2037]]*8760), 0)</f>
        <v>0.45554924294702492</v>
      </c>
      <c r="AI99" s="11">
        <f>IFERROR((AB_gen[[#This Row],[2038]]*1000)/(AB_cap[[#This Row],[2038]]*8760), 0)</f>
        <v>0.46344590166951138</v>
      </c>
      <c r="AJ99" s="11">
        <f>IFERROR((AB_gen[[#This Row],[2039]]*1000)/(AB_cap[[#This Row],[2039]]*8760), 0)</f>
        <v>0.46432555507393686</v>
      </c>
      <c r="AK99" s="11">
        <f>IFERROR((AB_gen[[#This Row],[2040]]*1000)/(AB_cap[[#This Row],[2040]]*8760), 0)</f>
        <v>0.4727019333944692</v>
      </c>
      <c r="AL99" s="11">
        <f>IFERROR((AB_gen[[#This Row],[2041]]*1000)/(AB_cap[[#This Row],[2041]]*8760), 0)</f>
        <v>0.47554672320963681</v>
      </c>
      <c r="AM99" s="11">
        <f>IFERROR((AB_gen[[#This Row],[2042]]*1000)/(AB_cap[[#This Row],[2042]]*8760), 0)</f>
        <v>0.47429584101529748</v>
      </c>
      <c r="AN99" s="11">
        <f>IFERROR((AB_gen[[#This Row],[2043]]*1000)/(AB_cap[[#This Row],[2043]]*8760), 0)</f>
        <v>0.48137768687351867</v>
      </c>
      <c r="AO99" s="11">
        <f>IFERROR((AB_gen[[#This Row],[2044]]*1000)/(AB_cap[[#This Row],[2044]]*8760), 0)</f>
        <v>0.48990994576690633</v>
      </c>
      <c r="AP99" s="11">
        <f>IFERROR((AB_gen[[#This Row],[2045]]*1000)/(AB_cap[[#This Row],[2045]]*8760), 0)</f>
        <v>0.49054699298752863</v>
      </c>
      <c r="AQ99" s="11">
        <f>IFERROR((AB_gen[[#This Row],[2046]]*1000)/(AB_cap[[#This Row],[2046]]*8760), 0)</f>
        <v>0.54031920862950866</v>
      </c>
      <c r="AR99" s="11">
        <f>IFERROR((AB_gen[[#This Row],[2047]]*1000)/(AB_cap[[#This Row],[2047]]*8760), 0)</f>
        <v>0.55134760504805502</v>
      </c>
      <c r="AS99" s="11">
        <f>IFERROR((AB_gen[[#This Row],[2048]]*1000)/(AB_cap[[#This Row],[2048]]*8760), 0)</f>
        <v>0.5249372263469525</v>
      </c>
      <c r="AT99" s="11">
        <f>IFERROR((AB_gen[[#This Row],[2049]]*1000)/(AB_cap[[#This Row],[2049]]*8760), 0)</f>
        <v>0.47273787268867273</v>
      </c>
      <c r="AU99" s="11">
        <f>IFERROR((AB_gen[[#This Row],[2050]]*1000)/(AB_cap[[#This Row],[2050]]*8760), 0)</f>
        <v>0.47487128496837139</v>
      </c>
    </row>
    <row r="100" spans="1:47" x14ac:dyDescent="0.3">
      <c r="A100" s="2" t="s">
        <v>57</v>
      </c>
      <c r="B100" s="11">
        <f>IFERROR((AB_gen[[#This Row],[2005]]*1000)/(AB_cap[[#This Row],[2005]]*8760), 0)</f>
        <v>0</v>
      </c>
      <c r="C100" s="11">
        <f>IFERROR((AB_gen[[#This Row],[2006]]*1000)/(AB_cap[[#This Row],[2006]]*8760), 0)</f>
        <v>0</v>
      </c>
      <c r="D100" s="11">
        <f>IFERROR((AB_gen[[#This Row],[2007]]*1000)/(AB_cap[[#This Row],[2007]]*8760), 0)</f>
        <v>0</v>
      </c>
      <c r="E100" s="11">
        <f>IFERROR((AB_gen[[#This Row],[2008]]*1000)/(AB_cap[[#This Row],[2008]]*8760), 0)</f>
        <v>0</v>
      </c>
      <c r="F100" s="11">
        <f>IFERROR((AB_gen[[#This Row],[2009]]*1000)/(AB_cap[[#This Row],[2009]]*8760), 0)</f>
        <v>0</v>
      </c>
      <c r="G100" s="11">
        <f>IFERROR((AB_gen[[#This Row],[2010]]*1000)/(AB_cap[[#This Row],[2010]]*8760), 0)</f>
        <v>0</v>
      </c>
      <c r="H100" s="11">
        <f>IFERROR((AB_gen[[#This Row],[2011]]*1000)/(AB_cap[[#This Row],[2011]]*8760), 0)</f>
        <v>0</v>
      </c>
      <c r="I100" s="11">
        <f>IFERROR((AB_gen[[#This Row],[2012]]*1000)/(AB_cap[[#This Row],[2012]]*8760), 0)</f>
        <v>0</v>
      </c>
      <c r="J100" s="11">
        <f>IFERROR((AB_gen[[#This Row],[2013]]*1000)/(AB_cap[[#This Row],[2013]]*8760), 0)</f>
        <v>0</v>
      </c>
      <c r="K100" s="11">
        <f>IFERROR((AB_gen[[#This Row],[2014]]*1000)/(AB_cap[[#This Row],[2014]]*8760), 0)</f>
        <v>0</v>
      </c>
      <c r="L100" s="11">
        <f>IFERROR((AB_gen[[#This Row],[2015]]*1000)/(AB_cap[[#This Row],[2015]]*8760), 0)</f>
        <v>0</v>
      </c>
      <c r="M100" s="11">
        <f>IFERROR((AB_gen[[#This Row],[2016]]*1000)/(AB_cap[[#This Row],[2016]]*8760), 0)</f>
        <v>5.1076175007406049E-2</v>
      </c>
      <c r="N100" s="11">
        <f>IFERROR((AB_gen[[#This Row],[2017]]*1000)/(AB_cap[[#This Row],[2017]]*8760), 0)</f>
        <v>1.0633931172943877E-2</v>
      </c>
      <c r="O100" s="11">
        <f>IFERROR((AB_gen[[#This Row],[2018]]*1000)/(AB_cap[[#This Row],[2018]]*8760), 0)</f>
        <v>7.825284558647691E-2</v>
      </c>
      <c r="P100" s="11">
        <f>IFERROR((AB_gen[[#This Row],[2019]]*1000)/(AB_cap[[#This Row],[2019]]*8760), 0)</f>
        <v>7.1992617939558745E-2</v>
      </c>
      <c r="Q100" s="11">
        <f>IFERROR((AB_gen[[#This Row],[2020]]*1000)/(AB_cap[[#This Row],[2020]]*8760), 0)</f>
        <v>7.1992617939558745E-2</v>
      </c>
      <c r="R100" s="11">
        <f>IFERROR((AB_gen[[#This Row],[2021]]*1000)/(AB_cap[[#This Row],[2021]]*8760), 0)</f>
        <v>0.15415086393420116</v>
      </c>
      <c r="S100" s="11">
        <f>IFERROR((AB_gen[[#This Row],[2022]]*1000)/(AB_cap[[#This Row],[2022]]*8760), 0)</f>
        <v>0.16356806194095816</v>
      </c>
      <c r="T100" s="11">
        <f>IFERROR((AB_gen[[#This Row],[2023]]*1000)/(AB_cap[[#This Row],[2023]]*8760), 0)</f>
        <v>0.16356806194095816</v>
      </c>
      <c r="U100" s="11">
        <f>IFERROR((AB_gen[[#This Row],[2024]]*1000)/(AB_cap[[#This Row],[2024]]*8760), 0)</f>
        <v>0.16356806194095816</v>
      </c>
      <c r="V100" s="11">
        <f>IFERROR((AB_gen[[#This Row],[2025]]*1000)/(AB_cap[[#This Row],[2025]]*8760), 0)</f>
        <v>0.16356806194095816</v>
      </c>
      <c r="W100" s="11">
        <f>IFERROR((AB_gen[[#This Row],[2026]]*1000)/(AB_cap[[#This Row],[2026]]*8760), 0)</f>
        <v>0.16432360638273666</v>
      </c>
      <c r="X100" s="11">
        <f>IFERROR((AB_gen[[#This Row],[2027]]*1000)/(AB_cap[[#This Row],[2027]]*8760), 0)</f>
        <v>0.16489850012771107</v>
      </c>
      <c r="Y100" s="11">
        <f>IFERROR((AB_gen[[#This Row],[2028]]*1000)/(AB_cap[[#This Row],[2028]]*8760), 0)</f>
        <v>0.16489850012771107</v>
      </c>
      <c r="Z100" s="11">
        <f>IFERROR((AB_gen[[#This Row],[2029]]*1000)/(AB_cap[[#This Row],[2029]]*8760), 0)</f>
        <v>0.16535183397596326</v>
      </c>
      <c r="AA100" s="11">
        <f>IFERROR((AB_gen[[#This Row],[2030]]*1000)/(AB_cap[[#This Row],[2030]]*8760), 0)</f>
        <v>0.16571658993757921</v>
      </c>
      <c r="AB100" s="11">
        <f>IFERROR((AB_gen[[#This Row],[2031]]*1000)/(AB_cap[[#This Row],[2031]]*8760), 0)</f>
        <v>0.16475855120234717</v>
      </c>
      <c r="AC100" s="11">
        <f>IFERROR((AB_gen[[#This Row],[2032]]*1000)/(AB_cap[[#This Row],[2032]]*8760), 0)</f>
        <v>0.16182187966014458</v>
      </c>
      <c r="AD100" s="11">
        <f>IFERROR((AB_gen[[#This Row],[2033]]*1000)/(AB_cap[[#This Row],[2033]]*8760), 0)</f>
        <v>0.16157195676622799</v>
      </c>
      <c r="AE100" s="11">
        <f>IFERROR((AB_gen[[#This Row],[2034]]*1000)/(AB_cap[[#This Row],[2034]]*8760), 0)</f>
        <v>0.16092769651936906</v>
      </c>
      <c r="AF100" s="11">
        <f>IFERROR((AB_gen[[#This Row],[2035]]*1000)/(AB_cap[[#This Row],[2035]]*8760), 0)</f>
        <v>0.16078385865115058</v>
      </c>
      <c r="AG100" s="11">
        <f>IFERROR((AB_gen[[#This Row],[2036]]*1000)/(AB_cap[[#This Row],[2036]]*8760), 0)</f>
        <v>0.1599635522715768</v>
      </c>
      <c r="AH100" s="11">
        <f>IFERROR((AB_gen[[#This Row],[2037]]*1000)/(AB_cap[[#This Row],[2037]]*8760), 0)</f>
        <v>0.16031324049529186</v>
      </c>
      <c r="AI100" s="11">
        <f>IFERROR((AB_gen[[#This Row],[2038]]*1000)/(AB_cap[[#This Row],[2038]]*8760), 0)</f>
        <v>0.15936001611745026</v>
      </c>
      <c r="AJ100" s="11">
        <f>IFERROR((AB_gen[[#This Row],[2039]]*1000)/(AB_cap[[#This Row],[2039]]*8760), 0)</f>
        <v>0.1596577145162196</v>
      </c>
      <c r="AK100" s="11">
        <f>IFERROR((AB_gen[[#This Row],[2040]]*1000)/(AB_cap[[#This Row],[2040]]*8760), 0)</f>
        <v>0.15923505279363115</v>
      </c>
      <c r="AL100" s="11">
        <f>IFERROR((AB_gen[[#This Row],[2041]]*1000)/(AB_cap[[#This Row],[2041]]*8760), 0)</f>
        <v>0.1596587662750058</v>
      </c>
      <c r="AM100" s="11">
        <f>IFERROR((AB_gen[[#This Row],[2042]]*1000)/(AB_cap[[#This Row],[2042]]*8760), 0)</f>
        <v>0.15877660869902907</v>
      </c>
      <c r="AN100" s="11">
        <f>IFERROR((AB_gen[[#This Row],[2043]]*1000)/(AB_cap[[#This Row],[2043]]*8760), 0)</f>
        <v>0.15928527860352928</v>
      </c>
      <c r="AO100" s="11">
        <f>IFERROR((AB_gen[[#This Row],[2044]]*1000)/(AB_cap[[#This Row],[2044]]*8760), 0)</f>
        <v>0.15859280360748698</v>
      </c>
      <c r="AP100" s="11">
        <f>IFERROR((AB_gen[[#This Row],[2045]]*1000)/(AB_cap[[#This Row],[2045]]*8760), 0)</f>
        <v>0.15908555647493283</v>
      </c>
      <c r="AQ100" s="11">
        <f>IFERROR((AB_gen[[#This Row],[2046]]*1000)/(AB_cap[[#This Row],[2046]]*8760), 0)</f>
        <v>0.1584699456755716</v>
      </c>
      <c r="AR100" s="11">
        <f>IFERROR((AB_gen[[#This Row],[2047]]*1000)/(AB_cap[[#This Row],[2047]]*8760), 0)</f>
        <v>0.15906308179495615</v>
      </c>
      <c r="AS100" s="11">
        <f>IFERROR((AB_gen[[#This Row],[2048]]*1000)/(AB_cap[[#This Row],[2048]]*8760), 0)</f>
        <v>0.15856521877547272</v>
      </c>
      <c r="AT100" s="11">
        <f>IFERROR((AB_gen[[#This Row],[2049]]*1000)/(AB_cap[[#This Row],[2049]]*8760), 0)</f>
        <v>0.15932007487468949</v>
      </c>
      <c r="AU100" s="11">
        <f>IFERROR((AB_gen[[#This Row],[2050]]*1000)/(AB_cap[[#This Row],[2050]]*8760), 0)</f>
        <v>0.1601780213537993</v>
      </c>
    </row>
    <row r="101" spans="1:47" x14ac:dyDescent="0.3">
      <c r="A101" s="2" t="s">
        <v>58</v>
      </c>
      <c r="B101" s="11">
        <f>IFERROR((AB_gen[[#This Row],[2005]]*1000)/(AB_cap[[#This Row],[2005]]*8760), 0)</f>
        <v>0</v>
      </c>
      <c r="C101" s="11">
        <f>IFERROR((AB_gen[[#This Row],[2006]]*1000)/(AB_cap[[#This Row],[2006]]*8760), 0)</f>
        <v>0</v>
      </c>
      <c r="D101" s="11">
        <f>IFERROR((AB_gen[[#This Row],[2007]]*1000)/(AB_cap[[#This Row],[2007]]*8760), 0)</f>
        <v>0</v>
      </c>
      <c r="E101" s="11">
        <f>IFERROR((AB_gen[[#This Row],[2008]]*1000)/(AB_cap[[#This Row],[2008]]*8760), 0)</f>
        <v>0</v>
      </c>
      <c r="F101" s="11">
        <f>IFERROR((AB_gen[[#This Row],[2009]]*1000)/(AB_cap[[#This Row],[2009]]*8760), 0)</f>
        <v>0</v>
      </c>
      <c r="G101" s="11">
        <f>IFERROR((AB_gen[[#This Row],[2010]]*1000)/(AB_cap[[#This Row],[2010]]*8760), 0)</f>
        <v>0</v>
      </c>
      <c r="H101" s="11">
        <f>IFERROR((AB_gen[[#This Row],[2011]]*1000)/(AB_cap[[#This Row],[2011]]*8760), 0)</f>
        <v>0</v>
      </c>
      <c r="I101" s="11">
        <f>IFERROR((AB_gen[[#This Row],[2012]]*1000)/(AB_cap[[#This Row],[2012]]*8760), 0)</f>
        <v>0</v>
      </c>
      <c r="J101" s="11">
        <f>IFERROR((AB_gen[[#This Row],[2013]]*1000)/(AB_cap[[#This Row],[2013]]*8760), 0)</f>
        <v>0</v>
      </c>
      <c r="K101" s="11">
        <f>IFERROR((AB_gen[[#This Row],[2014]]*1000)/(AB_cap[[#This Row],[2014]]*8760), 0)</f>
        <v>0</v>
      </c>
      <c r="L101" s="11">
        <f>IFERROR((AB_gen[[#This Row],[2015]]*1000)/(AB_cap[[#This Row],[2015]]*8760), 0)</f>
        <v>0</v>
      </c>
      <c r="M101" s="11">
        <f>IFERROR((AB_gen[[#This Row],[2016]]*1000)/(AB_cap[[#This Row],[2016]]*8760), 0)</f>
        <v>0</v>
      </c>
      <c r="N101" s="11">
        <f>IFERROR((AB_gen[[#This Row],[2017]]*1000)/(AB_cap[[#This Row],[2017]]*8760), 0)</f>
        <v>0</v>
      </c>
      <c r="O101" s="11">
        <f>IFERROR((AB_gen[[#This Row],[2018]]*1000)/(AB_cap[[#This Row],[2018]]*8760), 0)</f>
        <v>0</v>
      </c>
      <c r="P101" s="11">
        <f>IFERROR((AB_gen[[#This Row],[2019]]*1000)/(AB_cap[[#This Row],[2019]]*8760), 0)</f>
        <v>0</v>
      </c>
      <c r="Q101" s="11">
        <f>IFERROR((AB_gen[[#This Row],[2020]]*1000)/(AB_cap[[#This Row],[2020]]*8760), 0)</f>
        <v>0</v>
      </c>
      <c r="R101" s="11">
        <f>IFERROR((AB_gen[[#This Row],[2021]]*1000)/(AB_cap[[#This Row],[2021]]*8760), 0)</f>
        <v>0</v>
      </c>
      <c r="S101" s="11">
        <f>IFERROR((AB_gen[[#This Row],[2022]]*1000)/(AB_cap[[#This Row],[2022]]*8760), 0)</f>
        <v>0</v>
      </c>
      <c r="T101" s="11">
        <f>IFERROR((AB_gen[[#This Row],[2023]]*1000)/(AB_cap[[#This Row],[2023]]*8760), 0)</f>
        <v>0</v>
      </c>
      <c r="U101" s="11">
        <f>IFERROR((AB_gen[[#This Row],[2024]]*1000)/(AB_cap[[#This Row],[2024]]*8760), 0)</f>
        <v>0</v>
      </c>
      <c r="V101" s="11">
        <f>IFERROR((AB_gen[[#This Row],[2025]]*1000)/(AB_cap[[#This Row],[2025]]*8760), 0)</f>
        <v>0</v>
      </c>
      <c r="W101" s="11">
        <f>IFERROR((AB_gen[[#This Row],[2026]]*1000)/(AB_cap[[#This Row],[2026]]*8760), 0)</f>
        <v>0</v>
      </c>
      <c r="X101" s="11">
        <f>IFERROR((AB_gen[[#This Row],[2027]]*1000)/(AB_cap[[#This Row],[2027]]*8760), 0)</f>
        <v>0</v>
      </c>
      <c r="Y101" s="11">
        <f>IFERROR((AB_gen[[#This Row],[2028]]*1000)/(AB_cap[[#This Row],[2028]]*8760), 0)</f>
        <v>0</v>
      </c>
      <c r="Z101" s="11">
        <f>IFERROR((AB_gen[[#This Row],[2029]]*1000)/(AB_cap[[#This Row],[2029]]*8760), 0)</f>
        <v>0</v>
      </c>
      <c r="AA101" s="11">
        <f>IFERROR((AB_gen[[#This Row],[2030]]*1000)/(AB_cap[[#This Row],[2030]]*8760), 0)</f>
        <v>0</v>
      </c>
      <c r="AB101" s="11">
        <f>IFERROR((AB_gen[[#This Row],[2031]]*1000)/(AB_cap[[#This Row],[2031]]*8760), 0)</f>
        <v>0</v>
      </c>
      <c r="AC101" s="11">
        <f>IFERROR((AB_gen[[#This Row],[2032]]*1000)/(AB_cap[[#This Row],[2032]]*8760), 0)</f>
        <v>0</v>
      </c>
      <c r="AD101" s="11">
        <f>IFERROR((AB_gen[[#This Row],[2033]]*1000)/(AB_cap[[#This Row],[2033]]*8760), 0)</f>
        <v>0</v>
      </c>
      <c r="AE101" s="11">
        <f>IFERROR((AB_gen[[#This Row],[2034]]*1000)/(AB_cap[[#This Row],[2034]]*8760), 0)</f>
        <v>0</v>
      </c>
      <c r="AF101" s="11">
        <f>IFERROR((AB_gen[[#This Row],[2035]]*1000)/(AB_cap[[#This Row],[2035]]*8760), 0)</f>
        <v>0</v>
      </c>
      <c r="AG101" s="11">
        <f>IFERROR((AB_gen[[#This Row],[2036]]*1000)/(AB_cap[[#This Row],[2036]]*8760), 0)</f>
        <v>0</v>
      </c>
      <c r="AH101" s="11">
        <f>IFERROR((AB_gen[[#This Row],[2037]]*1000)/(AB_cap[[#This Row],[2037]]*8760), 0)</f>
        <v>0</v>
      </c>
      <c r="AI101" s="11">
        <f>IFERROR((AB_gen[[#This Row],[2038]]*1000)/(AB_cap[[#This Row],[2038]]*8760), 0)</f>
        <v>0</v>
      </c>
      <c r="AJ101" s="11">
        <f>IFERROR((AB_gen[[#This Row],[2039]]*1000)/(AB_cap[[#This Row],[2039]]*8760), 0)</f>
        <v>0</v>
      </c>
      <c r="AK101" s="11">
        <f>IFERROR((AB_gen[[#This Row],[2040]]*1000)/(AB_cap[[#This Row],[2040]]*8760), 0)</f>
        <v>0</v>
      </c>
      <c r="AL101" s="11">
        <f>IFERROR((AB_gen[[#This Row],[2041]]*1000)/(AB_cap[[#This Row],[2041]]*8760), 0)</f>
        <v>0</v>
      </c>
      <c r="AM101" s="11">
        <f>IFERROR((AB_gen[[#This Row],[2042]]*1000)/(AB_cap[[#This Row],[2042]]*8760), 0)</f>
        <v>0</v>
      </c>
      <c r="AN101" s="11">
        <f>IFERROR((AB_gen[[#This Row],[2043]]*1000)/(AB_cap[[#This Row],[2043]]*8760), 0)</f>
        <v>0</v>
      </c>
      <c r="AO101" s="11">
        <f>IFERROR((AB_gen[[#This Row],[2044]]*1000)/(AB_cap[[#This Row],[2044]]*8760), 0)</f>
        <v>0</v>
      </c>
      <c r="AP101" s="11">
        <f>IFERROR((AB_gen[[#This Row],[2045]]*1000)/(AB_cap[[#This Row],[2045]]*8760), 0)</f>
        <v>0</v>
      </c>
      <c r="AQ101" s="11">
        <f>IFERROR((AB_gen[[#This Row],[2046]]*1000)/(AB_cap[[#This Row],[2046]]*8760), 0)</f>
        <v>0</v>
      </c>
      <c r="AR101" s="11">
        <f>IFERROR((AB_gen[[#This Row],[2047]]*1000)/(AB_cap[[#This Row],[2047]]*8760), 0)</f>
        <v>0</v>
      </c>
      <c r="AS101" s="11">
        <f>IFERROR((AB_gen[[#This Row],[2048]]*1000)/(AB_cap[[#This Row],[2048]]*8760), 0)</f>
        <v>0</v>
      </c>
      <c r="AT101" s="11">
        <f>IFERROR((AB_gen[[#This Row],[2049]]*1000)/(AB_cap[[#This Row],[2049]]*8760), 0)</f>
        <v>0</v>
      </c>
      <c r="AU101" s="11">
        <f>IFERROR((AB_gen[[#This Row],[2050]]*1000)/(AB_cap[[#This Row],[2050]]*8760), 0)</f>
        <v>0</v>
      </c>
    </row>
    <row r="102" spans="1:47" x14ac:dyDescent="0.3">
      <c r="A102" s="2" t="s">
        <v>59</v>
      </c>
      <c r="B102" s="11">
        <f>IFERROR((AB_gen[[#This Row],[2005]]*1000)/(AB_cap[[#This Row],[2005]]*8760), 0)</f>
        <v>0.87342134671130267</v>
      </c>
      <c r="C102" s="11">
        <f>IFERROR((AB_gen[[#This Row],[2006]]*1000)/(AB_cap[[#This Row],[2006]]*8760), 0)</f>
        <v>0.88045310853530034</v>
      </c>
      <c r="D102" s="11">
        <f>IFERROR((AB_gen[[#This Row],[2007]]*1000)/(AB_cap[[#This Row],[2007]]*8760), 0)</f>
        <v>0.86729975974807549</v>
      </c>
      <c r="E102" s="11">
        <f>IFERROR((AB_gen[[#This Row],[2008]]*1000)/(AB_cap[[#This Row],[2008]]*8760), 0)</f>
        <v>0.83295571551261915</v>
      </c>
      <c r="F102" s="11">
        <f>IFERROR((AB_gen[[#This Row],[2009]]*1000)/(AB_cap[[#This Row],[2009]]*8760), 0)</f>
        <v>0.79940020985602367</v>
      </c>
      <c r="G102" s="11">
        <f>IFERROR((AB_gen[[#This Row],[2010]]*1000)/(AB_cap[[#This Row],[2010]]*8760), 0)</f>
        <v>0.76702916216456818</v>
      </c>
      <c r="H102" s="11">
        <f>IFERROR((AB_gen[[#This Row],[2011]]*1000)/(AB_cap[[#This Row],[2011]]*8760), 0)</f>
        <v>0.8010320566582797</v>
      </c>
      <c r="I102" s="11">
        <f>IFERROR((AB_gen[[#This Row],[2012]]*1000)/(AB_cap[[#This Row],[2012]]*8760), 0)</f>
        <v>0.78360931487089303</v>
      </c>
      <c r="J102" s="11">
        <f>IFERROR((AB_gen[[#This Row],[2013]]*1000)/(AB_cap[[#This Row],[2013]]*8760), 0)</f>
        <v>0.78257260786930538</v>
      </c>
      <c r="K102" s="11">
        <f>IFERROR((AB_gen[[#This Row],[2014]]*1000)/(AB_cap[[#This Row],[2014]]*8760), 0)</f>
        <v>0.81643559283805567</v>
      </c>
      <c r="L102" s="11">
        <f>IFERROR((AB_gen[[#This Row],[2015]]*1000)/(AB_cap[[#This Row],[2015]]*8760), 0)</f>
        <v>0.71488601720453515</v>
      </c>
      <c r="M102" s="11">
        <f>IFERROR((AB_gen[[#This Row],[2016]]*1000)/(AB_cap[[#This Row],[2016]]*8760), 0)</f>
        <v>0.71031575593715834</v>
      </c>
      <c r="N102" s="11">
        <f>IFERROR((AB_gen[[#This Row],[2017]]*1000)/(AB_cap[[#This Row],[2017]]*8760), 0)</f>
        <v>0.67616544356938058</v>
      </c>
      <c r="O102" s="11">
        <f>IFERROR((AB_gen[[#This Row],[2018]]*1000)/(AB_cap[[#This Row],[2018]]*8760), 0)</f>
        <v>0.59419567362531167</v>
      </c>
      <c r="P102" s="11">
        <f>IFERROR((AB_gen[[#This Row],[2019]]*1000)/(AB_cap[[#This Row],[2019]]*8760), 0)</f>
        <v>0.56006603199404981</v>
      </c>
      <c r="Q102" s="11">
        <f>IFERROR((AB_gen[[#This Row],[2020]]*1000)/(AB_cap[[#This Row],[2020]]*8760), 0)</f>
        <v>0.57908727720509179</v>
      </c>
      <c r="R102" s="11">
        <f>IFERROR((AB_gen[[#This Row],[2021]]*1000)/(AB_cap[[#This Row],[2021]]*8760), 0)</f>
        <v>0.78908769709467108</v>
      </c>
      <c r="S102" s="11">
        <f>IFERROR((AB_gen[[#This Row],[2022]]*1000)/(AB_cap[[#This Row],[2022]]*8760), 0)</f>
        <v>0.56859770128742315</v>
      </c>
      <c r="T102" s="11">
        <f>IFERROR((AB_gen[[#This Row],[2023]]*1000)/(AB_cap[[#This Row],[2023]]*8760), 0)</f>
        <v>0</v>
      </c>
      <c r="U102" s="11">
        <f>IFERROR((AB_gen[[#This Row],[2024]]*1000)/(AB_cap[[#This Row],[2024]]*8760), 0)</f>
        <v>0</v>
      </c>
      <c r="V102" s="11">
        <f>IFERROR((AB_gen[[#This Row],[2025]]*1000)/(AB_cap[[#This Row],[2025]]*8760), 0)</f>
        <v>0</v>
      </c>
      <c r="W102" s="11">
        <f>IFERROR((AB_gen[[#This Row],[2026]]*1000)/(AB_cap[[#This Row],[2026]]*8760), 0)</f>
        <v>0</v>
      </c>
      <c r="X102" s="11">
        <f>IFERROR((AB_gen[[#This Row],[2027]]*1000)/(AB_cap[[#This Row],[2027]]*8760), 0)</f>
        <v>0</v>
      </c>
      <c r="Y102" s="11">
        <f>IFERROR((AB_gen[[#This Row],[2028]]*1000)/(AB_cap[[#This Row],[2028]]*8760), 0)</f>
        <v>0</v>
      </c>
      <c r="Z102" s="11">
        <f>IFERROR((AB_gen[[#This Row],[2029]]*1000)/(AB_cap[[#This Row],[2029]]*8760), 0)</f>
        <v>0</v>
      </c>
      <c r="AA102" s="11">
        <f>IFERROR((AB_gen[[#This Row],[2030]]*1000)/(AB_cap[[#This Row],[2030]]*8760), 0)</f>
        <v>0</v>
      </c>
      <c r="AB102" s="11">
        <f>IFERROR((AB_gen[[#This Row],[2031]]*1000)/(AB_cap[[#This Row],[2031]]*8760), 0)</f>
        <v>0</v>
      </c>
      <c r="AC102" s="11">
        <f>IFERROR((AB_gen[[#This Row],[2032]]*1000)/(AB_cap[[#This Row],[2032]]*8760), 0)</f>
        <v>0</v>
      </c>
      <c r="AD102" s="11">
        <f>IFERROR((AB_gen[[#This Row],[2033]]*1000)/(AB_cap[[#This Row],[2033]]*8760), 0)</f>
        <v>0</v>
      </c>
      <c r="AE102" s="11">
        <f>IFERROR((AB_gen[[#This Row],[2034]]*1000)/(AB_cap[[#This Row],[2034]]*8760), 0)</f>
        <v>0</v>
      </c>
      <c r="AF102" s="11">
        <f>IFERROR((AB_gen[[#This Row],[2035]]*1000)/(AB_cap[[#This Row],[2035]]*8760), 0)</f>
        <v>0</v>
      </c>
      <c r="AG102" s="11">
        <f>IFERROR((AB_gen[[#This Row],[2036]]*1000)/(AB_cap[[#This Row],[2036]]*8760), 0)</f>
        <v>0</v>
      </c>
      <c r="AH102" s="11">
        <f>IFERROR((AB_gen[[#This Row],[2037]]*1000)/(AB_cap[[#This Row],[2037]]*8760), 0)</f>
        <v>0</v>
      </c>
      <c r="AI102" s="11">
        <f>IFERROR((AB_gen[[#This Row],[2038]]*1000)/(AB_cap[[#This Row],[2038]]*8760), 0)</f>
        <v>0</v>
      </c>
      <c r="AJ102" s="11">
        <f>IFERROR((AB_gen[[#This Row],[2039]]*1000)/(AB_cap[[#This Row],[2039]]*8760), 0)</f>
        <v>0</v>
      </c>
      <c r="AK102" s="11">
        <f>IFERROR((AB_gen[[#This Row],[2040]]*1000)/(AB_cap[[#This Row],[2040]]*8760), 0)</f>
        <v>0</v>
      </c>
      <c r="AL102" s="11">
        <f>IFERROR((AB_gen[[#This Row],[2041]]*1000)/(AB_cap[[#This Row],[2041]]*8760), 0)</f>
        <v>0</v>
      </c>
      <c r="AM102" s="11">
        <f>IFERROR((AB_gen[[#This Row],[2042]]*1000)/(AB_cap[[#This Row],[2042]]*8760), 0)</f>
        <v>0</v>
      </c>
      <c r="AN102" s="11">
        <f>IFERROR((AB_gen[[#This Row],[2043]]*1000)/(AB_cap[[#This Row],[2043]]*8760), 0)</f>
        <v>0</v>
      </c>
      <c r="AO102" s="11">
        <f>IFERROR((AB_gen[[#This Row],[2044]]*1000)/(AB_cap[[#This Row],[2044]]*8760), 0)</f>
        <v>0</v>
      </c>
      <c r="AP102" s="11">
        <f>IFERROR((AB_gen[[#This Row],[2045]]*1000)/(AB_cap[[#This Row],[2045]]*8760), 0)</f>
        <v>0</v>
      </c>
      <c r="AQ102" s="11">
        <f>IFERROR((AB_gen[[#This Row],[2046]]*1000)/(AB_cap[[#This Row],[2046]]*8760), 0)</f>
        <v>0</v>
      </c>
      <c r="AR102" s="11">
        <f>IFERROR((AB_gen[[#This Row],[2047]]*1000)/(AB_cap[[#This Row],[2047]]*8760), 0)</f>
        <v>0</v>
      </c>
      <c r="AS102" s="11">
        <f>IFERROR((AB_gen[[#This Row],[2048]]*1000)/(AB_cap[[#This Row],[2048]]*8760), 0)</f>
        <v>0</v>
      </c>
      <c r="AT102" s="11">
        <f>IFERROR((AB_gen[[#This Row],[2049]]*1000)/(AB_cap[[#This Row],[2049]]*8760), 0)</f>
        <v>0</v>
      </c>
      <c r="AU102" s="11">
        <f>IFERROR((AB_gen[[#This Row],[2050]]*1000)/(AB_cap[[#This Row],[2050]]*8760), 0)</f>
        <v>0</v>
      </c>
    </row>
    <row r="103" spans="1:47" x14ac:dyDescent="0.3">
      <c r="A103" s="2" t="s">
        <v>60</v>
      </c>
      <c r="B103" s="11">
        <f>IFERROR((AB_gen[[#This Row],[2005]]*1000)/(AB_cap[[#This Row],[2005]]*8760), 0)</f>
        <v>0.45552135243245662</v>
      </c>
      <c r="C103" s="11">
        <f>IFERROR((AB_gen[[#This Row],[2006]]*1000)/(AB_cap[[#This Row],[2006]]*8760), 0)</f>
        <v>0.56564109094137349</v>
      </c>
      <c r="D103" s="11">
        <f>IFERROR((AB_gen[[#This Row],[2007]]*1000)/(AB_cap[[#This Row],[2007]]*8760), 0)</f>
        <v>0.55940114937181706</v>
      </c>
      <c r="E103" s="11">
        <f>IFERROR((AB_gen[[#This Row],[2008]]*1000)/(AB_cap[[#This Row],[2008]]*8760), 0)</f>
        <v>0.53772345956511947</v>
      </c>
      <c r="F103" s="11">
        <f>IFERROR((AB_gen[[#This Row],[2009]]*1000)/(AB_cap[[#This Row],[2009]]*8760), 0)</f>
        <v>0.57069184838258513</v>
      </c>
      <c r="G103" s="11">
        <f>IFERROR((AB_gen[[#This Row],[2010]]*1000)/(AB_cap[[#This Row],[2010]]*8760), 0)</f>
        <v>0.5914080164365868</v>
      </c>
      <c r="H103" s="11">
        <f>IFERROR((AB_gen[[#This Row],[2011]]*1000)/(AB_cap[[#This Row],[2011]]*8760), 0)</f>
        <v>0.59583105446805984</v>
      </c>
      <c r="I103" s="11">
        <f>IFERROR((AB_gen[[#This Row],[2012]]*1000)/(AB_cap[[#This Row],[2012]]*8760), 0)</f>
        <v>0.5901098200859124</v>
      </c>
      <c r="J103" s="11">
        <f>IFERROR((AB_gen[[#This Row],[2013]]*1000)/(AB_cap[[#This Row],[2013]]*8760), 0)</f>
        <v>0.60945808418877767</v>
      </c>
      <c r="K103" s="11">
        <f>IFERROR((AB_gen[[#This Row],[2014]]*1000)/(AB_cap[[#This Row],[2014]]*8760), 0)</f>
        <v>0.57769440660631999</v>
      </c>
      <c r="L103" s="11">
        <f>IFERROR((AB_gen[[#This Row],[2015]]*1000)/(AB_cap[[#This Row],[2015]]*8760), 0)</f>
        <v>0.54069097893803841</v>
      </c>
      <c r="M103" s="11">
        <f>IFERROR((AB_gen[[#This Row],[2016]]*1000)/(AB_cap[[#This Row],[2016]]*8760), 0)</f>
        <v>0.47942788658891677</v>
      </c>
      <c r="N103" s="11">
        <f>IFERROR((AB_gen[[#This Row],[2017]]*1000)/(AB_cap[[#This Row],[2017]]*8760), 0)</f>
        <v>0.53162770613559973</v>
      </c>
      <c r="O103" s="11">
        <f>IFERROR((AB_gen[[#This Row],[2018]]*1000)/(AB_cap[[#This Row],[2018]]*8760), 0)</f>
        <v>0.5452891015575928</v>
      </c>
      <c r="P103" s="11">
        <f>IFERROR((AB_gen[[#This Row],[2019]]*1000)/(AB_cap[[#This Row],[2019]]*8760), 0)</f>
        <v>0.57344814376711051</v>
      </c>
      <c r="Q103" s="11">
        <f>IFERROR((AB_gen[[#This Row],[2020]]*1000)/(AB_cap[[#This Row],[2020]]*8760), 0)</f>
        <v>0.57621749611382977</v>
      </c>
      <c r="R103" s="11">
        <f>IFERROR((AB_gen[[#This Row],[2021]]*1000)/(AB_cap[[#This Row],[2021]]*8760), 0)</f>
        <v>0.51601304446318264</v>
      </c>
      <c r="S103" s="11">
        <f>IFERROR((AB_gen[[#This Row],[2022]]*1000)/(AB_cap[[#This Row],[2022]]*8760), 0)</f>
        <v>0.52514671172317551</v>
      </c>
      <c r="T103" s="11">
        <f>IFERROR((AB_gen[[#This Row],[2023]]*1000)/(AB_cap[[#This Row],[2023]]*8760), 0)</f>
        <v>0.53298195314834629</v>
      </c>
      <c r="U103" s="11">
        <f>IFERROR((AB_gen[[#This Row],[2024]]*1000)/(AB_cap[[#This Row],[2024]]*8760), 0)</f>
        <v>0.52323098195205353</v>
      </c>
      <c r="V103" s="11">
        <f>IFERROR((AB_gen[[#This Row],[2025]]*1000)/(AB_cap[[#This Row],[2025]]*8760), 0)</f>
        <v>0.52635229029000341</v>
      </c>
      <c r="W103" s="11">
        <f>IFERROR((AB_gen[[#This Row],[2026]]*1000)/(AB_cap[[#This Row],[2026]]*8760), 0)</f>
        <v>0.53404979193606572</v>
      </c>
      <c r="X103" s="11">
        <f>IFERROR((AB_gen[[#This Row],[2027]]*1000)/(AB_cap[[#This Row],[2027]]*8760), 0)</f>
        <v>0.5246734502085566</v>
      </c>
      <c r="Y103" s="11">
        <f>IFERROR((AB_gen[[#This Row],[2028]]*1000)/(AB_cap[[#This Row],[2028]]*8760), 0)</f>
        <v>0.50406187398115476</v>
      </c>
      <c r="Z103" s="11">
        <f>IFERROR((AB_gen[[#This Row],[2029]]*1000)/(AB_cap[[#This Row],[2029]]*8760), 0)</f>
        <v>0.4970003365035538</v>
      </c>
      <c r="AA103" s="11">
        <f>IFERROR((AB_gen[[#This Row],[2030]]*1000)/(AB_cap[[#This Row],[2030]]*8760), 0)</f>
        <v>0.47653277909607478</v>
      </c>
      <c r="AB103" s="11">
        <f>IFERROR((AB_gen[[#This Row],[2031]]*1000)/(AB_cap[[#This Row],[2031]]*8760), 0)</f>
        <v>0.46297423189910425</v>
      </c>
      <c r="AC103" s="11">
        <f>IFERROR((AB_gen[[#This Row],[2032]]*1000)/(AB_cap[[#This Row],[2032]]*8760), 0)</f>
        <v>0.444993525999545</v>
      </c>
      <c r="AD103" s="11">
        <f>IFERROR((AB_gen[[#This Row],[2033]]*1000)/(AB_cap[[#This Row],[2033]]*8760), 0)</f>
        <v>0.46474220854880177</v>
      </c>
      <c r="AE103" s="11">
        <f>IFERROR((AB_gen[[#This Row],[2034]]*1000)/(AB_cap[[#This Row],[2034]]*8760), 0)</f>
        <v>0.424640685540282</v>
      </c>
      <c r="AF103" s="11">
        <f>IFERROR((AB_gen[[#This Row],[2035]]*1000)/(AB_cap[[#This Row],[2035]]*8760), 0)</f>
        <v>0.41685181098049273</v>
      </c>
      <c r="AG103" s="11">
        <f>IFERROR((AB_gen[[#This Row],[2036]]*1000)/(AB_cap[[#This Row],[2036]]*8760), 0)</f>
        <v>0.41301081642898857</v>
      </c>
      <c r="AH103" s="11">
        <f>IFERROR((AB_gen[[#This Row],[2037]]*1000)/(AB_cap[[#This Row],[2037]]*8760), 0)</f>
        <v>0.43363160385900951</v>
      </c>
      <c r="AI103" s="11">
        <f>IFERROR((AB_gen[[#This Row],[2038]]*1000)/(AB_cap[[#This Row],[2038]]*8760), 0)</f>
        <v>0.42933095104719743</v>
      </c>
      <c r="AJ103" s="11">
        <f>IFERROR((AB_gen[[#This Row],[2039]]*1000)/(AB_cap[[#This Row],[2039]]*8760), 0)</f>
        <v>0.4475592702863378</v>
      </c>
      <c r="AK103" s="11">
        <f>IFERROR((AB_gen[[#This Row],[2040]]*1000)/(AB_cap[[#This Row],[2040]]*8760), 0)</f>
        <v>0.4422979263164325</v>
      </c>
      <c r="AL103" s="11">
        <f>IFERROR((AB_gen[[#This Row],[2041]]*1000)/(AB_cap[[#This Row],[2041]]*8760), 0)</f>
        <v>0.44425812007072568</v>
      </c>
      <c r="AM103" s="11">
        <f>IFERROR((AB_gen[[#This Row],[2042]]*1000)/(AB_cap[[#This Row],[2042]]*8760), 0)</f>
        <v>0.43806280174312823</v>
      </c>
      <c r="AN103" s="11">
        <f>IFERROR((AB_gen[[#This Row],[2043]]*1000)/(AB_cap[[#This Row],[2043]]*8760), 0)</f>
        <v>0.4409435410508219</v>
      </c>
      <c r="AO103" s="11">
        <f>IFERROR((AB_gen[[#This Row],[2044]]*1000)/(AB_cap[[#This Row],[2044]]*8760), 0)</f>
        <v>0.43504492405842438</v>
      </c>
      <c r="AP103" s="11">
        <f>IFERROR((AB_gen[[#This Row],[2045]]*1000)/(AB_cap[[#This Row],[2045]]*8760), 0)</f>
        <v>0.43713867363222553</v>
      </c>
      <c r="AQ103" s="11">
        <f>IFERROR((AB_gen[[#This Row],[2046]]*1000)/(AB_cap[[#This Row],[2046]]*8760), 0)</f>
        <v>0.430569100608444</v>
      </c>
      <c r="AR103" s="11">
        <f>IFERROR((AB_gen[[#This Row],[2047]]*1000)/(AB_cap[[#This Row],[2047]]*8760), 0)</f>
        <v>0.43420367847285024</v>
      </c>
      <c r="AS103" s="11">
        <f>IFERROR((AB_gen[[#This Row],[2048]]*1000)/(AB_cap[[#This Row],[2048]]*8760), 0)</f>
        <v>0.42801195101197015</v>
      </c>
      <c r="AT103" s="11">
        <f>IFERROR((AB_gen[[#This Row],[2049]]*1000)/(AB_cap[[#This Row],[2049]]*8760), 0)</f>
        <v>0.42787664853376672</v>
      </c>
      <c r="AU103" s="11">
        <f>IFERROR((AB_gen[[#This Row],[2050]]*1000)/(AB_cap[[#This Row],[2050]]*8760), 0)</f>
        <v>0.43134840625604071</v>
      </c>
    </row>
    <row r="104" spans="1:47" x14ac:dyDescent="0.3">
      <c r="A104" s="2" t="s">
        <v>61</v>
      </c>
      <c r="B104" s="11">
        <f>IFERROR((AB_gen[[#This Row],[2005]]*1000)/(AB_cap[[#This Row],[2005]]*8760), 0)</f>
        <v>8.1336015582590928</v>
      </c>
      <c r="C104" s="11">
        <f>IFERROR((AB_gen[[#This Row],[2006]]*1000)/(AB_cap[[#This Row],[2006]]*8760), 0)</f>
        <v>13.73183893731839</v>
      </c>
      <c r="D104" s="11">
        <f>IFERROR((AB_gen[[#This Row],[2007]]*1000)/(AB_cap[[#This Row],[2007]]*8760), 0)</f>
        <v>14.721397324137051</v>
      </c>
      <c r="E104" s="11">
        <f>IFERROR((AB_gen[[#This Row],[2008]]*1000)/(AB_cap[[#This Row],[2008]]*8760), 0)</f>
        <v>10.152153782290769</v>
      </c>
      <c r="F104" s="11">
        <f>IFERROR((AB_gen[[#This Row],[2009]]*1000)/(AB_cap[[#This Row],[2009]]*8760), 0)</f>
        <v>0.22591563687454097</v>
      </c>
      <c r="G104" s="11">
        <f>IFERROR((AB_gen[[#This Row],[2010]]*1000)/(AB_cap[[#This Row],[2010]]*8760), 0)</f>
        <v>0.42325254654021777</v>
      </c>
      <c r="H104" s="11">
        <f>IFERROR((AB_gen[[#This Row],[2011]]*1000)/(AB_cap[[#This Row],[2011]]*8760), 0)</f>
        <v>0.40553054251684389</v>
      </c>
      <c r="I104" s="11">
        <f>IFERROR((AB_gen[[#This Row],[2012]]*1000)/(AB_cap[[#This Row],[2012]]*8760), 0)</f>
        <v>0.46188970846505095</v>
      </c>
      <c r="J104" s="11">
        <f>IFERROR((AB_gen[[#This Row],[2013]]*1000)/(AB_cap[[#This Row],[2013]]*8760), 0)</f>
        <v>0.43107577354152699</v>
      </c>
      <c r="K104" s="11">
        <f>IFERROR((AB_gen[[#This Row],[2014]]*1000)/(AB_cap[[#This Row],[2014]]*8760), 0)</f>
        <v>1.2518759779033752</v>
      </c>
      <c r="L104" s="11">
        <f>IFERROR((AB_gen[[#This Row],[2015]]*1000)/(AB_cap[[#This Row],[2015]]*8760), 0)</f>
        <v>1.2810933358878565</v>
      </c>
      <c r="M104" s="11">
        <f>IFERROR((AB_gen[[#This Row],[2016]]*1000)/(AB_cap[[#This Row],[2016]]*8760), 0)</f>
        <v>0.76970974231248201</v>
      </c>
      <c r="N104" s="11">
        <f>IFERROR((AB_gen[[#This Row],[2017]]*1000)/(AB_cap[[#This Row],[2017]]*8760), 0)</f>
        <v>1.5793339081010314</v>
      </c>
      <c r="O104" s="11">
        <f>IFERROR((AB_gen[[#This Row],[2018]]*1000)/(AB_cap[[#This Row],[2018]]*8760), 0)</f>
        <v>0.60925375993869146</v>
      </c>
      <c r="P104" s="11">
        <f>IFERROR((AB_gen[[#This Row],[2019]]*1000)/(AB_cap[[#This Row],[2019]]*8760), 0)</f>
        <v>1.0189354024970463</v>
      </c>
      <c r="Q104" s="11">
        <f>IFERROR((AB_gen[[#This Row],[2020]]*1000)/(AB_cap[[#This Row],[2020]]*8760), 0)</f>
        <v>0.87572245106491686</v>
      </c>
      <c r="R104" s="11">
        <f>IFERROR((AB_gen[[#This Row],[2021]]*1000)/(AB_cap[[#This Row],[2021]]*8760), 0)</f>
        <v>0.87572245106491686</v>
      </c>
      <c r="S104" s="11">
        <f>IFERROR((AB_gen[[#This Row],[2022]]*1000)/(AB_cap[[#This Row],[2022]]*8760), 0)</f>
        <v>0.87572245106491686</v>
      </c>
      <c r="T104" s="11">
        <f>IFERROR((AB_gen[[#This Row],[2023]]*1000)/(AB_cap[[#This Row],[2023]]*8760), 0)</f>
        <v>0.87572245106491686</v>
      </c>
      <c r="U104" s="11">
        <f>IFERROR((AB_gen[[#This Row],[2024]]*1000)/(AB_cap[[#This Row],[2024]]*8760), 0)</f>
        <v>0.87572245106491686</v>
      </c>
      <c r="V104" s="11">
        <f>IFERROR((AB_gen[[#This Row],[2025]]*1000)/(AB_cap[[#This Row],[2025]]*8760), 0)</f>
        <v>0.87572245106491686</v>
      </c>
      <c r="W104" s="11">
        <f>IFERROR((AB_gen[[#This Row],[2026]]*1000)/(AB_cap[[#This Row],[2026]]*8760), 0)</f>
        <v>0.87572245106491686</v>
      </c>
      <c r="X104" s="11">
        <f>IFERROR((AB_gen[[#This Row],[2027]]*1000)/(AB_cap[[#This Row],[2027]]*8760), 0)</f>
        <v>0.87572245106491686</v>
      </c>
      <c r="Y104" s="11">
        <f>IFERROR((AB_gen[[#This Row],[2028]]*1000)/(AB_cap[[#This Row],[2028]]*8760), 0)</f>
        <v>0.87572245106491686</v>
      </c>
      <c r="Z104" s="11">
        <f>IFERROR((AB_gen[[#This Row],[2029]]*1000)/(AB_cap[[#This Row],[2029]]*8760), 0)</f>
        <v>0.87572245106491686</v>
      </c>
      <c r="AA104" s="11">
        <f>IFERROR((AB_gen[[#This Row],[2030]]*1000)/(AB_cap[[#This Row],[2030]]*8760), 0)</f>
        <v>0.87572245106491686</v>
      </c>
      <c r="AB104" s="11">
        <f>IFERROR((AB_gen[[#This Row],[2031]]*1000)/(AB_cap[[#This Row],[2031]]*8760), 0)</f>
        <v>0.86917648561484173</v>
      </c>
      <c r="AC104" s="11">
        <f>IFERROR((AB_gen[[#This Row],[2032]]*1000)/(AB_cap[[#This Row],[2032]]*8760), 0)</f>
        <v>0.85241242775489345</v>
      </c>
      <c r="AD104" s="11">
        <f>IFERROR((AB_gen[[#This Row],[2033]]*1000)/(AB_cap[[#This Row],[2033]]*8760), 0)</f>
        <v>0.84985790465242517</v>
      </c>
      <c r="AE104" s="11">
        <f>IFERROR((AB_gen[[#This Row],[2034]]*1000)/(AB_cap[[#This Row],[2034]]*8760), 0)</f>
        <v>0.84554714691700994</v>
      </c>
      <c r="AF104" s="11">
        <f>IFERROR((AB_gen[[#This Row],[2035]]*1000)/(AB_cap[[#This Row],[2035]]*8760), 0)</f>
        <v>0.84267330842673305</v>
      </c>
      <c r="AG104" s="11">
        <f>IFERROR((AB_gen[[#This Row],[2036]]*1000)/(AB_cap[[#This Row],[2036]]*8760), 0)</f>
        <v>0.83788357760960497</v>
      </c>
      <c r="AH104" s="11">
        <f>IFERROR((AB_gen[[#This Row],[2037]]*1000)/(AB_cap[[#This Row],[2037]]*8760), 0)</f>
        <v>0.83916083916083917</v>
      </c>
      <c r="AI104" s="11">
        <f>IFERROR((AB_gen[[#This Row],[2038]]*1000)/(AB_cap[[#This Row],[2038]]*8760), 0)</f>
        <v>0.83421145064980684</v>
      </c>
      <c r="AJ104" s="11">
        <f>IFERROR((AB_gen[[#This Row],[2039]]*1000)/(AB_cap[[#This Row],[2039]]*8760), 0)</f>
        <v>0.83580802758884953</v>
      </c>
      <c r="AK104" s="11">
        <f>IFERROR((AB_gen[[#This Row],[2040]]*1000)/(AB_cap[[#This Row],[2040]]*8760), 0)</f>
        <v>0.83261487371076415</v>
      </c>
      <c r="AL104" s="11">
        <f>IFERROR((AB_gen[[#This Row],[2041]]*1000)/(AB_cap[[#This Row],[2041]]*8760), 0)</f>
        <v>0.83485008142542394</v>
      </c>
      <c r="AM104" s="11">
        <f>IFERROR((AB_gen[[#This Row],[2042]]*1000)/(AB_cap[[#This Row],[2042]]*8760), 0)</f>
        <v>0.83022000830220011</v>
      </c>
      <c r="AN104" s="11">
        <f>IFERROR((AB_gen[[#This Row],[2043]]*1000)/(AB_cap[[#This Row],[2043]]*8760), 0)</f>
        <v>0.83293418909857264</v>
      </c>
      <c r="AO104" s="11">
        <f>IFERROR((AB_gen[[#This Row],[2044]]*1000)/(AB_cap[[#This Row],[2044]]*8760), 0)</f>
        <v>0.82926206213877451</v>
      </c>
      <c r="AP104" s="11">
        <f>IFERROR((AB_gen[[#This Row],[2045]]*1000)/(AB_cap[[#This Row],[2045]]*8760), 0)</f>
        <v>0.8311779544656257</v>
      </c>
      <c r="AQ104" s="11">
        <f>IFERROR((AB_gen[[#This Row],[2046]]*1000)/(AB_cap[[#This Row],[2046]]*8760), 0)</f>
        <v>0.82798480058754031</v>
      </c>
      <c r="AR104" s="11">
        <f>IFERROR((AB_gen[[#This Row],[2047]]*1000)/(AB_cap[[#This Row],[2047]]*8760), 0)</f>
        <v>0.83101829677172145</v>
      </c>
      <c r="AS104" s="11">
        <f>IFERROR((AB_gen[[#This Row],[2048]]*1000)/(AB_cap[[#This Row],[2048]]*8760), 0)</f>
        <v>0.82846377366925317</v>
      </c>
      <c r="AT104" s="11">
        <f>IFERROR((AB_gen[[#This Row],[2049]]*1000)/(AB_cap[[#This Row],[2049]]*8760), 0)</f>
        <v>0.8324552160168599</v>
      </c>
      <c r="AU104" s="11">
        <f>IFERROR((AB_gen[[#This Row],[2050]]*1000)/(AB_cap[[#This Row],[2050]]*8760), 0)</f>
        <v>0.83692563144617937</v>
      </c>
    </row>
    <row r="106" spans="1:47" ht="18" x14ac:dyDescent="0.35">
      <c r="A106" s="4" t="s">
        <v>70</v>
      </c>
    </row>
    <row r="107" spans="1:47" x14ac:dyDescent="0.3">
      <c r="A107" s="2" t="s">
        <v>7</v>
      </c>
      <c r="B107" s="2" t="s">
        <v>8</v>
      </c>
      <c r="C107" s="2" t="s">
        <v>9</v>
      </c>
      <c r="D107" s="2" t="s">
        <v>10</v>
      </c>
      <c r="E107" s="2" t="s">
        <v>11</v>
      </c>
      <c r="F107" s="2" t="s">
        <v>12</v>
      </c>
      <c r="G107" s="2" t="s">
        <v>13</v>
      </c>
      <c r="H107" s="2" t="s">
        <v>14</v>
      </c>
      <c r="I107" s="2" t="s">
        <v>15</v>
      </c>
      <c r="J107" s="2" t="s">
        <v>16</v>
      </c>
      <c r="K107" s="2" t="s">
        <v>17</v>
      </c>
      <c r="L107" s="2" t="s">
        <v>18</v>
      </c>
      <c r="M107" s="2" t="s">
        <v>19</v>
      </c>
      <c r="N107" s="2" t="s">
        <v>20</v>
      </c>
      <c r="O107" s="2" t="s">
        <v>21</v>
      </c>
      <c r="P107" s="2" t="s">
        <v>22</v>
      </c>
      <c r="Q107" s="2" t="s">
        <v>23</v>
      </c>
      <c r="R107" s="2" t="s">
        <v>24</v>
      </c>
      <c r="S107" s="2" t="s">
        <v>25</v>
      </c>
      <c r="T107" s="2" t="s">
        <v>26</v>
      </c>
      <c r="U107" s="2" t="s">
        <v>27</v>
      </c>
      <c r="V107" s="2" t="s">
        <v>28</v>
      </c>
      <c r="W107" s="2" t="s">
        <v>29</v>
      </c>
      <c r="X107" s="2" t="s">
        <v>30</v>
      </c>
      <c r="Y107" s="2" t="s">
        <v>31</v>
      </c>
      <c r="Z107" s="2" t="s">
        <v>32</v>
      </c>
      <c r="AA107" s="2" t="s">
        <v>33</v>
      </c>
      <c r="AB107" s="2" t="s">
        <v>34</v>
      </c>
      <c r="AC107" s="2" t="s">
        <v>35</v>
      </c>
      <c r="AD107" s="2" t="s">
        <v>36</v>
      </c>
      <c r="AE107" s="2" t="s">
        <v>37</v>
      </c>
      <c r="AF107" s="2" t="s">
        <v>38</v>
      </c>
      <c r="AG107" s="2" t="s">
        <v>39</v>
      </c>
      <c r="AH107" s="2" t="s">
        <v>40</v>
      </c>
      <c r="AI107" s="2" t="s">
        <v>41</v>
      </c>
      <c r="AJ107" s="2" t="s">
        <v>42</v>
      </c>
      <c r="AK107" s="2" t="s">
        <v>43</v>
      </c>
      <c r="AL107" s="2" t="s">
        <v>44</v>
      </c>
      <c r="AM107" s="2" t="s">
        <v>45</v>
      </c>
      <c r="AN107" s="2" t="s">
        <v>46</v>
      </c>
      <c r="AO107" s="2" t="s">
        <v>47</v>
      </c>
      <c r="AP107" s="2" t="s">
        <v>48</v>
      </c>
      <c r="AQ107" s="2" t="s">
        <v>49</v>
      </c>
      <c r="AR107" s="2" t="s">
        <v>50</v>
      </c>
      <c r="AS107" s="2" t="s">
        <v>51</v>
      </c>
      <c r="AT107" s="2" t="s">
        <v>52</v>
      </c>
      <c r="AU107" s="2" t="s">
        <v>53</v>
      </c>
    </row>
    <row r="108" spans="1:47" x14ac:dyDescent="0.3">
      <c r="A108" s="2" t="s">
        <v>54</v>
      </c>
      <c r="B108" s="11">
        <f>IFERROR((BC_gen[[#This Row],[2005]]*1000)/(BC_cap[[#This Row],[2005]]*8760), 0)</f>
        <v>0.53605073835264561</v>
      </c>
      <c r="C108" s="11">
        <f>IFERROR((BC_gen[[#This Row],[2006]]*1000)/(BC_cap[[#This Row],[2006]]*8760), 0)</f>
        <v>0.48781514415019045</v>
      </c>
      <c r="D108" s="11">
        <f>IFERROR((BC_gen[[#This Row],[2007]]*1000)/(BC_cap[[#This Row],[2007]]*8760), 0)</f>
        <v>0.57718503483353589</v>
      </c>
      <c r="E108" s="11">
        <f>IFERROR((BC_gen[[#This Row],[2008]]*1000)/(BC_cap[[#This Row],[2008]]*8760), 0)</f>
        <v>0.52470022703742869</v>
      </c>
      <c r="F108" s="11">
        <f>IFERROR((BC_gen[[#This Row],[2009]]*1000)/(BC_cap[[#This Row],[2009]]*8760), 0)</f>
        <v>0.49982563313638045</v>
      </c>
      <c r="G108" s="11">
        <f>IFERROR((BC_gen[[#This Row],[2010]]*1000)/(BC_cap[[#This Row],[2010]]*8760), 0)</f>
        <v>0.46667621275038584</v>
      </c>
      <c r="H108" s="11">
        <f>IFERROR((BC_gen[[#This Row],[2011]]*1000)/(BC_cap[[#This Row],[2011]]*8760), 0)</f>
        <v>0.5073832306912901</v>
      </c>
      <c r="I108" s="11">
        <f>IFERROR((BC_gen[[#This Row],[2012]]*1000)/(BC_cap[[#This Row],[2012]]*8760), 0)</f>
        <v>0.53831585563255513</v>
      </c>
      <c r="J108" s="11">
        <f>IFERROR((BC_gen[[#This Row],[2013]]*1000)/(BC_cap[[#This Row],[2013]]*8760), 0)</f>
        <v>0.48930099988223336</v>
      </c>
      <c r="K108" s="11">
        <f>IFERROR((BC_gen[[#This Row],[2014]]*1000)/(BC_cap[[#This Row],[2014]]*8760), 0)</f>
        <v>0.46260614019778662</v>
      </c>
      <c r="L108" s="11">
        <f>IFERROR((BC_gen[[#This Row],[2015]]*1000)/(BC_cap[[#This Row],[2015]]*8760), 0)</f>
        <v>0.49371071332106481</v>
      </c>
      <c r="M108" s="11">
        <f>IFERROR((BC_gen[[#This Row],[2016]]*1000)/(BC_cap[[#This Row],[2016]]*8760), 0)</f>
        <v>0.44938692156683496</v>
      </c>
      <c r="N108" s="11">
        <f>IFERROR((BC_gen[[#This Row],[2017]]*1000)/(BC_cap[[#This Row],[2017]]*8760), 0)</f>
        <v>0.47729925300991993</v>
      </c>
      <c r="O108" s="11">
        <f>IFERROR((BC_gen[[#This Row],[2018]]*1000)/(BC_cap[[#This Row],[2018]]*8760), 0)</f>
        <v>0.44209083927252985</v>
      </c>
      <c r="P108" s="11">
        <f>IFERROR((BC_gen[[#This Row],[2019]]*1000)/(BC_cap[[#This Row],[2019]]*8760), 0)</f>
        <v>0.40143108849176601</v>
      </c>
      <c r="Q108" s="11">
        <f>IFERROR((BC_gen[[#This Row],[2020]]*1000)/(BC_cap[[#This Row],[2020]]*8760), 0)</f>
        <v>0.40156745546100964</v>
      </c>
      <c r="R108" s="11">
        <f>IFERROR((BC_gen[[#This Row],[2021]]*1000)/(BC_cap[[#This Row],[2021]]*8760), 0)</f>
        <v>0.40156745546100964</v>
      </c>
      <c r="S108" s="11">
        <f>IFERROR((BC_gen[[#This Row],[2022]]*1000)/(BC_cap[[#This Row],[2022]]*8760), 0)</f>
        <v>0.51861159720283501</v>
      </c>
      <c r="T108" s="11">
        <f>IFERROR((BC_gen[[#This Row],[2023]]*1000)/(BC_cap[[#This Row],[2023]]*8760), 0)</f>
        <v>0.51861195493360435</v>
      </c>
      <c r="U108" s="11">
        <f>IFERROR((BC_gen[[#This Row],[2024]]*1000)/(BC_cap[[#This Row],[2024]]*8760), 0)</f>
        <v>0.51861152565668123</v>
      </c>
      <c r="V108" s="11">
        <f>IFERROR((BC_gen[[#This Row],[2025]]*1000)/(BC_cap[[#This Row],[2025]]*8760), 0)</f>
        <v>0.51934596336054617</v>
      </c>
      <c r="W108" s="11">
        <f>IFERROR((BC_gen[[#This Row],[2026]]*1000)/(BC_cap[[#This Row],[2026]]*8760), 0)</f>
        <v>0.51934899211706231</v>
      </c>
      <c r="X108" s="11">
        <f>IFERROR((BC_gen[[#This Row],[2027]]*1000)/(BC_cap[[#This Row],[2027]]*8760), 0)</f>
        <v>0.5193590036911423</v>
      </c>
      <c r="Y108" s="11">
        <f>IFERROR((BC_gen[[#This Row],[2028]]*1000)/(BC_cap[[#This Row],[2028]]*8760), 0)</f>
        <v>0.51936832974444169</v>
      </c>
      <c r="Z108" s="11">
        <f>IFERROR((BC_gen[[#This Row],[2029]]*1000)/(BC_cap[[#This Row],[2029]]*8760), 0)</f>
        <v>0.51937730576093077</v>
      </c>
      <c r="AA108" s="11">
        <f>IFERROR((BC_gen[[#This Row],[2030]]*1000)/(BC_cap[[#This Row],[2030]]*8760), 0)</f>
        <v>0.52180119676386316</v>
      </c>
      <c r="AB108" s="11">
        <f>IFERROR((BC_gen[[#This Row],[2031]]*1000)/(BC_cap[[#This Row],[2031]]*8760), 0)</f>
        <v>0.52423763218505715</v>
      </c>
      <c r="AC108" s="11">
        <f>IFERROR((BC_gen[[#This Row],[2032]]*1000)/(BC_cap[[#This Row],[2032]]*8760), 0)</f>
        <v>0.52668617974400433</v>
      </c>
      <c r="AD108" s="11">
        <f>IFERROR((BC_gen[[#This Row],[2033]]*1000)/(BC_cap[[#This Row],[2033]]*8760), 0)</f>
        <v>0.52914773872799259</v>
      </c>
      <c r="AE108" s="11">
        <f>IFERROR((BC_gen[[#This Row],[2034]]*1000)/(BC_cap[[#This Row],[2034]]*8760), 0)</f>
        <v>0.53162194283291708</v>
      </c>
      <c r="AF108" s="11">
        <f>IFERROR((BC_gen[[#This Row],[2035]]*1000)/(BC_cap[[#This Row],[2035]]*8760), 0)</f>
        <v>0.53410862619326416</v>
      </c>
      <c r="AG108" s="11">
        <f>IFERROR((BC_gen[[#This Row],[2036]]*1000)/(BC_cap[[#This Row],[2036]]*8760), 0)</f>
        <v>0.53660768985072482</v>
      </c>
      <c r="AH108" s="11">
        <f>IFERROR((BC_gen[[#This Row],[2037]]*1000)/(BC_cap[[#This Row],[2037]]*8760), 0)</f>
        <v>0.53912075824279881</v>
      </c>
      <c r="AI108" s="11">
        <f>IFERROR((BC_gen[[#This Row],[2038]]*1000)/(BC_cap[[#This Row],[2038]]*8760), 0)</f>
        <v>0.54164594083614337</v>
      </c>
      <c r="AJ108" s="11">
        <f>IFERROR((BC_gen[[#This Row],[2039]]*1000)/(BC_cap[[#This Row],[2039]]*8760), 0)</f>
        <v>0.54418366913036553</v>
      </c>
      <c r="AK108" s="11">
        <f>IFERROR((BC_gen[[#This Row],[2040]]*1000)/(BC_cap[[#This Row],[2040]]*8760), 0)</f>
        <v>0.54673549680082756</v>
      </c>
      <c r="AL108" s="11">
        <f>IFERROR((BC_gen[[#This Row],[2041]]*1000)/(BC_cap[[#This Row],[2041]]*8760), 0)</f>
        <v>0.54930006631879824</v>
      </c>
      <c r="AM108" s="11">
        <f>IFERROR((BC_gen[[#This Row],[2042]]*1000)/(BC_cap[[#This Row],[2042]]*8760), 0)</f>
        <v>0.55187747650944718</v>
      </c>
      <c r="AN108" s="11">
        <f>IFERROR((BC_gen[[#This Row],[2043]]*1000)/(BC_cap[[#This Row],[2043]]*8760), 0)</f>
        <v>0.5539193327593892</v>
      </c>
      <c r="AO108" s="11">
        <f>IFERROR((BC_gen[[#This Row],[2044]]*1000)/(BC_cap[[#This Row],[2044]]*8760), 0)</f>
        <v>0.55600935810356744</v>
      </c>
      <c r="AP108" s="11">
        <f>IFERROR((BC_gen[[#This Row],[2045]]*1000)/(BC_cap[[#This Row],[2045]]*8760), 0)</f>
        <v>0.55860181806586173</v>
      </c>
      <c r="AQ108" s="11">
        <f>IFERROR((BC_gen[[#This Row],[2046]]*1000)/(BC_cap[[#This Row],[2046]]*8760), 0)</f>
        <v>0.56120755085220897</v>
      </c>
      <c r="AR108" s="11">
        <f>IFERROR((BC_gen[[#This Row],[2047]]*1000)/(BC_cap[[#This Row],[2047]]*8760), 0)</f>
        <v>0.56382691272012642</v>
      </c>
      <c r="AS108" s="11">
        <f>IFERROR((BC_gen[[#This Row],[2048]]*1000)/(BC_cap[[#This Row],[2048]]*8760), 0)</f>
        <v>0.56645980375842064</v>
      </c>
      <c r="AT108" s="11">
        <f>IFERROR((BC_gen[[#This Row],[2049]]*1000)/(BC_cap[[#This Row],[2049]]*8760), 0)</f>
        <v>0.56910592958397033</v>
      </c>
      <c r="AU108" s="11">
        <f>IFERROR((BC_gen[[#This Row],[2050]]*1000)/(BC_cap[[#This Row],[2050]]*8760), 0)</f>
        <v>0.5717653861112606</v>
      </c>
    </row>
    <row r="109" spans="1:47" x14ac:dyDescent="0.3">
      <c r="A109" s="2" t="s">
        <v>55</v>
      </c>
      <c r="B109" s="11">
        <f>IFERROR((BC_gen[[#This Row],[2005]]*1000)/(BC_cap[[#This Row],[2005]]*8760), 0)</f>
        <v>0</v>
      </c>
      <c r="C109" s="11">
        <f>IFERROR((BC_gen[[#This Row],[2006]]*1000)/(BC_cap[[#This Row],[2006]]*8760), 0)</f>
        <v>0</v>
      </c>
      <c r="D109" s="11">
        <f>IFERROR((BC_gen[[#This Row],[2007]]*1000)/(BC_cap[[#This Row],[2007]]*8760), 0)</f>
        <v>0</v>
      </c>
      <c r="E109" s="11">
        <f>IFERROR((BC_gen[[#This Row],[2008]]*1000)/(BC_cap[[#This Row],[2008]]*8760), 0)</f>
        <v>0</v>
      </c>
      <c r="F109" s="11">
        <f>IFERROR((BC_gen[[#This Row],[2009]]*1000)/(BC_cap[[#This Row],[2009]]*8760), 0)</f>
        <v>3.8051750380517502E-2</v>
      </c>
      <c r="G109" s="11">
        <f>IFERROR((BC_gen[[#This Row],[2010]]*1000)/(BC_cap[[#This Row],[2010]]*8760), 0)</f>
        <v>0.13765780284716628</v>
      </c>
      <c r="H109" s="11">
        <f>IFERROR((BC_gen[[#This Row],[2011]]*1000)/(BC_cap[[#This Row],[2011]]*8760), 0)</f>
        <v>0.22487656383413149</v>
      </c>
      <c r="I109" s="11">
        <f>IFERROR((BC_gen[[#This Row],[2012]]*1000)/(BC_cap[[#This Row],[2012]]*8760), 0)</f>
        <v>0.23572595314994246</v>
      </c>
      <c r="J109" s="11">
        <f>IFERROR((BC_gen[[#This Row],[2013]]*1000)/(BC_cap[[#This Row],[2013]]*8760), 0)</f>
        <v>0.25302452572612155</v>
      </c>
      <c r="K109" s="11">
        <f>IFERROR((BC_gen[[#This Row],[2014]]*1000)/(BC_cap[[#This Row],[2014]]*8760), 0)</f>
        <v>0.25056609776180849</v>
      </c>
      <c r="L109" s="11">
        <f>IFERROR((BC_gen[[#This Row],[2015]]*1000)/(BC_cap[[#This Row],[2015]]*8760), 0)</f>
        <v>0.20304663522718766</v>
      </c>
      <c r="M109" s="11">
        <f>IFERROR((BC_gen[[#This Row],[2016]]*1000)/(BC_cap[[#This Row],[2016]]*8760), 0)</f>
        <v>0.2859434145337813</v>
      </c>
      <c r="N109" s="11">
        <f>IFERROR((BC_gen[[#This Row],[2017]]*1000)/(BC_cap[[#This Row],[2017]]*8760), 0)</f>
        <v>0.26512953308917359</v>
      </c>
      <c r="O109" s="11">
        <f>IFERROR((BC_gen[[#This Row],[2018]]*1000)/(BC_cap[[#This Row],[2018]]*8760), 0)</f>
        <v>0.28024728083736067</v>
      </c>
      <c r="P109" s="11">
        <f>IFERROR((BC_gen[[#This Row],[2019]]*1000)/(BC_cap[[#This Row],[2019]]*8760), 0)</f>
        <v>0.27520803158796497</v>
      </c>
      <c r="Q109" s="11">
        <f>IFERROR((BC_gen[[#This Row],[2020]]*1000)/(BC_cap[[#This Row],[2020]]*8760), 0)</f>
        <v>0.27520803158796497</v>
      </c>
      <c r="R109" s="11">
        <f>IFERROR((BC_gen[[#This Row],[2021]]*1000)/(BC_cap[[#This Row],[2021]]*8760), 0)</f>
        <v>0.27520803158796497</v>
      </c>
      <c r="S109" s="11">
        <f>IFERROR((BC_gen[[#This Row],[2022]]*1000)/(BC_cap[[#This Row],[2022]]*8760), 0)</f>
        <v>0.27520803158796497</v>
      </c>
      <c r="T109" s="11">
        <f>IFERROR((BC_gen[[#This Row],[2023]]*1000)/(BC_cap[[#This Row],[2023]]*8760), 0)</f>
        <v>0.27520803158796497</v>
      </c>
      <c r="U109" s="11">
        <f>IFERROR((BC_gen[[#This Row],[2024]]*1000)/(BC_cap[[#This Row],[2024]]*8760), 0)</f>
        <v>0.28350261240631225</v>
      </c>
      <c r="V109" s="11">
        <f>IFERROR((BC_gen[[#This Row],[2025]]*1000)/(BC_cap[[#This Row],[2025]]*8760), 0)</f>
        <v>0.29076327850750816</v>
      </c>
      <c r="W109" s="11">
        <f>IFERROR((BC_gen[[#This Row],[2026]]*1000)/(BC_cap[[#This Row],[2026]]*8760), 0)</f>
        <v>0.29076327850750816</v>
      </c>
      <c r="X109" s="11">
        <f>IFERROR((BC_gen[[#This Row],[2027]]*1000)/(BC_cap[[#This Row],[2027]]*8760), 0)</f>
        <v>0.29076327850750816</v>
      </c>
      <c r="Y109" s="11">
        <f>IFERROR((BC_gen[[#This Row],[2028]]*1000)/(BC_cap[[#This Row],[2028]]*8760), 0)</f>
        <v>0.29717200373440705</v>
      </c>
      <c r="Z109" s="11">
        <f>IFERROR((BC_gen[[#This Row],[2029]]*1000)/(BC_cap[[#This Row],[2029]]*8760), 0)</f>
        <v>0.29717200373440705</v>
      </c>
      <c r="AA109" s="11">
        <f>IFERROR((BC_gen[[#This Row],[2030]]*1000)/(BC_cap[[#This Row],[2030]]*8760), 0)</f>
        <v>0.30426470606841599</v>
      </c>
      <c r="AB109" s="11">
        <f>IFERROR((BC_gen[[#This Row],[2031]]*1000)/(BC_cap[[#This Row],[2031]]*8760), 0)</f>
        <v>0.31073604812442535</v>
      </c>
      <c r="AC109" s="11">
        <f>IFERROR((BC_gen[[#This Row],[2032]]*1000)/(BC_cap[[#This Row],[2032]]*8760), 0)</f>
        <v>0.31667788571604299</v>
      </c>
      <c r="AD109" s="11">
        <f>IFERROR((BC_gen[[#This Row],[2033]]*1000)/(BC_cap[[#This Row],[2033]]*8760), 0)</f>
        <v>0.32216678545972915</v>
      </c>
      <c r="AE109" s="11">
        <f>IFERROR((BC_gen[[#This Row],[2034]]*1000)/(BC_cap[[#This Row],[2034]]*8760), 0)</f>
        <v>0.32726231421614776</v>
      </c>
      <c r="AF109" s="11">
        <f>IFERROR((BC_gen[[#This Row],[2035]]*1000)/(BC_cap[[#This Row],[2035]]*8760), 0)</f>
        <v>0.33201667176885408</v>
      </c>
      <c r="AG109" s="11">
        <f>IFERROR((BC_gen[[#This Row],[2036]]*1000)/(BC_cap[[#This Row],[2036]]*8760), 0)</f>
        <v>0.33647147519253756</v>
      </c>
      <c r="AH109" s="11">
        <f>IFERROR((BC_gen[[#This Row],[2037]]*1000)/(BC_cap[[#This Row],[2037]]*8760), 0)</f>
        <v>0.34066260639524654</v>
      </c>
      <c r="AI109" s="11">
        <f>IFERROR((BC_gen[[#This Row],[2038]]*1000)/(BC_cap[[#This Row],[2038]]*8760), 0)</f>
        <v>0.34462043652932972</v>
      </c>
      <c r="AJ109" s="11">
        <f>IFERROR((BC_gen[[#This Row],[2039]]*1000)/(BC_cap[[#This Row],[2039]]*8760), 0)</f>
        <v>0.34837000061625684</v>
      </c>
      <c r="AK109" s="11">
        <f>IFERROR((BC_gen[[#This Row],[2040]]*1000)/(BC_cap[[#This Row],[2040]]*8760), 0)</f>
        <v>0.35193357707077094</v>
      </c>
      <c r="AL109" s="11">
        <f>IFERROR((BC_gen[[#This Row],[2041]]*1000)/(BC_cap[[#This Row],[2041]]*8760), 0)</f>
        <v>0.35662265528769327</v>
      </c>
      <c r="AM109" s="11">
        <f>IFERROR((BC_gen[[#This Row],[2042]]*1000)/(BC_cap[[#This Row],[2042]]*8760), 0)</f>
        <v>0.36114549636732118</v>
      </c>
      <c r="AN109" s="11">
        <f>IFERROR((BC_gen[[#This Row],[2043]]*1000)/(BC_cap[[#This Row],[2043]]*8760), 0)</f>
        <v>0.36551669361973449</v>
      </c>
      <c r="AO109" s="11">
        <f>IFERROR((BC_gen[[#This Row],[2044]]*1000)/(BC_cap[[#This Row],[2044]]*8760), 0)</f>
        <v>0.36975044368970289</v>
      </c>
      <c r="AP109" s="11">
        <f>IFERROR((BC_gen[[#This Row],[2045]]*1000)/(BC_cap[[#This Row],[2045]]*8760), 0)</f>
        <v>0.37385853385206697</v>
      </c>
      <c r="AQ109" s="11">
        <f>IFERROR((BC_gen[[#This Row],[2046]]*1000)/(BC_cap[[#This Row],[2046]]*8760), 0)</f>
        <v>0.37785069586251341</v>
      </c>
      <c r="AR109" s="11">
        <f>IFERROR((BC_gen[[#This Row],[2047]]*1000)/(BC_cap[[#This Row],[2047]]*8760), 0)</f>
        <v>0.38173685366042748</v>
      </c>
      <c r="AS109" s="11">
        <f>IFERROR((BC_gen[[#This Row],[2048]]*1000)/(BC_cap[[#This Row],[2048]]*8760), 0)</f>
        <v>0.38552456309369759</v>
      </c>
      <c r="AT109" s="11">
        <f>IFERROR((BC_gen[[#This Row],[2049]]*1000)/(BC_cap[[#This Row],[2049]]*8760), 0)</f>
        <v>0.38922056415404932</v>
      </c>
      <c r="AU109" s="11">
        <f>IFERROR((BC_gen[[#This Row],[2050]]*1000)/(BC_cap[[#This Row],[2050]]*8760), 0)</f>
        <v>0.39283208841248435</v>
      </c>
    </row>
    <row r="110" spans="1:47" x14ac:dyDescent="0.3">
      <c r="A110" s="2" t="s">
        <v>56</v>
      </c>
      <c r="B110" s="11">
        <f>IFERROR((BC_gen[[#This Row],[2005]]*1000)/(BC_cap[[#This Row],[2005]]*8760), 0)</f>
        <v>0.44023338406900053</v>
      </c>
      <c r="C110" s="11">
        <f>IFERROR((BC_gen[[#This Row],[2006]]*1000)/(BC_cap[[#This Row],[2006]]*8760), 0)</f>
        <v>0.45334624786679584</v>
      </c>
      <c r="D110" s="11">
        <f>IFERROR((BC_gen[[#This Row],[2007]]*1000)/(BC_cap[[#This Row],[2007]]*8760), 0)</f>
        <v>0.45334624786679584</v>
      </c>
      <c r="E110" s="11">
        <f>IFERROR((BC_gen[[#This Row],[2008]]*1000)/(BC_cap[[#This Row],[2008]]*8760), 0)</f>
        <v>0.37934597112679302</v>
      </c>
      <c r="F110" s="11">
        <f>IFERROR((BC_gen[[#This Row],[2009]]*1000)/(BC_cap[[#This Row],[2009]]*8760), 0)</f>
        <v>0.33252463754746858</v>
      </c>
      <c r="G110" s="11">
        <f>IFERROR((BC_gen[[#This Row],[2010]]*1000)/(BC_cap[[#This Row],[2010]]*8760), 0)</f>
        <v>0.55030484722980366</v>
      </c>
      <c r="H110" s="11">
        <f>IFERROR((BC_gen[[#This Row],[2011]]*1000)/(BC_cap[[#This Row],[2011]]*8760), 0)</f>
        <v>0.59291501887924491</v>
      </c>
      <c r="I110" s="11">
        <f>IFERROR((BC_gen[[#This Row],[2012]]*1000)/(BC_cap[[#This Row],[2012]]*8760), 0)</f>
        <v>0.58182256105827612</v>
      </c>
      <c r="J110" s="11">
        <f>IFERROR((BC_gen[[#This Row],[2013]]*1000)/(BC_cap[[#This Row],[2013]]*8760), 0)</f>
        <v>0.53368801753871509</v>
      </c>
      <c r="K110" s="11">
        <f>IFERROR((BC_gen[[#This Row],[2014]]*1000)/(BC_cap[[#This Row],[2014]]*8760), 0)</f>
        <v>0.8177383994526134</v>
      </c>
      <c r="L110" s="11">
        <f>IFERROR((BC_gen[[#This Row],[2015]]*1000)/(BC_cap[[#This Row],[2015]]*8760), 0)</f>
        <v>0.51088768798961082</v>
      </c>
      <c r="M110" s="11">
        <f>IFERROR((BC_gen[[#This Row],[2016]]*1000)/(BC_cap[[#This Row],[2016]]*8760), 0)</f>
        <v>0.57687883426708186</v>
      </c>
      <c r="N110" s="11">
        <f>IFERROR((BC_gen[[#This Row],[2017]]*1000)/(BC_cap[[#This Row],[2017]]*8760), 0)</f>
        <v>0.22861564140168905</v>
      </c>
      <c r="O110" s="11">
        <f>IFERROR((BC_gen[[#This Row],[2018]]*1000)/(BC_cap[[#This Row],[2018]]*8760), 0)</f>
        <v>0.40843855342205898</v>
      </c>
      <c r="P110" s="11">
        <f>IFERROR((BC_gen[[#This Row],[2019]]*1000)/(BC_cap[[#This Row],[2019]]*8760), 0)</f>
        <v>0.40297434847999625</v>
      </c>
      <c r="Q110" s="11">
        <f>IFERROR((BC_gen[[#This Row],[2020]]*1000)/(BC_cap[[#This Row],[2020]]*8760), 0)</f>
        <v>0.40297434847999625</v>
      </c>
      <c r="R110" s="11">
        <f>IFERROR((BC_gen[[#This Row],[2021]]*1000)/(BC_cap[[#This Row],[2021]]*8760), 0)</f>
        <v>0.40297434847999625</v>
      </c>
      <c r="S110" s="11">
        <f>IFERROR((BC_gen[[#This Row],[2022]]*1000)/(BC_cap[[#This Row],[2022]]*8760), 0)</f>
        <v>0.40297434847999625</v>
      </c>
      <c r="T110" s="11">
        <f>IFERROR((BC_gen[[#This Row],[2023]]*1000)/(BC_cap[[#This Row],[2023]]*8760), 0)</f>
        <v>0.40297434847999625</v>
      </c>
      <c r="U110" s="11">
        <f>IFERROR((BC_gen[[#This Row],[2024]]*1000)/(BC_cap[[#This Row],[2024]]*8760), 0)</f>
        <v>0.40297434847999625</v>
      </c>
      <c r="V110" s="11">
        <f>IFERROR((BC_gen[[#This Row],[2025]]*1000)/(BC_cap[[#This Row],[2025]]*8760), 0)</f>
        <v>0.40297434847999625</v>
      </c>
      <c r="W110" s="11">
        <f>IFERROR((BC_gen[[#This Row],[2026]]*1000)/(BC_cap[[#This Row],[2026]]*8760), 0)</f>
        <v>0.40297434847999625</v>
      </c>
      <c r="X110" s="11">
        <f>IFERROR((BC_gen[[#This Row],[2027]]*1000)/(BC_cap[[#This Row],[2027]]*8760), 0)</f>
        <v>0.40297434847999625</v>
      </c>
      <c r="Y110" s="11">
        <f>IFERROR((BC_gen[[#This Row],[2028]]*1000)/(BC_cap[[#This Row],[2028]]*8760), 0)</f>
        <v>0.40297434847999625</v>
      </c>
      <c r="Z110" s="11">
        <f>IFERROR((BC_gen[[#This Row],[2029]]*1000)/(BC_cap[[#This Row],[2029]]*8760), 0)</f>
        <v>0.40297434847999625</v>
      </c>
      <c r="AA110" s="11">
        <f>IFERROR((BC_gen[[#This Row],[2030]]*1000)/(BC_cap[[#This Row],[2030]]*8760), 0)</f>
        <v>0.40297434847999625</v>
      </c>
      <c r="AB110" s="11">
        <f>IFERROR((BC_gen[[#This Row],[2031]]*1000)/(BC_cap[[#This Row],[2031]]*8760), 0)</f>
        <v>0.40297434847999625</v>
      </c>
      <c r="AC110" s="11">
        <f>IFERROR((BC_gen[[#This Row],[2032]]*1000)/(BC_cap[[#This Row],[2032]]*8760), 0)</f>
        <v>0.40297434847999625</v>
      </c>
      <c r="AD110" s="11">
        <f>IFERROR((BC_gen[[#This Row],[2033]]*1000)/(BC_cap[[#This Row],[2033]]*8760), 0)</f>
        <v>0.40297434847999625</v>
      </c>
      <c r="AE110" s="11">
        <f>IFERROR((BC_gen[[#This Row],[2034]]*1000)/(BC_cap[[#This Row],[2034]]*8760), 0)</f>
        <v>0.40297434847999625</v>
      </c>
      <c r="AF110" s="11">
        <f>IFERROR((BC_gen[[#This Row],[2035]]*1000)/(BC_cap[[#This Row],[2035]]*8760), 0)</f>
        <v>0.40297434847999625</v>
      </c>
      <c r="AG110" s="11">
        <f>IFERROR((BC_gen[[#This Row],[2036]]*1000)/(BC_cap[[#This Row],[2036]]*8760), 0)</f>
        <v>0.40297434847999625</v>
      </c>
      <c r="AH110" s="11">
        <f>IFERROR((BC_gen[[#This Row],[2037]]*1000)/(BC_cap[[#This Row],[2037]]*8760), 0)</f>
        <v>0.40297434847999625</v>
      </c>
      <c r="AI110" s="11">
        <f>IFERROR((BC_gen[[#This Row],[2038]]*1000)/(BC_cap[[#This Row],[2038]]*8760), 0)</f>
        <v>0.40297434847999625</v>
      </c>
      <c r="AJ110" s="11">
        <f>IFERROR((BC_gen[[#This Row],[2039]]*1000)/(BC_cap[[#This Row],[2039]]*8760), 0)</f>
        <v>0.40297434847999625</v>
      </c>
      <c r="AK110" s="11">
        <f>IFERROR((BC_gen[[#This Row],[2040]]*1000)/(BC_cap[[#This Row],[2040]]*8760), 0)</f>
        <v>0.40297434847999625</v>
      </c>
      <c r="AL110" s="11">
        <f>IFERROR((BC_gen[[#This Row],[2041]]*1000)/(BC_cap[[#This Row],[2041]]*8760), 0)</f>
        <v>0.40297434847999625</v>
      </c>
      <c r="AM110" s="11">
        <f>IFERROR((BC_gen[[#This Row],[2042]]*1000)/(BC_cap[[#This Row],[2042]]*8760), 0)</f>
        <v>0.40297434847999625</v>
      </c>
      <c r="AN110" s="11">
        <f>IFERROR((BC_gen[[#This Row],[2043]]*1000)/(BC_cap[[#This Row],[2043]]*8760), 0)</f>
        <v>0.40297434847999625</v>
      </c>
      <c r="AO110" s="11">
        <f>IFERROR((BC_gen[[#This Row],[2044]]*1000)/(BC_cap[[#This Row],[2044]]*8760), 0)</f>
        <v>0.40297434847999625</v>
      </c>
      <c r="AP110" s="11">
        <f>IFERROR((BC_gen[[#This Row],[2045]]*1000)/(BC_cap[[#This Row],[2045]]*8760), 0)</f>
        <v>0.40297434847999625</v>
      </c>
      <c r="AQ110" s="11">
        <f>IFERROR((BC_gen[[#This Row],[2046]]*1000)/(BC_cap[[#This Row],[2046]]*8760), 0)</f>
        <v>0.40297434847999625</v>
      </c>
      <c r="AR110" s="11">
        <f>IFERROR((BC_gen[[#This Row],[2047]]*1000)/(BC_cap[[#This Row],[2047]]*8760), 0)</f>
        <v>0.40297434847999625</v>
      </c>
      <c r="AS110" s="11">
        <f>IFERROR((BC_gen[[#This Row],[2048]]*1000)/(BC_cap[[#This Row],[2048]]*8760), 0)</f>
        <v>0.40297434847999625</v>
      </c>
      <c r="AT110" s="11">
        <f>IFERROR((BC_gen[[#This Row],[2049]]*1000)/(BC_cap[[#This Row],[2049]]*8760), 0)</f>
        <v>0.40297434847999625</v>
      </c>
      <c r="AU110" s="11">
        <f>IFERROR((BC_gen[[#This Row],[2050]]*1000)/(BC_cap[[#This Row],[2050]]*8760), 0)</f>
        <v>0.40297434847999625</v>
      </c>
    </row>
    <row r="111" spans="1:47" x14ac:dyDescent="0.3">
      <c r="A111" s="2" t="s">
        <v>57</v>
      </c>
      <c r="B111" s="11">
        <f>IFERROR((BC_gen[[#This Row],[2005]]*1000)/(BC_cap[[#This Row],[2005]]*8760), 0)</f>
        <v>0</v>
      </c>
      <c r="C111" s="11">
        <f>IFERROR((BC_gen[[#This Row],[2006]]*1000)/(BC_cap[[#This Row],[2006]]*8760), 0)</f>
        <v>0</v>
      </c>
      <c r="D111" s="11">
        <f>IFERROR((BC_gen[[#This Row],[2007]]*1000)/(BC_cap[[#This Row],[2007]]*8760), 0)</f>
        <v>0</v>
      </c>
      <c r="E111" s="11">
        <f>IFERROR((BC_gen[[#This Row],[2008]]*1000)/(BC_cap[[#This Row],[2008]]*8760), 0)</f>
        <v>0</v>
      </c>
      <c r="F111" s="11">
        <f>IFERROR((BC_gen[[#This Row],[2009]]*1000)/(BC_cap[[#This Row],[2009]]*8760), 0)</f>
        <v>0</v>
      </c>
      <c r="G111" s="11">
        <f>IFERROR((BC_gen[[#This Row],[2010]]*1000)/(BC_cap[[#This Row],[2010]]*8760), 0)</f>
        <v>0</v>
      </c>
      <c r="H111" s="11">
        <f>IFERROR((BC_gen[[#This Row],[2011]]*1000)/(BC_cap[[#This Row],[2011]]*8760), 0)</f>
        <v>0</v>
      </c>
      <c r="I111" s="11">
        <f>IFERROR((BC_gen[[#This Row],[2012]]*1000)/(BC_cap[[#This Row],[2012]]*8760), 0)</f>
        <v>0</v>
      </c>
      <c r="J111" s="11">
        <f>IFERROR((BC_gen[[#This Row],[2013]]*1000)/(BC_cap[[#This Row],[2013]]*8760), 0)</f>
        <v>0</v>
      </c>
      <c r="K111" s="11">
        <f>IFERROR((BC_gen[[#This Row],[2014]]*1000)/(BC_cap[[#This Row],[2014]]*8760), 0)</f>
        <v>0</v>
      </c>
      <c r="L111" s="11">
        <f>IFERROR((BC_gen[[#This Row],[2015]]*1000)/(BC_cap[[#This Row],[2015]]*8760), 0)</f>
        <v>0</v>
      </c>
      <c r="M111" s="11">
        <f>IFERROR((BC_gen[[#This Row],[2016]]*1000)/(BC_cap[[#This Row],[2016]]*8760), 0)</f>
        <v>0</v>
      </c>
      <c r="N111" s="11">
        <f>IFERROR((BC_gen[[#This Row],[2017]]*1000)/(BC_cap[[#This Row],[2017]]*8760), 0)</f>
        <v>0</v>
      </c>
      <c r="O111" s="11">
        <f>IFERROR((BC_gen[[#This Row],[2018]]*1000)/(BC_cap[[#This Row],[2018]]*8760), 0)</f>
        <v>6.9606860452166172E-2</v>
      </c>
      <c r="P111" s="11">
        <f>IFERROR((BC_gen[[#This Row],[2019]]*1000)/(BC_cap[[#This Row],[2019]]*8760), 0)</f>
        <v>9.8071521599271908E-3</v>
      </c>
      <c r="Q111" s="11">
        <f>IFERROR((BC_gen[[#This Row],[2020]]*1000)/(BC_cap[[#This Row],[2020]]*8760), 0)</f>
        <v>9.581587660248865E-2</v>
      </c>
      <c r="R111" s="11">
        <f>IFERROR((BC_gen[[#This Row],[2021]]*1000)/(BC_cap[[#This Row],[2021]]*8760), 0)</f>
        <v>9.581587660248865E-2</v>
      </c>
      <c r="S111" s="11">
        <f>IFERROR((BC_gen[[#This Row],[2022]]*1000)/(BC_cap[[#This Row],[2022]]*8760), 0)</f>
        <v>9.581587660248865E-2</v>
      </c>
      <c r="T111" s="11">
        <f>IFERROR((BC_gen[[#This Row],[2023]]*1000)/(BC_cap[[#This Row],[2023]]*8760), 0)</f>
        <v>9.851482719406103E-2</v>
      </c>
      <c r="U111" s="11">
        <f>IFERROR((BC_gen[[#This Row],[2024]]*1000)/(BC_cap[[#This Row],[2024]]*8760), 0)</f>
        <v>9.851482719406103E-2</v>
      </c>
      <c r="V111" s="11">
        <f>IFERROR((BC_gen[[#This Row],[2025]]*1000)/(BC_cap[[#This Row],[2025]]*8760), 0)</f>
        <v>9.851482719406103E-2</v>
      </c>
      <c r="W111" s="11">
        <f>IFERROR((BC_gen[[#This Row],[2026]]*1000)/(BC_cap[[#This Row],[2026]]*8760), 0)</f>
        <v>9.9123188636468129E-2</v>
      </c>
      <c r="X111" s="11">
        <f>IFERROR((BC_gen[[#This Row],[2027]]*1000)/(BC_cap[[#This Row],[2027]]*8760), 0)</f>
        <v>9.9123188636468129E-2</v>
      </c>
      <c r="Y111" s="11">
        <f>IFERROR((BC_gen[[#This Row],[2028]]*1000)/(BC_cap[[#This Row],[2028]]*8760), 0)</f>
        <v>9.9123188636468129E-2</v>
      </c>
      <c r="Z111" s="11">
        <f>IFERROR((BC_gen[[#This Row],[2029]]*1000)/(BC_cap[[#This Row],[2029]]*8760), 0)</f>
        <v>9.9391873114940507E-2</v>
      </c>
      <c r="AA111" s="11">
        <f>IFERROR((BC_gen[[#This Row],[2030]]*1000)/(BC_cap[[#This Row],[2030]]*8760), 0)</f>
        <v>9.9391873114940507E-2</v>
      </c>
      <c r="AB111" s="11">
        <f>IFERROR((BC_gen[[#This Row],[2031]]*1000)/(BC_cap[[#This Row],[2031]]*8760), 0)</f>
        <v>9.9391873114940507E-2</v>
      </c>
      <c r="AC111" s="11">
        <f>IFERROR((BC_gen[[#This Row],[2032]]*1000)/(BC_cap[[#This Row],[2032]]*8760), 0)</f>
        <v>9.9391873114940507E-2</v>
      </c>
      <c r="AD111" s="11">
        <f>IFERROR((BC_gen[[#This Row],[2033]]*1000)/(BC_cap[[#This Row],[2033]]*8760), 0)</f>
        <v>9.9549507802020612E-2</v>
      </c>
      <c r="AE111" s="11">
        <f>IFERROR((BC_gen[[#This Row],[2034]]*1000)/(BC_cap[[#This Row],[2034]]*8760), 0)</f>
        <v>9.9549507802020612E-2</v>
      </c>
      <c r="AF111" s="11">
        <f>IFERROR((BC_gen[[#This Row],[2035]]*1000)/(BC_cap[[#This Row],[2035]]*8760), 0)</f>
        <v>0.13893567294225581</v>
      </c>
      <c r="AG111" s="11">
        <f>IFERROR((BC_gen[[#This Row],[2036]]*1000)/(BC_cap[[#This Row],[2036]]*8760), 0)</f>
        <v>0.15733481074788816</v>
      </c>
      <c r="AH111" s="11">
        <f>IFERROR((BC_gen[[#This Row],[2037]]*1000)/(BC_cap[[#This Row],[2037]]*8760), 0)</f>
        <v>0.16384726321077853</v>
      </c>
      <c r="AI111" s="11">
        <f>IFERROR((BC_gen[[#This Row],[2038]]*1000)/(BC_cap[[#This Row],[2038]]*8760), 0)</f>
        <v>0.17114230835866784</v>
      </c>
      <c r="AJ111" s="11">
        <f>IFERROR((BC_gen[[#This Row],[2039]]*1000)/(BC_cap[[#This Row],[2039]]*8760), 0)</f>
        <v>0.1731932142891047</v>
      </c>
      <c r="AK111" s="11">
        <f>IFERROR((BC_gen[[#This Row],[2040]]*1000)/(BC_cap[[#This Row],[2040]]*8760), 0)</f>
        <v>0.17738275255469335</v>
      </c>
      <c r="AL111" s="11">
        <f>IFERROR((BC_gen[[#This Row],[2041]]*1000)/(BC_cap[[#This Row],[2041]]*8760), 0)</f>
        <v>0.1806859341682244</v>
      </c>
      <c r="AM111" s="11">
        <f>IFERROR((BC_gen[[#This Row],[2042]]*1000)/(BC_cap[[#This Row],[2042]]*8760), 0)</f>
        <v>0.18333065979928989</v>
      </c>
      <c r="AN111" s="11">
        <f>IFERROR((BC_gen[[#This Row],[2043]]*1000)/(BC_cap[[#This Row],[2043]]*8760), 0)</f>
        <v>0.18549699981692652</v>
      </c>
      <c r="AO111" s="11">
        <f>IFERROR((BC_gen[[#This Row],[2044]]*1000)/(BC_cap[[#This Row],[2044]]*8760), 0)</f>
        <v>0.1873063496950699</v>
      </c>
      <c r="AP111" s="11">
        <f>IFERROR((BC_gen[[#This Row],[2045]]*1000)/(BC_cap[[#This Row],[2045]]*8760), 0)</f>
        <v>0.18885301358066786</v>
      </c>
      <c r="AQ111" s="11">
        <f>IFERROR((BC_gen[[#This Row],[2046]]*1000)/(BC_cap[[#This Row],[2046]]*8760), 0)</f>
        <v>0.19018813635135151</v>
      </c>
      <c r="AR111" s="11">
        <f>IFERROR((BC_gen[[#This Row],[2047]]*1000)/(BC_cap[[#This Row],[2047]]*8760), 0)</f>
        <v>0.19134130708045607</v>
      </c>
      <c r="AS111" s="11">
        <f>IFERROR((BC_gen[[#This Row],[2048]]*1000)/(BC_cap[[#This Row],[2048]]*8760), 0)</f>
        <v>0.19234975982119801</v>
      </c>
      <c r="AT111" s="11">
        <f>IFERROR((BC_gen[[#This Row],[2049]]*1000)/(BC_cap[[#This Row],[2049]]*8760), 0)</f>
        <v>0.19323971786499855</v>
      </c>
      <c r="AU111" s="11">
        <f>IFERROR((BC_gen[[#This Row],[2050]]*1000)/(BC_cap[[#This Row],[2050]]*8760), 0)</f>
        <v>0.19403945314365101</v>
      </c>
    </row>
    <row r="112" spans="1:47" x14ac:dyDescent="0.3">
      <c r="A112" s="2" t="s">
        <v>58</v>
      </c>
      <c r="B112" s="11">
        <f>IFERROR((BC_gen[[#This Row],[2005]]*1000)/(BC_cap[[#This Row],[2005]]*8760), 0)</f>
        <v>0</v>
      </c>
      <c r="C112" s="11">
        <f>IFERROR((BC_gen[[#This Row],[2006]]*1000)/(BC_cap[[#This Row],[2006]]*8760), 0)</f>
        <v>0</v>
      </c>
      <c r="D112" s="11">
        <f>IFERROR((BC_gen[[#This Row],[2007]]*1000)/(BC_cap[[#This Row],[2007]]*8760), 0)</f>
        <v>0</v>
      </c>
      <c r="E112" s="11">
        <f>IFERROR((BC_gen[[#This Row],[2008]]*1000)/(BC_cap[[#This Row],[2008]]*8760), 0)</f>
        <v>0</v>
      </c>
      <c r="F112" s="11">
        <f>IFERROR((BC_gen[[#This Row],[2009]]*1000)/(BC_cap[[#This Row],[2009]]*8760), 0)</f>
        <v>0</v>
      </c>
      <c r="G112" s="11">
        <f>IFERROR((BC_gen[[#This Row],[2010]]*1000)/(BC_cap[[#This Row],[2010]]*8760), 0)</f>
        <v>0</v>
      </c>
      <c r="H112" s="11">
        <f>IFERROR((BC_gen[[#This Row],[2011]]*1000)/(BC_cap[[#This Row],[2011]]*8760), 0)</f>
        <v>0</v>
      </c>
      <c r="I112" s="11">
        <f>IFERROR((BC_gen[[#This Row],[2012]]*1000)/(BC_cap[[#This Row],[2012]]*8760), 0)</f>
        <v>0</v>
      </c>
      <c r="J112" s="11">
        <f>IFERROR((BC_gen[[#This Row],[2013]]*1000)/(BC_cap[[#This Row],[2013]]*8760), 0)</f>
        <v>0</v>
      </c>
      <c r="K112" s="11">
        <f>IFERROR((BC_gen[[#This Row],[2014]]*1000)/(BC_cap[[#This Row],[2014]]*8760), 0)</f>
        <v>0</v>
      </c>
      <c r="L112" s="11">
        <f>IFERROR((BC_gen[[#This Row],[2015]]*1000)/(BC_cap[[#This Row],[2015]]*8760), 0)</f>
        <v>0</v>
      </c>
      <c r="M112" s="11">
        <f>IFERROR((BC_gen[[#This Row],[2016]]*1000)/(BC_cap[[#This Row],[2016]]*8760), 0)</f>
        <v>0</v>
      </c>
      <c r="N112" s="11">
        <f>IFERROR((BC_gen[[#This Row],[2017]]*1000)/(BC_cap[[#This Row],[2017]]*8760), 0)</f>
        <v>0</v>
      </c>
      <c r="O112" s="11">
        <f>IFERROR((BC_gen[[#This Row],[2018]]*1000)/(BC_cap[[#This Row],[2018]]*8760), 0)</f>
        <v>0</v>
      </c>
      <c r="P112" s="11">
        <f>IFERROR((BC_gen[[#This Row],[2019]]*1000)/(BC_cap[[#This Row],[2019]]*8760), 0)</f>
        <v>0</v>
      </c>
      <c r="Q112" s="11">
        <f>IFERROR((BC_gen[[#This Row],[2020]]*1000)/(BC_cap[[#This Row],[2020]]*8760), 0)</f>
        <v>0</v>
      </c>
      <c r="R112" s="11">
        <f>IFERROR((BC_gen[[#This Row],[2021]]*1000)/(BC_cap[[#This Row],[2021]]*8760), 0)</f>
        <v>0</v>
      </c>
      <c r="S112" s="11">
        <f>IFERROR((BC_gen[[#This Row],[2022]]*1000)/(BC_cap[[#This Row],[2022]]*8760), 0)</f>
        <v>0</v>
      </c>
      <c r="T112" s="11">
        <f>IFERROR((BC_gen[[#This Row],[2023]]*1000)/(BC_cap[[#This Row],[2023]]*8760), 0)</f>
        <v>0</v>
      </c>
      <c r="U112" s="11">
        <f>IFERROR((BC_gen[[#This Row],[2024]]*1000)/(BC_cap[[#This Row],[2024]]*8760), 0)</f>
        <v>0</v>
      </c>
      <c r="V112" s="11">
        <f>IFERROR((BC_gen[[#This Row],[2025]]*1000)/(BC_cap[[#This Row],[2025]]*8760), 0)</f>
        <v>0</v>
      </c>
      <c r="W112" s="11">
        <f>IFERROR((BC_gen[[#This Row],[2026]]*1000)/(BC_cap[[#This Row],[2026]]*8760), 0)</f>
        <v>0</v>
      </c>
      <c r="X112" s="11">
        <f>IFERROR((BC_gen[[#This Row],[2027]]*1000)/(BC_cap[[#This Row],[2027]]*8760), 0)</f>
        <v>0</v>
      </c>
      <c r="Y112" s="11">
        <f>IFERROR((BC_gen[[#This Row],[2028]]*1000)/(BC_cap[[#This Row],[2028]]*8760), 0)</f>
        <v>0</v>
      </c>
      <c r="Z112" s="11">
        <f>IFERROR((BC_gen[[#This Row],[2029]]*1000)/(BC_cap[[#This Row],[2029]]*8760), 0)</f>
        <v>0</v>
      </c>
      <c r="AA112" s="11">
        <f>IFERROR((BC_gen[[#This Row],[2030]]*1000)/(BC_cap[[#This Row],[2030]]*8760), 0)</f>
        <v>0</v>
      </c>
      <c r="AB112" s="11">
        <f>IFERROR((BC_gen[[#This Row],[2031]]*1000)/(BC_cap[[#This Row],[2031]]*8760), 0)</f>
        <v>0</v>
      </c>
      <c r="AC112" s="11">
        <f>IFERROR((BC_gen[[#This Row],[2032]]*1000)/(BC_cap[[#This Row],[2032]]*8760), 0)</f>
        <v>0</v>
      </c>
      <c r="AD112" s="11">
        <f>IFERROR((BC_gen[[#This Row],[2033]]*1000)/(BC_cap[[#This Row],[2033]]*8760), 0)</f>
        <v>0</v>
      </c>
      <c r="AE112" s="11">
        <f>IFERROR((BC_gen[[#This Row],[2034]]*1000)/(BC_cap[[#This Row],[2034]]*8760), 0)</f>
        <v>0</v>
      </c>
      <c r="AF112" s="11">
        <f>IFERROR((BC_gen[[#This Row],[2035]]*1000)/(BC_cap[[#This Row],[2035]]*8760), 0)</f>
        <v>0</v>
      </c>
      <c r="AG112" s="11">
        <f>IFERROR((BC_gen[[#This Row],[2036]]*1000)/(BC_cap[[#This Row],[2036]]*8760), 0)</f>
        <v>0</v>
      </c>
      <c r="AH112" s="11">
        <f>IFERROR((BC_gen[[#This Row],[2037]]*1000)/(BC_cap[[#This Row],[2037]]*8760), 0)</f>
        <v>0</v>
      </c>
      <c r="AI112" s="11">
        <f>IFERROR((BC_gen[[#This Row],[2038]]*1000)/(BC_cap[[#This Row],[2038]]*8760), 0)</f>
        <v>0</v>
      </c>
      <c r="AJ112" s="11">
        <f>IFERROR((BC_gen[[#This Row],[2039]]*1000)/(BC_cap[[#This Row],[2039]]*8760), 0)</f>
        <v>0</v>
      </c>
      <c r="AK112" s="11">
        <f>IFERROR((BC_gen[[#This Row],[2040]]*1000)/(BC_cap[[#This Row],[2040]]*8760), 0)</f>
        <v>0</v>
      </c>
      <c r="AL112" s="11">
        <f>IFERROR((BC_gen[[#This Row],[2041]]*1000)/(BC_cap[[#This Row],[2041]]*8760), 0)</f>
        <v>0</v>
      </c>
      <c r="AM112" s="11">
        <f>IFERROR((BC_gen[[#This Row],[2042]]*1000)/(BC_cap[[#This Row],[2042]]*8760), 0)</f>
        <v>0</v>
      </c>
      <c r="AN112" s="11">
        <f>IFERROR((BC_gen[[#This Row],[2043]]*1000)/(BC_cap[[#This Row],[2043]]*8760), 0)</f>
        <v>0</v>
      </c>
      <c r="AO112" s="11">
        <f>IFERROR((BC_gen[[#This Row],[2044]]*1000)/(BC_cap[[#This Row],[2044]]*8760), 0)</f>
        <v>0</v>
      </c>
      <c r="AP112" s="11">
        <f>IFERROR((BC_gen[[#This Row],[2045]]*1000)/(BC_cap[[#This Row],[2045]]*8760), 0)</f>
        <v>0</v>
      </c>
      <c r="AQ112" s="11">
        <f>IFERROR((BC_gen[[#This Row],[2046]]*1000)/(BC_cap[[#This Row],[2046]]*8760), 0)</f>
        <v>0</v>
      </c>
      <c r="AR112" s="11">
        <f>IFERROR((BC_gen[[#This Row],[2047]]*1000)/(BC_cap[[#This Row],[2047]]*8760), 0)</f>
        <v>0</v>
      </c>
      <c r="AS112" s="11">
        <f>IFERROR((BC_gen[[#This Row],[2048]]*1000)/(BC_cap[[#This Row],[2048]]*8760), 0)</f>
        <v>0</v>
      </c>
      <c r="AT112" s="11">
        <f>IFERROR((BC_gen[[#This Row],[2049]]*1000)/(BC_cap[[#This Row],[2049]]*8760), 0)</f>
        <v>0</v>
      </c>
      <c r="AU112" s="11">
        <f>IFERROR((BC_gen[[#This Row],[2050]]*1000)/(BC_cap[[#This Row],[2050]]*8760), 0)</f>
        <v>0</v>
      </c>
    </row>
    <row r="113" spans="1:47" x14ac:dyDescent="0.3">
      <c r="A113" s="2" t="s">
        <v>59</v>
      </c>
      <c r="B113" s="11">
        <f>IFERROR((BC_gen[[#This Row],[2005]]*1000)/(BC_cap[[#This Row],[2005]]*8760), 0)</f>
        <v>0</v>
      </c>
      <c r="C113" s="11">
        <f>IFERROR((BC_gen[[#This Row],[2006]]*1000)/(BC_cap[[#This Row],[2006]]*8760), 0)</f>
        <v>0</v>
      </c>
      <c r="D113" s="11">
        <f>IFERROR((BC_gen[[#This Row],[2007]]*1000)/(BC_cap[[#This Row],[2007]]*8760), 0)</f>
        <v>0</v>
      </c>
      <c r="E113" s="11">
        <f>IFERROR((BC_gen[[#This Row],[2008]]*1000)/(BC_cap[[#This Row],[2008]]*8760), 0)</f>
        <v>0</v>
      </c>
      <c r="F113" s="11">
        <f>IFERROR((BC_gen[[#This Row],[2009]]*1000)/(BC_cap[[#This Row],[2009]]*8760), 0)</f>
        <v>0</v>
      </c>
      <c r="G113" s="11">
        <f>IFERROR((BC_gen[[#This Row],[2010]]*1000)/(BC_cap[[#This Row],[2010]]*8760), 0)</f>
        <v>0</v>
      </c>
      <c r="H113" s="11">
        <f>IFERROR((BC_gen[[#This Row],[2011]]*1000)/(BC_cap[[#This Row],[2011]]*8760), 0)</f>
        <v>0</v>
      </c>
      <c r="I113" s="11">
        <f>IFERROR((BC_gen[[#This Row],[2012]]*1000)/(BC_cap[[#This Row],[2012]]*8760), 0)</f>
        <v>0</v>
      </c>
      <c r="J113" s="11">
        <f>IFERROR((BC_gen[[#This Row],[2013]]*1000)/(BC_cap[[#This Row],[2013]]*8760), 0)</f>
        <v>0</v>
      </c>
      <c r="K113" s="11">
        <f>IFERROR((BC_gen[[#This Row],[2014]]*1000)/(BC_cap[[#This Row],[2014]]*8760), 0)</f>
        <v>0</v>
      </c>
      <c r="L113" s="11">
        <f>IFERROR((BC_gen[[#This Row],[2015]]*1000)/(BC_cap[[#This Row],[2015]]*8760), 0)</f>
        <v>0</v>
      </c>
      <c r="M113" s="11">
        <f>IFERROR((BC_gen[[#This Row],[2016]]*1000)/(BC_cap[[#This Row],[2016]]*8760), 0)</f>
        <v>0</v>
      </c>
      <c r="N113" s="11">
        <f>IFERROR((BC_gen[[#This Row],[2017]]*1000)/(BC_cap[[#This Row],[2017]]*8760), 0)</f>
        <v>0</v>
      </c>
      <c r="O113" s="11">
        <f>IFERROR((BC_gen[[#This Row],[2018]]*1000)/(BC_cap[[#This Row],[2018]]*8760), 0)</f>
        <v>0</v>
      </c>
      <c r="P113" s="11">
        <f>IFERROR((BC_gen[[#This Row],[2019]]*1000)/(BC_cap[[#This Row],[2019]]*8760), 0)</f>
        <v>0</v>
      </c>
      <c r="Q113" s="11">
        <f>IFERROR((BC_gen[[#This Row],[2020]]*1000)/(BC_cap[[#This Row],[2020]]*8760), 0)</f>
        <v>0</v>
      </c>
      <c r="R113" s="11">
        <f>IFERROR((BC_gen[[#This Row],[2021]]*1000)/(BC_cap[[#This Row],[2021]]*8760), 0)</f>
        <v>0</v>
      </c>
      <c r="S113" s="11">
        <f>IFERROR((BC_gen[[#This Row],[2022]]*1000)/(BC_cap[[#This Row],[2022]]*8760), 0)</f>
        <v>0</v>
      </c>
      <c r="T113" s="11">
        <f>IFERROR((BC_gen[[#This Row],[2023]]*1000)/(BC_cap[[#This Row],[2023]]*8760), 0)</f>
        <v>0</v>
      </c>
      <c r="U113" s="11">
        <f>IFERROR((BC_gen[[#This Row],[2024]]*1000)/(BC_cap[[#This Row],[2024]]*8760), 0)</f>
        <v>0</v>
      </c>
      <c r="V113" s="11">
        <f>IFERROR((BC_gen[[#This Row],[2025]]*1000)/(BC_cap[[#This Row],[2025]]*8760), 0)</f>
        <v>0</v>
      </c>
      <c r="W113" s="11">
        <f>IFERROR((BC_gen[[#This Row],[2026]]*1000)/(BC_cap[[#This Row],[2026]]*8760), 0)</f>
        <v>0</v>
      </c>
      <c r="X113" s="11">
        <f>IFERROR((BC_gen[[#This Row],[2027]]*1000)/(BC_cap[[#This Row],[2027]]*8760), 0)</f>
        <v>0</v>
      </c>
      <c r="Y113" s="11">
        <f>IFERROR((BC_gen[[#This Row],[2028]]*1000)/(BC_cap[[#This Row],[2028]]*8760), 0)</f>
        <v>0</v>
      </c>
      <c r="Z113" s="11">
        <f>IFERROR((BC_gen[[#This Row],[2029]]*1000)/(BC_cap[[#This Row],[2029]]*8760), 0)</f>
        <v>0</v>
      </c>
      <c r="AA113" s="11">
        <f>IFERROR((BC_gen[[#This Row],[2030]]*1000)/(BC_cap[[#This Row],[2030]]*8760), 0)</f>
        <v>0</v>
      </c>
      <c r="AB113" s="11">
        <f>IFERROR((BC_gen[[#This Row],[2031]]*1000)/(BC_cap[[#This Row],[2031]]*8760), 0)</f>
        <v>0</v>
      </c>
      <c r="AC113" s="11">
        <f>IFERROR((BC_gen[[#This Row],[2032]]*1000)/(BC_cap[[#This Row],[2032]]*8760), 0)</f>
        <v>0</v>
      </c>
      <c r="AD113" s="11">
        <f>IFERROR((BC_gen[[#This Row],[2033]]*1000)/(BC_cap[[#This Row],[2033]]*8760), 0)</f>
        <v>0</v>
      </c>
      <c r="AE113" s="11">
        <f>IFERROR((BC_gen[[#This Row],[2034]]*1000)/(BC_cap[[#This Row],[2034]]*8760), 0)</f>
        <v>0</v>
      </c>
      <c r="AF113" s="11">
        <f>IFERROR((BC_gen[[#This Row],[2035]]*1000)/(BC_cap[[#This Row],[2035]]*8760), 0)</f>
        <v>0</v>
      </c>
      <c r="AG113" s="11">
        <f>IFERROR((BC_gen[[#This Row],[2036]]*1000)/(BC_cap[[#This Row],[2036]]*8760), 0)</f>
        <v>0</v>
      </c>
      <c r="AH113" s="11">
        <f>IFERROR((BC_gen[[#This Row],[2037]]*1000)/(BC_cap[[#This Row],[2037]]*8760), 0)</f>
        <v>0</v>
      </c>
      <c r="AI113" s="11">
        <f>IFERROR((BC_gen[[#This Row],[2038]]*1000)/(BC_cap[[#This Row],[2038]]*8760), 0)</f>
        <v>0</v>
      </c>
      <c r="AJ113" s="11">
        <f>IFERROR((BC_gen[[#This Row],[2039]]*1000)/(BC_cap[[#This Row],[2039]]*8760), 0)</f>
        <v>0</v>
      </c>
      <c r="AK113" s="11">
        <f>IFERROR((BC_gen[[#This Row],[2040]]*1000)/(BC_cap[[#This Row],[2040]]*8760), 0)</f>
        <v>0</v>
      </c>
      <c r="AL113" s="11">
        <f>IFERROR((BC_gen[[#This Row],[2041]]*1000)/(BC_cap[[#This Row],[2041]]*8760), 0)</f>
        <v>0</v>
      </c>
      <c r="AM113" s="11">
        <f>IFERROR((BC_gen[[#This Row],[2042]]*1000)/(BC_cap[[#This Row],[2042]]*8760), 0)</f>
        <v>0</v>
      </c>
      <c r="AN113" s="11">
        <f>IFERROR((BC_gen[[#This Row],[2043]]*1000)/(BC_cap[[#This Row],[2043]]*8760), 0)</f>
        <v>0</v>
      </c>
      <c r="AO113" s="11">
        <f>IFERROR((BC_gen[[#This Row],[2044]]*1000)/(BC_cap[[#This Row],[2044]]*8760), 0)</f>
        <v>0</v>
      </c>
      <c r="AP113" s="11">
        <f>IFERROR((BC_gen[[#This Row],[2045]]*1000)/(BC_cap[[#This Row],[2045]]*8760), 0)</f>
        <v>0</v>
      </c>
      <c r="AQ113" s="11">
        <f>IFERROR((BC_gen[[#This Row],[2046]]*1000)/(BC_cap[[#This Row],[2046]]*8760), 0)</f>
        <v>0</v>
      </c>
      <c r="AR113" s="11">
        <f>IFERROR((BC_gen[[#This Row],[2047]]*1000)/(BC_cap[[#This Row],[2047]]*8760), 0)</f>
        <v>0</v>
      </c>
      <c r="AS113" s="11">
        <f>IFERROR((BC_gen[[#This Row],[2048]]*1000)/(BC_cap[[#This Row],[2048]]*8760), 0)</f>
        <v>0</v>
      </c>
      <c r="AT113" s="11">
        <f>IFERROR((BC_gen[[#This Row],[2049]]*1000)/(BC_cap[[#This Row],[2049]]*8760), 0)</f>
        <v>0</v>
      </c>
      <c r="AU113" s="11">
        <f>IFERROR((BC_gen[[#This Row],[2050]]*1000)/(BC_cap[[#This Row],[2050]]*8760), 0)</f>
        <v>0</v>
      </c>
    </row>
    <row r="114" spans="1:47" x14ac:dyDescent="0.3">
      <c r="A114" s="2" t="s">
        <v>60</v>
      </c>
      <c r="B114" s="11">
        <f>IFERROR((BC_gen[[#This Row],[2005]]*1000)/(BC_cap[[#This Row],[2005]]*8760), 0)</f>
        <v>0.19775999698312516</v>
      </c>
      <c r="C114" s="11">
        <f>IFERROR((BC_gen[[#This Row],[2006]]*1000)/(BC_cap[[#This Row],[2006]]*8760), 0)</f>
        <v>0.18492357918626751</v>
      </c>
      <c r="D114" s="11">
        <f>IFERROR((BC_gen[[#This Row],[2007]]*1000)/(BC_cap[[#This Row],[2007]]*8760), 0)</f>
        <v>0.18492357918626751</v>
      </c>
      <c r="E114" s="11">
        <f>IFERROR((BC_gen[[#This Row],[2008]]*1000)/(BC_cap[[#This Row],[2008]]*8760), 0)</f>
        <v>0.20400803443875926</v>
      </c>
      <c r="F114" s="11">
        <f>IFERROR((BC_gen[[#This Row],[2009]]*1000)/(BC_cap[[#This Row],[2009]]*8760), 0)</f>
        <v>0.12663280439717742</v>
      </c>
      <c r="G114" s="11">
        <f>IFERROR((BC_gen[[#This Row],[2010]]*1000)/(BC_cap[[#This Row],[2010]]*8760), 0)</f>
        <v>0.16172742291369613</v>
      </c>
      <c r="H114" s="11">
        <f>IFERROR((BC_gen[[#This Row],[2011]]*1000)/(BC_cap[[#This Row],[2011]]*8760), 0)</f>
        <v>0.24041004807303593</v>
      </c>
      <c r="I114" s="11">
        <f>IFERROR((BC_gen[[#This Row],[2012]]*1000)/(BC_cap[[#This Row],[2012]]*8760), 0)</f>
        <v>0.19803054553346175</v>
      </c>
      <c r="J114" s="11">
        <f>IFERROR((BC_gen[[#This Row],[2013]]*1000)/(BC_cap[[#This Row],[2013]]*8760), 0)</f>
        <v>0.11389375025775446</v>
      </c>
      <c r="K114" s="11">
        <f>IFERROR((BC_gen[[#This Row],[2014]]*1000)/(BC_cap[[#This Row],[2014]]*8760), 0)</f>
        <v>0.12656942490306036</v>
      </c>
      <c r="L114" s="11">
        <f>IFERROR((BC_gen[[#This Row],[2015]]*1000)/(BC_cap[[#This Row],[2015]]*8760), 0)</f>
        <v>0.13247979444861649</v>
      </c>
      <c r="M114" s="11">
        <f>IFERROR((BC_gen[[#This Row],[2016]]*1000)/(BC_cap[[#This Row],[2016]]*8760), 0)</f>
        <v>0.41070923817489546</v>
      </c>
      <c r="N114" s="11">
        <f>IFERROR((BC_gen[[#This Row],[2017]]*1000)/(BC_cap[[#This Row],[2017]]*8760), 0)</f>
        <v>0.8252161189943823</v>
      </c>
      <c r="O114" s="11">
        <f>IFERROR((BC_gen[[#This Row],[2018]]*1000)/(BC_cap[[#This Row],[2018]]*8760), 0)</f>
        <v>0.46560502919336305</v>
      </c>
      <c r="P114" s="11">
        <f>IFERROR((BC_gen[[#This Row],[2019]]*1000)/(BC_cap[[#This Row],[2019]]*8760), 0)</f>
        <v>0.6468936511751805</v>
      </c>
      <c r="Q114" s="11">
        <f>IFERROR((BC_gen[[#This Row],[2020]]*1000)/(BC_cap[[#This Row],[2020]]*8760), 0)</f>
        <v>0.28406410859564268</v>
      </c>
      <c r="R114" s="11">
        <f>IFERROR((BC_gen[[#This Row],[2021]]*1000)/(BC_cap[[#This Row],[2021]]*8760), 0)</f>
        <v>0.28217296592687441</v>
      </c>
      <c r="S114" s="11">
        <f>IFERROR((BC_gen[[#This Row],[2022]]*1000)/(BC_cap[[#This Row],[2022]]*8760), 0)</f>
        <v>0.2821707720258666</v>
      </c>
      <c r="T114" s="11">
        <f>IFERROR((BC_gen[[#This Row],[2023]]*1000)/(BC_cap[[#This Row],[2023]]*8760), 0)</f>
        <v>0.2821707720258666</v>
      </c>
      <c r="U114" s="11">
        <f>IFERROR((BC_gen[[#This Row],[2024]]*1000)/(BC_cap[[#This Row],[2024]]*8760), 0)</f>
        <v>0.2814380090892441</v>
      </c>
      <c r="V114" s="11">
        <f>IFERROR((BC_gen[[#This Row],[2025]]*1000)/(BC_cap[[#This Row],[2025]]*8760), 0)</f>
        <v>0.28443948709874334</v>
      </c>
      <c r="W114" s="11">
        <f>IFERROR((BC_gen[[#This Row],[2026]]*1000)/(BC_cap[[#This Row],[2026]]*8760), 0)</f>
        <v>0.28504492416652288</v>
      </c>
      <c r="X114" s="11">
        <f>IFERROR((BC_gen[[#This Row],[2027]]*1000)/(BC_cap[[#This Row],[2027]]*8760), 0)</f>
        <v>0.34549661923205255</v>
      </c>
      <c r="Y114" s="11">
        <f>IFERROR((BC_gen[[#This Row],[2028]]*1000)/(BC_cap[[#This Row],[2028]]*8760), 0)</f>
        <v>0.34549661923205255</v>
      </c>
      <c r="Z114" s="11">
        <f>IFERROR((BC_gen[[#This Row],[2029]]*1000)/(BC_cap[[#This Row],[2029]]*8760), 0)</f>
        <v>0.34549661923205255</v>
      </c>
      <c r="AA114" s="11">
        <f>IFERROR((BC_gen[[#This Row],[2030]]*1000)/(BC_cap[[#This Row],[2030]]*8760), 0)</f>
        <v>0.34488198099303008</v>
      </c>
      <c r="AB114" s="11">
        <f>IFERROR((BC_gen[[#This Row],[2031]]*1000)/(BC_cap[[#This Row],[2031]]*8760), 0)</f>
        <v>0.41292243310690263</v>
      </c>
      <c r="AC114" s="11">
        <f>IFERROR((BC_gen[[#This Row],[2032]]*1000)/(BC_cap[[#This Row],[2032]]*8760), 0)</f>
        <v>0.41524418571210103</v>
      </c>
      <c r="AD114" s="11">
        <f>IFERROR((BC_gen[[#This Row],[2033]]*1000)/(BC_cap[[#This Row],[2033]]*8760), 0)</f>
        <v>0.41463929852790737</v>
      </c>
      <c r="AE114" s="11">
        <f>IFERROR((BC_gen[[#This Row],[2034]]*1000)/(BC_cap[[#This Row],[2034]]*8760), 0)</f>
        <v>0.41463929852790737</v>
      </c>
      <c r="AF114" s="11">
        <f>IFERROR((BC_gen[[#This Row],[2035]]*1000)/(BC_cap[[#This Row],[2035]]*8760), 0)</f>
        <v>0.41072383118591133</v>
      </c>
      <c r="AG114" s="11">
        <f>IFERROR((BC_gen[[#This Row],[2036]]*1000)/(BC_cap[[#This Row],[2036]]*8760), 0)</f>
        <v>0.41097737671222007</v>
      </c>
      <c r="AH114" s="11">
        <f>IFERROR((BC_gen[[#This Row],[2037]]*1000)/(BC_cap[[#This Row],[2037]]*8760), 0)</f>
        <v>0.40989437510698712</v>
      </c>
      <c r="AI114" s="11">
        <f>IFERROR((BC_gen[[#This Row],[2038]]*1000)/(BC_cap[[#This Row],[2038]]*8760), 0)</f>
        <v>0.41407787629108095</v>
      </c>
      <c r="AJ114" s="11">
        <f>IFERROR((BC_gen[[#This Row],[2039]]*1000)/(BC_cap[[#This Row],[2039]]*8760), 0)</f>
        <v>0.41767278964624382</v>
      </c>
      <c r="AK114" s="11">
        <f>IFERROR((BC_gen[[#This Row],[2040]]*1000)/(BC_cap[[#This Row],[2040]]*8760), 0)</f>
        <v>0.41407787629108095</v>
      </c>
      <c r="AL114" s="11">
        <f>IFERROR((BC_gen[[#This Row],[2041]]*1000)/(BC_cap[[#This Row],[2041]]*8760), 0)</f>
        <v>0.41407787629108095</v>
      </c>
      <c r="AM114" s="11">
        <f>IFERROR((BC_gen[[#This Row],[2042]]*1000)/(BC_cap[[#This Row],[2042]]*8760), 0)</f>
        <v>0.41394929248845291</v>
      </c>
      <c r="AN114" s="11">
        <f>IFERROR((BC_gen[[#This Row],[2043]]*1000)/(BC_cap[[#This Row],[2043]]*8760), 0)</f>
        <v>0.41216904068587101</v>
      </c>
      <c r="AO114" s="11">
        <f>IFERROR((BC_gen[[#This Row],[2044]]*1000)/(BC_cap[[#This Row],[2044]]*8760), 0)</f>
        <v>0.4109357228043265</v>
      </c>
      <c r="AP114" s="11">
        <f>IFERROR((BC_gen[[#This Row],[2045]]*1000)/(BC_cap[[#This Row],[2045]]*8760), 0)</f>
        <v>0.41026926027802929</v>
      </c>
      <c r="AQ114" s="11">
        <f>IFERROR((BC_gen[[#This Row],[2046]]*1000)/(BC_cap[[#This Row],[2046]]*8760), 0)</f>
        <v>0.40947783602805138</v>
      </c>
      <c r="AR114" s="11">
        <f>IFERROR((BC_gen[[#This Row],[2047]]*1000)/(BC_cap[[#This Row],[2047]]*8760), 0)</f>
        <v>0.40941988276489505</v>
      </c>
      <c r="AS114" s="11">
        <f>IFERROR((BC_gen[[#This Row],[2048]]*1000)/(BC_cap[[#This Row],[2048]]*8760), 0)</f>
        <v>0.40947783602805138</v>
      </c>
      <c r="AT114" s="11">
        <f>IFERROR((BC_gen[[#This Row],[2049]]*1000)/(BC_cap[[#This Row],[2049]]*8760), 0)</f>
        <v>0.40819562008071869</v>
      </c>
      <c r="AU114" s="11">
        <f>IFERROR((BC_gen[[#This Row],[2050]]*1000)/(BC_cap[[#This Row],[2050]]*8760), 0)</f>
        <v>0.40930578727805617</v>
      </c>
    </row>
    <row r="115" spans="1:47" x14ac:dyDescent="0.3">
      <c r="A115" s="2" t="s">
        <v>61</v>
      </c>
      <c r="B115" s="11">
        <f>IFERROR((BC_gen[[#This Row],[2005]]*1000)/(BC_cap[[#This Row],[2005]]*8760), 0)</f>
        <v>0.12606084366904891</v>
      </c>
      <c r="C115" s="11">
        <f>IFERROR((BC_gen[[#This Row],[2006]]*1000)/(BC_cap[[#This Row],[2006]]*8760), 0)</f>
        <v>4.9228240729973408E-2</v>
      </c>
      <c r="D115" s="11">
        <f>IFERROR((BC_gen[[#This Row],[2007]]*1000)/(BC_cap[[#This Row],[2007]]*8760), 0)</f>
        <v>0.12675302928111265</v>
      </c>
      <c r="E115" s="11">
        <f>IFERROR((BC_gen[[#This Row],[2008]]*1000)/(BC_cap[[#This Row],[2008]]*8760), 0)</f>
        <v>0.13091998666573637</v>
      </c>
      <c r="F115" s="11">
        <f>IFERROR((BC_gen[[#This Row],[2009]]*1000)/(BC_cap[[#This Row],[2009]]*8760), 0)</f>
        <v>0.15381748671280498</v>
      </c>
      <c r="G115" s="11">
        <f>IFERROR((BC_gen[[#This Row],[2010]]*1000)/(BC_cap[[#This Row],[2010]]*8760), 0)</f>
        <v>0.14826615810405377</v>
      </c>
      <c r="H115" s="11">
        <f>IFERROR((BC_gen[[#This Row],[2011]]*1000)/(BC_cap[[#This Row],[2011]]*8760), 0)</f>
        <v>0.21179805952239089</v>
      </c>
      <c r="I115" s="11">
        <f>IFERROR((BC_gen[[#This Row],[2012]]*1000)/(BC_cap[[#This Row],[2012]]*8760), 0)</f>
        <v>6.3930263130207318E-2</v>
      </c>
      <c r="J115" s="11">
        <f>IFERROR((BC_gen[[#This Row],[2013]]*1000)/(BC_cap[[#This Row],[2013]]*8760), 0)</f>
        <v>0.40051243885232302</v>
      </c>
      <c r="K115" s="11">
        <f>IFERROR((BC_gen[[#This Row],[2014]]*1000)/(BC_cap[[#This Row],[2014]]*8760), 0)</f>
        <v>0.77103939699004476</v>
      </c>
      <c r="L115" s="11">
        <f>IFERROR((BC_gen[[#This Row],[2015]]*1000)/(BC_cap[[#This Row],[2015]]*8760), 0)</f>
        <v>0.18041125792829402</v>
      </c>
      <c r="M115" s="11">
        <f>IFERROR((BC_gen[[#This Row],[2016]]*1000)/(BC_cap[[#This Row],[2016]]*8760), 0)</f>
        <v>0.26020641528700234</v>
      </c>
      <c r="N115" s="11">
        <f>IFERROR((BC_gen[[#This Row],[2017]]*1000)/(BC_cap[[#This Row],[2017]]*8760), 0)</f>
        <v>0.31288755549291281</v>
      </c>
      <c r="O115" s="11">
        <f>IFERROR((BC_gen[[#This Row],[2018]]*1000)/(BC_cap[[#This Row],[2018]]*8760), 0)</f>
        <v>0.25800988413325909</v>
      </c>
      <c r="P115" s="11">
        <f>IFERROR((BC_gen[[#This Row],[2019]]*1000)/(BC_cap[[#This Row],[2019]]*8760), 0)</f>
        <v>0.28625505896250164</v>
      </c>
      <c r="Q115" s="11">
        <f>IFERROR((BC_gen[[#This Row],[2020]]*1000)/(BC_cap[[#This Row],[2020]]*8760), 0)</f>
        <v>9.974368669072449E-2</v>
      </c>
      <c r="R115" s="11">
        <f>IFERROR((BC_gen[[#This Row],[2021]]*1000)/(BC_cap[[#This Row],[2021]]*8760), 0)</f>
        <v>9.974368669072449E-2</v>
      </c>
      <c r="S115" s="11">
        <f>IFERROR((BC_gen[[#This Row],[2022]]*1000)/(BC_cap[[#This Row],[2022]]*8760), 0)</f>
        <v>9.974368669072449E-2</v>
      </c>
      <c r="T115" s="11">
        <f>IFERROR((BC_gen[[#This Row],[2023]]*1000)/(BC_cap[[#This Row],[2023]]*8760), 0)</f>
        <v>9.974368669072449E-2</v>
      </c>
      <c r="U115" s="11">
        <f>IFERROR((BC_gen[[#This Row],[2024]]*1000)/(BC_cap[[#This Row],[2024]]*8760), 0)</f>
        <v>9.974368669072449E-2</v>
      </c>
      <c r="V115" s="11">
        <f>IFERROR((BC_gen[[#This Row],[2025]]*1000)/(BC_cap[[#This Row],[2025]]*8760), 0)</f>
        <v>9.974368669072449E-2</v>
      </c>
      <c r="W115" s="11">
        <f>IFERROR((BC_gen[[#This Row],[2026]]*1000)/(BC_cap[[#This Row],[2026]]*8760), 0)</f>
        <v>9.974368669072449E-2</v>
      </c>
      <c r="X115" s="11">
        <f>IFERROR((BC_gen[[#This Row],[2027]]*1000)/(BC_cap[[#This Row],[2027]]*8760), 0)</f>
        <v>9.974368669072449E-2</v>
      </c>
      <c r="Y115" s="11">
        <f>IFERROR((BC_gen[[#This Row],[2028]]*1000)/(BC_cap[[#This Row],[2028]]*8760), 0)</f>
        <v>9.974368669072449E-2</v>
      </c>
      <c r="Z115" s="11">
        <f>IFERROR((BC_gen[[#This Row],[2029]]*1000)/(BC_cap[[#This Row],[2029]]*8760), 0)</f>
        <v>9.974368669072449E-2</v>
      </c>
      <c r="AA115" s="11">
        <f>IFERROR((BC_gen[[#This Row],[2030]]*1000)/(BC_cap[[#This Row],[2030]]*8760), 0)</f>
        <v>9.974368669072449E-2</v>
      </c>
      <c r="AB115" s="11">
        <f>IFERROR((BC_gen[[#This Row],[2031]]*1000)/(BC_cap[[#This Row],[2031]]*8760), 0)</f>
        <v>0.1045071468681974</v>
      </c>
      <c r="AC115" s="11">
        <f>IFERROR((BC_gen[[#This Row],[2032]]*1000)/(BC_cap[[#This Row],[2032]]*8760), 0)</f>
        <v>0.12228389551485269</v>
      </c>
      <c r="AD115" s="11">
        <f>IFERROR((BC_gen[[#This Row],[2033]]*1000)/(BC_cap[[#This Row],[2033]]*8760), 0)</f>
        <v>0.12228389551485269</v>
      </c>
      <c r="AE115" s="11">
        <f>IFERROR((BC_gen[[#This Row],[2034]]*1000)/(BC_cap[[#This Row],[2034]]*8760), 0)</f>
        <v>0.12228389551485269</v>
      </c>
      <c r="AF115" s="11">
        <f>IFERROR((BC_gen[[#This Row],[2035]]*1000)/(BC_cap[[#This Row],[2035]]*8760), 0)</f>
        <v>0.12228389551485269</v>
      </c>
      <c r="AG115" s="11">
        <f>IFERROR((BC_gen[[#This Row],[2036]]*1000)/(BC_cap[[#This Row],[2036]]*8760), 0)</f>
        <v>0.12228389551485269</v>
      </c>
      <c r="AH115" s="11">
        <f>IFERROR((BC_gen[[#This Row],[2037]]*1000)/(BC_cap[[#This Row],[2037]]*8760), 0)</f>
        <v>0.12228389551485269</v>
      </c>
      <c r="AI115" s="11">
        <f>IFERROR((BC_gen[[#This Row],[2038]]*1000)/(BC_cap[[#This Row],[2038]]*8760), 0)</f>
        <v>0.13273367801768465</v>
      </c>
      <c r="AJ115" s="11">
        <f>IFERROR((BC_gen[[#This Row],[2039]]*1000)/(BC_cap[[#This Row],[2039]]*8760), 0)</f>
        <v>0.14111401206768104</v>
      </c>
      <c r="AK115" s="11">
        <f>IFERROR((BC_gen[[#This Row],[2040]]*1000)/(BC_cap[[#This Row],[2040]]*8760), 0)</f>
        <v>0.14111401206768104</v>
      </c>
      <c r="AL115" s="11">
        <f>IFERROR((BC_gen[[#This Row],[2041]]*1000)/(BC_cap[[#This Row],[2041]]*8760), 0)</f>
        <v>0.13721748299882844</v>
      </c>
      <c r="AM115" s="11">
        <f>IFERROR((BC_gen[[#This Row],[2042]]*1000)/(BC_cap[[#This Row],[2042]]*8760), 0)</f>
        <v>0.12228389551485269</v>
      </c>
      <c r="AN115" s="11">
        <f>IFERROR((BC_gen[[#This Row],[2043]]*1000)/(BC_cap[[#This Row],[2043]]*8760), 0)</f>
        <v>0.1338522988030012</v>
      </c>
      <c r="AO115" s="11">
        <f>IFERROR((BC_gen[[#This Row],[2044]]*1000)/(BC_cap[[#This Row],[2044]]*8760), 0)</f>
        <v>0.14111401206768104</v>
      </c>
      <c r="AP115" s="11">
        <f>IFERROR((BC_gen[[#This Row],[2045]]*1000)/(BC_cap[[#This Row],[2045]]*8760), 0)</f>
        <v>0.14111401206768104</v>
      </c>
      <c r="AQ115" s="11">
        <f>IFERROR((BC_gen[[#This Row],[2046]]*1000)/(BC_cap[[#This Row],[2046]]*8760), 0)</f>
        <v>0.12974136741696293</v>
      </c>
      <c r="AR115" s="11">
        <f>IFERROR((BC_gen[[#This Row],[2047]]*1000)/(BC_cap[[#This Row],[2047]]*8760), 0)</f>
        <v>0.12228389551485269</v>
      </c>
      <c r="AS115" s="11">
        <f>IFERROR((BC_gen[[#This Row],[2048]]*1000)/(BC_cap[[#This Row],[2048]]*8760), 0)</f>
        <v>0.12337455078053632</v>
      </c>
      <c r="AT115" s="11">
        <f>IFERROR((BC_gen[[#This Row],[2049]]*1000)/(BC_cap[[#This Row],[2049]]*8760), 0)</f>
        <v>0.12228389551485269</v>
      </c>
      <c r="AU115" s="11">
        <f>IFERROR((BC_gen[[#This Row],[2050]]*1000)/(BC_cap[[#This Row],[2050]]*8760), 0)</f>
        <v>0.12228389551485269</v>
      </c>
    </row>
    <row r="117" spans="1:47" ht="18" x14ac:dyDescent="0.35">
      <c r="A117" s="4" t="s">
        <v>71</v>
      </c>
    </row>
    <row r="118" spans="1:47" x14ac:dyDescent="0.3">
      <c r="A118" s="2" t="s">
        <v>7</v>
      </c>
      <c r="B118" s="2" t="s">
        <v>8</v>
      </c>
      <c r="C118" s="2" t="s">
        <v>9</v>
      </c>
      <c r="D118" s="2" t="s">
        <v>10</v>
      </c>
      <c r="E118" s="2" t="s">
        <v>11</v>
      </c>
      <c r="F118" s="2" t="s">
        <v>12</v>
      </c>
      <c r="G118" s="2" t="s">
        <v>13</v>
      </c>
      <c r="H118" s="2" t="s">
        <v>14</v>
      </c>
      <c r="I118" s="2" t="s">
        <v>15</v>
      </c>
      <c r="J118" s="2" t="s">
        <v>16</v>
      </c>
      <c r="K118" s="2" t="s">
        <v>17</v>
      </c>
      <c r="L118" s="2" t="s">
        <v>18</v>
      </c>
      <c r="M118" s="2" t="s">
        <v>19</v>
      </c>
      <c r="N118" s="2" t="s">
        <v>20</v>
      </c>
      <c r="O118" s="2" t="s">
        <v>21</v>
      </c>
      <c r="P118" s="2" t="s">
        <v>22</v>
      </c>
      <c r="Q118" s="2" t="s">
        <v>23</v>
      </c>
      <c r="R118" s="2" t="s">
        <v>24</v>
      </c>
      <c r="S118" s="2" t="s">
        <v>25</v>
      </c>
      <c r="T118" s="2" t="s">
        <v>26</v>
      </c>
      <c r="U118" s="2" t="s">
        <v>27</v>
      </c>
      <c r="V118" s="2" t="s">
        <v>28</v>
      </c>
      <c r="W118" s="2" t="s">
        <v>29</v>
      </c>
      <c r="X118" s="2" t="s">
        <v>30</v>
      </c>
      <c r="Y118" s="2" t="s">
        <v>31</v>
      </c>
      <c r="Z118" s="2" t="s">
        <v>32</v>
      </c>
      <c r="AA118" s="2" t="s">
        <v>33</v>
      </c>
      <c r="AB118" s="2" t="s">
        <v>34</v>
      </c>
      <c r="AC118" s="2" t="s">
        <v>35</v>
      </c>
      <c r="AD118" s="2" t="s">
        <v>36</v>
      </c>
      <c r="AE118" s="2" t="s">
        <v>37</v>
      </c>
      <c r="AF118" s="2" t="s">
        <v>38</v>
      </c>
      <c r="AG118" s="2" t="s">
        <v>39</v>
      </c>
      <c r="AH118" s="2" t="s">
        <v>40</v>
      </c>
      <c r="AI118" s="2" t="s">
        <v>41</v>
      </c>
      <c r="AJ118" s="2" t="s">
        <v>42</v>
      </c>
      <c r="AK118" s="2" t="s">
        <v>43</v>
      </c>
      <c r="AL118" s="2" t="s">
        <v>44</v>
      </c>
      <c r="AM118" s="2" t="s">
        <v>45</v>
      </c>
      <c r="AN118" s="2" t="s">
        <v>46</v>
      </c>
      <c r="AO118" s="2" t="s">
        <v>47</v>
      </c>
      <c r="AP118" s="2" t="s">
        <v>48</v>
      </c>
      <c r="AQ118" s="2" t="s">
        <v>49</v>
      </c>
      <c r="AR118" s="2" t="s">
        <v>50</v>
      </c>
      <c r="AS118" s="2" t="s">
        <v>51</v>
      </c>
      <c r="AT118" s="2" t="s">
        <v>52</v>
      </c>
      <c r="AU118" s="2" t="s">
        <v>53</v>
      </c>
    </row>
    <row r="119" spans="1:47" x14ac:dyDescent="0.3">
      <c r="A119" s="2" t="s">
        <v>54</v>
      </c>
      <c r="B119" s="11">
        <f>IFERROR((SK_gen[[#This Row],[2005]]*1000)/(SK_cap[[#This Row],[2005]]*8760), 0)</f>
        <v>0.60433655950998444</v>
      </c>
      <c r="C119" s="11">
        <f>IFERROR((SK_gen[[#This Row],[2006]]*1000)/(SK_cap[[#This Row],[2006]]*8760), 0)</f>
        <v>0.5328416811599076</v>
      </c>
      <c r="D119" s="11">
        <f>IFERROR((SK_gen[[#This Row],[2007]]*1000)/(SK_cap[[#This Row],[2007]]*8760), 0)</f>
        <v>0.5805489844582028</v>
      </c>
      <c r="E119" s="11">
        <f>IFERROR((SK_gen[[#This Row],[2008]]*1000)/(SK_cap[[#This Row],[2008]]*8760), 0)</f>
        <v>0.53257737477044331</v>
      </c>
      <c r="F119" s="11">
        <f>IFERROR((SK_gen[[#This Row],[2009]]*1000)/(SK_cap[[#This Row],[2009]]*8760), 0)</f>
        <v>0.39143776279653925</v>
      </c>
      <c r="G119" s="11">
        <f>IFERROR((SK_gen[[#This Row],[2010]]*1000)/(SK_cap[[#This Row],[2010]]*8760), 0)</f>
        <v>0.51090425083437563</v>
      </c>
      <c r="H119" s="11">
        <f>IFERROR((SK_gen[[#This Row],[2011]]*1000)/(SK_cap[[#This Row],[2011]]*8760), 0)</f>
        <v>0.61332297675176861</v>
      </c>
      <c r="I119" s="11">
        <f>IFERROR((SK_gen[[#This Row],[2012]]*1000)/(SK_cap[[#This Row],[2012]]*8760), 0)</f>
        <v>0.56032954566418847</v>
      </c>
      <c r="J119" s="11">
        <f>IFERROR((SK_gen[[#This Row],[2013]]*1000)/(SK_cap[[#This Row],[2013]]*8760), 0)</f>
        <v>0.58794956336320159</v>
      </c>
      <c r="K119" s="11">
        <f>IFERROR((SK_gen[[#This Row],[2014]]*1000)/(SK_cap[[#This Row],[2014]]*8760), 0)</f>
        <v>0.62192482819688233</v>
      </c>
      <c r="L119" s="11">
        <f>IFERROR((SK_gen[[#This Row],[2015]]*1000)/(SK_cap[[#This Row],[2015]]*8760), 0)</f>
        <v>0.43989819630953919</v>
      </c>
      <c r="M119" s="11">
        <f>IFERROR((SK_gen[[#This Row],[2016]]*1000)/(SK_cap[[#This Row],[2016]]*8760), 0)</f>
        <v>0.4217938046925967</v>
      </c>
      <c r="N119" s="11">
        <f>IFERROR((SK_gen[[#This Row],[2017]]*1000)/(SK_cap[[#This Row],[2017]]*8760), 0)</f>
        <v>0.49498177080364086</v>
      </c>
      <c r="O119" s="11">
        <f>IFERROR((SK_gen[[#This Row],[2018]]*1000)/(SK_cap[[#This Row],[2018]]*8760), 0)</f>
        <v>0.46108418649957833</v>
      </c>
      <c r="P119" s="11">
        <f>IFERROR((SK_gen[[#This Row],[2019]]*1000)/(SK_cap[[#This Row],[2019]]*8760), 0)</f>
        <v>0.47071418204050519</v>
      </c>
      <c r="Q119" s="11">
        <f>IFERROR((SK_gen[[#This Row],[2020]]*1000)/(SK_cap[[#This Row],[2020]]*8760), 0)</f>
        <v>0.47071418204050519</v>
      </c>
      <c r="R119" s="11">
        <f>IFERROR((SK_gen[[#This Row],[2021]]*1000)/(SK_cap[[#This Row],[2021]]*8760), 0)</f>
        <v>0.4707154660399106</v>
      </c>
      <c r="S119" s="11">
        <f>IFERROR((SK_gen[[#This Row],[2022]]*1000)/(SK_cap[[#This Row],[2022]]*8760), 0)</f>
        <v>0.47071418204050519</v>
      </c>
      <c r="T119" s="11">
        <f>IFERROR((SK_gen[[#This Row],[2023]]*1000)/(SK_cap[[#This Row],[2023]]*8760), 0)</f>
        <v>0.4707154660399106</v>
      </c>
      <c r="U119" s="11">
        <f>IFERROR((SK_gen[[#This Row],[2024]]*1000)/(SK_cap[[#This Row],[2024]]*8760), 0)</f>
        <v>0.47051038490462288</v>
      </c>
      <c r="V119" s="11">
        <f>IFERROR((SK_gen[[#This Row],[2025]]*1000)/(SK_cap[[#This Row],[2025]]*8760), 0)</f>
        <v>0.45776854207931028</v>
      </c>
      <c r="W119" s="11">
        <f>IFERROR((SK_gen[[#This Row],[2026]]*1000)/(SK_cap[[#This Row],[2026]]*8760), 0)</f>
        <v>0.45776854207931028</v>
      </c>
      <c r="X119" s="11">
        <f>IFERROR((SK_gen[[#This Row],[2027]]*1000)/(SK_cap[[#This Row],[2027]]*8760), 0)</f>
        <v>0.45776854207931028</v>
      </c>
      <c r="Y119" s="11">
        <f>IFERROR((SK_gen[[#This Row],[2028]]*1000)/(SK_cap[[#This Row],[2028]]*8760), 0)</f>
        <v>0.45776730550871431</v>
      </c>
      <c r="Z119" s="11">
        <f>IFERROR((SK_gen[[#This Row],[2029]]*1000)/(SK_cap[[#This Row],[2029]]*8760), 0)</f>
        <v>0.45776854207931028</v>
      </c>
      <c r="AA119" s="11">
        <f>IFERROR((SK_gen[[#This Row],[2030]]*1000)/(SK_cap[[#This Row],[2030]]*8760), 0)</f>
        <v>0.45776730550871431</v>
      </c>
      <c r="AB119" s="11">
        <f>IFERROR((SK_gen[[#This Row],[2031]]*1000)/(SK_cap[[#This Row],[2031]]*8760), 0)</f>
        <v>0.45776854207931028</v>
      </c>
      <c r="AC119" s="11">
        <f>IFERROR((SK_gen[[#This Row],[2032]]*1000)/(SK_cap[[#This Row],[2032]]*8760), 0)</f>
        <v>0.44569862397267979</v>
      </c>
      <c r="AD119" s="11">
        <f>IFERROR((SK_gen[[#This Row],[2033]]*1000)/(SK_cap[[#This Row],[2033]]*8760), 0)</f>
        <v>0.44572889742273047</v>
      </c>
      <c r="AE119" s="11">
        <f>IFERROR((SK_gen[[#This Row],[2034]]*1000)/(SK_cap[[#This Row],[2034]]*8760), 0)</f>
        <v>0.44576481317542915</v>
      </c>
      <c r="AF119" s="11">
        <f>IFERROR((SK_gen[[#This Row],[2035]]*1000)/(SK_cap[[#This Row],[2035]]*8760), 0)</f>
        <v>0.44579075525401207</v>
      </c>
      <c r="AG119" s="11">
        <f>IFERROR((SK_gen[[#This Row],[2036]]*1000)/(SK_cap[[#This Row],[2036]]*8760), 0)</f>
        <v>0.44578957882023929</v>
      </c>
      <c r="AH119" s="11">
        <f>IFERROR((SK_gen[[#This Row],[2037]]*1000)/(SK_cap[[#This Row],[2037]]*8760), 0)</f>
        <v>0.44579075525401207</v>
      </c>
      <c r="AI119" s="11">
        <f>IFERROR((SK_gen[[#This Row],[2038]]*1000)/(SK_cap[[#This Row],[2038]]*8760), 0)</f>
        <v>0.44581499808223196</v>
      </c>
      <c r="AJ119" s="11">
        <f>IFERROR((SK_gen[[#This Row],[2039]]*1000)/(SK_cap[[#This Row],[2039]]*8760), 0)</f>
        <v>0.44581499808223196</v>
      </c>
      <c r="AK119" s="11">
        <f>IFERROR((SK_gen[[#This Row],[2040]]*1000)/(SK_cap[[#This Row],[2040]]*8760), 0)</f>
        <v>0.44581499808223196</v>
      </c>
      <c r="AL119" s="11">
        <f>IFERROR((SK_gen[[#This Row],[2041]]*1000)/(SK_cap[[#This Row],[2041]]*8760), 0)</f>
        <v>0.44581499808223196</v>
      </c>
      <c r="AM119" s="11">
        <f>IFERROR((SK_gen[[#This Row],[2042]]*1000)/(SK_cap[[#This Row],[2042]]*8760), 0)</f>
        <v>0.44584271157618205</v>
      </c>
      <c r="AN119" s="11">
        <f>IFERROR((SK_gen[[#This Row],[2043]]*1000)/(SK_cap[[#This Row],[2043]]*8760), 0)</f>
        <v>0.44584154874383874</v>
      </c>
      <c r="AO119" s="11">
        <f>IFERROR((SK_gen[[#This Row],[2044]]*1000)/(SK_cap[[#This Row],[2044]]*8760), 0)</f>
        <v>0.44584271157618205</v>
      </c>
      <c r="AP119" s="11">
        <f>IFERROR((SK_gen[[#This Row],[2045]]*1000)/(SK_cap[[#This Row],[2045]]*8760), 0)</f>
        <v>0.44584154874383874</v>
      </c>
      <c r="AQ119" s="11">
        <f>IFERROR((SK_gen[[#This Row],[2046]]*1000)/(SK_cap[[#This Row],[2046]]*8760), 0)</f>
        <v>0.44584154874383874</v>
      </c>
      <c r="AR119" s="11">
        <f>IFERROR((SK_gen[[#This Row],[2047]]*1000)/(SK_cap[[#This Row],[2047]]*8760), 0)</f>
        <v>0.44584154874383874</v>
      </c>
      <c r="AS119" s="11">
        <f>IFERROR((SK_gen[[#This Row],[2048]]*1000)/(SK_cap[[#This Row],[2048]]*8760), 0)</f>
        <v>0.44584154874383874</v>
      </c>
      <c r="AT119" s="11">
        <f>IFERROR((SK_gen[[#This Row],[2049]]*1000)/(SK_cap[[#This Row],[2049]]*8760), 0)</f>
        <v>0.44584154874383874</v>
      </c>
      <c r="AU119" s="11">
        <f>IFERROR((SK_gen[[#This Row],[2050]]*1000)/(SK_cap[[#This Row],[2050]]*8760), 0)</f>
        <v>0.44584154874383874</v>
      </c>
    </row>
    <row r="120" spans="1:47" x14ac:dyDescent="0.3">
      <c r="A120" s="2" t="s">
        <v>55</v>
      </c>
      <c r="B120" s="11">
        <f>IFERROR((SK_gen[[#This Row],[2005]]*1000)/(SK_cap[[#This Row],[2005]]*8760), 0)</f>
        <v>0.6621868288160675</v>
      </c>
      <c r="C120" s="11">
        <f>IFERROR((SK_gen[[#This Row],[2006]]*1000)/(SK_cap[[#This Row],[2006]]*8760), 0)</f>
        <v>0.38211799803779406</v>
      </c>
      <c r="D120" s="11">
        <f>IFERROR((SK_gen[[#This Row],[2007]]*1000)/(SK_cap[[#This Row],[2007]]*8760), 0)</f>
        <v>0.41346101009325009</v>
      </c>
      <c r="E120" s="11">
        <f>IFERROR((SK_gen[[#This Row],[2008]]*1000)/(SK_cap[[#This Row],[2008]]*8760), 0)</f>
        <v>0.38278487063471867</v>
      </c>
      <c r="F120" s="11">
        <f>IFERROR((SK_gen[[#This Row],[2009]]*1000)/(SK_cap[[#This Row],[2009]]*8760), 0)</f>
        <v>0.38611923361934164</v>
      </c>
      <c r="G120" s="11">
        <f>IFERROR((SK_gen[[#This Row],[2010]]*1000)/(SK_cap[[#This Row],[2010]]*8760), 0)</f>
        <v>0.33810440664077068</v>
      </c>
      <c r="H120" s="11">
        <f>IFERROR((SK_gen[[#This Row],[2011]]*1000)/(SK_cap[[#This Row],[2011]]*8760), 0)</f>
        <v>0.39584035630739683</v>
      </c>
      <c r="I120" s="11">
        <f>IFERROR((SK_gen[[#This Row],[2012]]*1000)/(SK_cap[[#This Row],[2012]]*8760), 0)</f>
        <v>0.38016925715739724</v>
      </c>
      <c r="J120" s="11">
        <f>IFERROR((SK_gen[[#This Row],[2013]]*1000)/(SK_cap[[#This Row],[2013]]*8760), 0)</f>
        <v>0.37494555744073071</v>
      </c>
      <c r="K120" s="11">
        <f>IFERROR((SK_gen[[#This Row],[2014]]*1000)/(SK_cap[[#This Row],[2014]]*8760), 0)</f>
        <v>0.35710372085291642</v>
      </c>
      <c r="L120" s="11">
        <f>IFERROR((SK_gen[[#This Row],[2015]]*1000)/(SK_cap[[#This Row],[2015]]*8760), 0)</f>
        <v>0.31999392217995548</v>
      </c>
      <c r="M120" s="11">
        <f>IFERROR((SK_gen[[#This Row],[2016]]*1000)/(SK_cap[[#This Row],[2016]]*8760), 0)</f>
        <v>0.38502494507459162</v>
      </c>
      <c r="N120" s="11">
        <f>IFERROR((SK_gen[[#This Row],[2017]]*1000)/(SK_cap[[#This Row],[2017]]*8760), 0)</f>
        <v>0.38141211046933404</v>
      </c>
      <c r="O120" s="11">
        <f>IFERROR((SK_gen[[#This Row],[2018]]*1000)/(SK_cap[[#This Row],[2018]]*8760), 0)</f>
        <v>0.35818674514982113</v>
      </c>
      <c r="P120" s="11">
        <f>IFERROR((SK_gen[[#This Row],[2019]]*1000)/(SK_cap[[#This Row],[2019]]*8760), 0)</f>
        <v>0.36489629513101374</v>
      </c>
      <c r="Q120" s="11">
        <f>IFERROR((SK_gen[[#This Row],[2020]]*1000)/(SK_cap[[#This Row],[2020]]*8760), 0)</f>
        <v>0.39999756391723756</v>
      </c>
      <c r="R120" s="11">
        <f>IFERROR((SK_gen[[#This Row],[2021]]*1000)/(SK_cap[[#This Row],[2021]]*8760), 0)</f>
        <v>0.40000272510953083</v>
      </c>
      <c r="S120" s="11">
        <f>IFERROR((SK_gen[[#This Row],[2022]]*1000)/(SK_cap[[#This Row],[2022]]*8760), 0)</f>
        <v>0.40000272510953083</v>
      </c>
      <c r="T120" s="11">
        <f>IFERROR((SK_gen[[#This Row],[2023]]*1000)/(SK_cap[[#This Row],[2023]]*8760), 0)</f>
        <v>0.40001050090042423</v>
      </c>
      <c r="U120" s="11">
        <f>IFERROR((SK_gen[[#This Row],[2024]]*1000)/(SK_cap[[#This Row],[2024]]*8760), 0)</f>
        <v>0.40000745168141494</v>
      </c>
      <c r="V120" s="11">
        <f>IFERROR((SK_gen[[#This Row],[2025]]*1000)/(SK_cap[[#This Row],[2025]]*8760), 0)</f>
        <v>0.40000328181524381</v>
      </c>
      <c r="W120" s="11">
        <f>IFERROR((SK_gen[[#This Row],[2026]]*1000)/(SK_cap[[#This Row],[2026]]*8760), 0)</f>
        <v>0.40000328181524381</v>
      </c>
      <c r="X120" s="11">
        <f>IFERROR((SK_gen[[#This Row],[2027]]*1000)/(SK_cap[[#This Row],[2027]]*8760), 0)</f>
        <v>0.39999774978276753</v>
      </c>
      <c r="Y120" s="11">
        <f>IFERROR((SK_gen[[#This Row],[2028]]*1000)/(SK_cap[[#This Row],[2028]]*8760), 0)</f>
        <v>0.39999812961327808</v>
      </c>
      <c r="Z120" s="11">
        <f>IFERROR((SK_gen[[#This Row],[2029]]*1000)/(SK_cap[[#This Row],[2029]]*8760), 0)</f>
        <v>0.39999941421954316</v>
      </c>
      <c r="AA120" s="11">
        <f>IFERROR((SK_gen[[#This Row],[2030]]*1000)/(SK_cap[[#This Row],[2030]]*8760), 0)</f>
        <v>0.39999664285885772</v>
      </c>
      <c r="AB120" s="11">
        <f>IFERROR((SK_gen[[#This Row],[2031]]*1000)/(SK_cap[[#This Row],[2031]]*8760), 0)</f>
        <v>0.40000052175871531</v>
      </c>
      <c r="AC120" s="11">
        <f>IFERROR((SK_gen[[#This Row],[2032]]*1000)/(SK_cap[[#This Row],[2032]]*8760), 0)</f>
        <v>0.40000104609623038</v>
      </c>
      <c r="AD120" s="11">
        <f>IFERROR((SK_gen[[#This Row],[2033]]*1000)/(SK_cap[[#This Row],[2033]]*8760), 0)</f>
        <v>0.39999736614978187</v>
      </c>
      <c r="AE120" s="11">
        <f>IFERROR((SK_gen[[#This Row],[2034]]*1000)/(SK_cap[[#This Row],[2034]]*8760), 0)</f>
        <v>0.39999860089990946</v>
      </c>
      <c r="AF120" s="11">
        <f>IFERROR((SK_gen[[#This Row],[2035]]*1000)/(SK_cap[[#This Row],[2035]]*8760), 0)</f>
        <v>0.39999892615035304</v>
      </c>
      <c r="AG120" s="11">
        <f>IFERROR((SK_gen[[#This Row],[2036]]*1000)/(SK_cap[[#This Row],[2036]]*8760), 0)</f>
        <v>0.39999920497378905</v>
      </c>
      <c r="AH120" s="11">
        <f>IFERROR((SK_gen[[#This Row],[2037]]*1000)/(SK_cap[[#This Row],[2037]]*8760), 0)</f>
        <v>0.39999904121911622</v>
      </c>
      <c r="AI120" s="11">
        <f>IFERROR((SK_gen[[#This Row],[2038]]*1000)/(SK_cap[[#This Row],[2038]]*8760), 0)</f>
        <v>0.39999899736262057</v>
      </c>
      <c r="AJ120" s="11">
        <f>IFERROR((SK_gen[[#This Row],[2039]]*1000)/(SK_cap[[#This Row],[2039]]*8760), 0)</f>
        <v>0.39999848705482199</v>
      </c>
      <c r="AK120" s="11">
        <f>IFERROR((SK_gen[[#This Row],[2040]]*1000)/(SK_cap[[#This Row],[2040]]*8760), 0)</f>
        <v>0.39999968169334293</v>
      </c>
      <c r="AL120" s="11">
        <f>IFERROR((SK_gen[[#This Row],[2041]]*1000)/(SK_cap[[#This Row],[2041]]*8760), 0)</f>
        <v>0.40000077060542988</v>
      </c>
      <c r="AM120" s="11">
        <f>IFERROR((SK_gen[[#This Row],[2042]]*1000)/(SK_cap[[#This Row],[2042]]*8760), 0)</f>
        <v>0.40000114252202956</v>
      </c>
      <c r="AN120" s="11">
        <f>IFERROR((SK_gen[[#This Row],[2043]]*1000)/(SK_cap[[#This Row],[2043]]*8760), 0)</f>
        <v>0.39999982154126024</v>
      </c>
      <c r="AO120" s="11">
        <f>IFERROR((SK_gen[[#This Row],[2044]]*1000)/(SK_cap[[#This Row],[2044]]*8760), 0)</f>
        <v>0.40000045760338243</v>
      </c>
      <c r="AP120" s="11">
        <f>IFERROR((SK_gen[[#This Row],[2045]]*1000)/(SK_cap[[#This Row],[2045]]*8760), 0)</f>
        <v>0.39999975563270251</v>
      </c>
      <c r="AQ120" s="11">
        <f>IFERROR((SK_gen[[#This Row],[2046]]*1000)/(SK_cap[[#This Row],[2046]]*8760), 0)</f>
        <v>0.39999911151307488</v>
      </c>
      <c r="AR120" s="11">
        <f>IFERROR((SK_gen[[#This Row],[2047]]*1000)/(SK_cap[[#This Row],[2047]]*8760), 0)</f>
        <v>0.39999963310550318</v>
      </c>
      <c r="AS120" s="11">
        <f>IFERROR((SK_gen[[#This Row],[2048]]*1000)/(SK_cap[[#This Row],[2048]]*8760), 0)</f>
        <v>0.39999901085425532</v>
      </c>
      <c r="AT120" s="11">
        <f>IFERROR((SK_gen[[#This Row],[2049]]*1000)/(SK_cap[[#This Row],[2049]]*8760), 0)</f>
        <v>0.40000053937094732</v>
      </c>
      <c r="AU120" s="11">
        <f>IFERROR((SK_gen[[#This Row],[2050]]*1000)/(SK_cap[[#This Row],[2050]]*8760), 0)</f>
        <v>0.39999912634093765</v>
      </c>
    </row>
    <row r="121" spans="1:47" x14ac:dyDescent="0.3">
      <c r="A121" s="2" t="s">
        <v>56</v>
      </c>
      <c r="B121" s="11">
        <f>IFERROR((SK_gen[[#This Row],[2005]]*1000)/(SK_cap[[#This Row],[2005]]*8760), 0)</f>
        <v>0</v>
      </c>
      <c r="C121" s="11">
        <f>IFERROR((SK_gen[[#This Row],[2006]]*1000)/(SK_cap[[#This Row],[2006]]*8760), 0)</f>
        <v>0</v>
      </c>
      <c r="D121" s="11">
        <f>IFERROR((SK_gen[[#This Row],[2007]]*1000)/(SK_cap[[#This Row],[2007]]*8760), 0)</f>
        <v>0</v>
      </c>
      <c r="E121" s="11">
        <f>IFERROR((SK_gen[[#This Row],[2008]]*1000)/(SK_cap[[#This Row],[2008]]*8760), 0)</f>
        <v>0</v>
      </c>
      <c r="F121" s="11">
        <f>IFERROR((SK_gen[[#This Row],[2009]]*1000)/(SK_cap[[#This Row],[2009]]*8760), 0)</f>
        <v>0</v>
      </c>
      <c r="G121" s="11">
        <f>IFERROR((SK_gen[[#This Row],[2010]]*1000)/(SK_cap[[#This Row],[2010]]*8760), 0)</f>
        <v>0</v>
      </c>
      <c r="H121" s="11">
        <f>IFERROR((SK_gen[[#This Row],[2011]]*1000)/(SK_cap[[#This Row],[2011]]*8760), 0)</f>
        <v>0</v>
      </c>
      <c r="I121" s="11">
        <f>IFERROR((SK_gen[[#This Row],[2012]]*1000)/(SK_cap[[#This Row],[2012]]*8760), 0)</f>
        <v>0</v>
      </c>
      <c r="J121" s="11">
        <f>IFERROR((SK_gen[[#This Row],[2013]]*1000)/(SK_cap[[#This Row],[2013]]*8760), 0)</f>
        <v>0</v>
      </c>
      <c r="K121" s="11">
        <f>IFERROR((SK_gen[[#This Row],[2014]]*1000)/(SK_cap[[#This Row],[2014]]*8760), 0)</f>
        <v>0</v>
      </c>
      <c r="L121" s="11">
        <f>IFERROR((SK_gen[[#This Row],[2015]]*1000)/(SK_cap[[#This Row],[2015]]*8760), 0)</f>
        <v>0</v>
      </c>
      <c r="M121" s="11">
        <f>IFERROR((SK_gen[[#This Row],[2016]]*1000)/(SK_cap[[#This Row],[2016]]*8760), 0)</f>
        <v>0</v>
      </c>
      <c r="N121" s="11">
        <f>IFERROR((SK_gen[[#This Row],[2017]]*1000)/(SK_cap[[#This Row],[2017]]*8760), 0)</f>
        <v>0</v>
      </c>
      <c r="O121" s="11">
        <f>IFERROR((SK_gen[[#This Row],[2018]]*1000)/(SK_cap[[#This Row],[2018]]*8760), 0)</f>
        <v>0.39003044140030441</v>
      </c>
      <c r="P121" s="11">
        <f>IFERROR((SK_gen[[#This Row],[2019]]*1000)/(SK_cap[[#This Row],[2019]]*8760), 0)</f>
        <v>0.34563673262303402</v>
      </c>
      <c r="Q121" s="11">
        <f>IFERROR((SK_gen[[#This Row],[2020]]*1000)/(SK_cap[[#This Row],[2020]]*8760), 0)</f>
        <v>0.34563673262303402</v>
      </c>
      <c r="R121" s="11">
        <f>IFERROR((SK_gen[[#This Row],[2021]]*1000)/(SK_cap[[#This Row],[2021]]*8760), 0)</f>
        <v>0.34563673262303402</v>
      </c>
      <c r="S121" s="11">
        <f>IFERROR((SK_gen[[#This Row],[2022]]*1000)/(SK_cap[[#This Row],[2022]]*8760), 0)</f>
        <v>0.34563673262303402</v>
      </c>
      <c r="T121" s="11">
        <f>IFERROR((SK_gen[[#This Row],[2023]]*1000)/(SK_cap[[#This Row],[2023]]*8760), 0)</f>
        <v>0.48788961683541793</v>
      </c>
      <c r="U121" s="11">
        <f>IFERROR((SK_gen[[#This Row],[2024]]*1000)/(SK_cap[[#This Row],[2024]]*8760), 0)</f>
        <v>0.48788961683541793</v>
      </c>
      <c r="V121" s="11">
        <f>IFERROR((SK_gen[[#This Row],[2025]]*1000)/(SK_cap[[#This Row],[2025]]*8760), 0)</f>
        <v>0.48788961683541793</v>
      </c>
      <c r="W121" s="11">
        <f>IFERROR((SK_gen[[#This Row],[2026]]*1000)/(SK_cap[[#This Row],[2026]]*8760), 0)</f>
        <v>0.48788961683541793</v>
      </c>
      <c r="X121" s="11">
        <f>IFERROR((SK_gen[[#This Row],[2027]]*1000)/(SK_cap[[#This Row],[2027]]*8760), 0)</f>
        <v>0.48788961683541793</v>
      </c>
      <c r="Y121" s="11">
        <f>IFERROR((SK_gen[[#This Row],[2028]]*1000)/(SK_cap[[#This Row],[2028]]*8760), 0)</f>
        <v>0.48788961683541793</v>
      </c>
      <c r="Z121" s="11">
        <f>IFERROR((SK_gen[[#This Row],[2029]]*1000)/(SK_cap[[#This Row],[2029]]*8760), 0)</f>
        <v>0.48788961683541793</v>
      </c>
      <c r="AA121" s="11">
        <f>IFERROR((SK_gen[[#This Row],[2030]]*1000)/(SK_cap[[#This Row],[2030]]*8760), 0)</f>
        <v>0.48788961683541793</v>
      </c>
      <c r="AB121" s="11">
        <f>IFERROR((SK_gen[[#This Row],[2031]]*1000)/(SK_cap[[#This Row],[2031]]*8760), 0)</f>
        <v>0.48788961683541793</v>
      </c>
      <c r="AC121" s="11">
        <f>IFERROR((SK_gen[[#This Row],[2032]]*1000)/(SK_cap[[#This Row],[2032]]*8760), 0)</f>
        <v>0.48788961683541793</v>
      </c>
      <c r="AD121" s="11">
        <f>IFERROR((SK_gen[[#This Row],[2033]]*1000)/(SK_cap[[#This Row],[2033]]*8760), 0)</f>
        <v>0.48788961683541793</v>
      </c>
      <c r="AE121" s="11">
        <f>IFERROR((SK_gen[[#This Row],[2034]]*1000)/(SK_cap[[#This Row],[2034]]*8760), 0)</f>
        <v>0.48788961683541793</v>
      </c>
      <c r="AF121" s="11">
        <f>IFERROR((SK_gen[[#This Row],[2035]]*1000)/(SK_cap[[#This Row],[2035]]*8760), 0)</f>
        <v>0.48788961683541793</v>
      </c>
      <c r="AG121" s="11">
        <f>IFERROR((SK_gen[[#This Row],[2036]]*1000)/(SK_cap[[#This Row],[2036]]*8760), 0)</f>
        <v>0.48788961683541793</v>
      </c>
      <c r="AH121" s="11">
        <f>IFERROR((SK_gen[[#This Row],[2037]]*1000)/(SK_cap[[#This Row],[2037]]*8760), 0)</f>
        <v>0.48788961683541793</v>
      </c>
      <c r="AI121" s="11">
        <f>IFERROR((SK_gen[[#This Row],[2038]]*1000)/(SK_cap[[#This Row],[2038]]*8760), 0)</f>
        <v>0.48788961683541793</v>
      </c>
      <c r="AJ121" s="11">
        <f>IFERROR((SK_gen[[#This Row],[2039]]*1000)/(SK_cap[[#This Row],[2039]]*8760), 0)</f>
        <v>0.48788961683541793</v>
      </c>
      <c r="AK121" s="11">
        <f>IFERROR((SK_gen[[#This Row],[2040]]*1000)/(SK_cap[[#This Row],[2040]]*8760), 0)</f>
        <v>0.48788961683541793</v>
      </c>
      <c r="AL121" s="11">
        <f>IFERROR((SK_gen[[#This Row],[2041]]*1000)/(SK_cap[[#This Row],[2041]]*8760), 0)</f>
        <v>0.48788961683541793</v>
      </c>
      <c r="AM121" s="11">
        <f>IFERROR((SK_gen[[#This Row],[2042]]*1000)/(SK_cap[[#This Row],[2042]]*8760), 0)</f>
        <v>0.48969447150382378</v>
      </c>
      <c r="AN121" s="11">
        <f>IFERROR((SK_gen[[#This Row],[2043]]*1000)/(SK_cap[[#This Row],[2043]]*8760), 0)</f>
        <v>0.48979082537691221</v>
      </c>
      <c r="AO121" s="11">
        <f>IFERROR((SK_gen[[#This Row],[2044]]*1000)/(SK_cap[[#This Row],[2044]]*8760), 0)</f>
        <v>0.48887546358257189</v>
      </c>
      <c r="AP121" s="11">
        <f>IFERROR((SK_gen[[#This Row],[2045]]*1000)/(SK_cap[[#This Row],[2045]]*8760), 0)</f>
        <v>0.48904408286047668</v>
      </c>
      <c r="AQ121" s="11">
        <f>IFERROR((SK_gen[[#This Row],[2046]]*1000)/(SK_cap[[#This Row],[2046]]*8760), 0)</f>
        <v>0.48817689800268055</v>
      </c>
      <c r="AR121" s="11">
        <f>IFERROR((SK_gen[[#This Row],[2047]]*1000)/(SK_cap[[#This Row],[2047]]*8760), 0)</f>
        <v>0.48950176375764687</v>
      </c>
      <c r="AS121" s="11">
        <f>IFERROR((SK_gen[[#This Row],[2048]]*1000)/(SK_cap[[#This Row],[2048]]*8760), 0)</f>
        <v>0.48868275583639498</v>
      </c>
      <c r="AT121" s="11">
        <f>IFERROR((SK_gen[[#This Row],[2049]]*1000)/(SK_cap[[#This Row],[2049]]*8760), 0)</f>
        <v>0.48926087907492571</v>
      </c>
      <c r="AU121" s="11">
        <f>IFERROR((SK_gen[[#This Row],[2050]]*1000)/(SK_cap[[#This Row],[2050]]*8760), 0)</f>
        <v>0.49263326463302182</v>
      </c>
    </row>
    <row r="122" spans="1:47" x14ac:dyDescent="0.3">
      <c r="A122" s="2" t="s">
        <v>57</v>
      </c>
      <c r="B122" s="11">
        <f>IFERROR((SK_gen[[#This Row],[2005]]*1000)/(SK_cap[[#This Row],[2005]]*8760), 0)</f>
        <v>0</v>
      </c>
      <c r="C122" s="11">
        <f>IFERROR((SK_gen[[#This Row],[2006]]*1000)/(SK_cap[[#This Row],[2006]]*8760), 0)</f>
        <v>0</v>
      </c>
      <c r="D122" s="11">
        <f>IFERROR((SK_gen[[#This Row],[2007]]*1000)/(SK_cap[[#This Row],[2007]]*8760), 0)</f>
        <v>0</v>
      </c>
      <c r="E122" s="11">
        <f>IFERROR((SK_gen[[#This Row],[2008]]*1000)/(SK_cap[[#This Row],[2008]]*8760), 0)</f>
        <v>0</v>
      </c>
      <c r="F122" s="11">
        <f>IFERROR((SK_gen[[#This Row],[2009]]*1000)/(SK_cap[[#This Row],[2009]]*8760), 0)</f>
        <v>0</v>
      </c>
      <c r="G122" s="11">
        <f>IFERROR((SK_gen[[#This Row],[2010]]*1000)/(SK_cap[[#This Row],[2010]]*8760), 0)</f>
        <v>0</v>
      </c>
      <c r="H122" s="11">
        <f>IFERROR((SK_gen[[#This Row],[2011]]*1000)/(SK_cap[[#This Row],[2011]]*8760), 0)</f>
        <v>0</v>
      </c>
      <c r="I122" s="11">
        <f>IFERROR((SK_gen[[#This Row],[2012]]*1000)/(SK_cap[[#This Row],[2012]]*8760), 0)</f>
        <v>0</v>
      </c>
      <c r="J122" s="11">
        <f>IFERROR((SK_gen[[#This Row],[2013]]*1000)/(SK_cap[[#This Row],[2013]]*8760), 0)</f>
        <v>0</v>
      </c>
      <c r="K122" s="11">
        <f>IFERROR((SK_gen[[#This Row],[2014]]*1000)/(SK_cap[[#This Row],[2014]]*8760), 0)</f>
        <v>0</v>
      </c>
      <c r="L122" s="11">
        <f>IFERROR((SK_gen[[#This Row],[2015]]*1000)/(SK_cap[[#This Row],[2015]]*8760), 0)</f>
        <v>0</v>
      </c>
      <c r="M122" s="11">
        <f>IFERROR((SK_gen[[#This Row],[2016]]*1000)/(SK_cap[[#This Row],[2016]]*8760), 0)</f>
        <v>0</v>
      </c>
      <c r="N122" s="11">
        <f>IFERROR((SK_gen[[#This Row],[2017]]*1000)/(SK_cap[[#This Row],[2017]]*8760), 0)</f>
        <v>0</v>
      </c>
      <c r="O122" s="11">
        <f>IFERROR((SK_gen[[#This Row],[2018]]*1000)/(SK_cap[[#This Row],[2018]]*8760), 0)</f>
        <v>0</v>
      </c>
      <c r="P122" s="11">
        <f>IFERROR((SK_gen[[#This Row],[2019]]*1000)/(SK_cap[[#This Row],[2019]]*8760), 0)</f>
        <v>0</v>
      </c>
      <c r="Q122" s="11">
        <f>IFERROR((SK_gen[[#This Row],[2020]]*1000)/(SK_cap[[#This Row],[2020]]*8760), 0)</f>
        <v>0</v>
      </c>
      <c r="R122" s="11">
        <f>IFERROR((SK_gen[[#This Row],[2021]]*1000)/(SK_cap[[#This Row],[2021]]*8760), 0)</f>
        <v>0</v>
      </c>
      <c r="S122" s="11">
        <f>IFERROR((SK_gen[[#This Row],[2022]]*1000)/(SK_cap[[#This Row],[2022]]*8760), 0)</f>
        <v>5.6566803674476321E-2</v>
      </c>
      <c r="T122" s="11">
        <f>IFERROR((SK_gen[[#This Row],[2023]]*1000)/(SK_cap[[#This Row],[2023]]*8760), 0)</f>
        <v>5.6566803674476321E-2</v>
      </c>
      <c r="U122" s="11">
        <f>IFERROR((SK_gen[[#This Row],[2024]]*1000)/(SK_cap[[#This Row],[2024]]*8760), 0)</f>
        <v>5.6566803674476321E-2</v>
      </c>
      <c r="V122" s="11">
        <f>IFERROR((SK_gen[[#This Row],[2025]]*1000)/(SK_cap[[#This Row],[2025]]*8760), 0)</f>
        <v>5.6566803674476321E-2</v>
      </c>
      <c r="W122" s="11">
        <f>IFERROR((SK_gen[[#This Row],[2026]]*1000)/(SK_cap[[#This Row],[2026]]*8760), 0)</f>
        <v>5.6566803674476321E-2</v>
      </c>
      <c r="X122" s="11">
        <f>IFERROR((SK_gen[[#This Row],[2027]]*1000)/(SK_cap[[#This Row],[2027]]*8760), 0)</f>
        <v>5.6566803674476321E-2</v>
      </c>
      <c r="Y122" s="11">
        <f>IFERROR((SK_gen[[#This Row],[2028]]*1000)/(SK_cap[[#This Row],[2028]]*8760), 0)</f>
        <v>5.6566803674476321E-2</v>
      </c>
      <c r="Z122" s="11">
        <f>IFERROR((SK_gen[[#This Row],[2029]]*1000)/(SK_cap[[#This Row],[2029]]*8760), 0)</f>
        <v>5.6566803674476321E-2</v>
      </c>
      <c r="AA122" s="11">
        <f>IFERROR((SK_gen[[#This Row],[2030]]*1000)/(SK_cap[[#This Row],[2030]]*8760), 0)</f>
        <v>5.6566803674476321E-2</v>
      </c>
      <c r="AB122" s="11">
        <f>IFERROR((SK_gen[[#This Row],[2031]]*1000)/(SK_cap[[#This Row],[2031]]*8760), 0)</f>
        <v>9.4480937932920339E-2</v>
      </c>
      <c r="AC122" s="11">
        <f>IFERROR((SK_gen[[#This Row],[2032]]*1000)/(SK_cap[[#This Row],[2032]]*8760), 0)</f>
        <v>0.11725851625758094</v>
      </c>
      <c r="AD122" s="11">
        <f>IFERROR((SK_gen[[#This Row],[2033]]*1000)/(SK_cap[[#This Row],[2033]]*8760), 0)</f>
        <v>0.13243155149066116</v>
      </c>
      <c r="AE122" s="11">
        <f>IFERROR((SK_gen[[#This Row],[2034]]*1000)/(SK_cap[[#This Row],[2034]]*8760), 0)</f>
        <v>0.14326783003083246</v>
      </c>
      <c r="AF122" s="11">
        <f>IFERROR((SK_gen[[#This Row],[2035]]*1000)/(SK_cap[[#This Row],[2035]]*8760), 0)</f>
        <v>0.15137201013440976</v>
      </c>
      <c r="AG122" s="11">
        <f>IFERROR((SK_gen[[#This Row],[2036]]*1000)/(SK_cap[[#This Row],[2036]]*8760), 0)</f>
        <v>0.15766983293433209</v>
      </c>
      <c r="AH122" s="11">
        <f>IFERROR((SK_gen[[#This Row],[2037]]*1000)/(SK_cap[[#This Row],[2037]]*8760), 0)</f>
        <v>0.16270003196996247</v>
      </c>
      <c r="AI122" s="11">
        <f>IFERROR((SK_gen[[#This Row],[2038]]*1000)/(SK_cap[[#This Row],[2038]]*8760), 0)</f>
        <v>0.16679863431799735</v>
      </c>
      <c r="AJ122" s="11">
        <f>IFERROR((SK_gen[[#This Row],[2039]]*1000)/(SK_cap[[#This Row],[2039]]*8760), 0)</f>
        <v>0.17021052219107602</v>
      </c>
      <c r="AK122" s="11">
        <f>IFERROR((SK_gen[[#This Row],[2040]]*1000)/(SK_cap[[#This Row],[2040]]*8760), 0)</f>
        <v>0.17308161836783631</v>
      </c>
      <c r="AL122" s="11">
        <f>IFERROR((SK_gen[[#This Row],[2041]]*1000)/(SK_cap[[#This Row],[2041]]*8760), 0)</f>
        <v>0.17553804963269834</v>
      </c>
      <c r="AM122" s="11">
        <f>IFERROR((SK_gen[[#This Row],[2042]]*1000)/(SK_cap[[#This Row],[2042]]*8760), 0)</f>
        <v>0.1776648229469196</v>
      </c>
      <c r="AN122" s="11">
        <f>IFERROR((SK_gen[[#This Row],[2043]]*1000)/(SK_cap[[#This Row],[2043]]*8760), 0)</f>
        <v>0.17953059160436693</v>
      </c>
      <c r="AO122" s="11">
        <f>IFERROR((SK_gen[[#This Row],[2044]]*1000)/(SK_cap[[#This Row],[2044]]*8760), 0)</f>
        <v>0.18117657722920735</v>
      </c>
      <c r="AP122" s="11">
        <f>IFERROR((SK_gen[[#This Row],[2045]]*1000)/(SK_cap[[#This Row],[2045]]*8760), 0)</f>
        <v>0.18263664648492214</v>
      </c>
      <c r="AQ122" s="11">
        <f>IFERROR((SK_gen[[#This Row],[2046]]*1000)/(SK_cap[[#This Row],[2046]]*8760), 0)</f>
        <v>0.18394608873047497</v>
      </c>
      <c r="AR122" s="11">
        <f>IFERROR((SK_gen[[#This Row],[2047]]*1000)/(SK_cap[[#This Row],[2047]]*8760), 0)</f>
        <v>0.18512803242718937</v>
      </c>
      <c r="AS122" s="11">
        <f>IFERROR((SK_gen[[#This Row],[2048]]*1000)/(SK_cap[[#This Row],[2048]]*8760), 0)</f>
        <v>0.18619558629435135</v>
      </c>
      <c r="AT122" s="11">
        <f>IFERROR((SK_gen[[#This Row],[2049]]*1000)/(SK_cap[[#This Row],[2049]]*8760), 0)</f>
        <v>0.18717060174599015</v>
      </c>
      <c r="AU122" s="11">
        <f>IFERROR((SK_gen[[#This Row],[2050]]*1000)/(SK_cap[[#This Row],[2050]]*8760), 0)</f>
        <v>0.18807254360048009</v>
      </c>
    </row>
    <row r="123" spans="1:47" x14ac:dyDescent="0.3">
      <c r="A123" s="2" t="s">
        <v>58</v>
      </c>
      <c r="B123" s="11">
        <f>IFERROR((SK_gen[[#This Row],[2005]]*1000)/(SK_cap[[#This Row],[2005]]*8760), 0)</f>
        <v>0</v>
      </c>
      <c r="C123" s="11">
        <f>IFERROR((SK_gen[[#This Row],[2006]]*1000)/(SK_cap[[#This Row],[2006]]*8760), 0)</f>
        <v>0</v>
      </c>
      <c r="D123" s="11">
        <f>IFERROR((SK_gen[[#This Row],[2007]]*1000)/(SK_cap[[#This Row],[2007]]*8760), 0)</f>
        <v>0</v>
      </c>
      <c r="E123" s="11">
        <f>IFERROR((SK_gen[[#This Row],[2008]]*1000)/(SK_cap[[#This Row],[2008]]*8760), 0)</f>
        <v>0</v>
      </c>
      <c r="F123" s="11">
        <f>IFERROR((SK_gen[[#This Row],[2009]]*1000)/(SK_cap[[#This Row],[2009]]*8760), 0)</f>
        <v>0</v>
      </c>
      <c r="G123" s="11">
        <f>IFERROR((SK_gen[[#This Row],[2010]]*1000)/(SK_cap[[#This Row],[2010]]*8760), 0)</f>
        <v>0</v>
      </c>
      <c r="H123" s="11">
        <f>IFERROR((SK_gen[[#This Row],[2011]]*1000)/(SK_cap[[#This Row],[2011]]*8760), 0)</f>
        <v>0</v>
      </c>
      <c r="I123" s="11">
        <f>IFERROR((SK_gen[[#This Row],[2012]]*1000)/(SK_cap[[#This Row],[2012]]*8760), 0)</f>
        <v>0</v>
      </c>
      <c r="J123" s="11">
        <f>IFERROR((SK_gen[[#This Row],[2013]]*1000)/(SK_cap[[#This Row],[2013]]*8760), 0)</f>
        <v>0</v>
      </c>
      <c r="K123" s="11">
        <f>IFERROR((SK_gen[[#This Row],[2014]]*1000)/(SK_cap[[#This Row],[2014]]*8760), 0)</f>
        <v>0</v>
      </c>
      <c r="L123" s="11">
        <f>IFERROR((SK_gen[[#This Row],[2015]]*1000)/(SK_cap[[#This Row],[2015]]*8760), 0)</f>
        <v>0</v>
      </c>
      <c r="M123" s="11">
        <f>IFERROR((SK_gen[[#This Row],[2016]]*1000)/(SK_cap[[#This Row],[2016]]*8760), 0)</f>
        <v>0</v>
      </c>
      <c r="N123" s="11">
        <f>IFERROR((SK_gen[[#This Row],[2017]]*1000)/(SK_cap[[#This Row],[2017]]*8760), 0)</f>
        <v>0</v>
      </c>
      <c r="O123" s="11">
        <f>IFERROR((SK_gen[[#This Row],[2018]]*1000)/(SK_cap[[#This Row],[2018]]*8760), 0)</f>
        <v>0</v>
      </c>
      <c r="P123" s="11">
        <f>IFERROR((SK_gen[[#This Row],[2019]]*1000)/(SK_cap[[#This Row],[2019]]*8760), 0)</f>
        <v>0</v>
      </c>
      <c r="Q123" s="11">
        <f>IFERROR((SK_gen[[#This Row],[2020]]*1000)/(SK_cap[[#This Row],[2020]]*8760), 0)</f>
        <v>0</v>
      </c>
      <c r="R123" s="11">
        <f>IFERROR((SK_gen[[#This Row],[2021]]*1000)/(SK_cap[[#This Row],[2021]]*8760), 0)</f>
        <v>0</v>
      </c>
      <c r="S123" s="11">
        <f>IFERROR((SK_gen[[#This Row],[2022]]*1000)/(SK_cap[[#This Row],[2022]]*8760), 0)</f>
        <v>0</v>
      </c>
      <c r="T123" s="11">
        <f>IFERROR((SK_gen[[#This Row],[2023]]*1000)/(SK_cap[[#This Row],[2023]]*8760), 0)</f>
        <v>0</v>
      </c>
      <c r="U123" s="11">
        <f>IFERROR((SK_gen[[#This Row],[2024]]*1000)/(SK_cap[[#This Row],[2024]]*8760), 0)</f>
        <v>0</v>
      </c>
      <c r="V123" s="11">
        <f>IFERROR((SK_gen[[#This Row],[2025]]*1000)/(SK_cap[[#This Row],[2025]]*8760), 0)</f>
        <v>0</v>
      </c>
      <c r="W123" s="11">
        <f>IFERROR((SK_gen[[#This Row],[2026]]*1000)/(SK_cap[[#This Row],[2026]]*8760), 0)</f>
        <v>0</v>
      </c>
      <c r="X123" s="11">
        <f>IFERROR((SK_gen[[#This Row],[2027]]*1000)/(SK_cap[[#This Row],[2027]]*8760), 0)</f>
        <v>0</v>
      </c>
      <c r="Y123" s="11">
        <f>IFERROR((SK_gen[[#This Row],[2028]]*1000)/(SK_cap[[#This Row],[2028]]*8760), 0)</f>
        <v>0</v>
      </c>
      <c r="Z123" s="11">
        <f>IFERROR((SK_gen[[#This Row],[2029]]*1000)/(SK_cap[[#This Row],[2029]]*8760), 0)</f>
        <v>0</v>
      </c>
      <c r="AA123" s="11">
        <f>IFERROR((SK_gen[[#This Row],[2030]]*1000)/(SK_cap[[#This Row],[2030]]*8760), 0)</f>
        <v>0</v>
      </c>
      <c r="AB123" s="11">
        <f>IFERROR((SK_gen[[#This Row],[2031]]*1000)/(SK_cap[[#This Row],[2031]]*8760), 0)</f>
        <v>0</v>
      </c>
      <c r="AC123" s="11">
        <f>IFERROR((SK_gen[[#This Row],[2032]]*1000)/(SK_cap[[#This Row],[2032]]*8760), 0)</f>
        <v>0</v>
      </c>
      <c r="AD123" s="11">
        <f>IFERROR((SK_gen[[#This Row],[2033]]*1000)/(SK_cap[[#This Row],[2033]]*8760), 0)</f>
        <v>0</v>
      </c>
      <c r="AE123" s="11">
        <f>IFERROR((SK_gen[[#This Row],[2034]]*1000)/(SK_cap[[#This Row],[2034]]*8760), 0)</f>
        <v>0</v>
      </c>
      <c r="AF123" s="11">
        <f>IFERROR((SK_gen[[#This Row],[2035]]*1000)/(SK_cap[[#This Row],[2035]]*8760), 0)</f>
        <v>0</v>
      </c>
      <c r="AG123" s="11">
        <f>IFERROR((SK_gen[[#This Row],[2036]]*1000)/(SK_cap[[#This Row],[2036]]*8760), 0)</f>
        <v>0</v>
      </c>
      <c r="AH123" s="11">
        <f>IFERROR((SK_gen[[#This Row],[2037]]*1000)/(SK_cap[[#This Row],[2037]]*8760), 0)</f>
        <v>0</v>
      </c>
      <c r="AI123" s="11">
        <f>IFERROR((SK_gen[[#This Row],[2038]]*1000)/(SK_cap[[#This Row],[2038]]*8760), 0)</f>
        <v>0</v>
      </c>
      <c r="AJ123" s="11">
        <f>IFERROR((SK_gen[[#This Row],[2039]]*1000)/(SK_cap[[#This Row],[2039]]*8760), 0)</f>
        <v>0</v>
      </c>
      <c r="AK123" s="11">
        <f>IFERROR((SK_gen[[#This Row],[2040]]*1000)/(SK_cap[[#This Row],[2040]]*8760), 0)</f>
        <v>0</v>
      </c>
      <c r="AL123" s="11">
        <f>IFERROR((SK_gen[[#This Row],[2041]]*1000)/(SK_cap[[#This Row],[2041]]*8760), 0)</f>
        <v>0</v>
      </c>
      <c r="AM123" s="11">
        <f>IFERROR((SK_gen[[#This Row],[2042]]*1000)/(SK_cap[[#This Row],[2042]]*8760), 0)</f>
        <v>0</v>
      </c>
      <c r="AN123" s="11">
        <f>IFERROR((SK_gen[[#This Row],[2043]]*1000)/(SK_cap[[#This Row],[2043]]*8760), 0)</f>
        <v>0</v>
      </c>
      <c r="AO123" s="11">
        <f>IFERROR((SK_gen[[#This Row],[2044]]*1000)/(SK_cap[[#This Row],[2044]]*8760), 0)</f>
        <v>0</v>
      </c>
      <c r="AP123" s="11">
        <f>IFERROR((SK_gen[[#This Row],[2045]]*1000)/(SK_cap[[#This Row],[2045]]*8760), 0)</f>
        <v>0</v>
      </c>
      <c r="AQ123" s="11">
        <f>IFERROR((SK_gen[[#This Row],[2046]]*1000)/(SK_cap[[#This Row],[2046]]*8760), 0)</f>
        <v>0</v>
      </c>
      <c r="AR123" s="11">
        <f>IFERROR((SK_gen[[#This Row],[2047]]*1000)/(SK_cap[[#This Row],[2047]]*8760), 0)</f>
        <v>0</v>
      </c>
      <c r="AS123" s="11">
        <f>IFERROR((SK_gen[[#This Row],[2048]]*1000)/(SK_cap[[#This Row],[2048]]*8760), 0)</f>
        <v>0</v>
      </c>
      <c r="AT123" s="11">
        <f>IFERROR((SK_gen[[#This Row],[2049]]*1000)/(SK_cap[[#This Row],[2049]]*8760), 0)</f>
        <v>0</v>
      </c>
      <c r="AU123" s="11">
        <f>IFERROR((SK_gen[[#This Row],[2050]]*1000)/(SK_cap[[#This Row],[2050]]*8760), 0)</f>
        <v>0</v>
      </c>
    </row>
    <row r="124" spans="1:47" x14ac:dyDescent="0.3">
      <c r="A124" s="2" t="s">
        <v>59</v>
      </c>
      <c r="B124" s="11">
        <f>IFERROR((SK_gen[[#This Row],[2005]]*1000)/(SK_cap[[#This Row],[2005]]*8760), 0)</f>
        <v>0.83492097334643045</v>
      </c>
      <c r="C124" s="11">
        <f>IFERROR((SK_gen[[#This Row],[2006]]*1000)/(SK_cap[[#This Row],[2006]]*8760), 0)</f>
        <v>0.80807957744155179</v>
      </c>
      <c r="D124" s="11">
        <f>IFERROR((SK_gen[[#This Row],[2007]]*1000)/(SK_cap[[#This Row],[2007]]*8760), 0)</f>
        <v>0.85877830072828798</v>
      </c>
      <c r="E124" s="11">
        <f>IFERROR((SK_gen[[#This Row],[2008]]*1000)/(SK_cap[[#This Row],[2008]]*8760), 0)</f>
        <v>0.88060375722398487</v>
      </c>
      <c r="F124" s="11">
        <f>IFERROR((SK_gen[[#This Row],[2009]]*1000)/(SK_cap[[#This Row],[2009]]*8760), 0)</f>
        <v>0.90312745377525039</v>
      </c>
      <c r="G124" s="11">
        <f>IFERROR((SK_gen[[#This Row],[2010]]*1000)/(SK_cap[[#This Row],[2010]]*8760), 0)</f>
        <v>0.84462445047937706</v>
      </c>
      <c r="H124" s="11">
        <f>IFERROR((SK_gen[[#This Row],[2011]]*1000)/(SK_cap[[#This Row],[2011]]*8760), 0)</f>
        <v>0.82404399665911465</v>
      </c>
      <c r="I124" s="11">
        <f>IFERROR((SK_gen[[#This Row],[2012]]*1000)/(SK_cap[[#This Row],[2012]]*8760), 0)</f>
        <v>0.87795046386469855</v>
      </c>
      <c r="J124" s="11">
        <f>IFERROR((SK_gen[[#This Row],[2013]]*1000)/(SK_cap[[#This Row],[2013]]*8760), 0)</f>
        <v>0.9474516026392471</v>
      </c>
      <c r="K124" s="11">
        <f>IFERROR((SK_gen[[#This Row],[2014]]*1000)/(SK_cap[[#This Row],[2014]]*8760), 0)</f>
        <v>0.87209777936430022</v>
      </c>
      <c r="L124" s="11">
        <f>IFERROR((SK_gen[[#This Row],[2015]]*1000)/(SK_cap[[#This Row],[2015]]*8760), 0)</f>
        <v>0.8941710172088112</v>
      </c>
      <c r="M124" s="11">
        <f>IFERROR((SK_gen[[#This Row],[2016]]*1000)/(SK_cap[[#This Row],[2016]]*8760), 0)</f>
        <v>0.89054630910416011</v>
      </c>
      <c r="N124" s="11">
        <f>IFERROR((SK_gen[[#This Row],[2017]]*1000)/(SK_cap[[#This Row],[2017]]*8760), 0)</f>
        <v>0.88610801243436998</v>
      </c>
      <c r="O124" s="11">
        <f>IFERROR((SK_gen[[#This Row],[2018]]*1000)/(SK_cap[[#This Row],[2018]]*8760), 0)</f>
        <v>0.76531167730132521</v>
      </c>
      <c r="P124" s="11">
        <f>IFERROR((SK_gen[[#This Row],[2019]]*1000)/(SK_cap[[#This Row],[2019]]*8760), 0)</f>
        <v>0.74230660538723547</v>
      </c>
      <c r="Q124" s="11">
        <f>IFERROR((SK_gen[[#This Row],[2020]]*1000)/(SK_cap[[#This Row],[2020]]*8760), 0)</f>
        <v>0.750271444082519</v>
      </c>
      <c r="R124" s="11">
        <f>IFERROR((SK_gen[[#This Row],[2021]]*1000)/(SK_cap[[#This Row],[2021]]*8760), 0)</f>
        <v>0.79384919077337734</v>
      </c>
      <c r="S124" s="11">
        <f>IFERROR((SK_gen[[#This Row],[2022]]*1000)/(SK_cap[[#This Row],[2022]]*8760), 0)</f>
        <v>0.78210151008235163</v>
      </c>
      <c r="T124" s="11">
        <f>IFERROR((SK_gen[[#This Row],[2023]]*1000)/(SK_cap[[#This Row],[2023]]*8760), 0)</f>
        <v>0.7927905101295758</v>
      </c>
      <c r="U124" s="11">
        <f>IFERROR((SK_gen[[#This Row],[2024]]*1000)/(SK_cap[[#This Row],[2024]]*8760), 0)</f>
        <v>0.75526367410991602</v>
      </c>
      <c r="V124" s="11">
        <f>IFERROR((SK_gen[[#This Row],[2025]]*1000)/(SK_cap[[#This Row],[2025]]*8760), 0)</f>
        <v>0.71528754045836462</v>
      </c>
      <c r="W124" s="11">
        <f>IFERROR((SK_gen[[#This Row],[2026]]*1000)/(SK_cap[[#This Row],[2026]]*8760), 0)</f>
        <v>0.76487090766423704</v>
      </c>
      <c r="X124" s="11">
        <f>IFERROR((SK_gen[[#This Row],[2027]]*1000)/(SK_cap[[#This Row],[2027]]*8760), 0)</f>
        <v>0.79330100116282365</v>
      </c>
      <c r="Y124" s="11">
        <f>IFERROR((SK_gen[[#This Row],[2028]]*1000)/(SK_cap[[#This Row],[2028]]*8760), 0)</f>
        <v>0.71553153721286011</v>
      </c>
      <c r="Z124" s="11">
        <f>IFERROR((SK_gen[[#This Row],[2029]]*1000)/(SK_cap[[#This Row],[2029]]*8760), 0)</f>
        <v>0.71553153721286011</v>
      </c>
      <c r="AA124" s="11">
        <f>IFERROR((SK_gen[[#This Row],[2030]]*1000)/(SK_cap[[#This Row],[2030]]*8760), 0)</f>
        <v>0.71553153721286011</v>
      </c>
      <c r="AB124" s="11">
        <f>IFERROR((SK_gen[[#This Row],[2031]]*1000)/(SK_cap[[#This Row],[2031]]*8760), 0)</f>
        <v>0.71553153721286011</v>
      </c>
      <c r="AC124" s="11">
        <f>IFERROR((SK_gen[[#This Row],[2032]]*1000)/(SK_cap[[#This Row],[2032]]*8760), 0)</f>
        <v>0.71553153721286011</v>
      </c>
      <c r="AD124" s="11">
        <f>IFERROR((SK_gen[[#This Row],[2033]]*1000)/(SK_cap[[#This Row],[2033]]*8760), 0)</f>
        <v>0.71553153721286011</v>
      </c>
      <c r="AE124" s="11">
        <f>IFERROR((SK_gen[[#This Row],[2034]]*1000)/(SK_cap[[#This Row],[2034]]*8760), 0)</f>
        <v>0.71553153721286011</v>
      </c>
      <c r="AF124" s="11">
        <f>IFERROR((SK_gen[[#This Row],[2035]]*1000)/(SK_cap[[#This Row],[2035]]*8760), 0)</f>
        <v>0.71553153721286011</v>
      </c>
      <c r="AG124" s="11">
        <f>IFERROR((SK_gen[[#This Row],[2036]]*1000)/(SK_cap[[#This Row],[2036]]*8760), 0)</f>
        <v>0.71553153721286011</v>
      </c>
      <c r="AH124" s="11">
        <f>IFERROR((SK_gen[[#This Row],[2037]]*1000)/(SK_cap[[#This Row],[2037]]*8760), 0)</f>
        <v>0.3835020845741513</v>
      </c>
      <c r="AI124" s="11">
        <f>IFERROR((SK_gen[[#This Row],[2038]]*1000)/(SK_cap[[#This Row],[2038]]*8760), 0)</f>
        <v>0.3835020845741513</v>
      </c>
      <c r="AJ124" s="11">
        <f>IFERROR((SK_gen[[#This Row],[2039]]*1000)/(SK_cap[[#This Row],[2039]]*8760), 0)</f>
        <v>0.3835020845741513</v>
      </c>
      <c r="AK124" s="11">
        <f>IFERROR((SK_gen[[#This Row],[2040]]*1000)/(SK_cap[[#This Row],[2040]]*8760), 0)</f>
        <v>0.3835020845741513</v>
      </c>
      <c r="AL124" s="11">
        <f>IFERROR((SK_gen[[#This Row],[2041]]*1000)/(SK_cap[[#This Row],[2041]]*8760), 0)</f>
        <v>0.3835020845741513</v>
      </c>
      <c r="AM124" s="11">
        <f>IFERROR((SK_gen[[#This Row],[2042]]*1000)/(SK_cap[[#This Row],[2042]]*8760), 0)</f>
        <v>0.3835020845741513</v>
      </c>
      <c r="AN124" s="11">
        <f>IFERROR((SK_gen[[#This Row],[2043]]*1000)/(SK_cap[[#This Row],[2043]]*8760), 0)</f>
        <v>0.3835020845741513</v>
      </c>
      <c r="AO124" s="11">
        <f>IFERROR((SK_gen[[#This Row],[2044]]*1000)/(SK_cap[[#This Row],[2044]]*8760), 0)</f>
        <v>0.3835020845741513</v>
      </c>
      <c r="AP124" s="11">
        <f>IFERROR((SK_gen[[#This Row],[2045]]*1000)/(SK_cap[[#This Row],[2045]]*8760), 0)</f>
        <v>0.3835020845741513</v>
      </c>
      <c r="AQ124" s="11">
        <f>IFERROR((SK_gen[[#This Row],[2046]]*1000)/(SK_cap[[#This Row],[2046]]*8760), 0)</f>
        <v>0.3835020845741513</v>
      </c>
      <c r="AR124" s="11">
        <f>IFERROR((SK_gen[[#This Row],[2047]]*1000)/(SK_cap[[#This Row],[2047]]*8760), 0)</f>
        <v>0.3835020845741513</v>
      </c>
      <c r="AS124" s="11">
        <f>IFERROR((SK_gen[[#This Row],[2048]]*1000)/(SK_cap[[#This Row],[2048]]*8760), 0)</f>
        <v>0.3835020845741513</v>
      </c>
      <c r="AT124" s="11">
        <f>IFERROR((SK_gen[[#This Row],[2049]]*1000)/(SK_cap[[#This Row],[2049]]*8760), 0)</f>
        <v>0.3835020845741513</v>
      </c>
      <c r="AU124" s="11">
        <f>IFERROR((SK_gen[[#This Row],[2050]]*1000)/(SK_cap[[#This Row],[2050]]*8760), 0)</f>
        <v>0.3835020845741513</v>
      </c>
    </row>
    <row r="125" spans="1:47" x14ac:dyDescent="0.3">
      <c r="A125" s="2" t="s">
        <v>60</v>
      </c>
      <c r="B125" s="11">
        <f>IFERROR((SK_gen[[#This Row],[2005]]*1000)/(SK_cap[[#This Row],[2005]]*8760), 0)</f>
        <v>0.2054870374813263</v>
      </c>
      <c r="C125" s="11">
        <f>IFERROR((SK_gen[[#This Row],[2006]]*1000)/(SK_cap[[#This Row],[2006]]*8760), 0)</f>
        <v>0.24352253337641855</v>
      </c>
      <c r="D125" s="11">
        <f>IFERROR((SK_gen[[#This Row],[2007]]*1000)/(SK_cap[[#This Row],[2007]]*8760), 0)</f>
        <v>0.20256123010478075</v>
      </c>
      <c r="E125" s="11">
        <f>IFERROR((SK_gen[[#This Row],[2008]]*1000)/(SK_cap[[#This Row],[2008]]*8760), 0)</f>
        <v>0.33418571854903362</v>
      </c>
      <c r="F125" s="11">
        <f>IFERROR((SK_gen[[#This Row],[2009]]*1000)/(SK_cap[[#This Row],[2009]]*8760), 0)</f>
        <v>0.27519834406429539</v>
      </c>
      <c r="G125" s="11">
        <f>IFERROR((SK_gen[[#This Row],[2010]]*1000)/(SK_cap[[#This Row],[2010]]*8760), 0)</f>
        <v>0.20502740069979516</v>
      </c>
      <c r="H125" s="11">
        <f>IFERROR((SK_gen[[#This Row],[2011]]*1000)/(SK_cap[[#This Row],[2011]]*8760), 0)</f>
        <v>0.21937511761934034</v>
      </c>
      <c r="I125" s="11">
        <f>IFERROR((SK_gen[[#This Row],[2012]]*1000)/(SK_cap[[#This Row],[2012]]*8760), 0)</f>
        <v>0.26641384548131269</v>
      </c>
      <c r="J125" s="11">
        <f>IFERROR((SK_gen[[#This Row],[2013]]*1000)/(SK_cap[[#This Row],[2013]]*8760), 0)</f>
        <v>0.38628228668097048</v>
      </c>
      <c r="K125" s="11">
        <f>IFERROR((SK_gen[[#This Row],[2014]]*1000)/(SK_cap[[#This Row],[2014]]*8760), 0)</f>
        <v>0.46452317043070468</v>
      </c>
      <c r="L125" s="11">
        <f>IFERROR((SK_gen[[#This Row],[2015]]*1000)/(SK_cap[[#This Row],[2015]]*8760), 0)</f>
        <v>0.49057483990092371</v>
      </c>
      <c r="M125" s="11">
        <f>IFERROR((SK_gen[[#This Row],[2016]]*1000)/(SK_cap[[#This Row],[2016]]*8760), 0)</f>
        <v>0.52863487710886115</v>
      </c>
      <c r="N125" s="11">
        <f>IFERROR((SK_gen[[#This Row],[2017]]*1000)/(SK_cap[[#This Row],[2017]]*8760), 0)</f>
        <v>0.55519127381440225</v>
      </c>
      <c r="O125" s="11">
        <f>IFERROR((SK_gen[[#This Row],[2018]]*1000)/(SK_cap[[#This Row],[2018]]*8760), 0)</f>
        <v>0.57914536582070164</v>
      </c>
      <c r="P125" s="11">
        <f>IFERROR((SK_gen[[#This Row],[2019]]*1000)/(SK_cap[[#This Row],[2019]]*8760), 0)</f>
        <v>0.59622851416945088</v>
      </c>
      <c r="Q125" s="11">
        <f>IFERROR((SK_gen[[#This Row],[2020]]*1000)/(SK_cap[[#This Row],[2020]]*8760), 0)</f>
        <v>0.50725726476505573</v>
      </c>
      <c r="R125" s="11">
        <f>IFERROR((SK_gen[[#This Row],[2021]]*1000)/(SK_cap[[#This Row],[2021]]*8760), 0)</f>
        <v>0.56310188799879923</v>
      </c>
      <c r="S125" s="11">
        <f>IFERROR((SK_gen[[#This Row],[2022]]*1000)/(SK_cap[[#This Row],[2022]]*8760), 0)</f>
        <v>0.56789236293538981</v>
      </c>
      <c r="T125" s="11">
        <f>IFERROR((SK_gen[[#This Row],[2023]]*1000)/(SK_cap[[#This Row],[2023]]*8760), 0)</f>
        <v>0.58409340411624211</v>
      </c>
      <c r="U125" s="11">
        <f>IFERROR((SK_gen[[#This Row],[2024]]*1000)/(SK_cap[[#This Row],[2024]]*8760), 0)</f>
        <v>0.56866411827348462</v>
      </c>
      <c r="V125" s="11">
        <f>IFERROR((SK_gen[[#This Row],[2025]]*1000)/(SK_cap[[#This Row],[2025]]*8760), 0)</f>
        <v>0.54581369123546486</v>
      </c>
      <c r="W125" s="11">
        <f>IFERROR((SK_gen[[#This Row],[2026]]*1000)/(SK_cap[[#This Row],[2026]]*8760), 0)</f>
        <v>0.60512829499972964</v>
      </c>
      <c r="X125" s="11">
        <f>IFERROR((SK_gen[[#This Row],[2027]]*1000)/(SK_cap[[#This Row],[2027]]*8760), 0)</f>
        <v>0.59649722337405442</v>
      </c>
      <c r="Y125" s="11">
        <f>IFERROR((SK_gen[[#This Row],[2028]]*1000)/(SK_cap[[#This Row],[2028]]*8760), 0)</f>
        <v>0.70654248557034371</v>
      </c>
      <c r="Z125" s="11">
        <f>IFERROR((SK_gen[[#This Row],[2029]]*1000)/(SK_cap[[#This Row],[2029]]*8760), 0)</f>
        <v>0.71252915462539279</v>
      </c>
      <c r="AA125" s="11">
        <f>IFERROR((SK_gen[[#This Row],[2030]]*1000)/(SK_cap[[#This Row],[2030]]*8760), 0)</f>
        <v>0.70925704619406793</v>
      </c>
      <c r="AB125" s="11">
        <f>IFERROR((SK_gen[[#This Row],[2031]]*1000)/(SK_cap[[#This Row],[2031]]*8760), 0)</f>
        <v>0.71045112924837472</v>
      </c>
      <c r="AC125" s="11">
        <f>IFERROR((SK_gen[[#This Row],[2032]]*1000)/(SK_cap[[#This Row],[2032]]*8760), 0)</f>
        <v>0.70128528385040056</v>
      </c>
      <c r="AD125" s="11">
        <f>IFERROR((SK_gen[[#This Row],[2033]]*1000)/(SK_cap[[#This Row],[2033]]*8760), 0)</f>
        <v>0.70037150644707102</v>
      </c>
      <c r="AE125" s="11">
        <f>IFERROR((SK_gen[[#This Row],[2034]]*1000)/(SK_cap[[#This Row],[2034]]*8760), 0)</f>
        <v>0.67957538154374797</v>
      </c>
      <c r="AF125" s="11">
        <f>IFERROR((SK_gen[[#This Row],[2035]]*1000)/(SK_cap[[#This Row],[2035]]*8760), 0)</f>
        <v>0.67844320741595987</v>
      </c>
      <c r="AG125" s="11">
        <f>IFERROR((SK_gen[[#This Row],[2036]]*1000)/(SK_cap[[#This Row],[2036]]*8760), 0)</f>
        <v>0.67758228974265566</v>
      </c>
      <c r="AH125" s="11">
        <f>IFERROR((SK_gen[[#This Row],[2037]]*1000)/(SK_cap[[#This Row],[2037]]*8760), 0)</f>
        <v>0.72799915087491984</v>
      </c>
      <c r="AI125" s="11">
        <f>IFERROR((SK_gen[[#This Row],[2038]]*1000)/(SK_cap[[#This Row],[2038]]*8760), 0)</f>
        <v>0.71143364022738165</v>
      </c>
      <c r="AJ125" s="11">
        <f>IFERROR((SK_gen[[#This Row],[2039]]*1000)/(SK_cap[[#This Row],[2039]]*8760), 0)</f>
        <v>0.71112899694029574</v>
      </c>
      <c r="AK125" s="11">
        <f>IFERROR((SK_gen[[#This Row],[2040]]*1000)/(SK_cap[[#This Row],[2040]]*8760), 0)</f>
        <v>0.70131254601275306</v>
      </c>
      <c r="AL125" s="11">
        <f>IFERROR((SK_gen[[#This Row],[2041]]*1000)/(SK_cap[[#This Row],[2041]]*8760), 0)</f>
        <v>0.70237164212931136</v>
      </c>
      <c r="AM125" s="11">
        <f>IFERROR((SK_gen[[#This Row],[2042]]*1000)/(SK_cap[[#This Row],[2042]]*8760), 0)</f>
        <v>0.68711358560012137</v>
      </c>
      <c r="AN125" s="11">
        <f>IFERROR((SK_gen[[#This Row],[2043]]*1000)/(SK_cap[[#This Row],[2043]]*8760), 0)</f>
        <v>0.68883631218686692</v>
      </c>
      <c r="AO125" s="11">
        <f>IFERROR((SK_gen[[#This Row],[2044]]*1000)/(SK_cap[[#This Row],[2044]]*8760), 0)</f>
        <v>0.67974532039902213</v>
      </c>
      <c r="AP125" s="11">
        <f>IFERROR((SK_gen[[#This Row],[2045]]*1000)/(SK_cap[[#This Row],[2045]]*8760), 0)</f>
        <v>0.68093109391538897</v>
      </c>
      <c r="AQ125" s="11">
        <f>IFERROR((SK_gen[[#This Row],[2046]]*1000)/(SK_cap[[#This Row],[2046]]*8760), 0)</f>
        <v>0.67287029249662433</v>
      </c>
      <c r="AR125" s="11">
        <f>IFERROR((SK_gen[[#This Row],[2047]]*1000)/(SK_cap[[#This Row],[2047]]*8760), 0)</f>
        <v>0.68543103253558202</v>
      </c>
      <c r="AS125" s="11">
        <f>IFERROR((SK_gen[[#This Row],[2048]]*1000)/(SK_cap[[#This Row],[2048]]*8760), 0)</f>
        <v>0.67832035408829583</v>
      </c>
      <c r="AT125" s="11">
        <f>IFERROR((SK_gen[[#This Row],[2049]]*1000)/(SK_cap[[#This Row],[2049]]*8760), 0)</f>
        <v>0.68306835873785698</v>
      </c>
      <c r="AU125" s="11">
        <f>IFERROR((SK_gen[[#This Row],[2050]]*1000)/(SK_cap[[#This Row],[2050]]*8760), 0)</f>
        <v>0.68846093831529731</v>
      </c>
    </row>
    <row r="126" spans="1:47" x14ac:dyDescent="0.3">
      <c r="A126" s="2" t="s">
        <v>61</v>
      </c>
      <c r="B126" s="11">
        <f>IFERROR((SK_gen[[#This Row],[2005]]*1000)/(SK_cap[[#This Row],[2005]]*8760), 0)</f>
        <v>1.7464777738750343</v>
      </c>
      <c r="C126" s="11">
        <f>IFERROR((SK_gen[[#This Row],[2006]]*1000)/(SK_cap[[#This Row],[2006]]*8760), 0)</f>
        <v>1.9025875190258754</v>
      </c>
      <c r="D126" s="11">
        <f>IFERROR((SK_gen[[#This Row],[2007]]*1000)/(SK_cap[[#This Row],[2007]]*8760), 0)</f>
        <v>2.5270264996292395</v>
      </c>
      <c r="E126" s="11">
        <f>IFERROR((SK_gen[[#This Row],[2008]]*1000)/(SK_cap[[#This Row],[2008]]*8760), 0)</f>
        <v>2.2050501502556301</v>
      </c>
      <c r="F126" s="11">
        <f>IFERROR((SK_gen[[#This Row],[2009]]*1000)/(SK_cap[[#This Row],[2009]]*8760), 0)</f>
        <v>1.7464777738750343</v>
      </c>
      <c r="G126" s="11">
        <f>IFERROR((SK_gen[[#This Row],[2010]]*1000)/(SK_cap[[#This Row],[2010]]*8760), 0)</f>
        <v>2.0294266869609339</v>
      </c>
      <c r="H126" s="11">
        <f>IFERROR((SK_gen[[#This Row],[2011]]*1000)/(SK_cap[[#This Row],[2011]]*8760), 0)</f>
        <v>1.2000936658470907</v>
      </c>
      <c r="I126" s="11">
        <f>IFERROR((SK_gen[[#This Row],[2012]]*1000)/(SK_cap[[#This Row],[2012]]*8760), 0)</f>
        <v>1.1025250751278151</v>
      </c>
      <c r="J126" s="11">
        <f>IFERROR((SK_gen[[#This Row],[2013]]*1000)/(SK_cap[[#This Row],[2013]]*8760), 0)</f>
        <v>1.463528860789135</v>
      </c>
      <c r="K126" s="11">
        <f>IFERROR((SK_gen[[#This Row],[2014]]*1000)/(SK_cap[[#This Row],[2014]]*8760), 0)</f>
        <v>8.346256569311622E-2</v>
      </c>
      <c r="L126" s="11">
        <f>IFERROR((SK_gen[[#This Row],[2015]]*1000)/(SK_cap[[#This Row],[2015]]*8760), 0)</f>
        <v>1.3461704144051003E-2</v>
      </c>
      <c r="M126" s="11">
        <f>IFERROR((SK_gen[[#This Row],[2016]]*1000)/(SK_cap[[#This Row],[2016]]*8760), 0)</f>
        <v>6.7308520720255017E-3</v>
      </c>
      <c r="N126" s="11">
        <f>IFERROR((SK_gen[[#This Row],[2017]]*1000)/(SK_cap[[#This Row],[2017]]*8760), 0)</f>
        <v>6.7308520720255017E-3</v>
      </c>
      <c r="O126" s="11">
        <f>IFERROR((SK_gen[[#This Row],[2018]]*1000)/(SK_cap[[#This Row],[2018]]*8760), 0)</f>
        <v>6.7308520720255017E-3</v>
      </c>
      <c r="P126" s="11">
        <f>IFERROR((SK_gen[[#This Row],[2019]]*1000)/(SK_cap[[#This Row],[2019]]*8760), 0)</f>
        <v>6.7308520720255017E-3</v>
      </c>
      <c r="Q126" s="11">
        <f>IFERROR((SK_gen[[#This Row],[2020]]*1000)/(SK_cap[[#This Row],[2020]]*8760), 0)</f>
        <v>5.5192986990609115E-2</v>
      </c>
      <c r="R126" s="11">
        <f>IFERROR((SK_gen[[#This Row],[2021]]*1000)/(SK_cap[[#This Row],[2021]]*8760), 0)</f>
        <v>5.5192986990609115E-2</v>
      </c>
      <c r="S126" s="11">
        <f>IFERROR((SK_gen[[#This Row],[2022]]*1000)/(SK_cap[[#This Row],[2022]]*8760), 0)</f>
        <v>5.5192986990609115E-2</v>
      </c>
      <c r="T126" s="11">
        <f>IFERROR((SK_gen[[#This Row],[2023]]*1000)/(SK_cap[[#This Row],[2023]]*8760), 0)</f>
        <v>5.5192986990609115E-2</v>
      </c>
      <c r="U126" s="11">
        <f>IFERROR((SK_gen[[#This Row],[2024]]*1000)/(SK_cap[[#This Row],[2024]]*8760), 0)</f>
        <v>5.5192986990609115E-2</v>
      </c>
      <c r="V126" s="11">
        <f>IFERROR((SK_gen[[#This Row],[2025]]*1000)/(SK_cap[[#This Row],[2025]]*8760), 0)</f>
        <v>5.5192986990609115E-2</v>
      </c>
      <c r="W126" s="11">
        <f>IFERROR((SK_gen[[#This Row],[2026]]*1000)/(SK_cap[[#This Row],[2026]]*8760), 0)</f>
        <v>7.7472107349013525E-2</v>
      </c>
      <c r="X126" s="11">
        <f>IFERROR((SK_gen[[#This Row],[2027]]*1000)/(SK_cap[[#This Row],[2027]]*8760), 0)</f>
        <v>7.7472107349013525E-2</v>
      </c>
      <c r="Y126" s="11">
        <f>IFERROR((SK_gen[[#This Row],[2028]]*1000)/(SK_cap[[#This Row],[2028]]*8760), 0)</f>
        <v>0.26344555009907811</v>
      </c>
      <c r="Z126" s="11">
        <f>IFERROR((SK_gen[[#This Row],[2029]]*1000)/(SK_cap[[#This Row],[2029]]*8760), 0)</f>
        <v>0.26344555009907811</v>
      </c>
      <c r="AA126" s="11">
        <f>IFERROR((SK_gen[[#This Row],[2030]]*1000)/(SK_cap[[#This Row],[2030]]*8760), 0)</f>
        <v>0.26344555009907811</v>
      </c>
      <c r="AB126" s="11">
        <f>IFERROR((SK_gen[[#This Row],[2031]]*1000)/(SK_cap[[#This Row],[2031]]*8760), 0)</f>
        <v>0.26344555009907811</v>
      </c>
      <c r="AC126" s="11">
        <f>IFERROR((SK_gen[[#This Row],[2032]]*1000)/(SK_cap[[#This Row],[2032]]*8760), 0)</f>
        <v>0.26344555009907811</v>
      </c>
      <c r="AD126" s="11">
        <f>IFERROR((SK_gen[[#This Row],[2033]]*1000)/(SK_cap[[#This Row],[2033]]*8760), 0)</f>
        <v>0.26344555009907811</v>
      </c>
      <c r="AE126" s="11">
        <f>IFERROR((SK_gen[[#This Row],[2034]]*1000)/(SK_cap[[#This Row],[2034]]*8760), 0)</f>
        <v>0.26344555009907811</v>
      </c>
      <c r="AF126" s="11">
        <f>IFERROR((SK_gen[[#This Row],[2035]]*1000)/(SK_cap[[#This Row],[2035]]*8760), 0)</f>
        <v>0.26344555009907811</v>
      </c>
      <c r="AG126" s="11">
        <f>IFERROR((SK_gen[[#This Row],[2036]]*1000)/(SK_cap[[#This Row],[2036]]*8760), 0)</f>
        <v>0.26344555009907811</v>
      </c>
      <c r="AH126" s="11">
        <f>IFERROR((SK_gen[[#This Row],[2037]]*1000)/(SK_cap[[#This Row],[2037]]*8760), 0)</f>
        <v>0.35303319117773757</v>
      </c>
      <c r="AI126" s="11">
        <f>IFERROR((SK_gen[[#This Row],[2038]]*1000)/(SK_cap[[#This Row],[2038]]*8760), 0)</f>
        <v>0.26344555009907811</v>
      </c>
      <c r="AJ126" s="11">
        <f>IFERROR((SK_gen[[#This Row],[2039]]*1000)/(SK_cap[[#This Row],[2039]]*8760), 0)</f>
        <v>0.26344555009907811</v>
      </c>
      <c r="AK126" s="11">
        <f>IFERROR((SK_gen[[#This Row],[2040]]*1000)/(SK_cap[[#This Row],[2040]]*8760), 0)</f>
        <v>0.26344555009907811</v>
      </c>
      <c r="AL126" s="11">
        <f>IFERROR((SK_gen[[#This Row],[2041]]*1000)/(SK_cap[[#This Row],[2041]]*8760), 0)</f>
        <v>0.26344555009907811</v>
      </c>
      <c r="AM126" s="11">
        <f>IFERROR((SK_gen[[#This Row],[2042]]*1000)/(SK_cap[[#This Row],[2042]]*8760), 0)</f>
        <v>0.26344555009907811</v>
      </c>
      <c r="AN126" s="11">
        <f>IFERROR((SK_gen[[#This Row],[2043]]*1000)/(SK_cap[[#This Row],[2043]]*8760), 0)</f>
        <v>0.26344555009907811</v>
      </c>
      <c r="AO126" s="11">
        <f>IFERROR((SK_gen[[#This Row],[2044]]*1000)/(SK_cap[[#This Row],[2044]]*8760), 0)</f>
        <v>0.26344555009907811</v>
      </c>
      <c r="AP126" s="11">
        <f>IFERROR((SK_gen[[#This Row],[2045]]*1000)/(SK_cap[[#This Row],[2045]]*8760), 0)</f>
        <v>0.26344555009907811</v>
      </c>
      <c r="AQ126" s="11">
        <f>IFERROR((SK_gen[[#This Row],[2046]]*1000)/(SK_cap[[#This Row],[2046]]*8760), 0)</f>
        <v>0.26344555009907811</v>
      </c>
      <c r="AR126" s="11">
        <f>IFERROR((SK_gen[[#This Row],[2047]]*1000)/(SK_cap[[#This Row],[2047]]*8760), 0)</f>
        <v>0.1743290686654605</v>
      </c>
      <c r="AS126" s="11">
        <f>IFERROR((SK_gen[[#This Row],[2048]]*1000)/(SK_cap[[#This Row],[2048]]*8760), 0)</f>
        <v>0.14531909623503059</v>
      </c>
      <c r="AT126" s="11">
        <f>IFERROR((SK_gen[[#This Row],[2049]]*1000)/(SK_cap[[#This Row],[2049]]*8760), 0)</f>
        <v>0.13697283966571897</v>
      </c>
      <c r="AU126" s="11">
        <f>IFERROR((SK_gen[[#This Row],[2050]]*1000)/(SK_cap[[#This Row],[2050]]*8760), 0)</f>
        <v>0.1743290686654605</v>
      </c>
    </row>
    <row r="128" spans="1:47" ht="18" x14ac:dyDescent="0.35">
      <c r="A128" s="4" t="s">
        <v>72</v>
      </c>
    </row>
    <row r="129" spans="1:47" x14ac:dyDescent="0.3">
      <c r="A129" s="2" t="s">
        <v>7</v>
      </c>
      <c r="B129" s="2" t="s">
        <v>8</v>
      </c>
      <c r="C129" s="2" t="s">
        <v>9</v>
      </c>
      <c r="D129" s="2" t="s">
        <v>10</v>
      </c>
      <c r="E129" s="2" t="s">
        <v>11</v>
      </c>
      <c r="F129" s="2" t="s">
        <v>12</v>
      </c>
      <c r="G129" s="2" t="s">
        <v>13</v>
      </c>
      <c r="H129" s="2" t="s">
        <v>14</v>
      </c>
      <c r="I129" s="2" t="s">
        <v>15</v>
      </c>
      <c r="J129" s="2" t="s">
        <v>16</v>
      </c>
      <c r="K129" s="2" t="s">
        <v>17</v>
      </c>
      <c r="L129" s="2" t="s">
        <v>18</v>
      </c>
      <c r="M129" s="2" t="s">
        <v>19</v>
      </c>
      <c r="N129" s="2" t="s">
        <v>20</v>
      </c>
      <c r="O129" s="2" t="s">
        <v>21</v>
      </c>
      <c r="P129" s="2" t="s">
        <v>22</v>
      </c>
      <c r="Q129" s="2" t="s">
        <v>23</v>
      </c>
      <c r="R129" s="2" t="s">
        <v>24</v>
      </c>
      <c r="S129" s="2" t="s">
        <v>25</v>
      </c>
      <c r="T129" s="2" t="s">
        <v>26</v>
      </c>
      <c r="U129" s="2" t="s">
        <v>27</v>
      </c>
      <c r="V129" s="2" t="s">
        <v>28</v>
      </c>
      <c r="W129" s="2" t="s">
        <v>29</v>
      </c>
      <c r="X129" s="2" t="s">
        <v>30</v>
      </c>
      <c r="Y129" s="2" t="s">
        <v>31</v>
      </c>
      <c r="Z129" s="2" t="s">
        <v>32</v>
      </c>
      <c r="AA129" s="2" t="s">
        <v>33</v>
      </c>
      <c r="AB129" s="2" t="s">
        <v>34</v>
      </c>
      <c r="AC129" s="2" t="s">
        <v>35</v>
      </c>
      <c r="AD129" s="2" t="s">
        <v>36</v>
      </c>
      <c r="AE129" s="2" t="s">
        <v>37</v>
      </c>
      <c r="AF129" s="2" t="s">
        <v>38</v>
      </c>
      <c r="AG129" s="2" t="s">
        <v>39</v>
      </c>
      <c r="AH129" s="2" t="s">
        <v>40</v>
      </c>
      <c r="AI129" s="2" t="s">
        <v>41</v>
      </c>
      <c r="AJ129" s="2" t="s">
        <v>42</v>
      </c>
      <c r="AK129" s="2" t="s">
        <v>43</v>
      </c>
      <c r="AL129" s="2" t="s">
        <v>44</v>
      </c>
      <c r="AM129" s="2" t="s">
        <v>45</v>
      </c>
      <c r="AN129" s="2" t="s">
        <v>46</v>
      </c>
      <c r="AO129" s="2" t="s">
        <v>47</v>
      </c>
      <c r="AP129" s="2" t="s">
        <v>48</v>
      </c>
      <c r="AQ129" s="2" t="s">
        <v>49</v>
      </c>
      <c r="AR129" s="2" t="s">
        <v>50</v>
      </c>
      <c r="AS129" s="2" t="s">
        <v>51</v>
      </c>
      <c r="AT129" s="2" t="s">
        <v>52</v>
      </c>
      <c r="AU129" s="2" t="s">
        <v>53</v>
      </c>
    </row>
    <row r="130" spans="1:47" x14ac:dyDescent="0.3">
      <c r="A130" s="2" t="s">
        <v>54</v>
      </c>
      <c r="B130" s="11">
        <f>IFERROR((YT_gen[[#This Row],[2005]]*1000)/(YT_cap[[#This Row],[2005]]*8760), 0)</f>
        <v>0.4845077109747305</v>
      </c>
      <c r="C130" s="11">
        <f>IFERROR((YT_gen[[#This Row],[2006]]*1000)/(YT_cap[[#This Row],[2006]]*8760), 0)</f>
        <v>0.4845077109747305</v>
      </c>
      <c r="D130" s="11">
        <f>IFERROR((YT_gen[[#This Row],[2007]]*1000)/(YT_cap[[#This Row],[2007]]*8760), 0)</f>
        <v>0.4845077109747305</v>
      </c>
      <c r="E130" s="11">
        <f>IFERROR((YT_gen[[#This Row],[2008]]*1000)/(YT_cap[[#This Row],[2008]]*8760), 0)</f>
        <v>0.51038680898705169</v>
      </c>
      <c r="F130" s="11">
        <f>IFERROR((YT_gen[[#This Row],[2009]]*1000)/(YT_cap[[#This Row],[2009]]*8760), 0)</f>
        <v>0.55547740048417071</v>
      </c>
      <c r="G130" s="11">
        <f>IFERROR((YT_gen[[#This Row],[2010]]*1000)/(YT_cap[[#This Row],[2010]]*8760), 0)</f>
        <v>0.55748500888037</v>
      </c>
      <c r="H130" s="11">
        <f>IFERROR((YT_gen[[#This Row],[2011]]*1000)/(YT_cap[[#This Row],[2011]]*8760), 0)</f>
        <v>0.50398439488626035</v>
      </c>
      <c r="I130" s="11">
        <f>IFERROR((YT_gen[[#This Row],[2012]]*1000)/(YT_cap[[#This Row],[2012]]*8760), 0)</f>
        <v>0.51584503664479486</v>
      </c>
      <c r="J130" s="11">
        <f>IFERROR((YT_gen[[#This Row],[2013]]*1000)/(YT_cap[[#This Row],[2013]]*8760), 0)</f>
        <v>0.41940276871783722</v>
      </c>
      <c r="K130" s="11">
        <f>IFERROR((YT_gen[[#This Row],[2014]]*1000)/(YT_cap[[#This Row],[2014]]*8760), 0)</f>
        <v>0.49608610567514677</v>
      </c>
      <c r="L130" s="11">
        <f>IFERROR((YT_gen[[#This Row],[2015]]*1000)/(YT_cap[[#This Row],[2015]]*8760), 0)</f>
        <v>0.50977265589137732</v>
      </c>
      <c r="M130" s="11">
        <f>IFERROR((YT_gen[[#This Row],[2016]]*1000)/(YT_cap[[#This Row],[2016]]*8760), 0)</f>
        <v>0.50614867966466137</v>
      </c>
      <c r="N130" s="11">
        <f>IFERROR((YT_gen[[#This Row],[2017]]*1000)/(YT_cap[[#This Row],[2017]]*8760), 0)</f>
        <v>0.54118044985624891</v>
      </c>
      <c r="O130" s="11">
        <f>IFERROR((YT_gen[[#This Row],[2018]]*1000)/(YT_cap[[#This Row],[2018]]*8760), 0)</f>
        <v>0.50614867966466137</v>
      </c>
      <c r="P130" s="11">
        <f>IFERROR((YT_gen[[#This Row],[2019]]*1000)/(YT_cap[[#This Row],[2019]]*8760), 0)</f>
        <v>0.45420502041506605</v>
      </c>
      <c r="Q130" s="11">
        <f>IFERROR((YT_gen[[#This Row],[2020]]*1000)/(YT_cap[[#This Row],[2020]]*8760), 0)</f>
        <v>0.45419294049431036</v>
      </c>
      <c r="R130" s="11">
        <f>IFERROR((YT_gen[[#This Row],[2021]]*1000)/(YT_cap[[#This Row],[2021]]*8760), 0)</f>
        <v>0.45419294049431036</v>
      </c>
      <c r="S130" s="11">
        <f>IFERROR((YT_gen[[#This Row],[2022]]*1000)/(YT_cap[[#This Row],[2022]]*8760), 0)</f>
        <v>0.48140244602005461</v>
      </c>
      <c r="T130" s="11">
        <f>IFERROR((YT_gen[[#This Row],[2023]]*1000)/(YT_cap[[#This Row],[2023]]*8760), 0)</f>
        <v>0.48137950024093068</v>
      </c>
      <c r="U130" s="11">
        <f>IFERROR((YT_gen[[#This Row],[2024]]*1000)/(YT_cap[[#This Row],[2024]]*8760), 0)</f>
        <v>0.48139097313049267</v>
      </c>
      <c r="V130" s="11">
        <f>IFERROR((YT_gen[[#This Row],[2025]]*1000)/(YT_cap[[#This Row],[2025]]*8760), 0)</f>
        <v>0.49212902149663268</v>
      </c>
      <c r="W130" s="11">
        <f>IFERROR((YT_gen[[#This Row],[2026]]*1000)/(YT_cap[[#This Row],[2026]]*8760), 0)</f>
        <v>0.49216029690790436</v>
      </c>
      <c r="X130" s="11">
        <f>IFERROR((YT_gen[[#This Row],[2027]]*1000)/(YT_cap[[#This Row],[2027]]*8760), 0)</f>
        <v>0.50510718673781885</v>
      </c>
      <c r="Y130" s="11">
        <f>IFERROR((YT_gen[[#This Row],[2028]]*1000)/(YT_cap[[#This Row],[2028]]*8760), 0)</f>
        <v>0.49131045646828853</v>
      </c>
      <c r="Z130" s="11">
        <f>IFERROR((YT_gen[[#This Row],[2029]]*1000)/(YT_cap[[#This Row],[2029]]*8760), 0)</f>
        <v>0.46115765985429502</v>
      </c>
      <c r="AA130" s="11">
        <f>IFERROR((YT_gen[[#This Row],[2030]]*1000)/(YT_cap[[#This Row],[2030]]*8760), 0)</f>
        <v>0.45146369936900593</v>
      </c>
      <c r="AB130" s="11">
        <f>IFERROR((YT_gen[[#This Row],[2031]]*1000)/(YT_cap[[#This Row],[2031]]*8760), 0)</f>
        <v>0.38278583144921757</v>
      </c>
      <c r="AC130" s="11">
        <f>IFERROR((YT_gen[[#This Row],[2032]]*1000)/(YT_cap[[#This Row],[2032]]*8760), 0)</f>
        <v>0.30983730105953805</v>
      </c>
      <c r="AD130" s="11">
        <f>IFERROR((YT_gen[[#This Row],[2033]]*1000)/(YT_cap[[#This Row],[2033]]*8760), 0)</f>
        <v>0.30785713230187228</v>
      </c>
      <c r="AE130" s="11">
        <f>IFERROR((YT_gen[[#This Row],[2034]]*1000)/(YT_cap[[#This Row],[2034]]*8760), 0)</f>
        <v>0.31066483427169689</v>
      </c>
      <c r="AF130" s="11">
        <f>IFERROR((YT_gen[[#This Row],[2035]]*1000)/(YT_cap[[#This Row],[2035]]*8760), 0)</f>
        <v>0.28104357849004741</v>
      </c>
      <c r="AG130" s="11">
        <f>IFERROR((YT_gen[[#This Row],[2036]]*1000)/(YT_cap[[#This Row],[2036]]*8760), 0)</f>
        <v>0.28111746538399018</v>
      </c>
      <c r="AH130" s="11">
        <f>IFERROR((YT_gen[[#This Row],[2037]]*1000)/(YT_cap[[#This Row],[2037]]*8760), 0)</f>
        <v>0.28140562427036692</v>
      </c>
      <c r="AI130" s="11">
        <f>IFERROR((YT_gen[[#This Row],[2038]]*1000)/(YT_cap[[#This Row],[2038]]*8760), 0)</f>
        <v>0.28211493845221736</v>
      </c>
      <c r="AJ130" s="11">
        <f>IFERROR((YT_gen[[#This Row],[2039]]*1000)/(YT_cap[[#This Row],[2039]]*8760), 0)</f>
        <v>0.28448670774777968</v>
      </c>
      <c r="AK130" s="11">
        <f>IFERROR((YT_gen[[#This Row],[2040]]*1000)/(YT_cap[[#This Row],[2040]]*8760), 0)</f>
        <v>0.28612699679330883</v>
      </c>
      <c r="AL130" s="11">
        <f>IFERROR((YT_gen[[#This Row],[2041]]*1000)/(YT_cap[[#This Row],[2041]]*8760), 0)</f>
        <v>0.28680675621758212</v>
      </c>
      <c r="AM130" s="11">
        <f>IFERROR((YT_gen[[#This Row],[2042]]*1000)/(YT_cap[[#This Row],[2042]]*8760), 0)</f>
        <v>0.28750868171003829</v>
      </c>
      <c r="AN130" s="11">
        <f>IFERROR((YT_gen[[#This Row],[2043]]*1000)/(YT_cap[[#This Row],[2043]]*8760), 0)</f>
        <v>0.28998389265712049</v>
      </c>
      <c r="AO130" s="11">
        <f>IFERROR((YT_gen[[#This Row],[2044]]*1000)/(YT_cap[[#This Row],[2044]]*8760), 0)</f>
        <v>0.29207489175570039</v>
      </c>
      <c r="AP130" s="11">
        <f>IFERROR((YT_gen[[#This Row],[2045]]*1000)/(YT_cap[[#This Row],[2045]]*8760), 0)</f>
        <v>0.29208228044509466</v>
      </c>
      <c r="AQ130" s="11">
        <f>IFERROR((YT_gen[[#This Row],[2046]]*1000)/(YT_cap[[#This Row],[2046]]*8760), 0)</f>
        <v>0.29288025889967639</v>
      </c>
      <c r="AR130" s="11">
        <f>IFERROR((YT_gen[[#This Row],[2047]]*1000)/(YT_cap[[#This Row],[2047]]*8760), 0)</f>
        <v>0.29593178761951205</v>
      </c>
      <c r="AS130" s="11">
        <f>IFERROR((YT_gen[[#This Row],[2048]]*1000)/(YT_cap[[#This Row],[2048]]*8760), 0)</f>
        <v>0.29757946535443541</v>
      </c>
      <c r="AT130" s="11">
        <f>IFERROR((YT_gen[[#This Row],[2049]]*1000)/(YT_cap[[#This Row],[2049]]*8760), 0)</f>
        <v>0.29828877953628585</v>
      </c>
      <c r="AU130" s="11">
        <f>IFERROR((YT_gen[[#This Row],[2050]]*1000)/(YT_cap[[#This Row],[2050]]*8760), 0)</f>
        <v>0.30023939353637452</v>
      </c>
    </row>
    <row r="131" spans="1:47" x14ac:dyDescent="0.3">
      <c r="A131" s="2" t="s">
        <v>55</v>
      </c>
      <c r="B131" s="11">
        <f>IFERROR((YT_gen[[#This Row],[2005]]*1000)/(YT_cap[[#This Row],[2005]]*8760), 0)</f>
        <v>5.7782287614859908E-2</v>
      </c>
      <c r="C131" s="11">
        <f>IFERROR((YT_gen[[#This Row],[2006]]*1000)/(YT_cap[[#This Row],[2006]]*8760), 0)</f>
        <v>5.7782287614859908E-2</v>
      </c>
      <c r="D131" s="11">
        <f>IFERROR((YT_gen[[#This Row],[2007]]*1000)/(YT_cap[[#This Row],[2007]]*8760), 0)</f>
        <v>5.7782287614859908E-2</v>
      </c>
      <c r="E131" s="11">
        <f>IFERROR((YT_gen[[#This Row],[2008]]*1000)/(YT_cap[[#This Row],[2008]]*8760), 0)</f>
        <v>6.2010259879361852E-2</v>
      </c>
      <c r="F131" s="11">
        <f>IFERROR((YT_gen[[#This Row],[2009]]*1000)/(YT_cap[[#This Row],[2009]]*8760), 0)</f>
        <v>3.241445402784824E-2</v>
      </c>
      <c r="G131" s="11">
        <f>IFERROR((YT_gen[[#This Row],[2010]]*1000)/(YT_cap[[#This Row],[2010]]*8760), 0)</f>
        <v>1.2683916793505834E-2</v>
      </c>
      <c r="H131" s="11">
        <f>IFERROR((YT_gen[[#This Row],[2011]]*1000)/(YT_cap[[#This Row],[2011]]*8760), 0)</f>
        <v>5.6372963526692597E-2</v>
      </c>
      <c r="I131" s="11">
        <f>IFERROR((YT_gen[[#This Row],[2012]]*1000)/(YT_cap[[#This Row],[2012]]*8760), 0)</f>
        <v>6.3419583967529169E-2</v>
      </c>
      <c r="J131" s="11">
        <f>IFERROR((YT_gen[[#This Row],[2013]]*1000)/(YT_cap[[#This Row],[2013]]*8760), 0)</f>
        <v>3.9461074468684819E-2</v>
      </c>
      <c r="K131" s="11">
        <f>IFERROR((YT_gen[[#This Row],[2014]]*1000)/(YT_cap[[#This Row],[2014]]*8760), 0)</f>
        <v>4.6507694909521391E-2</v>
      </c>
      <c r="L131" s="11">
        <f>IFERROR((YT_gen[[#This Row],[2015]]*1000)/(YT_cap[[#This Row],[2015]]*8760), 0)</f>
        <v>0.1409324088167315</v>
      </c>
      <c r="M131" s="11">
        <f>IFERROR((YT_gen[[#This Row],[2016]]*1000)/(YT_cap[[#This Row],[2016]]*8760), 0)</f>
        <v>0.1409324088167315</v>
      </c>
      <c r="N131" s="11">
        <f>IFERROR((YT_gen[[#This Row],[2017]]*1000)/(YT_cap[[#This Row],[2017]]*8760), 0)</f>
        <v>0</v>
      </c>
      <c r="O131" s="11">
        <f>IFERROR((YT_gen[[#This Row],[2018]]*1000)/(YT_cap[[#This Row],[2018]]*8760), 0)</f>
        <v>0</v>
      </c>
      <c r="P131" s="11">
        <f>IFERROR((YT_gen[[#This Row],[2019]]*1000)/(YT_cap[[#This Row],[2019]]*8760), 0)</f>
        <v>0</v>
      </c>
      <c r="Q131" s="11">
        <f>IFERROR((YT_gen[[#This Row],[2020]]*1000)/(YT_cap[[#This Row],[2020]]*8760), 0)</f>
        <v>0</v>
      </c>
      <c r="R131" s="11">
        <f>IFERROR((YT_gen[[#This Row],[2021]]*1000)/(YT_cap[[#This Row],[2021]]*8760), 0)</f>
        <v>0</v>
      </c>
      <c r="S131" s="11">
        <f>IFERROR((YT_gen[[#This Row],[2022]]*1000)/(YT_cap[[#This Row],[2022]]*8760), 0)</f>
        <v>0</v>
      </c>
      <c r="T131" s="11">
        <f>IFERROR((YT_gen[[#This Row],[2023]]*1000)/(YT_cap[[#This Row],[2023]]*8760), 0)</f>
        <v>0.18625330449411198</v>
      </c>
      <c r="U131" s="11">
        <f>IFERROR((YT_gen[[#This Row],[2024]]*1000)/(YT_cap[[#This Row],[2024]]*8760), 0)</f>
        <v>0.26078570303889154</v>
      </c>
      <c r="V131" s="11">
        <f>IFERROR((YT_gen[[#This Row],[2025]]*1000)/(YT_cap[[#This Row],[2025]]*8760), 0)</f>
        <v>0.72963762737026794</v>
      </c>
      <c r="W131" s="11">
        <f>IFERROR((YT_gen[[#This Row],[2026]]*1000)/(YT_cap[[#This Row],[2026]]*8760), 0)</f>
        <v>0.69710806697108063</v>
      </c>
      <c r="X131" s="11">
        <f>IFERROR((YT_gen[[#This Row],[2027]]*1000)/(YT_cap[[#This Row],[2027]]*8760), 0)</f>
        <v>0.66725511930991388</v>
      </c>
      <c r="Y131" s="11">
        <f>IFERROR((YT_gen[[#This Row],[2028]]*1000)/(YT_cap[[#This Row],[2028]]*8760), 0)</f>
        <v>0.64520715205646717</v>
      </c>
      <c r="Z131" s="11">
        <f>IFERROR((YT_gen[[#This Row],[2029]]*1000)/(YT_cap[[#This Row],[2029]]*8760), 0)</f>
        <v>0.62664563348914892</v>
      </c>
      <c r="AA131" s="11">
        <f>IFERROR((YT_gen[[#This Row],[2030]]*1000)/(YT_cap[[#This Row],[2030]]*8760), 0)</f>
        <v>0.61035366589127249</v>
      </c>
      <c r="AB131" s="11">
        <f>IFERROR((YT_gen[[#This Row],[2031]]*1000)/(YT_cap[[#This Row],[2031]]*8760), 0)</f>
        <v>0.58700051850736779</v>
      </c>
      <c r="AC131" s="11">
        <f>IFERROR((YT_gen[[#This Row],[2032]]*1000)/(YT_cap[[#This Row],[2032]]*8760), 0)</f>
        <v>0.5144931172328433</v>
      </c>
      <c r="AD131" s="11">
        <f>IFERROR((YT_gen[[#This Row],[2033]]*1000)/(YT_cap[[#This Row],[2033]]*8760), 0)</f>
        <v>0.51148242929064847</v>
      </c>
      <c r="AE131" s="11">
        <f>IFERROR((YT_gen[[#This Row],[2034]]*1000)/(YT_cap[[#This Row],[2034]]*8760), 0)</f>
        <v>0.51524578921839193</v>
      </c>
      <c r="AF131" s="11">
        <f>IFERROR((YT_gen[[#This Row],[2035]]*1000)/(YT_cap[[#This Row],[2035]]*8760), 0)</f>
        <v>0.47761218994095705</v>
      </c>
      <c r="AG131" s="11">
        <f>IFERROR((YT_gen[[#This Row],[2036]]*1000)/(YT_cap[[#This Row],[2036]]*8760), 0)</f>
        <v>0.47752855972034053</v>
      </c>
      <c r="AH131" s="11">
        <f>IFERROR((YT_gen[[#This Row],[2037]]*1000)/(YT_cap[[#This Row],[2037]]*8760), 0)</f>
        <v>0.47786308060280663</v>
      </c>
      <c r="AI131" s="11">
        <f>IFERROR((YT_gen[[#This Row],[2038]]*1000)/(YT_cap[[#This Row],[2038]]*8760), 0)</f>
        <v>0.47878301302958837</v>
      </c>
      <c r="AJ131" s="11">
        <f>IFERROR((YT_gen[[#This Row],[2039]]*1000)/(YT_cap[[#This Row],[2039]]*8760), 0)</f>
        <v>0.48313178450164751</v>
      </c>
      <c r="AK131" s="11">
        <f>IFERROR((YT_gen[[#This Row],[2040]]*1000)/(YT_cap[[#This Row],[2040]]*8760), 0)</f>
        <v>0.48589158178199277</v>
      </c>
      <c r="AL131" s="11">
        <f>IFERROR((YT_gen[[#This Row],[2041]]*1000)/(YT_cap[[#This Row],[2041]]*8760), 0)</f>
        <v>0.48622610266445881</v>
      </c>
      <c r="AM131" s="11">
        <f>IFERROR((YT_gen[[#This Row],[2042]]*1000)/(YT_cap[[#This Row],[2042]]*8760), 0)</f>
        <v>0.4873132955324736</v>
      </c>
      <c r="AN131" s="11">
        <f>IFERROR((YT_gen[[#This Row],[2043]]*1000)/(YT_cap[[#This Row],[2043]]*8760), 0)</f>
        <v>0.49149480656329969</v>
      </c>
      <c r="AO131" s="11">
        <f>IFERROR((YT_gen[[#This Row],[2044]]*1000)/(YT_cap[[#This Row],[2044]]*8760), 0)</f>
        <v>0.49433823406426147</v>
      </c>
      <c r="AP131" s="11">
        <f>IFERROR((YT_gen[[#This Row],[2045]]*1000)/(YT_cap[[#This Row],[2045]]*8760), 0)</f>
        <v>0.49425460384364495</v>
      </c>
      <c r="AQ131" s="11">
        <f>IFERROR((YT_gen[[#This Row],[2046]]*1000)/(YT_cap[[#This Row],[2046]]*8760), 0)</f>
        <v>0.49534179671165973</v>
      </c>
      <c r="AR131" s="11">
        <f>IFERROR((YT_gen[[#This Row],[2047]]*1000)/(YT_cap[[#This Row],[2047]]*8760), 0)</f>
        <v>0.49935604730125277</v>
      </c>
      <c r="AS131" s="11">
        <f>IFERROR((YT_gen[[#This Row],[2048]]*1000)/(YT_cap[[#This Row],[2048]]*8760), 0)</f>
        <v>0.50203221436098144</v>
      </c>
      <c r="AT131" s="11">
        <f>IFERROR((YT_gen[[#This Row],[2049]]*1000)/(YT_cap[[#This Row],[2049]]*8760), 0)</f>
        <v>0.50303577700837976</v>
      </c>
      <c r="AU131" s="11">
        <f>IFERROR((YT_gen[[#This Row],[2050]]*1000)/(YT_cap[[#This Row],[2050]]*8760), 0)</f>
        <v>0.50613009517119101</v>
      </c>
    </row>
    <row r="132" spans="1:47" x14ac:dyDescent="0.3">
      <c r="A132" s="2" t="s">
        <v>56</v>
      </c>
      <c r="B132" s="11">
        <f>IFERROR((YT_gen[[#This Row],[2005]]*1000)/(YT_cap[[#This Row],[2005]]*8760), 0)</f>
        <v>0</v>
      </c>
      <c r="C132" s="11">
        <f>IFERROR((YT_gen[[#This Row],[2006]]*1000)/(YT_cap[[#This Row],[2006]]*8760), 0)</f>
        <v>0</v>
      </c>
      <c r="D132" s="11">
        <f>IFERROR((YT_gen[[#This Row],[2007]]*1000)/(YT_cap[[#This Row],[2007]]*8760), 0)</f>
        <v>0</v>
      </c>
      <c r="E132" s="11">
        <f>IFERROR((YT_gen[[#This Row],[2008]]*1000)/(YT_cap[[#This Row],[2008]]*8760), 0)</f>
        <v>0</v>
      </c>
      <c r="F132" s="11">
        <f>IFERROR((YT_gen[[#This Row],[2009]]*1000)/(YT_cap[[#This Row],[2009]]*8760), 0)</f>
        <v>0</v>
      </c>
      <c r="G132" s="11">
        <f>IFERROR((YT_gen[[#This Row],[2010]]*1000)/(YT_cap[[#This Row],[2010]]*8760), 0)</f>
        <v>0</v>
      </c>
      <c r="H132" s="11">
        <f>IFERROR((YT_gen[[#This Row],[2011]]*1000)/(YT_cap[[#This Row],[2011]]*8760), 0)</f>
        <v>0</v>
      </c>
      <c r="I132" s="11">
        <f>IFERROR((YT_gen[[#This Row],[2012]]*1000)/(YT_cap[[#This Row],[2012]]*8760), 0)</f>
        <v>0</v>
      </c>
      <c r="J132" s="11">
        <f>IFERROR((YT_gen[[#This Row],[2013]]*1000)/(YT_cap[[#This Row],[2013]]*8760), 0)</f>
        <v>0</v>
      </c>
      <c r="K132" s="11">
        <f>IFERROR((YT_gen[[#This Row],[2014]]*1000)/(YT_cap[[#This Row],[2014]]*8760), 0)</f>
        <v>0</v>
      </c>
      <c r="L132" s="11">
        <f>IFERROR((YT_gen[[#This Row],[2015]]*1000)/(YT_cap[[#This Row],[2015]]*8760), 0)</f>
        <v>0</v>
      </c>
      <c r="M132" s="11">
        <f>IFERROR((YT_gen[[#This Row],[2016]]*1000)/(YT_cap[[#This Row],[2016]]*8760), 0)</f>
        <v>0</v>
      </c>
      <c r="N132" s="11">
        <f>IFERROR((YT_gen[[#This Row],[2017]]*1000)/(YT_cap[[#This Row],[2017]]*8760), 0)</f>
        <v>0</v>
      </c>
      <c r="O132" s="11">
        <f>IFERROR((YT_gen[[#This Row],[2018]]*1000)/(YT_cap[[#This Row],[2018]]*8760), 0)</f>
        <v>0</v>
      </c>
      <c r="P132" s="11">
        <f>IFERROR((YT_gen[[#This Row],[2019]]*1000)/(YT_cap[[#This Row],[2019]]*8760), 0)</f>
        <v>0</v>
      </c>
      <c r="Q132" s="11">
        <f>IFERROR((YT_gen[[#This Row],[2020]]*1000)/(YT_cap[[#This Row],[2020]]*8760), 0)</f>
        <v>0</v>
      </c>
      <c r="R132" s="11">
        <f>IFERROR((YT_gen[[#This Row],[2021]]*1000)/(YT_cap[[#This Row],[2021]]*8760), 0)</f>
        <v>0</v>
      </c>
      <c r="S132" s="11">
        <f>IFERROR((YT_gen[[#This Row],[2022]]*1000)/(YT_cap[[#This Row],[2022]]*8760), 0)</f>
        <v>0</v>
      </c>
      <c r="T132" s="11">
        <f>IFERROR((YT_gen[[#This Row],[2023]]*1000)/(YT_cap[[#This Row],[2023]]*8760), 0)</f>
        <v>0</v>
      </c>
      <c r="U132" s="11">
        <f>IFERROR((YT_gen[[#This Row],[2024]]*1000)/(YT_cap[[#This Row],[2024]]*8760), 0)</f>
        <v>0</v>
      </c>
      <c r="V132" s="11">
        <f>IFERROR((YT_gen[[#This Row],[2025]]*1000)/(YT_cap[[#This Row],[2025]]*8760), 0)</f>
        <v>0</v>
      </c>
      <c r="W132" s="11">
        <f>IFERROR((YT_gen[[#This Row],[2026]]*1000)/(YT_cap[[#This Row],[2026]]*8760), 0)</f>
        <v>0</v>
      </c>
      <c r="X132" s="11">
        <f>IFERROR((YT_gen[[#This Row],[2027]]*1000)/(YT_cap[[#This Row],[2027]]*8760), 0)</f>
        <v>0</v>
      </c>
      <c r="Y132" s="11">
        <f>IFERROR((YT_gen[[#This Row],[2028]]*1000)/(YT_cap[[#This Row],[2028]]*8760), 0)</f>
        <v>0</v>
      </c>
      <c r="Z132" s="11">
        <f>IFERROR((YT_gen[[#This Row],[2029]]*1000)/(YT_cap[[#This Row],[2029]]*8760), 0)</f>
        <v>0</v>
      </c>
      <c r="AA132" s="11">
        <f>IFERROR((YT_gen[[#This Row],[2030]]*1000)/(YT_cap[[#This Row],[2030]]*8760), 0)</f>
        <v>0</v>
      </c>
      <c r="AB132" s="11">
        <f>IFERROR((YT_gen[[#This Row],[2031]]*1000)/(YT_cap[[#This Row],[2031]]*8760), 0)</f>
        <v>0</v>
      </c>
      <c r="AC132" s="11">
        <f>IFERROR((YT_gen[[#This Row],[2032]]*1000)/(YT_cap[[#This Row],[2032]]*8760), 0)</f>
        <v>0</v>
      </c>
      <c r="AD132" s="11">
        <f>IFERROR((YT_gen[[#This Row],[2033]]*1000)/(YT_cap[[#This Row],[2033]]*8760), 0)</f>
        <v>0</v>
      </c>
      <c r="AE132" s="11">
        <f>IFERROR((YT_gen[[#This Row],[2034]]*1000)/(YT_cap[[#This Row],[2034]]*8760), 0)</f>
        <v>0</v>
      </c>
      <c r="AF132" s="11">
        <f>IFERROR((YT_gen[[#This Row],[2035]]*1000)/(YT_cap[[#This Row],[2035]]*8760), 0)</f>
        <v>0</v>
      </c>
      <c r="AG132" s="11">
        <f>IFERROR((YT_gen[[#This Row],[2036]]*1000)/(YT_cap[[#This Row],[2036]]*8760), 0)</f>
        <v>0</v>
      </c>
      <c r="AH132" s="11">
        <f>IFERROR((YT_gen[[#This Row],[2037]]*1000)/(YT_cap[[#This Row],[2037]]*8760), 0)</f>
        <v>0</v>
      </c>
      <c r="AI132" s="11">
        <f>IFERROR((YT_gen[[#This Row],[2038]]*1000)/(YT_cap[[#This Row],[2038]]*8760), 0)</f>
        <v>0</v>
      </c>
      <c r="AJ132" s="11">
        <f>IFERROR((YT_gen[[#This Row],[2039]]*1000)/(YT_cap[[#This Row],[2039]]*8760), 0)</f>
        <v>0</v>
      </c>
      <c r="AK132" s="11">
        <f>IFERROR((YT_gen[[#This Row],[2040]]*1000)/(YT_cap[[#This Row],[2040]]*8760), 0)</f>
        <v>0</v>
      </c>
      <c r="AL132" s="11">
        <f>IFERROR((YT_gen[[#This Row],[2041]]*1000)/(YT_cap[[#This Row],[2041]]*8760), 0)</f>
        <v>0</v>
      </c>
      <c r="AM132" s="11">
        <f>IFERROR((YT_gen[[#This Row],[2042]]*1000)/(YT_cap[[#This Row],[2042]]*8760), 0)</f>
        <v>0</v>
      </c>
      <c r="AN132" s="11">
        <f>IFERROR((YT_gen[[#This Row],[2043]]*1000)/(YT_cap[[#This Row],[2043]]*8760), 0)</f>
        <v>0</v>
      </c>
      <c r="AO132" s="11">
        <f>IFERROR((YT_gen[[#This Row],[2044]]*1000)/(YT_cap[[#This Row],[2044]]*8760), 0)</f>
        <v>0</v>
      </c>
      <c r="AP132" s="11">
        <f>IFERROR((YT_gen[[#This Row],[2045]]*1000)/(YT_cap[[#This Row],[2045]]*8760), 0)</f>
        <v>0</v>
      </c>
      <c r="AQ132" s="11">
        <f>IFERROR((YT_gen[[#This Row],[2046]]*1000)/(YT_cap[[#This Row],[2046]]*8760), 0)</f>
        <v>0</v>
      </c>
      <c r="AR132" s="11">
        <f>IFERROR((YT_gen[[#This Row],[2047]]*1000)/(YT_cap[[#This Row],[2047]]*8760), 0)</f>
        <v>0</v>
      </c>
      <c r="AS132" s="11">
        <f>IFERROR((YT_gen[[#This Row],[2048]]*1000)/(YT_cap[[#This Row],[2048]]*8760), 0)</f>
        <v>0</v>
      </c>
      <c r="AT132" s="11">
        <f>IFERROR((YT_gen[[#This Row],[2049]]*1000)/(YT_cap[[#This Row],[2049]]*8760), 0)</f>
        <v>0</v>
      </c>
      <c r="AU132" s="11">
        <f>IFERROR((YT_gen[[#This Row],[2050]]*1000)/(YT_cap[[#This Row],[2050]]*8760), 0)</f>
        <v>0</v>
      </c>
    </row>
    <row r="133" spans="1:47" x14ac:dyDescent="0.3">
      <c r="A133" s="2" t="s">
        <v>57</v>
      </c>
      <c r="B133" s="11">
        <f>IFERROR((YT_gen[[#This Row],[2005]]*1000)/(YT_cap[[#This Row],[2005]]*8760), 0)</f>
        <v>0</v>
      </c>
      <c r="C133" s="11">
        <f>IFERROR((YT_gen[[#This Row],[2006]]*1000)/(YT_cap[[#This Row],[2006]]*8760), 0)</f>
        <v>0</v>
      </c>
      <c r="D133" s="11">
        <f>IFERROR((YT_gen[[#This Row],[2007]]*1000)/(YT_cap[[#This Row],[2007]]*8760), 0)</f>
        <v>0</v>
      </c>
      <c r="E133" s="11">
        <f>IFERROR((YT_gen[[#This Row],[2008]]*1000)/(YT_cap[[#This Row],[2008]]*8760), 0)</f>
        <v>0</v>
      </c>
      <c r="F133" s="11">
        <f>IFERROR((YT_gen[[#This Row],[2009]]*1000)/(YT_cap[[#This Row],[2009]]*8760), 0)</f>
        <v>0</v>
      </c>
      <c r="G133" s="11">
        <f>IFERROR((YT_gen[[#This Row],[2010]]*1000)/(YT_cap[[#This Row],[2010]]*8760), 0)</f>
        <v>0</v>
      </c>
      <c r="H133" s="11">
        <f>IFERROR((YT_gen[[#This Row],[2011]]*1000)/(YT_cap[[#This Row],[2011]]*8760), 0)</f>
        <v>0</v>
      </c>
      <c r="I133" s="11">
        <f>IFERROR((YT_gen[[#This Row],[2012]]*1000)/(YT_cap[[#This Row],[2012]]*8760), 0)</f>
        <v>0</v>
      </c>
      <c r="J133" s="11">
        <f>IFERROR((YT_gen[[#This Row],[2013]]*1000)/(YT_cap[[#This Row],[2013]]*8760), 0)</f>
        <v>0</v>
      </c>
      <c r="K133" s="11">
        <f>IFERROR((YT_gen[[#This Row],[2014]]*1000)/(YT_cap[[#This Row],[2014]]*8760), 0)</f>
        <v>0</v>
      </c>
      <c r="L133" s="11">
        <f>IFERROR((YT_gen[[#This Row],[2015]]*1000)/(YT_cap[[#This Row],[2015]]*8760), 0)</f>
        <v>0</v>
      </c>
      <c r="M133" s="11">
        <f>IFERROR((YT_gen[[#This Row],[2016]]*1000)/(YT_cap[[#This Row],[2016]]*8760), 0)</f>
        <v>0</v>
      </c>
      <c r="N133" s="11">
        <f>IFERROR((YT_gen[[#This Row],[2017]]*1000)/(YT_cap[[#This Row],[2017]]*8760), 0)</f>
        <v>0</v>
      </c>
      <c r="O133" s="11">
        <f>IFERROR((YT_gen[[#This Row],[2018]]*1000)/(YT_cap[[#This Row],[2018]]*8760), 0)</f>
        <v>0</v>
      </c>
      <c r="P133" s="11">
        <f>IFERROR((YT_gen[[#This Row],[2019]]*1000)/(YT_cap[[#This Row],[2019]]*8760), 0)</f>
        <v>0</v>
      </c>
      <c r="Q133" s="11">
        <f>IFERROR((YT_gen[[#This Row],[2020]]*1000)/(YT_cap[[#This Row],[2020]]*8760), 0)</f>
        <v>0</v>
      </c>
      <c r="R133" s="11">
        <f>IFERROR((YT_gen[[#This Row],[2021]]*1000)/(YT_cap[[#This Row],[2021]]*8760), 0)</f>
        <v>0</v>
      </c>
      <c r="S133" s="11">
        <f>IFERROR((YT_gen[[#This Row],[2022]]*1000)/(YT_cap[[#This Row],[2022]]*8760), 0)</f>
        <v>0.19482496194824961</v>
      </c>
      <c r="T133" s="11">
        <f>IFERROR((YT_gen[[#This Row],[2023]]*1000)/(YT_cap[[#This Row],[2023]]*8760), 0)</f>
        <v>0.19482496194824961</v>
      </c>
      <c r="U133" s="11">
        <f>IFERROR((YT_gen[[#This Row],[2024]]*1000)/(YT_cap[[#This Row],[2024]]*8760), 0)</f>
        <v>0.2017970245986154</v>
      </c>
      <c r="V133" s="11">
        <f>IFERROR((YT_gen[[#This Row],[2025]]*1000)/(YT_cap[[#This Row],[2025]]*8760), 0)</f>
        <v>0.20294266869609331</v>
      </c>
      <c r="W133" s="11">
        <f>IFERROR((YT_gen[[#This Row],[2026]]*1000)/(YT_cap[[#This Row],[2026]]*8760), 0)</f>
        <v>0.20408569608155466</v>
      </c>
      <c r="X133" s="11">
        <f>IFERROR((YT_gen[[#This Row],[2027]]*1000)/(YT_cap[[#This Row],[2027]]*8760), 0)</f>
        <v>0.20495460032540808</v>
      </c>
      <c r="Y133" s="11">
        <f>IFERROR((YT_gen[[#This Row],[2028]]*1000)/(YT_cap[[#This Row],[2028]]*8760), 0)</f>
        <v>0.20539378207269954</v>
      </c>
      <c r="Z133" s="11">
        <f>IFERROR((YT_gen[[#This Row],[2029]]*1000)/(YT_cap[[#This Row],[2029]]*8760), 0)</f>
        <v>0.20562580494087343</v>
      </c>
      <c r="AA133" s="11">
        <f>IFERROR((YT_gen[[#This Row],[2030]]*1000)/(YT_cap[[#This Row],[2030]]*8760), 0)</f>
        <v>0.20570234933735823</v>
      </c>
      <c r="AB133" s="11">
        <f>IFERROR((YT_gen[[#This Row],[2031]]*1000)/(YT_cap[[#This Row],[2031]]*8760), 0)</f>
        <v>0.20251810244359109</v>
      </c>
      <c r="AC133" s="11">
        <f>IFERROR((YT_gen[[#This Row],[2032]]*1000)/(YT_cap[[#This Row],[2032]]*8760), 0)</f>
        <v>0.1775217643275189</v>
      </c>
      <c r="AD133" s="11">
        <f>IFERROR((YT_gen[[#This Row],[2033]]*1000)/(YT_cap[[#This Row],[2033]]*8760), 0)</f>
        <v>0.17656649025938875</v>
      </c>
      <c r="AE133" s="11">
        <f>IFERROR((YT_gen[[#This Row],[2034]]*1000)/(YT_cap[[#This Row],[2034]]*8760), 0)</f>
        <v>0.17784018901689563</v>
      </c>
      <c r="AF133" s="11">
        <f>IFERROR((YT_gen[[#This Row],[2035]]*1000)/(YT_cap[[#This Row],[2035]]*8760), 0)</f>
        <v>0.16478477675245029</v>
      </c>
      <c r="AG133" s="11">
        <f>IFERROR((YT_gen[[#This Row],[2036]]*1000)/(YT_cap[[#This Row],[2036]]*8760), 0)</f>
        <v>0.16478477675245029</v>
      </c>
      <c r="AH133" s="11">
        <f>IFERROR((YT_gen[[#This Row],[2037]]*1000)/(YT_cap[[#This Row],[2037]]*8760), 0)</f>
        <v>0.16494398909713864</v>
      </c>
      <c r="AI133" s="11">
        <f>IFERROR((YT_gen[[#This Row],[2038]]*1000)/(YT_cap[[#This Row],[2038]]*8760), 0)</f>
        <v>0.16526241378651535</v>
      </c>
      <c r="AJ133" s="11">
        <f>IFERROR((YT_gen[[#This Row],[2039]]*1000)/(YT_cap[[#This Row],[2039]]*8760), 0)</f>
        <v>0.16669532488871058</v>
      </c>
      <c r="AK133" s="11">
        <f>IFERROR((YT_gen[[#This Row],[2040]]*1000)/(YT_cap[[#This Row],[2040]]*8760), 0)</f>
        <v>0.16765059895684073</v>
      </c>
      <c r="AL133" s="11">
        <f>IFERROR((YT_gen[[#This Row],[2041]]*1000)/(YT_cap[[#This Row],[2041]]*8760), 0)</f>
        <v>0.16780981130152908</v>
      </c>
      <c r="AM133" s="11">
        <f>IFERROR((YT_gen[[#This Row],[2042]]*1000)/(YT_cap[[#This Row],[2042]]*8760), 0)</f>
        <v>0.16812823599090579</v>
      </c>
      <c r="AN133" s="11">
        <f>IFERROR((YT_gen[[#This Row],[2043]]*1000)/(YT_cap[[#This Row],[2043]]*8760), 0)</f>
        <v>0.16956114709310102</v>
      </c>
      <c r="AO133" s="11">
        <f>IFERROR((YT_gen[[#This Row],[2044]]*1000)/(YT_cap[[#This Row],[2044]]*8760), 0)</f>
        <v>0.17051642116123117</v>
      </c>
      <c r="AP133" s="11">
        <f>IFERROR((YT_gen[[#This Row],[2045]]*1000)/(YT_cap[[#This Row],[2045]]*8760), 0)</f>
        <v>0.17051642116123117</v>
      </c>
      <c r="AQ133" s="11">
        <f>IFERROR((YT_gen[[#This Row],[2046]]*1000)/(YT_cap[[#This Row],[2046]]*8760), 0)</f>
        <v>0.17099405819529623</v>
      </c>
      <c r="AR133" s="11">
        <f>IFERROR((YT_gen[[#This Row],[2047]]*1000)/(YT_cap[[#This Row],[2047]]*8760), 0)</f>
        <v>0.17226775695280311</v>
      </c>
      <c r="AS133" s="11">
        <f>IFERROR((YT_gen[[#This Row],[2048]]*1000)/(YT_cap[[#This Row],[2048]]*8760), 0)</f>
        <v>0.17322303102093325</v>
      </c>
      <c r="AT133" s="11">
        <f>IFERROR((YT_gen[[#This Row],[2049]]*1000)/(YT_cap[[#This Row],[2049]]*8760), 0)</f>
        <v>0.17354145571030996</v>
      </c>
      <c r="AU133" s="11">
        <f>IFERROR((YT_gen[[#This Row],[2050]]*1000)/(YT_cap[[#This Row],[2050]]*8760), 0)</f>
        <v>0.17465594212312846</v>
      </c>
    </row>
    <row r="134" spans="1:47" x14ac:dyDescent="0.3">
      <c r="A134" s="2" t="s">
        <v>58</v>
      </c>
      <c r="B134" s="11">
        <f>IFERROR((YT_gen[[#This Row],[2005]]*1000)/(YT_cap[[#This Row],[2005]]*8760), 0)</f>
        <v>0</v>
      </c>
      <c r="C134" s="11">
        <f>IFERROR((YT_gen[[#This Row],[2006]]*1000)/(YT_cap[[#This Row],[2006]]*8760), 0)</f>
        <v>0</v>
      </c>
      <c r="D134" s="11">
        <f>IFERROR((YT_gen[[#This Row],[2007]]*1000)/(YT_cap[[#This Row],[2007]]*8760), 0)</f>
        <v>0</v>
      </c>
      <c r="E134" s="11">
        <f>IFERROR((YT_gen[[#This Row],[2008]]*1000)/(YT_cap[[#This Row],[2008]]*8760), 0)</f>
        <v>0</v>
      </c>
      <c r="F134" s="11">
        <f>IFERROR((YT_gen[[#This Row],[2009]]*1000)/(YT_cap[[#This Row],[2009]]*8760), 0)</f>
        <v>0</v>
      </c>
      <c r="G134" s="11">
        <f>IFERROR((YT_gen[[#This Row],[2010]]*1000)/(YT_cap[[#This Row],[2010]]*8760), 0)</f>
        <v>0</v>
      </c>
      <c r="H134" s="11">
        <f>IFERROR((YT_gen[[#This Row],[2011]]*1000)/(YT_cap[[#This Row],[2011]]*8760), 0)</f>
        <v>0</v>
      </c>
      <c r="I134" s="11">
        <f>IFERROR((YT_gen[[#This Row],[2012]]*1000)/(YT_cap[[#This Row],[2012]]*8760), 0)</f>
        <v>0</v>
      </c>
      <c r="J134" s="11">
        <f>IFERROR((YT_gen[[#This Row],[2013]]*1000)/(YT_cap[[#This Row],[2013]]*8760), 0)</f>
        <v>0</v>
      </c>
      <c r="K134" s="11">
        <f>IFERROR((YT_gen[[#This Row],[2014]]*1000)/(YT_cap[[#This Row],[2014]]*8760), 0)</f>
        <v>0</v>
      </c>
      <c r="L134" s="11">
        <f>IFERROR((YT_gen[[#This Row],[2015]]*1000)/(YT_cap[[#This Row],[2015]]*8760), 0)</f>
        <v>0</v>
      </c>
      <c r="M134" s="11">
        <f>IFERROR((YT_gen[[#This Row],[2016]]*1000)/(YT_cap[[#This Row],[2016]]*8760), 0)</f>
        <v>0</v>
      </c>
      <c r="N134" s="11">
        <f>IFERROR((YT_gen[[#This Row],[2017]]*1000)/(YT_cap[[#This Row],[2017]]*8760), 0)</f>
        <v>0</v>
      </c>
      <c r="O134" s="11">
        <f>IFERROR((YT_gen[[#This Row],[2018]]*1000)/(YT_cap[[#This Row],[2018]]*8760), 0)</f>
        <v>0</v>
      </c>
      <c r="P134" s="11">
        <f>IFERROR((YT_gen[[#This Row],[2019]]*1000)/(YT_cap[[#This Row],[2019]]*8760), 0)</f>
        <v>0</v>
      </c>
      <c r="Q134" s="11">
        <f>IFERROR((YT_gen[[#This Row],[2020]]*1000)/(YT_cap[[#This Row],[2020]]*8760), 0)</f>
        <v>0</v>
      </c>
      <c r="R134" s="11">
        <f>IFERROR((YT_gen[[#This Row],[2021]]*1000)/(YT_cap[[#This Row],[2021]]*8760), 0)</f>
        <v>0</v>
      </c>
      <c r="S134" s="11">
        <f>IFERROR((YT_gen[[#This Row],[2022]]*1000)/(YT_cap[[#This Row],[2022]]*8760), 0)</f>
        <v>0</v>
      </c>
      <c r="T134" s="11">
        <f>IFERROR((YT_gen[[#This Row],[2023]]*1000)/(YT_cap[[#This Row],[2023]]*8760), 0)</f>
        <v>0</v>
      </c>
      <c r="U134" s="11">
        <f>IFERROR((YT_gen[[#This Row],[2024]]*1000)/(YT_cap[[#This Row],[2024]]*8760), 0)</f>
        <v>0</v>
      </c>
      <c r="V134" s="11">
        <f>IFERROR((YT_gen[[#This Row],[2025]]*1000)/(YT_cap[[#This Row],[2025]]*8760), 0)</f>
        <v>0</v>
      </c>
      <c r="W134" s="11">
        <f>IFERROR((YT_gen[[#This Row],[2026]]*1000)/(YT_cap[[#This Row],[2026]]*8760), 0)</f>
        <v>0</v>
      </c>
      <c r="X134" s="11">
        <f>IFERROR((YT_gen[[#This Row],[2027]]*1000)/(YT_cap[[#This Row],[2027]]*8760), 0)</f>
        <v>0</v>
      </c>
      <c r="Y134" s="11">
        <f>IFERROR((YT_gen[[#This Row],[2028]]*1000)/(YT_cap[[#This Row],[2028]]*8760), 0)</f>
        <v>0</v>
      </c>
      <c r="Z134" s="11">
        <f>IFERROR((YT_gen[[#This Row],[2029]]*1000)/(YT_cap[[#This Row],[2029]]*8760), 0)</f>
        <v>0</v>
      </c>
      <c r="AA134" s="11">
        <f>IFERROR((YT_gen[[#This Row],[2030]]*1000)/(YT_cap[[#This Row],[2030]]*8760), 0)</f>
        <v>0</v>
      </c>
      <c r="AB134" s="11">
        <f>IFERROR((YT_gen[[#This Row],[2031]]*1000)/(YT_cap[[#This Row],[2031]]*8760), 0)</f>
        <v>0</v>
      </c>
      <c r="AC134" s="11">
        <f>IFERROR((YT_gen[[#This Row],[2032]]*1000)/(YT_cap[[#This Row],[2032]]*8760), 0)</f>
        <v>0</v>
      </c>
      <c r="AD134" s="11">
        <f>IFERROR((YT_gen[[#This Row],[2033]]*1000)/(YT_cap[[#This Row],[2033]]*8760), 0)</f>
        <v>0</v>
      </c>
      <c r="AE134" s="11">
        <f>IFERROR((YT_gen[[#This Row],[2034]]*1000)/(YT_cap[[#This Row],[2034]]*8760), 0)</f>
        <v>0</v>
      </c>
      <c r="AF134" s="11">
        <f>IFERROR((YT_gen[[#This Row],[2035]]*1000)/(YT_cap[[#This Row],[2035]]*8760), 0)</f>
        <v>0</v>
      </c>
      <c r="AG134" s="11">
        <f>IFERROR((YT_gen[[#This Row],[2036]]*1000)/(YT_cap[[#This Row],[2036]]*8760), 0)</f>
        <v>0</v>
      </c>
      <c r="AH134" s="11">
        <f>IFERROR((YT_gen[[#This Row],[2037]]*1000)/(YT_cap[[#This Row],[2037]]*8760), 0)</f>
        <v>0</v>
      </c>
      <c r="AI134" s="11">
        <f>IFERROR((YT_gen[[#This Row],[2038]]*1000)/(YT_cap[[#This Row],[2038]]*8760), 0)</f>
        <v>0</v>
      </c>
      <c r="AJ134" s="11">
        <f>IFERROR((YT_gen[[#This Row],[2039]]*1000)/(YT_cap[[#This Row],[2039]]*8760), 0)</f>
        <v>0</v>
      </c>
      <c r="AK134" s="11">
        <f>IFERROR((YT_gen[[#This Row],[2040]]*1000)/(YT_cap[[#This Row],[2040]]*8760), 0)</f>
        <v>0</v>
      </c>
      <c r="AL134" s="11">
        <f>IFERROR((YT_gen[[#This Row],[2041]]*1000)/(YT_cap[[#This Row],[2041]]*8760), 0)</f>
        <v>0</v>
      </c>
      <c r="AM134" s="11">
        <f>IFERROR((YT_gen[[#This Row],[2042]]*1000)/(YT_cap[[#This Row],[2042]]*8760), 0)</f>
        <v>0</v>
      </c>
      <c r="AN134" s="11">
        <f>IFERROR((YT_gen[[#This Row],[2043]]*1000)/(YT_cap[[#This Row],[2043]]*8760), 0)</f>
        <v>0</v>
      </c>
      <c r="AO134" s="11">
        <f>IFERROR((YT_gen[[#This Row],[2044]]*1000)/(YT_cap[[#This Row],[2044]]*8760), 0)</f>
        <v>0</v>
      </c>
      <c r="AP134" s="11">
        <f>IFERROR((YT_gen[[#This Row],[2045]]*1000)/(YT_cap[[#This Row],[2045]]*8760), 0)</f>
        <v>0</v>
      </c>
      <c r="AQ134" s="11">
        <f>IFERROR((YT_gen[[#This Row],[2046]]*1000)/(YT_cap[[#This Row],[2046]]*8760), 0)</f>
        <v>0</v>
      </c>
      <c r="AR134" s="11">
        <f>IFERROR((YT_gen[[#This Row],[2047]]*1000)/(YT_cap[[#This Row],[2047]]*8760), 0)</f>
        <v>0</v>
      </c>
      <c r="AS134" s="11">
        <f>IFERROR((YT_gen[[#This Row],[2048]]*1000)/(YT_cap[[#This Row],[2048]]*8760), 0)</f>
        <v>0</v>
      </c>
      <c r="AT134" s="11">
        <f>IFERROR((YT_gen[[#This Row],[2049]]*1000)/(YT_cap[[#This Row],[2049]]*8760), 0)</f>
        <v>0</v>
      </c>
      <c r="AU134" s="11">
        <f>IFERROR((YT_gen[[#This Row],[2050]]*1000)/(YT_cap[[#This Row],[2050]]*8760), 0)</f>
        <v>0</v>
      </c>
    </row>
    <row r="135" spans="1:47" x14ac:dyDescent="0.3">
      <c r="A135" s="2" t="s">
        <v>59</v>
      </c>
      <c r="B135" s="11">
        <f>IFERROR((YT_gen[[#This Row],[2005]]*1000)/(YT_cap[[#This Row],[2005]]*8760), 0)</f>
        <v>0</v>
      </c>
      <c r="C135" s="11">
        <f>IFERROR((YT_gen[[#This Row],[2006]]*1000)/(YT_cap[[#This Row],[2006]]*8760), 0)</f>
        <v>0</v>
      </c>
      <c r="D135" s="11">
        <f>IFERROR((YT_gen[[#This Row],[2007]]*1000)/(YT_cap[[#This Row],[2007]]*8760), 0)</f>
        <v>0</v>
      </c>
      <c r="E135" s="11">
        <f>IFERROR((YT_gen[[#This Row],[2008]]*1000)/(YT_cap[[#This Row],[2008]]*8760), 0)</f>
        <v>0</v>
      </c>
      <c r="F135" s="11">
        <f>IFERROR((YT_gen[[#This Row],[2009]]*1000)/(YT_cap[[#This Row],[2009]]*8760), 0)</f>
        <v>0</v>
      </c>
      <c r="G135" s="11">
        <f>IFERROR((YT_gen[[#This Row],[2010]]*1000)/(YT_cap[[#This Row],[2010]]*8760), 0)</f>
        <v>0</v>
      </c>
      <c r="H135" s="11">
        <f>IFERROR((YT_gen[[#This Row],[2011]]*1000)/(YT_cap[[#This Row],[2011]]*8760), 0)</f>
        <v>0</v>
      </c>
      <c r="I135" s="11">
        <f>IFERROR((YT_gen[[#This Row],[2012]]*1000)/(YT_cap[[#This Row],[2012]]*8760), 0)</f>
        <v>0</v>
      </c>
      <c r="J135" s="11">
        <f>IFERROR((YT_gen[[#This Row],[2013]]*1000)/(YT_cap[[#This Row],[2013]]*8760), 0)</f>
        <v>0</v>
      </c>
      <c r="K135" s="11">
        <f>IFERROR((YT_gen[[#This Row],[2014]]*1000)/(YT_cap[[#This Row],[2014]]*8760), 0)</f>
        <v>0</v>
      </c>
      <c r="L135" s="11">
        <f>IFERROR((YT_gen[[#This Row],[2015]]*1000)/(YT_cap[[#This Row],[2015]]*8760), 0)</f>
        <v>0</v>
      </c>
      <c r="M135" s="11">
        <f>IFERROR((YT_gen[[#This Row],[2016]]*1000)/(YT_cap[[#This Row],[2016]]*8760), 0)</f>
        <v>0</v>
      </c>
      <c r="N135" s="11">
        <f>IFERROR((YT_gen[[#This Row],[2017]]*1000)/(YT_cap[[#This Row],[2017]]*8760), 0)</f>
        <v>0</v>
      </c>
      <c r="O135" s="11">
        <f>IFERROR((YT_gen[[#This Row],[2018]]*1000)/(YT_cap[[#This Row],[2018]]*8760), 0)</f>
        <v>0</v>
      </c>
      <c r="P135" s="11">
        <f>IFERROR((YT_gen[[#This Row],[2019]]*1000)/(YT_cap[[#This Row],[2019]]*8760), 0)</f>
        <v>0</v>
      </c>
      <c r="Q135" s="11">
        <f>IFERROR((YT_gen[[#This Row],[2020]]*1000)/(YT_cap[[#This Row],[2020]]*8760), 0)</f>
        <v>0</v>
      </c>
      <c r="R135" s="11">
        <f>IFERROR((YT_gen[[#This Row],[2021]]*1000)/(YT_cap[[#This Row],[2021]]*8760), 0)</f>
        <v>0</v>
      </c>
      <c r="S135" s="11">
        <f>IFERROR((YT_gen[[#This Row],[2022]]*1000)/(YT_cap[[#This Row],[2022]]*8760), 0)</f>
        <v>0</v>
      </c>
      <c r="T135" s="11">
        <f>IFERROR((YT_gen[[#This Row],[2023]]*1000)/(YT_cap[[#This Row],[2023]]*8760), 0)</f>
        <v>0</v>
      </c>
      <c r="U135" s="11">
        <f>IFERROR((YT_gen[[#This Row],[2024]]*1000)/(YT_cap[[#This Row],[2024]]*8760), 0)</f>
        <v>0</v>
      </c>
      <c r="V135" s="11">
        <f>IFERROR((YT_gen[[#This Row],[2025]]*1000)/(YT_cap[[#This Row],[2025]]*8760), 0)</f>
        <v>0</v>
      </c>
      <c r="W135" s="11">
        <f>IFERROR((YT_gen[[#This Row],[2026]]*1000)/(YT_cap[[#This Row],[2026]]*8760), 0)</f>
        <v>0</v>
      </c>
      <c r="X135" s="11">
        <f>IFERROR((YT_gen[[#This Row],[2027]]*1000)/(YT_cap[[#This Row],[2027]]*8760), 0)</f>
        <v>0</v>
      </c>
      <c r="Y135" s="11">
        <f>IFERROR((YT_gen[[#This Row],[2028]]*1000)/(YT_cap[[#This Row],[2028]]*8760), 0)</f>
        <v>0</v>
      </c>
      <c r="Z135" s="11">
        <f>IFERROR((YT_gen[[#This Row],[2029]]*1000)/(YT_cap[[#This Row],[2029]]*8760), 0)</f>
        <v>0</v>
      </c>
      <c r="AA135" s="11">
        <f>IFERROR((YT_gen[[#This Row],[2030]]*1000)/(YT_cap[[#This Row],[2030]]*8760), 0)</f>
        <v>0</v>
      </c>
      <c r="AB135" s="11">
        <f>IFERROR((YT_gen[[#This Row],[2031]]*1000)/(YT_cap[[#This Row],[2031]]*8760), 0)</f>
        <v>0</v>
      </c>
      <c r="AC135" s="11">
        <f>IFERROR((YT_gen[[#This Row],[2032]]*1000)/(YT_cap[[#This Row],[2032]]*8760), 0)</f>
        <v>0</v>
      </c>
      <c r="AD135" s="11">
        <f>IFERROR((YT_gen[[#This Row],[2033]]*1000)/(YT_cap[[#This Row],[2033]]*8760), 0)</f>
        <v>0</v>
      </c>
      <c r="AE135" s="11">
        <f>IFERROR((YT_gen[[#This Row],[2034]]*1000)/(YT_cap[[#This Row],[2034]]*8760), 0)</f>
        <v>0</v>
      </c>
      <c r="AF135" s="11">
        <f>IFERROR((YT_gen[[#This Row],[2035]]*1000)/(YT_cap[[#This Row],[2035]]*8760), 0)</f>
        <v>0</v>
      </c>
      <c r="AG135" s="11">
        <f>IFERROR((YT_gen[[#This Row],[2036]]*1000)/(YT_cap[[#This Row],[2036]]*8760), 0)</f>
        <v>0</v>
      </c>
      <c r="AH135" s="11">
        <f>IFERROR((YT_gen[[#This Row],[2037]]*1000)/(YT_cap[[#This Row],[2037]]*8760), 0)</f>
        <v>0</v>
      </c>
      <c r="AI135" s="11">
        <f>IFERROR((YT_gen[[#This Row],[2038]]*1000)/(YT_cap[[#This Row],[2038]]*8760), 0)</f>
        <v>0</v>
      </c>
      <c r="AJ135" s="11">
        <f>IFERROR((YT_gen[[#This Row],[2039]]*1000)/(YT_cap[[#This Row],[2039]]*8760), 0)</f>
        <v>0</v>
      </c>
      <c r="AK135" s="11">
        <f>IFERROR((YT_gen[[#This Row],[2040]]*1000)/(YT_cap[[#This Row],[2040]]*8760), 0)</f>
        <v>0</v>
      </c>
      <c r="AL135" s="11">
        <f>IFERROR((YT_gen[[#This Row],[2041]]*1000)/(YT_cap[[#This Row],[2041]]*8760), 0)</f>
        <v>0</v>
      </c>
      <c r="AM135" s="11">
        <f>IFERROR((YT_gen[[#This Row],[2042]]*1000)/(YT_cap[[#This Row],[2042]]*8760), 0)</f>
        <v>0</v>
      </c>
      <c r="AN135" s="11">
        <f>IFERROR((YT_gen[[#This Row],[2043]]*1000)/(YT_cap[[#This Row],[2043]]*8760), 0)</f>
        <v>0</v>
      </c>
      <c r="AO135" s="11">
        <f>IFERROR((YT_gen[[#This Row],[2044]]*1000)/(YT_cap[[#This Row],[2044]]*8760), 0)</f>
        <v>0</v>
      </c>
      <c r="AP135" s="11">
        <f>IFERROR((YT_gen[[#This Row],[2045]]*1000)/(YT_cap[[#This Row],[2045]]*8760), 0)</f>
        <v>0</v>
      </c>
      <c r="AQ135" s="11">
        <f>IFERROR((YT_gen[[#This Row],[2046]]*1000)/(YT_cap[[#This Row],[2046]]*8760), 0)</f>
        <v>0</v>
      </c>
      <c r="AR135" s="11">
        <f>IFERROR((YT_gen[[#This Row],[2047]]*1000)/(YT_cap[[#This Row],[2047]]*8760), 0)</f>
        <v>0</v>
      </c>
      <c r="AS135" s="11">
        <f>IFERROR((YT_gen[[#This Row],[2048]]*1000)/(YT_cap[[#This Row],[2048]]*8760), 0)</f>
        <v>0</v>
      </c>
      <c r="AT135" s="11">
        <f>IFERROR((YT_gen[[#This Row],[2049]]*1000)/(YT_cap[[#This Row],[2049]]*8760), 0)</f>
        <v>0</v>
      </c>
      <c r="AU135" s="11">
        <f>IFERROR((YT_gen[[#This Row],[2050]]*1000)/(YT_cap[[#This Row],[2050]]*8760), 0)</f>
        <v>0</v>
      </c>
    </row>
    <row r="136" spans="1:47" x14ac:dyDescent="0.3">
      <c r="A136" s="2" t="s">
        <v>60</v>
      </c>
      <c r="B136" s="11">
        <f>IFERROR((YT_gen[[#This Row],[2005]]*1000)/(YT_cap[[#This Row],[2005]]*8760), 0)</f>
        <v>0</v>
      </c>
      <c r="C136" s="11">
        <f>IFERROR((YT_gen[[#This Row],[2006]]*1000)/(YT_cap[[#This Row],[2006]]*8760), 0)</f>
        <v>0</v>
      </c>
      <c r="D136" s="11">
        <f>IFERROR((YT_gen[[#This Row],[2007]]*1000)/(YT_cap[[#This Row],[2007]]*8760), 0)</f>
        <v>0</v>
      </c>
      <c r="E136" s="11">
        <f>IFERROR((YT_gen[[#This Row],[2008]]*1000)/(YT_cap[[#This Row],[2008]]*8760), 0)</f>
        <v>0</v>
      </c>
      <c r="F136" s="11">
        <f>IFERROR((YT_gen[[#This Row],[2009]]*1000)/(YT_cap[[#This Row],[2009]]*8760), 0)</f>
        <v>0</v>
      </c>
      <c r="G136" s="11">
        <f>IFERROR((YT_gen[[#This Row],[2010]]*1000)/(YT_cap[[#This Row],[2010]]*8760), 0)</f>
        <v>0</v>
      </c>
      <c r="H136" s="11">
        <f>IFERROR((YT_gen[[#This Row],[2011]]*1000)/(YT_cap[[#This Row],[2011]]*8760), 0)</f>
        <v>0</v>
      </c>
      <c r="I136" s="11">
        <f>IFERROR((YT_gen[[#This Row],[2012]]*1000)/(YT_cap[[#This Row],[2012]]*8760), 0)</f>
        <v>0</v>
      </c>
      <c r="J136" s="11">
        <f>IFERROR((YT_gen[[#This Row],[2013]]*1000)/(YT_cap[[#This Row],[2013]]*8760), 0)</f>
        <v>0</v>
      </c>
      <c r="K136" s="11">
        <f>IFERROR((YT_gen[[#This Row],[2014]]*1000)/(YT_cap[[#This Row],[2014]]*8760), 0)</f>
        <v>0</v>
      </c>
      <c r="L136" s="11">
        <f>IFERROR((YT_gen[[#This Row],[2015]]*1000)/(YT_cap[[#This Row],[2015]]*8760), 0)</f>
        <v>0.67455375674553752</v>
      </c>
      <c r="M136" s="11">
        <f>IFERROR((YT_gen[[#This Row],[2016]]*1000)/(YT_cap[[#This Row],[2016]]*8760), 0)</f>
        <v>0.70049813200498134</v>
      </c>
      <c r="N136" s="11">
        <f>IFERROR((YT_gen[[#This Row],[2017]]*1000)/(YT_cap[[#This Row],[2017]]*8760), 0)</f>
        <v>0.95994188459941887</v>
      </c>
      <c r="O136" s="11">
        <f>IFERROR((YT_gen[[#This Row],[2018]]*1000)/(YT_cap[[#This Row],[2018]]*8760), 0)</f>
        <v>1.5307181403071815</v>
      </c>
      <c r="P136" s="11">
        <f>IFERROR((YT_gen[[#This Row],[2019]]*1000)/(YT_cap[[#This Row],[2019]]*8760), 0)</f>
        <v>0.68196643539109292</v>
      </c>
      <c r="Q136" s="11">
        <f>IFERROR((YT_gen[[#This Row],[2020]]*1000)/(YT_cap[[#This Row],[2020]]*8760), 0)</f>
        <v>0.65016604400166045</v>
      </c>
      <c r="R136" s="11">
        <f>IFERROR((YT_gen[[#This Row],[2021]]*1000)/(YT_cap[[#This Row],[2021]]*8760), 0)</f>
        <v>0.94800747198007473</v>
      </c>
      <c r="S136" s="11">
        <f>IFERROR((YT_gen[[#This Row],[2022]]*1000)/(YT_cap[[#This Row],[2022]]*8760), 0)</f>
        <v>0.8094645080946451</v>
      </c>
      <c r="T136" s="11">
        <f>IFERROR((YT_gen[[#This Row],[2023]]*1000)/(YT_cap[[#This Row],[2023]]*8760), 0)</f>
        <v>0.99395784327291181</v>
      </c>
      <c r="U136" s="11">
        <f>IFERROR((YT_gen[[#This Row],[2024]]*1000)/(YT_cap[[#This Row],[2024]]*8760), 0)</f>
        <v>1.0000115308334487</v>
      </c>
      <c r="V136" s="11">
        <f>IFERROR((YT_gen[[#This Row],[2025]]*1000)/(YT_cap[[#This Row],[2025]]*8760), 0)</f>
        <v>0.90799547991328811</v>
      </c>
      <c r="W136" s="11">
        <f>IFERROR((YT_gen[[#This Row],[2026]]*1000)/(YT_cap[[#This Row],[2026]]*8760), 0)</f>
        <v>0.82797149577971496</v>
      </c>
      <c r="X136" s="11">
        <f>IFERROR((YT_gen[[#This Row],[2027]]*1000)/(YT_cap[[#This Row],[2027]]*8760), 0)</f>
        <v>0.54258336792583373</v>
      </c>
      <c r="Y136" s="11">
        <f>IFERROR((YT_gen[[#This Row],[2028]]*1000)/(YT_cap[[#This Row],[2028]]*8760), 0)</f>
        <v>0.1009524468428578</v>
      </c>
      <c r="Z136" s="11">
        <f>IFERROR((YT_gen[[#This Row],[2029]]*1000)/(YT_cap[[#This Row],[2029]]*8760), 0)</f>
        <v>3.4592500345925004E-3</v>
      </c>
      <c r="AA136" s="11">
        <f>IFERROR((YT_gen[[#This Row],[2030]]*1000)/(YT_cap[[#This Row],[2030]]*8760), 0)</f>
        <v>5.765416724320834E-4</v>
      </c>
      <c r="AB136" s="11">
        <f>IFERROR((YT_gen[[#This Row],[2031]]*1000)/(YT_cap[[#This Row],[2031]]*8760), 0)</f>
        <v>0</v>
      </c>
      <c r="AC136" s="11">
        <f>IFERROR((YT_gen[[#This Row],[2032]]*1000)/(YT_cap[[#This Row],[2032]]*8760), 0)</f>
        <v>0</v>
      </c>
      <c r="AD136" s="11">
        <f>IFERROR((YT_gen[[#This Row],[2033]]*1000)/(YT_cap[[#This Row],[2033]]*8760), 0)</f>
        <v>0</v>
      </c>
      <c r="AE136" s="11">
        <f>IFERROR((YT_gen[[#This Row],[2034]]*1000)/(YT_cap[[#This Row],[2034]]*8760), 0)</f>
        <v>0</v>
      </c>
      <c r="AF136" s="11">
        <f>IFERROR((YT_gen[[#This Row],[2035]]*1000)/(YT_cap[[#This Row],[2035]]*8760), 0)</f>
        <v>0</v>
      </c>
      <c r="AG136" s="11">
        <f>IFERROR((YT_gen[[#This Row],[2036]]*1000)/(YT_cap[[#This Row],[2036]]*8760), 0)</f>
        <v>0</v>
      </c>
      <c r="AH136" s="11">
        <f>IFERROR((YT_gen[[#This Row],[2037]]*1000)/(YT_cap[[#This Row],[2037]]*8760), 0)</f>
        <v>0</v>
      </c>
      <c r="AI136" s="11">
        <f>IFERROR((YT_gen[[#This Row],[2038]]*1000)/(YT_cap[[#This Row],[2038]]*8760), 0)</f>
        <v>0</v>
      </c>
      <c r="AJ136" s="11">
        <f>IFERROR((YT_gen[[#This Row],[2039]]*1000)/(YT_cap[[#This Row],[2039]]*8760), 0)</f>
        <v>0</v>
      </c>
      <c r="AK136" s="11">
        <f>IFERROR((YT_gen[[#This Row],[2040]]*1000)/(YT_cap[[#This Row],[2040]]*8760), 0)</f>
        <v>0</v>
      </c>
      <c r="AL136" s="11">
        <f>IFERROR((YT_gen[[#This Row],[2041]]*1000)/(YT_cap[[#This Row],[2041]]*8760), 0)</f>
        <v>0</v>
      </c>
      <c r="AM136" s="11">
        <f>IFERROR((YT_gen[[#This Row],[2042]]*1000)/(YT_cap[[#This Row],[2042]]*8760), 0)</f>
        <v>0</v>
      </c>
      <c r="AN136" s="11">
        <f>IFERROR((YT_gen[[#This Row],[2043]]*1000)/(YT_cap[[#This Row],[2043]]*8760), 0)</f>
        <v>0</v>
      </c>
      <c r="AO136" s="11">
        <f>IFERROR((YT_gen[[#This Row],[2044]]*1000)/(YT_cap[[#This Row],[2044]]*8760), 0)</f>
        <v>0</v>
      </c>
      <c r="AP136" s="11">
        <f>IFERROR((YT_gen[[#This Row],[2045]]*1000)/(YT_cap[[#This Row],[2045]]*8760), 0)</f>
        <v>0</v>
      </c>
      <c r="AQ136" s="11">
        <f>IFERROR((YT_gen[[#This Row],[2046]]*1000)/(YT_cap[[#This Row],[2046]]*8760), 0)</f>
        <v>0</v>
      </c>
      <c r="AR136" s="11">
        <f>IFERROR((YT_gen[[#This Row],[2047]]*1000)/(YT_cap[[#This Row],[2047]]*8760), 0)</f>
        <v>0</v>
      </c>
      <c r="AS136" s="11">
        <f>IFERROR((YT_gen[[#This Row],[2048]]*1000)/(YT_cap[[#This Row],[2048]]*8760), 0)</f>
        <v>0</v>
      </c>
      <c r="AT136" s="11">
        <f>IFERROR((YT_gen[[#This Row],[2049]]*1000)/(YT_cap[[#This Row],[2049]]*8760), 0)</f>
        <v>0</v>
      </c>
      <c r="AU136" s="11">
        <f>IFERROR((YT_gen[[#This Row],[2050]]*1000)/(YT_cap[[#This Row],[2050]]*8760), 0)</f>
        <v>0</v>
      </c>
    </row>
    <row r="137" spans="1:47" x14ac:dyDescent="0.3">
      <c r="A137" s="2" t="s">
        <v>61</v>
      </c>
      <c r="B137" s="11">
        <f>IFERROR((YT_gen[[#This Row],[2005]]*1000)/(YT_cap[[#This Row],[2005]]*8760), 0)</f>
        <v>7.5635557819942856E-2</v>
      </c>
      <c r="C137" s="11">
        <f>IFERROR((YT_gen[[#This Row],[2006]]*1000)/(YT_cap[[#This Row],[2006]]*8760), 0)</f>
        <v>7.5635557819942856E-2</v>
      </c>
      <c r="D137" s="11">
        <f>IFERROR((YT_gen[[#This Row],[2007]]*1000)/(YT_cap[[#This Row],[2007]]*8760), 0)</f>
        <v>7.5635557819942856E-2</v>
      </c>
      <c r="E137" s="11">
        <f>IFERROR((YT_gen[[#This Row],[2008]]*1000)/(YT_cap[[#This Row],[2008]]*8760), 0)</f>
        <v>7.6457311277470533E-2</v>
      </c>
      <c r="F137" s="11">
        <f>IFERROR((YT_gen[[#This Row],[2009]]*1000)/(YT_cap[[#This Row],[2009]]*8760), 0)</f>
        <v>6.3480454594012706E-2</v>
      </c>
      <c r="G137" s="11">
        <f>IFERROR((YT_gen[[#This Row],[2010]]*1000)/(YT_cap[[#This Row],[2010]]*8760), 0)</f>
        <v>8.4264734086615167E-2</v>
      </c>
      <c r="H137" s="11">
        <f>IFERROR((YT_gen[[#This Row],[2011]]*1000)/(YT_cap[[#This Row],[2011]]*8760), 0)</f>
        <v>0.12537694696422522</v>
      </c>
      <c r="I137" s="11">
        <f>IFERROR((YT_gen[[#This Row],[2012]]*1000)/(YT_cap[[#This Row],[2012]]*8760), 0)</f>
        <v>8.2870523393495224E-2</v>
      </c>
      <c r="J137" s="11">
        <f>IFERROR((YT_gen[[#This Row],[2013]]*1000)/(YT_cap[[#This Row],[2013]]*8760), 0)</f>
        <v>7.9197968396984147E-2</v>
      </c>
      <c r="K137" s="11">
        <f>IFERROR((YT_gen[[#This Row],[2014]]*1000)/(YT_cap[[#This Row],[2014]]*8760), 0)</f>
        <v>7.821181937014321E-2</v>
      </c>
      <c r="L137" s="11">
        <f>IFERROR((YT_gen[[#This Row],[2015]]*1000)/(YT_cap[[#This Row],[2015]]*8760), 0)</f>
        <v>0</v>
      </c>
      <c r="M137" s="11">
        <f>IFERROR((YT_gen[[#This Row],[2016]]*1000)/(YT_cap[[#This Row],[2016]]*8760), 0)</f>
        <v>0</v>
      </c>
      <c r="N137" s="11">
        <f>IFERROR((YT_gen[[#This Row],[2017]]*1000)/(YT_cap[[#This Row],[2017]]*8760), 0)</f>
        <v>0</v>
      </c>
      <c r="O137" s="11">
        <f>IFERROR((YT_gen[[#This Row],[2018]]*1000)/(YT_cap[[#This Row],[2018]]*8760), 0)</f>
        <v>0</v>
      </c>
      <c r="P137" s="11">
        <f>IFERROR((YT_gen[[#This Row],[2019]]*1000)/(YT_cap[[#This Row],[2019]]*8760), 0)</f>
        <v>0</v>
      </c>
      <c r="Q137" s="11">
        <f>IFERROR((YT_gen[[#This Row],[2020]]*1000)/(YT_cap[[#This Row],[2020]]*8760), 0)</f>
        <v>1.8723877171365758E-2</v>
      </c>
      <c r="R137" s="11">
        <f>IFERROR((YT_gen[[#This Row],[2021]]*1000)/(YT_cap[[#This Row],[2021]]*8760), 0)</f>
        <v>0.1499304010719536</v>
      </c>
      <c r="S137" s="11">
        <f>IFERROR((YT_gen[[#This Row],[2022]]*1000)/(YT_cap[[#This Row],[2022]]*8760), 0)</f>
        <v>8.1400081400081398E-2</v>
      </c>
      <c r="T137" s="11">
        <f>IFERROR((YT_gen[[#This Row],[2023]]*1000)/(YT_cap[[#This Row],[2023]]*8760), 0)</f>
        <v>0.2263591304687195</v>
      </c>
      <c r="U137" s="11">
        <f>IFERROR((YT_gen[[#This Row],[2024]]*1000)/(YT_cap[[#This Row],[2024]]*8760), 0)</f>
        <v>0.72656077222287263</v>
      </c>
      <c r="V137" s="11">
        <f>IFERROR((YT_gen[[#This Row],[2025]]*1000)/(YT_cap[[#This Row],[2025]]*8760), 0)</f>
        <v>0.16670794672966638</v>
      </c>
      <c r="W137" s="11">
        <f>IFERROR((YT_gen[[#This Row],[2026]]*1000)/(YT_cap[[#This Row],[2026]]*8760), 0)</f>
        <v>0.14015830511725347</v>
      </c>
      <c r="X137" s="11">
        <f>IFERROR((YT_gen[[#This Row],[2027]]*1000)/(YT_cap[[#This Row],[2027]]*8760), 0)</f>
        <v>2.0163124595815412E-2</v>
      </c>
      <c r="Y137" s="11">
        <f>IFERROR((YT_gen[[#This Row],[2028]]*1000)/(YT_cap[[#This Row],[2028]]*8760), 0)</f>
        <v>0</v>
      </c>
      <c r="Z137" s="11">
        <f>IFERROR((YT_gen[[#This Row],[2029]]*1000)/(YT_cap[[#This Row],[2029]]*8760), 0)</f>
        <v>0</v>
      </c>
      <c r="AA137" s="11">
        <f>IFERROR((YT_gen[[#This Row],[2030]]*1000)/(YT_cap[[#This Row],[2030]]*8760), 0)</f>
        <v>0</v>
      </c>
      <c r="AB137" s="11">
        <f>IFERROR((YT_gen[[#This Row],[2031]]*1000)/(YT_cap[[#This Row],[2031]]*8760), 0)</f>
        <v>0</v>
      </c>
      <c r="AC137" s="11">
        <f>IFERROR((YT_gen[[#This Row],[2032]]*1000)/(YT_cap[[#This Row],[2032]]*8760), 0)</f>
        <v>0</v>
      </c>
      <c r="AD137" s="11">
        <f>IFERROR((YT_gen[[#This Row],[2033]]*1000)/(YT_cap[[#This Row],[2033]]*8760), 0)</f>
        <v>0</v>
      </c>
      <c r="AE137" s="11">
        <f>IFERROR((YT_gen[[#This Row],[2034]]*1000)/(YT_cap[[#This Row],[2034]]*8760), 0)</f>
        <v>0</v>
      </c>
      <c r="AF137" s="11">
        <f>IFERROR((YT_gen[[#This Row],[2035]]*1000)/(YT_cap[[#This Row],[2035]]*8760), 0)</f>
        <v>0</v>
      </c>
      <c r="AG137" s="11">
        <f>IFERROR((YT_gen[[#This Row],[2036]]*1000)/(YT_cap[[#This Row],[2036]]*8760), 0)</f>
        <v>0</v>
      </c>
      <c r="AH137" s="11">
        <f>IFERROR((YT_gen[[#This Row],[2037]]*1000)/(YT_cap[[#This Row],[2037]]*8760), 0)</f>
        <v>0</v>
      </c>
      <c r="AI137" s="11">
        <f>IFERROR((YT_gen[[#This Row],[2038]]*1000)/(YT_cap[[#This Row],[2038]]*8760), 0)</f>
        <v>0</v>
      </c>
      <c r="AJ137" s="11">
        <f>IFERROR((YT_gen[[#This Row],[2039]]*1000)/(YT_cap[[#This Row],[2039]]*8760), 0)</f>
        <v>0</v>
      </c>
      <c r="AK137" s="11">
        <f>IFERROR((YT_gen[[#This Row],[2040]]*1000)/(YT_cap[[#This Row],[2040]]*8760), 0)</f>
        <v>0</v>
      </c>
      <c r="AL137" s="11">
        <f>IFERROR((YT_gen[[#This Row],[2041]]*1000)/(YT_cap[[#This Row],[2041]]*8760), 0)</f>
        <v>0</v>
      </c>
      <c r="AM137" s="11">
        <f>IFERROR((YT_gen[[#This Row],[2042]]*1000)/(YT_cap[[#This Row],[2042]]*8760), 0)</f>
        <v>0</v>
      </c>
      <c r="AN137" s="11">
        <f>IFERROR((YT_gen[[#This Row],[2043]]*1000)/(YT_cap[[#This Row],[2043]]*8760), 0)</f>
        <v>0</v>
      </c>
      <c r="AO137" s="11">
        <f>IFERROR((YT_gen[[#This Row],[2044]]*1000)/(YT_cap[[#This Row],[2044]]*8760), 0)</f>
        <v>0</v>
      </c>
      <c r="AP137" s="11">
        <f>IFERROR((YT_gen[[#This Row],[2045]]*1000)/(YT_cap[[#This Row],[2045]]*8760), 0)</f>
        <v>0</v>
      </c>
      <c r="AQ137" s="11">
        <f>IFERROR((YT_gen[[#This Row],[2046]]*1000)/(YT_cap[[#This Row],[2046]]*8760), 0)</f>
        <v>0</v>
      </c>
      <c r="AR137" s="11">
        <f>IFERROR((YT_gen[[#This Row],[2047]]*1000)/(YT_cap[[#This Row],[2047]]*8760), 0)</f>
        <v>0</v>
      </c>
      <c r="AS137" s="11">
        <f>IFERROR((YT_gen[[#This Row],[2048]]*1000)/(YT_cap[[#This Row],[2048]]*8760), 0)</f>
        <v>0</v>
      </c>
      <c r="AT137" s="11">
        <f>IFERROR((YT_gen[[#This Row],[2049]]*1000)/(YT_cap[[#This Row],[2049]]*8760), 0)</f>
        <v>0</v>
      </c>
      <c r="AU137" s="11">
        <f>IFERROR((YT_gen[[#This Row],[2050]]*1000)/(YT_cap[[#This Row],[2050]]*8760), 0)</f>
        <v>0</v>
      </c>
    </row>
    <row r="139" spans="1:47" ht="18" x14ac:dyDescent="0.35">
      <c r="A139" s="4" t="s">
        <v>73</v>
      </c>
    </row>
    <row r="140" spans="1:47" x14ac:dyDescent="0.3">
      <c r="A140" s="2" t="s">
        <v>7</v>
      </c>
      <c r="B140" s="2" t="s">
        <v>8</v>
      </c>
      <c r="C140" s="2" t="s">
        <v>9</v>
      </c>
      <c r="D140" s="2" t="s">
        <v>10</v>
      </c>
      <c r="E140" s="2" t="s">
        <v>11</v>
      </c>
      <c r="F140" s="2" t="s">
        <v>12</v>
      </c>
      <c r="G140" s="2" t="s">
        <v>13</v>
      </c>
      <c r="H140" s="2" t="s">
        <v>14</v>
      </c>
      <c r="I140" s="2" t="s">
        <v>15</v>
      </c>
      <c r="J140" s="2" t="s">
        <v>16</v>
      </c>
      <c r="K140" s="2" t="s">
        <v>17</v>
      </c>
      <c r="L140" s="2" t="s">
        <v>18</v>
      </c>
      <c r="M140" s="2" t="s">
        <v>19</v>
      </c>
      <c r="N140" s="2" t="s">
        <v>20</v>
      </c>
      <c r="O140" s="2" t="s">
        <v>21</v>
      </c>
      <c r="P140" s="2" t="s">
        <v>22</v>
      </c>
      <c r="Q140" s="2" t="s">
        <v>23</v>
      </c>
      <c r="R140" s="2" t="s">
        <v>24</v>
      </c>
      <c r="S140" s="2" t="s">
        <v>25</v>
      </c>
      <c r="T140" s="2" t="s">
        <v>26</v>
      </c>
      <c r="U140" s="2" t="s">
        <v>27</v>
      </c>
      <c r="V140" s="2" t="s">
        <v>28</v>
      </c>
      <c r="W140" s="2" t="s">
        <v>29</v>
      </c>
      <c r="X140" s="2" t="s">
        <v>30</v>
      </c>
      <c r="Y140" s="2" t="s">
        <v>31</v>
      </c>
      <c r="Z140" s="2" t="s">
        <v>32</v>
      </c>
      <c r="AA140" s="2" t="s">
        <v>33</v>
      </c>
      <c r="AB140" s="2" t="s">
        <v>34</v>
      </c>
      <c r="AC140" s="2" t="s">
        <v>35</v>
      </c>
      <c r="AD140" s="2" t="s">
        <v>36</v>
      </c>
      <c r="AE140" s="2" t="s">
        <v>37</v>
      </c>
      <c r="AF140" s="2" t="s">
        <v>38</v>
      </c>
      <c r="AG140" s="2" t="s">
        <v>39</v>
      </c>
      <c r="AH140" s="2" t="s">
        <v>40</v>
      </c>
      <c r="AI140" s="2" t="s">
        <v>41</v>
      </c>
      <c r="AJ140" s="2" t="s">
        <v>42</v>
      </c>
      <c r="AK140" s="2" t="s">
        <v>43</v>
      </c>
      <c r="AL140" s="2" t="s">
        <v>44</v>
      </c>
      <c r="AM140" s="2" t="s">
        <v>45</v>
      </c>
      <c r="AN140" s="2" t="s">
        <v>46</v>
      </c>
      <c r="AO140" s="2" t="s">
        <v>47</v>
      </c>
      <c r="AP140" s="2" t="s">
        <v>48</v>
      </c>
      <c r="AQ140" s="2" t="s">
        <v>49</v>
      </c>
      <c r="AR140" s="2" t="s">
        <v>50</v>
      </c>
      <c r="AS140" s="2" t="s">
        <v>51</v>
      </c>
      <c r="AT140" s="2" t="s">
        <v>52</v>
      </c>
      <c r="AU140" s="2" t="s">
        <v>53</v>
      </c>
    </row>
    <row r="141" spans="1:47" x14ac:dyDescent="0.3">
      <c r="A141" s="2" t="s">
        <v>54</v>
      </c>
      <c r="B141" s="11">
        <f>IFERROR((NT_gen[[#This Row],[2005]]*1000)/(NT_cap[[#This Row],[2005]]*8760), 0)</f>
        <v>0.53314288253943176</v>
      </c>
      <c r="C141" s="11">
        <f>IFERROR((NT_gen[[#This Row],[2006]]*1000)/(NT_cap[[#This Row],[2006]]*8760), 0)</f>
        <v>0.51824591032845768</v>
      </c>
      <c r="D141" s="11">
        <f>IFERROR((NT_gen[[#This Row],[2007]]*1000)/(NT_cap[[#This Row],[2007]]*8760), 0)</f>
        <v>0.51491260991660992</v>
      </c>
      <c r="E141" s="11">
        <f>IFERROR((NT_gen[[#This Row],[2008]]*1000)/(NT_cap[[#This Row],[2008]]*8760), 0)</f>
        <v>0.50736124416878192</v>
      </c>
      <c r="F141" s="11">
        <f>IFERROR((NT_gen[[#This Row],[2009]]*1000)/(NT_cap[[#This Row],[2009]]*8760), 0)</f>
        <v>0.5225257034498425</v>
      </c>
      <c r="G141" s="11">
        <f>IFERROR((NT_gen[[#This Row],[2010]]*1000)/(NT_cap[[#This Row],[2010]]*8760), 0)</f>
        <v>0.5225257034498425</v>
      </c>
      <c r="H141" s="11">
        <f>IFERROR((NT_gen[[#This Row],[2011]]*1000)/(NT_cap[[#This Row],[2011]]*8760), 0)</f>
        <v>0.53569429766948806</v>
      </c>
      <c r="I141" s="11">
        <f>IFERROR((NT_gen[[#This Row],[2012]]*1000)/(NT_cap[[#This Row],[2012]]*8760), 0)</f>
        <v>0.52509769450836696</v>
      </c>
      <c r="J141" s="11">
        <f>IFERROR((NT_gen[[#This Row],[2013]]*1000)/(NT_cap[[#This Row],[2013]]*8760), 0)</f>
        <v>0.54065309643032333</v>
      </c>
      <c r="K141" s="11">
        <f>IFERROR((NT_gen[[#This Row],[2014]]*1000)/(NT_cap[[#This Row],[2014]]*8760), 0)</f>
        <v>0.48110635944336355</v>
      </c>
      <c r="L141" s="11">
        <f>IFERROR((NT_gen[[#This Row],[2015]]*1000)/(NT_cap[[#This Row],[2015]]*8760), 0)</f>
        <v>0.33744522687841766</v>
      </c>
      <c r="M141" s="11">
        <f>IFERROR((NT_gen[[#This Row],[2016]]*1000)/(NT_cap[[#This Row],[2016]]*8760), 0)</f>
        <v>0.49999506177716763</v>
      </c>
      <c r="N141" s="11">
        <f>IFERROR((NT_gen[[#This Row],[2017]]*1000)/(NT_cap[[#This Row],[2017]]*8760), 0)</f>
        <v>0.51234061885808535</v>
      </c>
      <c r="O141" s="11">
        <f>IFERROR((NT_gen[[#This Row],[2018]]*1000)/(NT_cap[[#This Row],[2018]]*8760), 0)</f>
        <v>0.5205709902453638</v>
      </c>
      <c r="P141" s="11">
        <f>IFERROR((NT_gen[[#This Row],[2019]]*1000)/(NT_cap[[#This Row],[2019]]*8760), 0)</f>
        <v>0.54937729010083858</v>
      </c>
      <c r="Q141" s="11">
        <f>IFERROR((NT_gen[[#This Row],[2020]]*1000)/(NT_cap[[#This Row],[2020]]*8760), 0)</f>
        <v>0.24209637435679648</v>
      </c>
      <c r="R141" s="11">
        <f>IFERROR((NT_gen[[#This Row],[2021]]*1000)/(NT_cap[[#This Row],[2021]]*8760), 0)</f>
        <v>0.24154082428815518</v>
      </c>
      <c r="S141" s="11">
        <f>IFERROR((NT_gen[[#This Row],[2022]]*1000)/(NT_cap[[#This Row],[2022]]*8760), 0)</f>
        <v>0.24230213364147846</v>
      </c>
      <c r="T141" s="11">
        <f>IFERROR((NT_gen[[#This Row],[2023]]*1000)/(NT_cap[[#This Row],[2023]]*8760), 0)</f>
        <v>0.24234328549841483</v>
      </c>
      <c r="U141" s="11">
        <f>IFERROR((NT_gen[[#This Row],[2024]]*1000)/(NT_cap[[#This Row],[2024]]*8760), 0)</f>
        <v>0.22519663805470277</v>
      </c>
      <c r="V141" s="11">
        <f>IFERROR((NT_gen[[#This Row],[2025]]*1000)/(NT_cap[[#This Row],[2025]]*8760), 0)</f>
        <v>0.2522724289169051</v>
      </c>
      <c r="W141" s="11">
        <f>IFERROR((NT_gen[[#This Row],[2026]]*1000)/(NT_cap[[#This Row],[2026]]*8760), 0)</f>
        <v>0.25545549012816071</v>
      </c>
      <c r="X141" s="11">
        <f>IFERROR((NT_gen[[#This Row],[2027]]*1000)/(NT_cap[[#This Row],[2027]]*8760), 0)</f>
        <v>0.25687897091828743</v>
      </c>
      <c r="Y141" s="11">
        <f>IFERROR((NT_gen[[#This Row],[2028]]*1000)/(NT_cap[[#This Row],[2028]]*8760), 0)</f>
        <v>0.25687897091828743</v>
      </c>
      <c r="Z141" s="11">
        <f>IFERROR((NT_gen[[#This Row],[2029]]*1000)/(NT_cap[[#This Row],[2029]]*8760), 0)</f>
        <v>0.28185908172835872</v>
      </c>
      <c r="AA141" s="11">
        <f>IFERROR((NT_gen[[#This Row],[2030]]*1000)/(NT_cap[[#This Row],[2030]]*8760), 0)</f>
        <v>0.28182942587856441</v>
      </c>
      <c r="AB141" s="11">
        <f>IFERROR((NT_gen[[#This Row],[2031]]*1000)/(NT_cap[[#This Row],[2031]]*8760), 0)</f>
        <v>0.2818393111618292</v>
      </c>
      <c r="AC141" s="11">
        <f>IFERROR((NT_gen[[#This Row],[2032]]*1000)/(NT_cap[[#This Row],[2032]]*8760), 0)</f>
        <v>0.28180965531203489</v>
      </c>
      <c r="AD141" s="11">
        <f>IFERROR((NT_gen[[#This Row],[2033]]*1000)/(NT_cap[[#This Row],[2033]]*8760), 0)</f>
        <v>0.28181954059529968</v>
      </c>
      <c r="AE141" s="11">
        <f>IFERROR((NT_gen[[#This Row],[2034]]*1000)/(NT_cap[[#This Row],[2034]]*8760), 0)</f>
        <v>0.28184919644509399</v>
      </c>
      <c r="AF141" s="11">
        <f>IFERROR((NT_gen[[#This Row],[2035]]*1000)/(NT_cap[[#This Row],[2035]]*8760), 0)</f>
        <v>0.28181954059529968</v>
      </c>
      <c r="AG141" s="11">
        <f>IFERROR((NT_gen[[#This Row],[2036]]*1000)/(NT_cap[[#This Row],[2036]]*8760), 0)</f>
        <v>0.28181954059529968</v>
      </c>
      <c r="AH141" s="11">
        <f>IFERROR((NT_gen[[#This Row],[2037]]*1000)/(NT_cap[[#This Row],[2037]]*8760), 0)</f>
        <v>0.28181954059529968</v>
      </c>
      <c r="AI141" s="11">
        <f>IFERROR((NT_gen[[#This Row],[2038]]*1000)/(NT_cap[[#This Row],[2038]]*8760), 0)</f>
        <v>0.28083101226882273</v>
      </c>
      <c r="AJ141" s="11">
        <f>IFERROR((NT_gen[[#This Row],[2039]]*1000)/(NT_cap[[#This Row],[2039]]*8760), 0)</f>
        <v>0.28083101226882273</v>
      </c>
      <c r="AK141" s="11">
        <f>IFERROR((NT_gen[[#This Row],[2040]]*1000)/(NT_cap[[#This Row],[2040]]*8760), 0)</f>
        <v>0.28083101226882273</v>
      </c>
      <c r="AL141" s="11">
        <f>IFERROR((NT_gen[[#This Row],[2041]]*1000)/(NT_cap[[#This Row],[2041]]*8760), 0)</f>
        <v>0.27984248394234584</v>
      </c>
      <c r="AM141" s="11">
        <f>IFERROR((NT_gen[[#This Row],[2042]]*1000)/(NT_cap[[#This Row],[2042]]*8760), 0)</f>
        <v>0.27984248394234584</v>
      </c>
      <c r="AN141" s="11">
        <f>IFERROR((NT_gen[[#This Row],[2043]]*1000)/(NT_cap[[#This Row],[2043]]*8760), 0)</f>
        <v>0.27985236922561063</v>
      </c>
      <c r="AO141" s="11">
        <f>IFERROR((NT_gen[[#This Row],[2044]]*1000)/(NT_cap[[#This Row],[2044]]*8760), 0)</f>
        <v>0.27985236922561063</v>
      </c>
      <c r="AP141" s="11">
        <f>IFERROR((NT_gen[[#This Row],[2045]]*1000)/(NT_cap[[#This Row],[2045]]*8760), 0)</f>
        <v>0.28084089755208752</v>
      </c>
      <c r="AQ141" s="11">
        <f>IFERROR((NT_gen[[#This Row],[2046]]*1000)/(NT_cap[[#This Row],[2046]]*8760), 0)</f>
        <v>0.280821126985558</v>
      </c>
      <c r="AR141" s="11">
        <f>IFERROR((NT_gen[[#This Row],[2047]]*1000)/(NT_cap[[#This Row],[2047]]*8760), 0)</f>
        <v>0.28084089755208752</v>
      </c>
      <c r="AS141" s="11">
        <f>IFERROR((NT_gen[[#This Row],[2048]]*1000)/(NT_cap[[#This Row],[2048]]*8760), 0)</f>
        <v>0.28085078283535231</v>
      </c>
      <c r="AT141" s="11">
        <f>IFERROR((NT_gen[[#This Row],[2049]]*1000)/(NT_cap[[#This Row],[2049]]*8760), 0)</f>
        <v>0.28085078283535231</v>
      </c>
      <c r="AU141" s="11">
        <f>IFERROR((NT_gen[[#This Row],[2050]]*1000)/(NT_cap[[#This Row],[2050]]*8760), 0)</f>
        <v>0.28084089755208752</v>
      </c>
    </row>
    <row r="142" spans="1:47" x14ac:dyDescent="0.3">
      <c r="A142" s="2" t="s">
        <v>55</v>
      </c>
      <c r="B142" s="11">
        <f>IFERROR((NT_gen[[#This Row],[2005]]*1000)/(NT_cap[[#This Row],[2005]]*8760), 0)</f>
        <v>0</v>
      </c>
      <c r="C142" s="11">
        <f>IFERROR((NT_gen[[#This Row],[2006]]*1000)/(NT_cap[[#This Row],[2006]]*8760), 0)</f>
        <v>0</v>
      </c>
      <c r="D142" s="11">
        <f>IFERROR((NT_gen[[#This Row],[2007]]*1000)/(NT_cap[[#This Row],[2007]]*8760), 0)</f>
        <v>0</v>
      </c>
      <c r="E142" s="11">
        <f>IFERROR((NT_gen[[#This Row],[2008]]*1000)/(NT_cap[[#This Row],[2008]]*8760), 0)</f>
        <v>0</v>
      </c>
      <c r="F142" s="11">
        <f>IFERROR((NT_gen[[#This Row],[2009]]*1000)/(NT_cap[[#This Row],[2009]]*8760), 0)</f>
        <v>0</v>
      </c>
      <c r="G142" s="11">
        <f>IFERROR((NT_gen[[#This Row],[2010]]*1000)/(NT_cap[[#This Row],[2010]]*8760), 0)</f>
        <v>0</v>
      </c>
      <c r="H142" s="11">
        <f>IFERROR((NT_gen[[#This Row],[2011]]*1000)/(NT_cap[[#This Row],[2011]]*8760), 0)</f>
        <v>0</v>
      </c>
      <c r="I142" s="11">
        <f>IFERROR((NT_gen[[#This Row],[2012]]*1000)/(NT_cap[[#This Row],[2012]]*8760), 0)</f>
        <v>1.6130633313480247E-2</v>
      </c>
      <c r="J142" s="11">
        <f>IFERROR((NT_gen[[#This Row],[2013]]*1000)/(NT_cap[[#This Row],[2013]]*8760), 0)</f>
        <v>1.9853087155052612E-2</v>
      </c>
      <c r="K142" s="11">
        <f>IFERROR((NT_gen[[#This Row],[2014]]*1000)/(NT_cap[[#This Row],[2014]]*8760), 0)</f>
        <v>0.24630236251737145</v>
      </c>
      <c r="L142" s="11">
        <f>IFERROR((NT_gen[[#This Row],[2015]]*1000)/(NT_cap[[#This Row],[2015]]*8760), 0)</f>
        <v>0.2605717689100655</v>
      </c>
      <c r="M142" s="11">
        <f>IFERROR((NT_gen[[#This Row],[2016]]*1000)/(NT_cap[[#This Row],[2016]]*8760), 0)</f>
        <v>0.17371451260671034</v>
      </c>
      <c r="N142" s="11">
        <f>IFERROR((NT_gen[[#This Row],[2017]]*1000)/(NT_cap[[#This Row],[2017]]*8760), 0)</f>
        <v>0.21093905102243399</v>
      </c>
      <c r="O142" s="11">
        <f>IFERROR((NT_gen[[#This Row],[2018]]*1000)/(NT_cap[[#This Row],[2018]]*8760), 0)</f>
        <v>0.22334723049434188</v>
      </c>
      <c r="P142" s="11">
        <f>IFERROR((NT_gen[[#This Row],[2019]]*1000)/(NT_cap[[#This Row],[2019]]*8760), 0)</f>
        <v>0.21093905102243399</v>
      </c>
      <c r="Q142" s="11">
        <f>IFERROR((NT_gen[[#This Row],[2020]]*1000)/(NT_cap[[#This Row],[2020]]*8760), 0)</f>
        <v>8.437562040897359E-2</v>
      </c>
      <c r="R142" s="11">
        <f>IFERROR((NT_gen[[#This Row],[2021]]*1000)/(NT_cap[[#This Row],[2021]]*8760), 0)</f>
        <v>8.437562040897359E-2</v>
      </c>
      <c r="S142" s="11">
        <f>IFERROR((NT_gen[[#This Row],[2022]]*1000)/(NT_cap[[#This Row],[2022]]*8760), 0)</f>
        <v>0.18005396430053963</v>
      </c>
      <c r="T142" s="11">
        <f>IFERROR((NT_gen[[#This Row],[2023]]*1000)/(NT_cap[[#This Row],[2023]]*8760), 0)</f>
        <v>0.40011415525114158</v>
      </c>
      <c r="U142" s="11">
        <f>IFERROR((NT_gen[[#This Row],[2024]]*1000)/(NT_cap[[#This Row],[2024]]*8760), 0)</f>
        <v>0.246872331737016</v>
      </c>
      <c r="V142" s="11">
        <f>IFERROR((NT_gen[[#This Row],[2025]]*1000)/(NT_cap[[#This Row],[2025]]*8760), 0)</f>
        <v>0.27275860178418976</v>
      </c>
      <c r="W142" s="11">
        <f>IFERROR((NT_gen[[#This Row],[2026]]*1000)/(NT_cap[[#This Row],[2026]]*8760), 0)</f>
        <v>0.25765501706392013</v>
      </c>
      <c r="X142" s="11">
        <f>IFERROR((NT_gen[[#This Row],[2027]]*1000)/(NT_cap[[#This Row],[2027]]*8760), 0)</f>
        <v>0.24393801384746358</v>
      </c>
      <c r="Y142" s="11">
        <f>IFERROR((NT_gen[[#This Row],[2028]]*1000)/(NT_cap[[#This Row],[2028]]*8760), 0)</f>
        <v>0.24393801384746358</v>
      </c>
      <c r="Z142" s="11">
        <f>IFERROR((NT_gen[[#This Row],[2029]]*1000)/(NT_cap[[#This Row],[2029]]*8760), 0)</f>
        <v>0.25495168866424961</v>
      </c>
      <c r="AA142" s="11">
        <f>IFERROR((NT_gen[[#This Row],[2030]]*1000)/(NT_cap[[#This Row],[2030]]*8760), 0)</f>
        <v>0.25495168866424961</v>
      </c>
      <c r="AB142" s="11">
        <f>IFERROR((NT_gen[[#This Row],[2031]]*1000)/(NT_cap[[#This Row],[2031]]*8760), 0)</f>
        <v>0.25495168866424961</v>
      </c>
      <c r="AC142" s="11">
        <f>IFERROR((NT_gen[[#This Row],[2032]]*1000)/(NT_cap[[#This Row],[2032]]*8760), 0)</f>
        <v>0.25495168866424961</v>
      </c>
      <c r="AD142" s="11">
        <f>IFERROR((NT_gen[[#This Row],[2033]]*1000)/(NT_cap[[#This Row],[2033]]*8760), 0)</f>
        <v>0.25495168866424961</v>
      </c>
      <c r="AE142" s="11">
        <f>IFERROR((NT_gen[[#This Row],[2034]]*1000)/(NT_cap[[#This Row],[2034]]*8760), 0)</f>
        <v>0.25495168866424961</v>
      </c>
      <c r="AF142" s="11">
        <f>IFERROR((NT_gen[[#This Row],[2035]]*1000)/(NT_cap[[#This Row],[2035]]*8760), 0)</f>
        <v>0.25495168866424961</v>
      </c>
      <c r="AG142" s="11">
        <f>IFERROR((NT_gen[[#This Row],[2036]]*1000)/(NT_cap[[#This Row],[2036]]*8760), 0)</f>
        <v>0.25495168866424961</v>
      </c>
      <c r="AH142" s="11">
        <f>IFERROR((NT_gen[[#This Row],[2037]]*1000)/(NT_cap[[#This Row],[2037]]*8760), 0)</f>
        <v>0.25495168866424961</v>
      </c>
      <c r="AI142" s="11">
        <f>IFERROR((NT_gen[[#This Row],[2038]]*1000)/(NT_cap[[#This Row],[2038]]*8760), 0)</f>
        <v>0.25405868800342912</v>
      </c>
      <c r="AJ142" s="11">
        <f>IFERROR((NT_gen[[#This Row],[2039]]*1000)/(NT_cap[[#This Row],[2039]]*8760), 0)</f>
        <v>0.25405868800342912</v>
      </c>
      <c r="AK142" s="11">
        <f>IFERROR((NT_gen[[#This Row],[2040]]*1000)/(NT_cap[[#This Row],[2040]]*8760), 0)</f>
        <v>0.25405868800342912</v>
      </c>
      <c r="AL142" s="11">
        <f>IFERROR((NT_gen[[#This Row],[2041]]*1000)/(NT_cap[[#This Row],[2041]]*8760), 0)</f>
        <v>0.25316568734260864</v>
      </c>
      <c r="AM142" s="11">
        <f>IFERROR((NT_gen[[#This Row],[2042]]*1000)/(NT_cap[[#This Row],[2042]]*8760), 0)</f>
        <v>0.25316568734260864</v>
      </c>
      <c r="AN142" s="11">
        <f>IFERROR((NT_gen[[#This Row],[2043]]*1000)/(NT_cap[[#This Row],[2043]]*8760), 0)</f>
        <v>0.25316568734260864</v>
      </c>
      <c r="AO142" s="11">
        <f>IFERROR((NT_gen[[#This Row],[2044]]*1000)/(NT_cap[[#This Row],[2044]]*8760), 0)</f>
        <v>0.25316568734260864</v>
      </c>
      <c r="AP142" s="11">
        <f>IFERROR((NT_gen[[#This Row],[2045]]*1000)/(NT_cap[[#This Row],[2045]]*8760), 0)</f>
        <v>0.25405868800342912</v>
      </c>
      <c r="AQ142" s="11">
        <f>IFERROR((NT_gen[[#This Row],[2046]]*1000)/(NT_cap[[#This Row],[2046]]*8760), 0)</f>
        <v>0.25405868800342912</v>
      </c>
      <c r="AR142" s="11">
        <f>IFERROR((NT_gen[[#This Row],[2047]]*1000)/(NT_cap[[#This Row],[2047]]*8760), 0)</f>
        <v>0.25405868800342912</v>
      </c>
      <c r="AS142" s="11">
        <f>IFERROR((NT_gen[[#This Row],[2048]]*1000)/(NT_cap[[#This Row],[2048]]*8760), 0)</f>
        <v>0.25405868800342912</v>
      </c>
      <c r="AT142" s="11">
        <f>IFERROR((NT_gen[[#This Row],[2049]]*1000)/(NT_cap[[#This Row],[2049]]*8760), 0)</f>
        <v>0.25405868800342912</v>
      </c>
      <c r="AU142" s="11">
        <f>IFERROR((NT_gen[[#This Row],[2050]]*1000)/(NT_cap[[#This Row],[2050]]*8760), 0)</f>
        <v>0.25405868800342912</v>
      </c>
    </row>
    <row r="143" spans="1:47" x14ac:dyDescent="0.3">
      <c r="A143" s="2" t="s">
        <v>56</v>
      </c>
      <c r="B143" s="11">
        <f>IFERROR((NT_gen[[#This Row],[2005]]*1000)/(NT_cap[[#This Row],[2005]]*8760), 0)</f>
        <v>0</v>
      </c>
      <c r="C143" s="11">
        <f>IFERROR((NT_gen[[#This Row],[2006]]*1000)/(NT_cap[[#This Row],[2006]]*8760), 0)</f>
        <v>0</v>
      </c>
      <c r="D143" s="11">
        <f>IFERROR((NT_gen[[#This Row],[2007]]*1000)/(NT_cap[[#This Row],[2007]]*8760), 0)</f>
        <v>0</v>
      </c>
      <c r="E143" s="11">
        <f>IFERROR((NT_gen[[#This Row],[2008]]*1000)/(NT_cap[[#This Row],[2008]]*8760), 0)</f>
        <v>0</v>
      </c>
      <c r="F143" s="11">
        <f>IFERROR((NT_gen[[#This Row],[2009]]*1000)/(NT_cap[[#This Row],[2009]]*8760), 0)</f>
        <v>0</v>
      </c>
      <c r="G143" s="11">
        <f>IFERROR((NT_gen[[#This Row],[2010]]*1000)/(NT_cap[[#This Row],[2010]]*8760), 0)</f>
        <v>0</v>
      </c>
      <c r="H143" s="11">
        <f>IFERROR((NT_gen[[#This Row],[2011]]*1000)/(NT_cap[[#This Row],[2011]]*8760), 0)</f>
        <v>0</v>
      </c>
      <c r="I143" s="11">
        <f>IFERROR((NT_gen[[#This Row],[2012]]*1000)/(NT_cap[[#This Row],[2012]]*8760), 0)</f>
        <v>0</v>
      </c>
      <c r="J143" s="11">
        <f>IFERROR((NT_gen[[#This Row],[2013]]*1000)/(NT_cap[[#This Row],[2013]]*8760), 0)</f>
        <v>0</v>
      </c>
      <c r="K143" s="11">
        <f>IFERROR((NT_gen[[#This Row],[2014]]*1000)/(NT_cap[[#This Row],[2014]]*8760), 0)</f>
        <v>0</v>
      </c>
      <c r="L143" s="11">
        <f>IFERROR((NT_gen[[#This Row],[2015]]*1000)/(NT_cap[[#This Row],[2015]]*8760), 0)</f>
        <v>0</v>
      </c>
      <c r="M143" s="11">
        <f>IFERROR((NT_gen[[#This Row],[2016]]*1000)/(NT_cap[[#This Row],[2016]]*8760), 0)</f>
        <v>0</v>
      </c>
      <c r="N143" s="11">
        <f>IFERROR((NT_gen[[#This Row],[2017]]*1000)/(NT_cap[[#This Row],[2017]]*8760), 0)</f>
        <v>0</v>
      </c>
      <c r="O143" s="11">
        <f>IFERROR((NT_gen[[#This Row],[2018]]*1000)/(NT_cap[[#This Row],[2018]]*8760), 0)</f>
        <v>0</v>
      </c>
      <c r="P143" s="11">
        <f>IFERROR((NT_gen[[#This Row],[2019]]*1000)/(NT_cap[[#This Row],[2019]]*8760), 0)</f>
        <v>0</v>
      </c>
      <c r="Q143" s="11">
        <f>IFERROR((NT_gen[[#This Row],[2020]]*1000)/(NT_cap[[#This Row],[2020]]*8760), 0)</f>
        <v>0</v>
      </c>
      <c r="R143" s="11">
        <f>IFERROR((NT_gen[[#This Row],[2021]]*1000)/(NT_cap[[#This Row],[2021]]*8760), 0)</f>
        <v>0</v>
      </c>
      <c r="S143" s="11">
        <f>IFERROR((NT_gen[[#This Row],[2022]]*1000)/(NT_cap[[#This Row],[2022]]*8760), 0)</f>
        <v>0</v>
      </c>
      <c r="T143" s="11">
        <f>IFERROR((NT_gen[[#This Row],[2023]]*1000)/(NT_cap[[#This Row],[2023]]*8760), 0)</f>
        <v>0</v>
      </c>
      <c r="U143" s="11">
        <f>IFERROR((NT_gen[[#This Row],[2024]]*1000)/(NT_cap[[#This Row],[2024]]*8760), 0)</f>
        <v>0</v>
      </c>
      <c r="V143" s="11">
        <f>IFERROR((NT_gen[[#This Row],[2025]]*1000)/(NT_cap[[#This Row],[2025]]*8760), 0)</f>
        <v>0</v>
      </c>
      <c r="W143" s="11">
        <f>IFERROR((NT_gen[[#This Row],[2026]]*1000)/(NT_cap[[#This Row],[2026]]*8760), 0)</f>
        <v>0</v>
      </c>
      <c r="X143" s="11">
        <f>IFERROR((NT_gen[[#This Row],[2027]]*1000)/(NT_cap[[#This Row],[2027]]*8760), 0)</f>
        <v>0</v>
      </c>
      <c r="Y143" s="11">
        <f>IFERROR((NT_gen[[#This Row],[2028]]*1000)/(NT_cap[[#This Row],[2028]]*8760), 0)</f>
        <v>0</v>
      </c>
      <c r="Z143" s="11">
        <f>IFERROR((NT_gen[[#This Row],[2029]]*1000)/(NT_cap[[#This Row],[2029]]*8760), 0)</f>
        <v>0</v>
      </c>
      <c r="AA143" s="11">
        <f>IFERROR((NT_gen[[#This Row],[2030]]*1000)/(NT_cap[[#This Row],[2030]]*8760), 0)</f>
        <v>0</v>
      </c>
      <c r="AB143" s="11">
        <f>IFERROR((NT_gen[[#This Row],[2031]]*1000)/(NT_cap[[#This Row],[2031]]*8760), 0)</f>
        <v>0</v>
      </c>
      <c r="AC143" s="11">
        <f>IFERROR((NT_gen[[#This Row],[2032]]*1000)/(NT_cap[[#This Row],[2032]]*8760), 0)</f>
        <v>0</v>
      </c>
      <c r="AD143" s="11">
        <f>IFERROR((NT_gen[[#This Row],[2033]]*1000)/(NT_cap[[#This Row],[2033]]*8760), 0)</f>
        <v>0</v>
      </c>
      <c r="AE143" s="11">
        <f>IFERROR((NT_gen[[#This Row],[2034]]*1000)/(NT_cap[[#This Row],[2034]]*8760), 0)</f>
        <v>0</v>
      </c>
      <c r="AF143" s="11">
        <f>IFERROR((NT_gen[[#This Row],[2035]]*1000)/(NT_cap[[#This Row],[2035]]*8760), 0)</f>
        <v>0</v>
      </c>
      <c r="AG143" s="11">
        <f>IFERROR((NT_gen[[#This Row],[2036]]*1000)/(NT_cap[[#This Row],[2036]]*8760), 0)</f>
        <v>0</v>
      </c>
      <c r="AH143" s="11">
        <f>IFERROR((NT_gen[[#This Row],[2037]]*1000)/(NT_cap[[#This Row],[2037]]*8760), 0)</f>
        <v>0</v>
      </c>
      <c r="AI143" s="11">
        <f>IFERROR((NT_gen[[#This Row],[2038]]*1000)/(NT_cap[[#This Row],[2038]]*8760), 0)</f>
        <v>0</v>
      </c>
      <c r="AJ143" s="11">
        <f>IFERROR((NT_gen[[#This Row],[2039]]*1000)/(NT_cap[[#This Row],[2039]]*8760), 0)</f>
        <v>0</v>
      </c>
      <c r="AK143" s="11">
        <f>IFERROR((NT_gen[[#This Row],[2040]]*1000)/(NT_cap[[#This Row],[2040]]*8760), 0)</f>
        <v>0</v>
      </c>
      <c r="AL143" s="11">
        <f>IFERROR((NT_gen[[#This Row],[2041]]*1000)/(NT_cap[[#This Row],[2041]]*8760), 0)</f>
        <v>0</v>
      </c>
      <c r="AM143" s="11">
        <f>IFERROR((NT_gen[[#This Row],[2042]]*1000)/(NT_cap[[#This Row],[2042]]*8760), 0)</f>
        <v>0</v>
      </c>
      <c r="AN143" s="11">
        <f>IFERROR((NT_gen[[#This Row],[2043]]*1000)/(NT_cap[[#This Row],[2043]]*8760), 0)</f>
        <v>0</v>
      </c>
      <c r="AO143" s="11">
        <f>IFERROR((NT_gen[[#This Row],[2044]]*1000)/(NT_cap[[#This Row],[2044]]*8760), 0)</f>
        <v>0</v>
      </c>
      <c r="AP143" s="11">
        <f>IFERROR((NT_gen[[#This Row],[2045]]*1000)/(NT_cap[[#This Row],[2045]]*8760), 0)</f>
        <v>0</v>
      </c>
      <c r="AQ143" s="11">
        <f>IFERROR((NT_gen[[#This Row],[2046]]*1000)/(NT_cap[[#This Row],[2046]]*8760), 0)</f>
        <v>0</v>
      </c>
      <c r="AR143" s="11">
        <f>IFERROR((NT_gen[[#This Row],[2047]]*1000)/(NT_cap[[#This Row],[2047]]*8760), 0)</f>
        <v>0</v>
      </c>
      <c r="AS143" s="11">
        <f>IFERROR((NT_gen[[#This Row],[2048]]*1000)/(NT_cap[[#This Row],[2048]]*8760), 0)</f>
        <v>0</v>
      </c>
      <c r="AT143" s="11">
        <f>IFERROR((NT_gen[[#This Row],[2049]]*1000)/(NT_cap[[#This Row],[2049]]*8760), 0)</f>
        <v>0</v>
      </c>
      <c r="AU143" s="11">
        <f>IFERROR((NT_gen[[#This Row],[2050]]*1000)/(NT_cap[[#This Row],[2050]]*8760), 0)</f>
        <v>0</v>
      </c>
    </row>
    <row r="144" spans="1:47" x14ac:dyDescent="0.3">
      <c r="A144" s="2" t="s">
        <v>57</v>
      </c>
      <c r="B144" s="11">
        <f>IFERROR((NT_gen[[#This Row],[2005]]*1000)/(NT_cap[[#This Row],[2005]]*8760), 0)</f>
        <v>0</v>
      </c>
      <c r="C144" s="11">
        <f>IFERROR((NT_gen[[#This Row],[2006]]*1000)/(NT_cap[[#This Row],[2006]]*8760), 0)</f>
        <v>0</v>
      </c>
      <c r="D144" s="11">
        <f>IFERROR((NT_gen[[#This Row],[2007]]*1000)/(NT_cap[[#This Row],[2007]]*8760), 0)</f>
        <v>0</v>
      </c>
      <c r="E144" s="11">
        <f>IFERROR((NT_gen[[#This Row],[2008]]*1000)/(NT_cap[[#This Row],[2008]]*8760), 0)</f>
        <v>0</v>
      </c>
      <c r="F144" s="11">
        <f>IFERROR((NT_gen[[#This Row],[2009]]*1000)/(NT_cap[[#This Row],[2009]]*8760), 0)</f>
        <v>0</v>
      </c>
      <c r="G144" s="11">
        <f>IFERROR((NT_gen[[#This Row],[2010]]*1000)/(NT_cap[[#This Row],[2010]]*8760), 0)</f>
        <v>0</v>
      </c>
      <c r="H144" s="11">
        <f>IFERROR((NT_gen[[#This Row],[2011]]*1000)/(NT_cap[[#This Row],[2011]]*8760), 0)</f>
        <v>0</v>
      </c>
      <c r="I144" s="11">
        <f>IFERROR((NT_gen[[#This Row],[2012]]*1000)/(NT_cap[[#This Row],[2012]]*8760), 0)</f>
        <v>0</v>
      </c>
      <c r="J144" s="11">
        <f>IFERROR((NT_gen[[#This Row],[2013]]*1000)/(NT_cap[[#This Row],[2013]]*8760), 0)</f>
        <v>0</v>
      </c>
      <c r="K144" s="11">
        <f>IFERROR((NT_gen[[#This Row],[2014]]*1000)/(NT_cap[[#This Row],[2014]]*8760), 0)</f>
        <v>0</v>
      </c>
      <c r="L144" s="11">
        <f>IFERROR((NT_gen[[#This Row],[2015]]*1000)/(NT_cap[[#This Row],[2015]]*8760), 0)</f>
        <v>0</v>
      </c>
      <c r="M144" s="11">
        <f>IFERROR((NT_gen[[#This Row],[2016]]*1000)/(NT_cap[[#This Row],[2016]]*8760), 0)</f>
        <v>0</v>
      </c>
      <c r="N144" s="11">
        <f>IFERROR((NT_gen[[#This Row],[2017]]*1000)/(NT_cap[[#This Row],[2017]]*8760), 0)</f>
        <v>0</v>
      </c>
      <c r="O144" s="11">
        <f>IFERROR((NT_gen[[#This Row],[2018]]*1000)/(NT_cap[[#This Row],[2018]]*8760), 0)</f>
        <v>0</v>
      </c>
      <c r="P144" s="11">
        <f>IFERROR((NT_gen[[#This Row],[2019]]*1000)/(NT_cap[[#This Row],[2019]]*8760), 0)</f>
        <v>0</v>
      </c>
      <c r="Q144" s="11">
        <f>IFERROR((NT_gen[[#This Row],[2020]]*1000)/(NT_cap[[#This Row],[2020]]*8760), 0)</f>
        <v>0</v>
      </c>
      <c r="R144" s="11">
        <f>IFERROR((NT_gen[[#This Row],[2021]]*1000)/(NT_cap[[#This Row],[2021]]*8760), 0)</f>
        <v>0</v>
      </c>
      <c r="S144" s="11">
        <f>IFERROR((NT_gen[[#This Row],[2022]]*1000)/(NT_cap[[#This Row],[2022]]*8760), 0)</f>
        <v>0</v>
      </c>
      <c r="T144" s="11">
        <f>IFERROR((NT_gen[[#This Row],[2023]]*1000)/(NT_cap[[#This Row],[2023]]*8760), 0)</f>
        <v>2.6014972198925235E-2</v>
      </c>
      <c r="U144" s="11">
        <f>IFERROR((NT_gen[[#This Row],[2024]]*1000)/(NT_cap[[#This Row],[2024]]*8760), 0)</f>
        <v>2.7278657415643719E-2</v>
      </c>
      <c r="V144" s="11">
        <f>IFERROR((NT_gen[[#This Row],[2025]]*1000)/(NT_cap[[#This Row],[2025]]*8760), 0)</f>
        <v>4.0134583032924775E-2</v>
      </c>
      <c r="W144" s="11">
        <f>IFERROR((NT_gen[[#This Row],[2026]]*1000)/(NT_cap[[#This Row],[2026]]*8760), 0)</f>
        <v>4.5341101507892563E-2</v>
      </c>
      <c r="X144" s="11">
        <f>IFERROR((NT_gen[[#This Row],[2027]]*1000)/(NT_cap[[#This Row],[2027]]*8760), 0)</f>
        <v>4.5742350193803114E-2</v>
      </c>
      <c r="Y144" s="11">
        <f>IFERROR((NT_gen[[#This Row],[2028]]*1000)/(NT_cap[[#This Row],[2028]]*8760), 0)</f>
        <v>4.5742350193803114E-2</v>
      </c>
      <c r="Z144" s="11">
        <f>IFERROR((NT_gen[[#This Row],[2029]]*1000)/(NT_cap[[#This Row],[2029]]*8760), 0)</f>
        <v>4.774859362335588E-2</v>
      </c>
      <c r="AA144" s="11">
        <f>IFERROR((NT_gen[[#This Row],[2030]]*1000)/(NT_cap[[#This Row],[2030]]*8760), 0)</f>
        <v>4.774859362335588E-2</v>
      </c>
      <c r="AB144" s="11">
        <f>IFERROR((NT_gen[[#This Row],[2031]]*1000)/(NT_cap[[#This Row],[2031]]*8760), 0)</f>
        <v>4.774859362335588E-2</v>
      </c>
      <c r="AC144" s="11">
        <f>IFERROR((NT_gen[[#This Row],[2032]]*1000)/(NT_cap[[#This Row],[2032]]*8760), 0)</f>
        <v>4.774859362335588E-2</v>
      </c>
      <c r="AD144" s="11">
        <f>IFERROR((NT_gen[[#This Row],[2033]]*1000)/(NT_cap[[#This Row],[2033]]*8760), 0)</f>
        <v>4.774859362335588E-2</v>
      </c>
      <c r="AE144" s="11">
        <f>IFERROR((NT_gen[[#This Row],[2034]]*1000)/(NT_cap[[#This Row],[2034]]*8760), 0)</f>
        <v>4.774859362335588E-2</v>
      </c>
      <c r="AF144" s="11">
        <f>IFERROR((NT_gen[[#This Row],[2035]]*1000)/(NT_cap[[#This Row],[2035]]*8760), 0)</f>
        <v>4.774859362335588E-2</v>
      </c>
      <c r="AG144" s="11">
        <f>IFERROR((NT_gen[[#This Row],[2036]]*1000)/(NT_cap[[#This Row],[2036]]*8760), 0)</f>
        <v>4.774859362335588E-2</v>
      </c>
      <c r="AH144" s="11">
        <f>IFERROR((NT_gen[[#This Row],[2037]]*1000)/(NT_cap[[#This Row],[2037]]*8760), 0)</f>
        <v>4.774859362335588E-2</v>
      </c>
      <c r="AI144" s="11">
        <f>IFERROR((NT_gen[[#This Row],[2038]]*1000)/(NT_cap[[#This Row],[2038]]*8760), 0)</f>
        <v>4.7547969280400608E-2</v>
      </c>
      <c r="AJ144" s="11">
        <f>IFERROR((NT_gen[[#This Row],[2039]]*1000)/(NT_cap[[#This Row],[2039]]*8760), 0)</f>
        <v>4.7547969280400608E-2</v>
      </c>
      <c r="AK144" s="11">
        <f>IFERROR((NT_gen[[#This Row],[2040]]*1000)/(NT_cap[[#This Row],[2040]]*8760), 0)</f>
        <v>4.7547969280400608E-2</v>
      </c>
      <c r="AL144" s="11">
        <f>IFERROR((NT_gen[[#This Row],[2041]]*1000)/(NT_cap[[#This Row],[2041]]*8760), 0)</f>
        <v>4.7347344937445329E-2</v>
      </c>
      <c r="AM144" s="11">
        <f>IFERROR((NT_gen[[#This Row],[2042]]*1000)/(NT_cap[[#This Row],[2042]]*8760), 0)</f>
        <v>4.7347344937445329E-2</v>
      </c>
      <c r="AN144" s="11">
        <f>IFERROR((NT_gen[[#This Row],[2043]]*1000)/(NT_cap[[#This Row],[2043]]*8760), 0)</f>
        <v>4.7347344937445329E-2</v>
      </c>
      <c r="AO144" s="11">
        <f>IFERROR((NT_gen[[#This Row],[2044]]*1000)/(NT_cap[[#This Row],[2044]]*8760), 0)</f>
        <v>4.7347344937445329E-2</v>
      </c>
      <c r="AP144" s="11">
        <f>IFERROR((NT_gen[[#This Row],[2045]]*1000)/(NT_cap[[#This Row],[2045]]*8760), 0)</f>
        <v>4.7547969280400608E-2</v>
      </c>
      <c r="AQ144" s="11">
        <f>IFERROR((NT_gen[[#This Row],[2046]]*1000)/(NT_cap[[#This Row],[2046]]*8760), 0)</f>
        <v>4.7547969280400608E-2</v>
      </c>
      <c r="AR144" s="11">
        <f>IFERROR((NT_gen[[#This Row],[2047]]*1000)/(NT_cap[[#This Row],[2047]]*8760), 0)</f>
        <v>4.7547969280400608E-2</v>
      </c>
      <c r="AS144" s="11">
        <f>IFERROR((NT_gen[[#This Row],[2048]]*1000)/(NT_cap[[#This Row],[2048]]*8760), 0)</f>
        <v>4.7547969280400608E-2</v>
      </c>
      <c r="AT144" s="11">
        <f>IFERROR((NT_gen[[#This Row],[2049]]*1000)/(NT_cap[[#This Row],[2049]]*8760), 0)</f>
        <v>4.7547969280400608E-2</v>
      </c>
      <c r="AU144" s="11">
        <f>IFERROR((NT_gen[[#This Row],[2050]]*1000)/(NT_cap[[#This Row],[2050]]*8760), 0)</f>
        <v>4.7547969280400608E-2</v>
      </c>
    </row>
    <row r="145" spans="1:47" x14ac:dyDescent="0.3">
      <c r="A145" s="2" t="s">
        <v>58</v>
      </c>
      <c r="B145" s="11">
        <f>IFERROR((NT_gen[[#This Row],[2005]]*1000)/(NT_cap[[#This Row],[2005]]*8760), 0)</f>
        <v>0</v>
      </c>
      <c r="C145" s="11">
        <f>IFERROR((NT_gen[[#This Row],[2006]]*1000)/(NT_cap[[#This Row],[2006]]*8760), 0)</f>
        <v>0</v>
      </c>
      <c r="D145" s="11">
        <f>IFERROR((NT_gen[[#This Row],[2007]]*1000)/(NT_cap[[#This Row],[2007]]*8760), 0)</f>
        <v>0</v>
      </c>
      <c r="E145" s="11">
        <f>IFERROR((NT_gen[[#This Row],[2008]]*1000)/(NT_cap[[#This Row],[2008]]*8760), 0)</f>
        <v>0</v>
      </c>
      <c r="F145" s="11">
        <f>IFERROR((NT_gen[[#This Row],[2009]]*1000)/(NT_cap[[#This Row],[2009]]*8760), 0)</f>
        <v>0</v>
      </c>
      <c r="G145" s="11">
        <f>IFERROR((NT_gen[[#This Row],[2010]]*1000)/(NT_cap[[#This Row],[2010]]*8760), 0)</f>
        <v>0</v>
      </c>
      <c r="H145" s="11">
        <f>IFERROR((NT_gen[[#This Row],[2011]]*1000)/(NT_cap[[#This Row],[2011]]*8760), 0)</f>
        <v>0</v>
      </c>
      <c r="I145" s="11">
        <f>IFERROR((NT_gen[[#This Row],[2012]]*1000)/(NT_cap[[#This Row],[2012]]*8760), 0)</f>
        <v>0</v>
      </c>
      <c r="J145" s="11">
        <f>IFERROR((NT_gen[[#This Row],[2013]]*1000)/(NT_cap[[#This Row],[2013]]*8760), 0)</f>
        <v>0</v>
      </c>
      <c r="K145" s="11">
        <f>IFERROR((NT_gen[[#This Row],[2014]]*1000)/(NT_cap[[#This Row],[2014]]*8760), 0)</f>
        <v>0</v>
      </c>
      <c r="L145" s="11">
        <f>IFERROR((NT_gen[[#This Row],[2015]]*1000)/(NT_cap[[#This Row],[2015]]*8760), 0)</f>
        <v>0</v>
      </c>
      <c r="M145" s="11">
        <f>IFERROR((NT_gen[[#This Row],[2016]]*1000)/(NT_cap[[#This Row],[2016]]*8760), 0)</f>
        <v>0</v>
      </c>
      <c r="N145" s="11">
        <f>IFERROR((NT_gen[[#This Row],[2017]]*1000)/(NT_cap[[#This Row],[2017]]*8760), 0)</f>
        <v>0</v>
      </c>
      <c r="O145" s="11">
        <f>IFERROR((NT_gen[[#This Row],[2018]]*1000)/(NT_cap[[#This Row],[2018]]*8760), 0)</f>
        <v>0</v>
      </c>
      <c r="P145" s="11">
        <f>IFERROR((NT_gen[[#This Row],[2019]]*1000)/(NT_cap[[#This Row],[2019]]*8760), 0)</f>
        <v>0</v>
      </c>
      <c r="Q145" s="11">
        <f>IFERROR((NT_gen[[#This Row],[2020]]*1000)/(NT_cap[[#This Row],[2020]]*8760), 0)</f>
        <v>0</v>
      </c>
      <c r="R145" s="11">
        <f>IFERROR((NT_gen[[#This Row],[2021]]*1000)/(NT_cap[[#This Row],[2021]]*8760), 0)</f>
        <v>0</v>
      </c>
      <c r="S145" s="11">
        <f>IFERROR((NT_gen[[#This Row],[2022]]*1000)/(NT_cap[[#This Row],[2022]]*8760), 0)</f>
        <v>0</v>
      </c>
      <c r="T145" s="11">
        <f>IFERROR((NT_gen[[#This Row],[2023]]*1000)/(NT_cap[[#This Row],[2023]]*8760), 0)</f>
        <v>0</v>
      </c>
      <c r="U145" s="11">
        <f>IFERROR((NT_gen[[#This Row],[2024]]*1000)/(NT_cap[[#This Row],[2024]]*8760), 0)</f>
        <v>0</v>
      </c>
      <c r="V145" s="11">
        <f>IFERROR((NT_gen[[#This Row],[2025]]*1000)/(NT_cap[[#This Row],[2025]]*8760), 0)</f>
        <v>0</v>
      </c>
      <c r="W145" s="11">
        <f>IFERROR((NT_gen[[#This Row],[2026]]*1000)/(NT_cap[[#This Row],[2026]]*8760), 0)</f>
        <v>0</v>
      </c>
      <c r="X145" s="11">
        <f>IFERROR((NT_gen[[#This Row],[2027]]*1000)/(NT_cap[[#This Row],[2027]]*8760), 0)</f>
        <v>0</v>
      </c>
      <c r="Y145" s="11">
        <f>IFERROR((NT_gen[[#This Row],[2028]]*1000)/(NT_cap[[#This Row],[2028]]*8760), 0)</f>
        <v>0</v>
      </c>
      <c r="Z145" s="11">
        <f>IFERROR((NT_gen[[#This Row],[2029]]*1000)/(NT_cap[[#This Row],[2029]]*8760), 0)</f>
        <v>0</v>
      </c>
      <c r="AA145" s="11">
        <f>IFERROR((NT_gen[[#This Row],[2030]]*1000)/(NT_cap[[#This Row],[2030]]*8760), 0)</f>
        <v>0</v>
      </c>
      <c r="AB145" s="11">
        <f>IFERROR((NT_gen[[#This Row],[2031]]*1000)/(NT_cap[[#This Row],[2031]]*8760), 0)</f>
        <v>0</v>
      </c>
      <c r="AC145" s="11">
        <f>IFERROR((NT_gen[[#This Row],[2032]]*1000)/(NT_cap[[#This Row],[2032]]*8760), 0)</f>
        <v>0</v>
      </c>
      <c r="AD145" s="11">
        <f>IFERROR((NT_gen[[#This Row],[2033]]*1000)/(NT_cap[[#This Row],[2033]]*8760), 0)</f>
        <v>0</v>
      </c>
      <c r="AE145" s="11">
        <f>IFERROR((NT_gen[[#This Row],[2034]]*1000)/(NT_cap[[#This Row],[2034]]*8760), 0)</f>
        <v>0</v>
      </c>
      <c r="AF145" s="11">
        <f>IFERROR((NT_gen[[#This Row],[2035]]*1000)/(NT_cap[[#This Row],[2035]]*8760), 0)</f>
        <v>0</v>
      </c>
      <c r="AG145" s="11">
        <f>IFERROR((NT_gen[[#This Row],[2036]]*1000)/(NT_cap[[#This Row],[2036]]*8760), 0)</f>
        <v>0</v>
      </c>
      <c r="AH145" s="11">
        <f>IFERROR((NT_gen[[#This Row],[2037]]*1000)/(NT_cap[[#This Row],[2037]]*8760), 0)</f>
        <v>0</v>
      </c>
      <c r="AI145" s="11">
        <f>IFERROR((NT_gen[[#This Row],[2038]]*1000)/(NT_cap[[#This Row],[2038]]*8760), 0)</f>
        <v>0</v>
      </c>
      <c r="AJ145" s="11">
        <f>IFERROR((NT_gen[[#This Row],[2039]]*1000)/(NT_cap[[#This Row],[2039]]*8760), 0)</f>
        <v>0</v>
      </c>
      <c r="AK145" s="11">
        <f>IFERROR((NT_gen[[#This Row],[2040]]*1000)/(NT_cap[[#This Row],[2040]]*8760), 0)</f>
        <v>0</v>
      </c>
      <c r="AL145" s="11">
        <f>IFERROR((NT_gen[[#This Row],[2041]]*1000)/(NT_cap[[#This Row],[2041]]*8760), 0)</f>
        <v>0</v>
      </c>
      <c r="AM145" s="11">
        <f>IFERROR((NT_gen[[#This Row],[2042]]*1000)/(NT_cap[[#This Row],[2042]]*8760), 0)</f>
        <v>0</v>
      </c>
      <c r="AN145" s="11">
        <f>IFERROR((NT_gen[[#This Row],[2043]]*1000)/(NT_cap[[#This Row],[2043]]*8760), 0)</f>
        <v>0</v>
      </c>
      <c r="AO145" s="11">
        <f>IFERROR((NT_gen[[#This Row],[2044]]*1000)/(NT_cap[[#This Row],[2044]]*8760), 0)</f>
        <v>0</v>
      </c>
      <c r="AP145" s="11">
        <f>IFERROR((NT_gen[[#This Row],[2045]]*1000)/(NT_cap[[#This Row],[2045]]*8760), 0)</f>
        <v>0</v>
      </c>
      <c r="AQ145" s="11">
        <f>IFERROR((NT_gen[[#This Row],[2046]]*1000)/(NT_cap[[#This Row],[2046]]*8760), 0)</f>
        <v>0</v>
      </c>
      <c r="AR145" s="11">
        <f>IFERROR((NT_gen[[#This Row],[2047]]*1000)/(NT_cap[[#This Row],[2047]]*8760), 0)</f>
        <v>0</v>
      </c>
      <c r="AS145" s="11">
        <f>IFERROR((NT_gen[[#This Row],[2048]]*1000)/(NT_cap[[#This Row],[2048]]*8760), 0)</f>
        <v>0</v>
      </c>
      <c r="AT145" s="11">
        <f>IFERROR((NT_gen[[#This Row],[2049]]*1000)/(NT_cap[[#This Row],[2049]]*8760), 0)</f>
        <v>0</v>
      </c>
      <c r="AU145" s="11">
        <f>IFERROR((NT_gen[[#This Row],[2050]]*1000)/(NT_cap[[#This Row],[2050]]*8760), 0)</f>
        <v>0</v>
      </c>
    </row>
    <row r="146" spans="1:47" x14ac:dyDescent="0.3">
      <c r="A146" s="2" t="s">
        <v>59</v>
      </c>
      <c r="B146" s="11">
        <f>IFERROR((NT_gen[[#This Row],[2005]]*1000)/(NT_cap[[#This Row],[2005]]*8760), 0)</f>
        <v>0</v>
      </c>
      <c r="C146" s="11">
        <f>IFERROR((NT_gen[[#This Row],[2006]]*1000)/(NT_cap[[#This Row],[2006]]*8760), 0)</f>
        <v>0</v>
      </c>
      <c r="D146" s="11">
        <f>IFERROR((NT_gen[[#This Row],[2007]]*1000)/(NT_cap[[#This Row],[2007]]*8760), 0)</f>
        <v>0</v>
      </c>
      <c r="E146" s="11">
        <f>IFERROR((NT_gen[[#This Row],[2008]]*1000)/(NT_cap[[#This Row],[2008]]*8760), 0)</f>
        <v>0</v>
      </c>
      <c r="F146" s="11">
        <f>IFERROR((NT_gen[[#This Row],[2009]]*1000)/(NT_cap[[#This Row],[2009]]*8760), 0)</f>
        <v>0</v>
      </c>
      <c r="G146" s="11">
        <f>IFERROR((NT_gen[[#This Row],[2010]]*1000)/(NT_cap[[#This Row],[2010]]*8760), 0)</f>
        <v>0</v>
      </c>
      <c r="H146" s="11">
        <f>IFERROR((NT_gen[[#This Row],[2011]]*1000)/(NT_cap[[#This Row],[2011]]*8760), 0)</f>
        <v>0</v>
      </c>
      <c r="I146" s="11">
        <f>IFERROR((NT_gen[[#This Row],[2012]]*1000)/(NT_cap[[#This Row],[2012]]*8760), 0)</f>
        <v>0</v>
      </c>
      <c r="J146" s="11">
        <f>IFERROR((NT_gen[[#This Row],[2013]]*1000)/(NT_cap[[#This Row],[2013]]*8760), 0)</f>
        <v>0</v>
      </c>
      <c r="K146" s="11">
        <f>IFERROR((NT_gen[[#This Row],[2014]]*1000)/(NT_cap[[#This Row],[2014]]*8760), 0)</f>
        <v>0</v>
      </c>
      <c r="L146" s="11">
        <f>IFERROR((NT_gen[[#This Row],[2015]]*1000)/(NT_cap[[#This Row],[2015]]*8760), 0)</f>
        <v>0</v>
      </c>
      <c r="M146" s="11">
        <f>IFERROR((NT_gen[[#This Row],[2016]]*1000)/(NT_cap[[#This Row],[2016]]*8760), 0)</f>
        <v>0</v>
      </c>
      <c r="N146" s="11">
        <f>IFERROR((NT_gen[[#This Row],[2017]]*1000)/(NT_cap[[#This Row],[2017]]*8760), 0)</f>
        <v>0</v>
      </c>
      <c r="O146" s="11">
        <f>IFERROR((NT_gen[[#This Row],[2018]]*1000)/(NT_cap[[#This Row],[2018]]*8760), 0)</f>
        <v>0</v>
      </c>
      <c r="P146" s="11">
        <f>IFERROR((NT_gen[[#This Row],[2019]]*1000)/(NT_cap[[#This Row],[2019]]*8760), 0)</f>
        <v>0</v>
      </c>
      <c r="Q146" s="11">
        <f>IFERROR((NT_gen[[#This Row],[2020]]*1000)/(NT_cap[[#This Row],[2020]]*8760), 0)</f>
        <v>0</v>
      </c>
      <c r="R146" s="11">
        <f>IFERROR((NT_gen[[#This Row],[2021]]*1000)/(NT_cap[[#This Row],[2021]]*8760), 0)</f>
        <v>0</v>
      </c>
      <c r="S146" s="11">
        <f>IFERROR((NT_gen[[#This Row],[2022]]*1000)/(NT_cap[[#This Row],[2022]]*8760), 0)</f>
        <v>0</v>
      </c>
      <c r="T146" s="11">
        <f>IFERROR((NT_gen[[#This Row],[2023]]*1000)/(NT_cap[[#This Row],[2023]]*8760), 0)</f>
        <v>0</v>
      </c>
      <c r="U146" s="11">
        <f>IFERROR((NT_gen[[#This Row],[2024]]*1000)/(NT_cap[[#This Row],[2024]]*8760), 0)</f>
        <v>0</v>
      </c>
      <c r="V146" s="11">
        <f>IFERROR((NT_gen[[#This Row],[2025]]*1000)/(NT_cap[[#This Row],[2025]]*8760), 0)</f>
        <v>0</v>
      </c>
      <c r="W146" s="11">
        <f>IFERROR((NT_gen[[#This Row],[2026]]*1000)/(NT_cap[[#This Row],[2026]]*8760), 0)</f>
        <v>0</v>
      </c>
      <c r="X146" s="11">
        <f>IFERROR((NT_gen[[#This Row],[2027]]*1000)/(NT_cap[[#This Row],[2027]]*8760), 0)</f>
        <v>0</v>
      </c>
      <c r="Y146" s="11">
        <f>IFERROR((NT_gen[[#This Row],[2028]]*1000)/(NT_cap[[#This Row],[2028]]*8760), 0)</f>
        <v>0</v>
      </c>
      <c r="Z146" s="11">
        <f>IFERROR((NT_gen[[#This Row],[2029]]*1000)/(NT_cap[[#This Row],[2029]]*8760), 0)</f>
        <v>0</v>
      </c>
      <c r="AA146" s="11">
        <f>IFERROR((NT_gen[[#This Row],[2030]]*1000)/(NT_cap[[#This Row],[2030]]*8760), 0)</f>
        <v>0</v>
      </c>
      <c r="AB146" s="11">
        <f>IFERROR((NT_gen[[#This Row],[2031]]*1000)/(NT_cap[[#This Row],[2031]]*8760), 0)</f>
        <v>0</v>
      </c>
      <c r="AC146" s="11">
        <f>IFERROR((NT_gen[[#This Row],[2032]]*1000)/(NT_cap[[#This Row],[2032]]*8760), 0)</f>
        <v>0</v>
      </c>
      <c r="AD146" s="11">
        <f>IFERROR((NT_gen[[#This Row],[2033]]*1000)/(NT_cap[[#This Row],[2033]]*8760), 0)</f>
        <v>0</v>
      </c>
      <c r="AE146" s="11">
        <f>IFERROR((NT_gen[[#This Row],[2034]]*1000)/(NT_cap[[#This Row],[2034]]*8760), 0)</f>
        <v>0</v>
      </c>
      <c r="AF146" s="11">
        <f>IFERROR((NT_gen[[#This Row],[2035]]*1000)/(NT_cap[[#This Row],[2035]]*8760), 0)</f>
        <v>0</v>
      </c>
      <c r="AG146" s="11">
        <f>IFERROR((NT_gen[[#This Row],[2036]]*1000)/(NT_cap[[#This Row],[2036]]*8760), 0)</f>
        <v>0</v>
      </c>
      <c r="AH146" s="11">
        <f>IFERROR((NT_gen[[#This Row],[2037]]*1000)/(NT_cap[[#This Row],[2037]]*8760), 0)</f>
        <v>0</v>
      </c>
      <c r="AI146" s="11">
        <f>IFERROR((NT_gen[[#This Row],[2038]]*1000)/(NT_cap[[#This Row],[2038]]*8760), 0)</f>
        <v>0</v>
      </c>
      <c r="AJ146" s="11">
        <f>IFERROR((NT_gen[[#This Row],[2039]]*1000)/(NT_cap[[#This Row],[2039]]*8760), 0)</f>
        <v>0</v>
      </c>
      <c r="AK146" s="11">
        <f>IFERROR((NT_gen[[#This Row],[2040]]*1000)/(NT_cap[[#This Row],[2040]]*8760), 0)</f>
        <v>0</v>
      </c>
      <c r="AL146" s="11">
        <f>IFERROR((NT_gen[[#This Row],[2041]]*1000)/(NT_cap[[#This Row],[2041]]*8760), 0)</f>
        <v>0</v>
      </c>
      <c r="AM146" s="11">
        <f>IFERROR((NT_gen[[#This Row],[2042]]*1000)/(NT_cap[[#This Row],[2042]]*8760), 0)</f>
        <v>0</v>
      </c>
      <c r="AN146" s="11">
        <f>IFERROR((NT_gen[[#This Row],[2043]]*1000)/(NT_cap[[#This Row],[2043]]*8760), 0)</f>
        <v>0</v>
      </c>
      <c r="AO146" s="11">
        <f>IFERROR((NT_gen[[#This Row],[2044]]*1000)/(NT_cap[[#This Row],[2044]]*8760), 0)</f>
        <v>0</v>
      </c>
      <c r="AP146" s="11">
        <f>IFERROR((NT_gen[[#This Row],[2045]]*1000)/(NT_cap[[#This Row],[2045]]*8760), 0)</f>
        <v>0</v>
      </c>
      <c r="AQ146" s="11">
        <f>IFERROR((NT_gen[[#This Row],[2046]]*1000)/(NT_cap[[#This Row],[2046]]*8760), 0)</f>
        <v>0</v>
      </c>
      <c r="AR146" s="11">
        <f>IFERROR((NT_gen[[#This Row],[2047]]*1000)/(NT_cap[[#This Row],[2047]]*8760), 0)</f>
        <v>0</v>
      </c>
      <c r="AS146" s="11">
        <f>IFERROR((NT_gen[[#This Row],[2048]]*1000)/(NT_cap[[#This Row],[2048]]*8760), 0)</f>
        <v>0</v>
      </c>
      <c r="AT146" s="11">
        <f>IFERROR((NT_gen[[#This Row],[2049]]*1000)/(NT_cap[[#This Row],[2049]]*8760), 0)</f>
        <v>0</v>
      </c>
      <c r="AU146" s="11">
        <f>IFERROR((NT_gen[[#This Row],[2050]]*1000)/(NT_cap[[#This Row],[2050]]*8760), 0)</f>
        <v>0</v>
      </c>
    </row>
    <row r="147" spans="1:47" x14ac:dyDescent="0.3">
      <c r="A147" s="2" t="s">
        <v>60</v>
      </c>
      <c r="B147" s="11">
        <f>IFERROR((NT_gen[[#This Row],[2005]]*1000)/(NT_cap[[#This Row],[2005]]*8760), 0)</f>
        <v>0.67907739140615853</v>
      </c>
      <c r="C147" s="11">
        <f>IFERROR((NT_gen[[#This Row],[2006]]*1000)/(NT_cap[[#This Row],[2006]]*8760), 0)</f>
        <v>0.70989512770334684</v>
      </c>
      <c r="D147" s="11">
        <f>IFERROR((NT_gen[[#This Row],[2007]]*1000)/(NT_cap[[#This Row],[2007]]*8760), 0)</f>
        <v>0.68446317761386255</v>
      </c>
      <c r="E147" s="11">
        <f>IFERROR((NT_gen[[#This Row],[2008]]*1000)/(NT_cap[[#This Row],[2008]]*8760), 0)</f>
        <v>0.72148636852001069</v>
      </c>
      <c r="F147" s="11">
        <f>IFERROR((NT_gen[[#This Row],[2009]]*1000)/(NT_cap[[#This Row],[2009]]*8760), 0)</f>
        <v>0.80370333064732746</v>
      </c>
      <c r="G147" s="11">
        <f>IFERROR((NT_gen[[#This Row],[2010]]*1000)/(NT_cap[[#This Row],[2010]]*8760), 0)</f>
        <v>0.40894439967767932</v>
      </c>
      <c r="H147" s="11">
        <f>IFERROR((NT_gen[[#This Row],[2011]]*1000)/(NT_cap[[#This Row],[2011]]*8760), 0)</f>
        <v>0.25735294117647056</v>
      </c>
      <c r="I147" s="11">
        <f>IFERROR((NT_gen[[#This Row],[2012]]*1000)/(NT_cap[[#This Row],[2012]]*8760), 0)</f>
        <v>0.14382722266988987</v>
      </c>
      <c r="J147" s="11">
        <f>IFERROR((NT_gen[[#This Row],[2013]]*1000)/(NT_cap[[#This Row],[2013]]*8760), 0)</f>
        <v>0.63633158742949236</v>
      </c>
      <c r="K147" s="11">
        <f>IFERROR((NT_gen[[#This Row],[2014]]*1000)/(NT_cap[[#This Row],[2014]]*8760), 0)</f>
        <v>0.14689094816008597</v>
      </c>
      <c r="L147" s="11">
        <f>IFERROR((NT_gen[[#This Row],[2015]]*1000)/(NT_cap[[#This Row],[2015]]*8760), 0)</f>
        <v>0.52624731399409075</v>
      </c>
      <c r="M147" s="11">
        <f>IFERROR((NT_gen[[#This Row],[2016]]*1000)/(NT_cap[[#This Row],[2016]]*8760), 0)</f>
        <v>0.52163074133763099</v>
      </c>
      <c r="N147" s="11">
        <f>IFERROR((NT_gen[[#This Row],[2017]]*1000)/(NT_cap[[#This Row],[2017]]*8760), 0)</f>
        <v>0.45540390813859788</v>
      </c>
      <c r="O147" s="11">
        <f>IFERROR((NT_gen[[#This Row],[2018]]*1000)/(NT_cap[[#This Row],[2018]]*8760), 0)</f>
        <v>0.46434327155519745</v>
      </c>
      <c r="P147" s="11">
        <f>IFERROR((NT_gen[[#This Row],[2019]]*1000)/(NT_cap[[#This Row],[2019]]*8760), 0)</f>
        <v>0.41230190706419556</v>
      </c>
      <c r="Q147" s="11">
        <f>IFERROR((NT_gen[[#This Row],[2020]]*1000)/(NT_cap[[#This Row],[2020]]*8760), 0)</f>
        <v>0.37524341928552241</v>
      </c>
      <c r="R147" s="11">
        <f>IFERROR((NT_gen[[#This Row],[2021]]*1000)/(NT_cap[[#This Row],[2021]]*8760), 0)</f>
        <v>0.37524341928552241</v>
      </c>
      <c r="S147" s="11">
        <f>IFERROR((NT_gen[[#This Row],[2022]]*1000)/(NT_cap[[#This Row],[2022]]*8760), 0)</f>
        <v>0.37507554391619663</v>
      </c>
      <c r="T147" s="11">
        <f>IFERROR((NT_gen[[#This Row],[2023]]*1000)/(NT_cap[[#This Row],[2023]]*8760), 0)</f>
        <v>0.37515948160085955</v>
      </c>
      <c r="U147" s="11">
        <f>IFERROR((NT_gen[[#This Row],[2024]]*1000)/(NT_cap[[#This Row],[2024]]*8760), 0)</f>
        <v>0.23894608468759748</v>
      </c>
      <c r="V147" s="11">
        <f>IFERROR((NT_gen[[#This Row],[2025]]*1000)/(NT_cap[[#This Row],[2025]]*8760), 0)</f>
        <v>0.24825698433740856</v>
      </c>
      <c r="W147" s="11">
        <f>IFERROR((NT_gen[[#This Row],[2026]]*1000)/(NT_cap[[#This Row],[2026]]*8760), 0)</f>
        <v>0.25123361319782</v>
      </c>
      <c r="X147" s="11">
        <f>IFERROR((NT_gen[[#This Row],[2027]]*1000)/(NT_cap[[#This Row],[2027]]*8760), 0)</f>
        <v>0.25193941179358764</v>
      </c>
      <c r="Y147" s="11">
        <f>IFERROR((NT_gen[[#This Row],[2028]]*1000)/(NT_cap[[#This Row],[2028]]*8760), 0)</f>
        <v>0.25233834143467376</v>
      </c>
      <c r="Z147" s="11">
        <f>IFERROR((NT_gen[[#This Row],[2029]]*1000)/(NT_cap[[#This Row],[2029]]*8760), 0)</f>
        <v>0.2594270142878185</v>
      </c>
      <c r="AA147" s="11">
        <f>IFERROR((NT_gen[[#This Row],[2030]]*1000)/(NT_cap[[#This Row],[2030]]*8760), 0)</f>
        <v>0.2594270142878185</v>
      </c>
      <c r="AB147" s="11">
        <f>IFERROR((NT_gen[[#This Row],[2031]]*1000)/(NT_cap[[#This Row],[2031]]*8760), 0)</f>
        <v>0.2594270142878185</v>
      </c>
      <c r="AC147" s="11">
        <f>IFERROR((NT_gen[[#This Row],[2032]]*1000)/(NT_cap[[#This Row],[2032]]*8760), 0)</f>
        <v>0.2594270142878185</v>
      </c>
      <c r="AD147" s="11">
        <f>IFERROR((NT_gen[[#This Row],[2033]]*1000)/(NT_cap[[#This Row],[2033]]*8760), 0)</f>
        <v>0.2594270142878185</v>
      </c>
      <c r="AE147" s="11">
        <f>IFERROR((NT_gen[[#This Row],[2034]]*1000)/(NT_cap[[#This Row],[2034]]*8760), 0)</f>
        <v>0.2594270142878185</v>
      </c>
      <c r="AF147" s="11">
        <f>IFERROR((NT_gen[[#This Row],[2035]]*1000)/(NT_cap[[#This Row],[2035]]*8760), 0)</f>
        <v>0.2594270142878185</v>
      </c>
      <c r="AG147" s="11">
        <f>IFERROR((NT_gen[[#This Row],[2036]]*1000)/(NT_cap[[#This Row],[2036]]*8760), 0)</f>
        <v>0.2594270142878185</v>
      </c>
      <c r="AH147" s="11">
        <f>IFERROR((NT_gen[[#This Row],[2037]]*1000)/(NT_cap[[#This Row],[2037]]*8760), 0)</f>
        <v>0.2594270142878185</v>
      </c>
      <c r="AI147" s="11">
        <f>IFERROR((NT_gen[[#This Row],[2038]]*1000)/(NT_cap[[#This Row],[2038]]*8760), 0)</f>
        <v>0.25804610399175137</v>
      </c>
      <c r="AJ147" s="11">
        <f>IFERROR((NT_gen[[#This Row],[2039]]*1000)/(NT_cap[[#This Row],[2039]]*8760), 0)</f>
        <v>0.25804610399175137</v>
      </c>
      <c r="AK147" s="11">
        <f>IFERROR((NT_gen[[#This Row],[2040]]*1000)/(NT_cap[[#This Row],[2040]]*8760), 0)</f>
        <v>0.25672656748662054</v>
      </c>
      <c r="AL147" s="11">
        <f>IFERROR((NT_gen[[#This Row],[2041]]*1000)/(NT_cap[[#This Row],[2041]]*8760), 0)</f>
        <v>0.25669588059115234</v>
      </c>
      <c r="AM147" s="11">
        <f>IFERROR((NT_gen[[#This Row],[2042]]*1000)/(NT_cap[[#This Row],[2042]]*8760), 0)</f>
        <v>0.25672656748662054</v>
      </c>
      <c r="AN147" s="11">
        <f>IFERROR((NT_gen[[#This Row],[2043]]*1000)/(NT_cap[[#This Row],[2043]]*8760), 0)</f>
        <v>0.25645038542740706</v>
      </c>
      <c r="AO147" s="11">
        <f>IFERROR((NT_gen[[#This Row],[2044]]*1000)/(NT_cap[[#This Row],[2044]]*8760), 0)</f>
        <v>0.25645038542740706</v>
      </c>
      <c r="AP147" s="11">
        <f>IFERROR((NT_gen[[#This Row],[2045]]*1000)/(NT_cap[[#This Row],[2045]]*8760), 0)</f>
        <v>0.25645038542740706</v>
      </c>
      <c r="AQ147" s="11">
        <f>IFERROR((NT_gen[[#This Row],[2046]]*1000)/(NT_cap[[#This Row],[2046]]*8760), 0)</f>
        <v>0.25510016202680807</v>
      </c>
      <c r="AR147" s="11">
        <f>IFERROR((NT_gen[[#This Row],[2047]]*1000)/(NT_cap[[#This Row],[2047]]*8760), 0)</f>
        <v>0.25513084892227622</v>
      </c>
      <c r="AS147" s="11">
        <f>IFERROR((NT_gen[[#This Row],[2048]]*1000)/(NT_cap[[#This Row],[2048]]*8760), 0)</f>
        <v>0.25513084892227622</v>
      </c>
      <c r="AT147" s="11">
        <f>IFERROR((NT_gen[[#This Row],[2049]]*1000)/(NT_cap[[#This Row],[2049]]*8760), 0)</f>
        <v>0.25513084892227622</v>
      </c>
      <c r="AU147" s="11">
        <f>IFERROR((NT_gen[[#This Row],[2050]]*1000)/(NT_cap[[#This Row],[2050]]*8760), 0)</f>
        <v>0.25513084892227622</v>
      </c>
    </row>
    <row r="148" spans="1:47" x14ac:dyDescent="0.3">
      <c r="A148" s="2" t="s">
        <v>61</v>
      </c>
      <c r="B148" s="11">
        <f>IFERROR((NT_gen[[#This Row],[2005]]*1000)/(NT_cap[[#This Row],[2005]]*8760), 0)</f>
        <v>6.7189323247899807E-2</v>
      </c>
      <c r="C148" s="11">
        <f>IFERROR((NT_gen[[#This Row],[2006]]*1000)/(NT_cap[[#This Row],[2006]]*8760), 0)</f>
        <v>5.6884376052519697E-2</v>
      </c>
      <c r="D148" s="11">
        <f>IFERROR((NT_gen[[#This Row],[2007]]*1000)/(NT_cap[[#This Row],[2007]]*8760), 0)</f>
        <v>7.8932433628548959E-2</v>
      </c>
      <c r="E148" s="11">
        <f>IFERROR((NT_gen[[#This Row],[2008]]*1000)/(NT_cap[[#This Row],[2008]]*8760), 0)</f>
        <v>7.8223526853663836E-2</v>
      </c>
      <c r="F148" s="11">
        <f>IFERROR((NT_gen[[#This Row],[2009]]*1000)/(NT_cap[[#This Row],[2009]]*8760), 0)</f>
        <v>6.9748858447488585E-2</v>
      </c>
      <c r="G148" s="11">
        <f>IFERROR((NT_gen[[#This Row],[2010]]*1000)/(NT_cap[[#This Row],[2010]]*8760), 0)</f>
        <v>6.5958904109589045E-2</v>
      </c>
      <c r="H148" s="11">
        <f>IFERROR((NT_gen[[#This Row],[2011]]*1000)/(NT_cap[[#This Row],[2011]]*8760), 0)</f>
        <v>6.7500000000000004E-2</v>
      </c>
      <c r="I148" s="11">
        <f>IFERROR((NT_gen[[#This Row],[2012]]*1000)/(NT_cap[[#This Row],[2012]]*8760), 0)</f>
        <v>8.8082191780821911E-2</v>
      </c>
      <c r="J148" s="11">
        <f>IFERROR((NT_gen[[#This Row],[2013]]*1000)/(NT_cap[[#This Row],[2013]]*8760), 0)</f>
        <v>8.6417720407446441E-2</v>
      </c>
      <c r="K148" s="11">
        <f>IFERROR((NT_gen[[#This Row],[2014]]*1000)/(NT_cap[[#This Row],[2014]]*8760), 0)</f>
        <v>0.14879697927643132</v>
      </c>
      <c r="L148" s="11">
        <f>IFERROR((NT_gen[[#This Row],[2015]]*1000)/(NT_cap[[#This Row],[2015]]*8760), 0)</f>
        <v>0.52172593024385505</v>
      </c>
      <c r="M148" s="11">
        <f>IFERROR((NT_gen[[#This Row],[2016]]*1000)/(NT_cap[[#This Row],[2016]]*8760), 0)</f>
        <v>0.51787356171179966</v>
      </c>
      <c r="N148" s="11">
        <f>IFERROR((NT_gen[[#This Row],[2017]]*1000)/(NT_cap[[#This Row],[2017]]*8760), 0)</f>
        <v>0.40972366662366372</v>
      </c>
      <c r="O148" s="11">
        <f>IFERROR((NT_gen[[#This Row],[2018]]*1000)/(NT_cap[[#This Row],[2018]]*8760), 0)</f>
        <v>0.3776751321302495</v>
      </c>
      <c r="P148" s="11">
        <f>IFERROR((NT_gen[[#This Row],[2019]]*1000)/(NT_cap[[#This Row],[2019]]*8760), 0)</f>
        <v>0.3089534670585819</v>
      </c>
      <c r="Q148" s="11">
        <f>IFERROR((NT_gen[[#This Row],[2020]]*1000)/(NT_cap[[#This Row],[2020]]*8760), 0)</f>
        <v>0.24886691297553029</v>
      </c>
      <c r="R148" s="11">
        <f>IFERROR((NT_gen[[#This Row],[2021]]*1000)/(NT_cap[[#This Row],[2021]]*8760), 0)</f>
        <v>0.24971346167011541</v>
      </c>
      <c r="S148" s="11">
        <f>IFERROR((NT_gen[[#This Row],[2022]]*1000)/(NT_cap[[#This Row],[2022]]*8760), 0)</f>
        <v>0.23969290157877648</v>
      </c>
      <c r="T148" s="11">
        <f>IFERROR((NT_gen[[#This Row],[2023]]*1000)/(NT_cap[[#This Row],[2023]]*8760), 0)</f>
        <v>0.24513105677986124</v>
      </c>
      <c r="U148" s="11">
        <f>IFERROR((NT_gen[[#This Row],[2024]]*1000)/(NT_cap[[#This Row],[2024]]*8760), 0)</f>
        <v>0.1749871361404888</v>
      </c>
      <c r="V148" s="11">
        <f>IFERROR((NT_gen[[#This Row],[2025]]*1000)/(NT_cap[[#This Row],[2025]]*8760), 0)</f>
        <v>7.9409948198581173E-2</v>
      </c>
      <c r="W148" s="11">
        <f>IFERROR((NT_gen[[#This Row],[2026]]*1000)/(NT_cap[[#This Row],[2026]]*8760), 0)</f>
        <v>8.1121448820242373E-2</v>
      </c>
      <c r="X148" s="11">
        <f>IFERROR((NT_gen[[#This Row],[2027]]*1000)/(NT_cap[[#This Row],[2027]]*8760), 0)</f>
        <v>8.1645940946235313E-2</v>
      </c>
      <c r="Y148" s="11">
        <f>IFERROR((NT_gen[[#This Row],[2028]]*1000)/(NT_cap[[#This Row],[2028]]*8760), 0)</f>
        <v>8.1885182968618062E-2</v>
      </c>
      <c r="Z148" s="11">
        <f>IFERROR((NT_gen[[#This Row],[2029]]*1000)/(NT_cap[[#This Row],[2029]]*8760), 0)</f>
        <v>1.4667376295311518E-2</v>
      </c>
      <c r="AA148" s="11">
        <f>IFERROR((NT_gen[[#This Row],[2030]]*1000)/(NT_cap[[#This Row],[2030]]*8760), 0)</f>
        <v>1.3471133386687158E-2</v>
      </c>
      <c r="AB148" s="11">
        <f>IFERROR((NT_gen[[#This Row],[2031]]*1000)/(NT_cap[[#This Row],[2031]]*8760), 0)</f>
        <v>1.3541894428770872E-2</v>
      </c>
      <c r="AC148" s="11">
        <f>IFERROR((NT_gen[[#This Row],[2032]]*1000)/(NT_cap[[#This Row],[2032]]*8760), 0)</f>
        <v>1.3364991823561587E-2</v>
      </c>
      <c r="AD148" s="11">
        <f>IFERROR((NT_gen[[#This Row],[2033]]*1000)/(NT_cap[[#This Row],[2033]]*8760), 0)</f>
        <v>1.3364991823561587E-2</v>
      </c>
      <c r="AE148" s="11">
        <f>IFERROR((NT_gen[[#This Row],[2034]]*1000)/(NT_cap[[#This Row],[2034]]*8760), 0)</f>
        <v>1.4072602244398732E-2</v>
      </c>
      <c r="AF148" s="11">
        <f>IFERROR((NT_gen[[#This Row],[2035]]*1000)/(NT_cap[[#This Row],[2035]]*8760), 0)</f>
        <v>1.3939925290491767E-2</v>
      </c>
      <c r="AG148" s="11">
        <f>IFERROR((NT_gen[[#This Row],[2036]]*1000)/(NT_cap[[#This Row],[2036]]*8760), 0)</f>
        <v>1.390454476944991E-2</v>
      </c>
      <c r="AH148" s="11">
        <f>IFERROR((NT_gen[[#This Row],[2037]]*1000)/(NT_cap[[#This Row],[2037]]*8760), 0)</f>
        <v>1.3754177555022016E-2</v>
      </c>
      <c r="AI148" s="11">
        <f>IFERROR((NT_gen[[#This Row],[2038]]*1000)/(NT_cap[[#This Row],[2038]]*8760), 0)</f>
        <v>1.3152708697310443E-2</v>
      </c>
      <c r="AJ148" s="11">
        <f>IFERROR((NT_gen[[#This Row],[2039]]*1000)/(NT_cap[[#This Row],[2039]]*8760), 0)</f>
        <v>1.3037722003924406E-2</v>
      </c>
      <c r="AK148" s="11">
        <f>IFERROR((NT_gen[[#This Row],[2040]]*1000)/(NT_cap[[#This Row],[2040]]*8760), 0)</f>
        <v>1.3037722003924406E-2</v>
      </c>
      <c r="AL148" s="11">
        <f>IFERROR((NT_gen[[#This Row],[2041]]*1000)/(NT_cap[[#This Row],[2041]]*8760), 0)</f>
        <v>1.2745832705329084E-2</v>
      </c>
      <c r="AM148" s="11">
        <f>IFERROR((NT_gen[[#This Row],[2042]]*1000)/(NT_cap[[#This Row],[2042]]*8760), 0)</f>
        <v>1.2781213226370941E-2</v>
      </c>
      <c r="AN148" s="11">
        <f>IFERROR((NT_gen[[#This Row],[2043]]*1000)/(NT_cap[[#This Row],[2043]]*8760), 0)</f>
        <v>1.2781213226370941E-2</v>
      </c>
      <c r="AO148" s="11">
        <f>IFERROR((NT_gen[[#This Row],[2044]]*1000)/(NT_cap[[#This Row],[2044]]*8760), 0)</f>
        <v>1.3276540520956942E-2</v>
      </c>
      <c r="AP148" s="11">
        <f>IFERROR((NT_gen[[#This Row],[2045]]*1000)/(NT_cap[[#This Row],[2045]]*8760), 0)</f>
        <v>1.3382682084082515E-2</v>
      </c>
      <c r="AQ148" s="11">
        <f>IFERROR((NT_gen[[#This Row],[2046]]*1000)/(NT_cap[[#This Row],[2046]]*8760), 0)</f>
        <v>1.3276540520956942E-2</v>
      </c>
      <c r="AR148" s="11">
        <f>IFERROR((NT_gen[[#This Row],[2047]]*1000)/(NT_cap[[#This Row],[2047]]*8760), 0)</f>
        <v>1.3382682084082515E-2</v>
      </c>
      <c r="AS148" s="11">
        <f>IFERROR((NT_gen[[#This Row],[2048]]*1000)/(NT_cap[[#This Row],[2048]]*8760), 0)</f>
        <v>1.3957615551012695E-2</v>
      </c>
      <c r="AT148" s="11">
        <f>IFERROR((NT_gen[[#This Row],[2049]]*1000)/(NT_cap[[#This Row],[2049]]*8760), 0)</f>
        <v>1.4099137635180125E-2</v>
      </c>
      <c r="AU148" s="11">
        <f>IFERROR((NT_gen[[#This Row],[2050]]*1000)/(NT_cap[[#This Row],[2050]]*8760), 0)</f>
        <v>1.3922235029970838E-2</v>
      </c>
    </row>
    <row r="150" spans="1:47" ht="18" x14ac:dyDescent="0.35">
      <c r="A150" s="4" t="s">
        <v>74</v>
      </c>
    </row>
    <row r="151" spans="1:47" x14ac:dyDescent="0.3">
      <c r="A151" s="2" t="s">
        <v>7</v>
      </c>
      <c r="B151" s="2" t="s">
        <v>8</v>
      </c>
      <c r="C151" s="2" t="s">
        <v>9</v>
      </c>
      <c r="D151" s="2" t="s">
        <v>10</v>
      </c>
      <c r="E151" s="2" t="s">
        <v>11</v>
      </c>
      <c r="F151" s="2" t="s">
        <v>12</v>
      </c>
      <c r="G151" s="2" t="s">
        <v>13</v>
      </c>
      <c r="H151" s="2" t="s">
        <v>14</v>
      </c>
      <c r="I151" s="2" t="s">
        <v>15</v>
      </c>
      <c r="J151" s="2" t="s">
        <v>16</v>
      </c>
      <c r="K151" s="2" t="s">
        <v>17</v>
      </c>
      <c r="L151" s="2" t="s">
        <v>18</v>
      </c>
      <c r="M151" s="2" t="s">
        <v>19</v>
      </c>
      <c r="N151" s="2" t="s">
        <v>20</v>
      </c>
      <c r="O151" s="2" t="s">
        <v>21</v>
      </c>
      <c r="P151" s="2" t="s">
        <v>22</v>
      </c>
      <c r="Q151" s="2" t="s">
        <v>23</v>
      </c>
      <c r="R151" s="2" t="s">
        <v>24</v>
      </c>
      <c r="S151" s="2" t="s">
        <v>25</v>
      </c>
      <c r="T151" s="2" t="s">
        <v>26</v>
      </c>
      <c r="U151" s="2" t="s">
        <v>27</v>
      </c>
      <c r="V151" s="2" t="s">
        <v>28</v>
      </c>
      <c r="W151" s="2" t="s">
        <v>29</v>
      </c>
      <c r="X151" s="2" t="s">
        <v>30</v>
      </c>
      <c r="Y151" s="2" t="s">
        <v>31</v>
      </c>
      <c r="Z151" s="2" t="s">
        <v>32</v>
      </c>
      <c r="AA151" s="2" t="s">
        <v>33</v>
      </c>
      <c r="AB151" s="2" t="s">
        <v>34</v>
      </c>
      <c r="AC151" s="2" t="s">
        <v>35</v>
      </c>
      <c r="AD151" s="2" t="s">
        <v>36</v>
      </c>
      <c r="AE151" s="2" t="s">
        <v>37</v>
      </c>
      <c r="AF151" s="2" t="s">
        <v>38</v>
      </c>
      <c r="AG151" s="2" t="s">
        <v>39</v>
      </c>
      <c r="AH151" s="2" t="s">
        <v>40</v>
      </c>
      <c r="AI151" s="2" t="s">
        <v>41</v>
      </c>
      <c r="AJ151" s="2" t="s">
        <v>42</v>
      </c>
      <c r="AK151" s="2" t="s">
        <v>43</v>
      </c>
      <c r="AL151" s="2" t="s">
        <v>44</v>
      </c>
      <c r="AM151" s="2" t="s">
        <v>45</v>
      </c>
      <c r="AN151" s="2" t="s">
        <v>46</v>
      </c>
      <c r="AO151" s="2" t="s">
        <v>47</v>
      </c>
      <c r="AP151" s="2" t="s">
        <v>48</v>
      </c>
      <c r="AQ151" s="2" t="s">
        <v>49</v>
      </c>
      <c r="AR151" s="2" t="s">
        <v>50</v>
      </c>
      <c r="AS151" s="2" t="s">
        <v>51</v>
      </c>
      <c r="AT151" s="2" t="s">
        <v>52</v>
      </c>
      <c r="AU151" s="2" t="s">
        <v>53</v>
      </c>
    </row>
    <row r="152" spans="1:47" x14ac:dyDescent="0.3">
      <c r="A152" s="2" t="s">
        <v>54</v>
      </c>
      <c r="B152" s="11">
        <f>IFERROR((NU_gen[[#This Row],[2005]]*1000)/(NU_cap[[#This Row],[2005]]*8760), 0)</f>
        <v>0</v>
      </c>
      <c r="C152" s="11">
        <f>IFERROR((NU_gen[[#This Row],[2006]]*1000)/(NU_cap[[#This Row],[2006]]*8760), 0)</f>
        <v>0</v>
      </c>
      <c r="D152" s="11">
        <f>IFERROR((NU_gen[[#This Row],[2007]]*1000)/(NU_cap[[#This Row],[2007]]*8760), 0)</f>
        <v>0</v>
      </c>
      <c r="E152" s="11">
        <f>IFERROR((NU_gen[[#This Row],[2008]]*1000)/(NU_cap[[#This Row],[2008]]*8760), 0)</f>
        <v>0</v>
      </c>
      <c r="F152" s="11">
        <f>IFERROR((NU_gen[[#This Row],[2009]]*1000)/(NU_cap[[#This Row],[2009]]*8760), 0)</f>
        <v>0</v>
      </c>
      <c r="G152" s="11">
        <f>IFERROR((NU_gen[[#This Row],[2010]]*1000)/(NU_cap[[#This Row],[2010]]*8760), 0)</f>
        <v>0</v>
      </c>
      <c r="H152" s="11">
        <f>IFERROR((NU_gen[[#This Row],[2011]]*1000)/(NU_cap[[#This Row],[2011]]*8760), 0)</f>
        <v>0</v>
      </c>
      <c r="I152" s="11">
        <f>IFERROR((NU_gen[[#This Row],[2012]]*1000)/(NU_cap[[#This Row],[2012]]*8760), 0)</f>
        <v>0</v>
      </c>
      <c r="J152" s="11">
        <f>IFERROR((NU_gen[[#This Row],[2013]]*1000)/(NU_cap[[#This Row],[2013]]*8760), 0)</f>
        <v>0</v>
      </c>
      <c r="K152" s="11">
        <f>IFERROR((NU_gen[[#This Row],[2014]]*1000)/(NU_cap[[#This Row],[2014]]*8760), 0)</f>
        <v>0</v>
      </c>
      <c r="L152" s="11">
        <f>IFERROR((NU_gen[[#This Row],[2015]]*1000)/(NU_cap[[#This Row],[2015]]*8760), 0)</f>
        <v>0</v>
      </c>
      <c r="M152" s="11">
        <f>IFERROR((NU_gen[[#This Row],[2016]]*1000)/(NU_cap[[#This Row],[2016]]*8760), 0)</f>
        <v>0</v>
      </c>
      <c r="N152" s="11">
        <f>IFERROR((NU_gen[[#This Row],[2017]]*1000)/(NU_cap[[#This Row],[2017]]*8760), 0)</f>
        <v>0</v>
      </c>
      <c r="O152" s="11">
        <f>IFERROR((NU_gen[[#This Row],[2018]]*1000)/(NU_cap[[#This Row],[2018]]*8760), 0)</f>
        <v>0</v>
      </c>
      <c r="P152" s="11">
        <f>IFERROR((NU_gen[[#This Row],[2019]]*1000)/(NU_cap[[#This Row],[2019]]*8760), 0)</f>
        <v>0</v>
      </c>
      <c r="Q152" s="11">
        <f>IFERROR((NU_gen[[#This Row],[2020]]*1000)/(NU_cap[[#This Row],[2020]]*8760), 0)</f>
        <v>0</v>
      </c>
      <c r="R152" s="11">
        <f>IFERROR((NU_gen[[#This Row],[2021]]*1000)/(NU_cap[[#This Row],[2021]]*8760), 0)</f>
        <v>0</v>
      </c>
      <c r="S152" s="11">
        <f>IFERROR((NU_gen[[#This Row],[2022]]*1000)/(NU_cap[[#This Row],[2022]]*8760), 0)</f>
        <v>0</v>
      </c>
      <c r="T152" s="11">
        <f>IFERROR((NU_gen[[#This Row],[2023]]*1000)/(NU_cap[[#This Row],[2023]]*8760), 0)</f>
        <v>0</v>
      </c>
      <c r="U152" s="11">
        <f>IFERROR((NU_gen[[#This Row],[2024]]*1000)/(NU_cap[[#This Row],[2024]]*8760), 0)</f>
        <v>0</v>
      </c>
      <c r="V152" s="11">
        <f>IFERROR((NU_gen[[#This Row],[2025]]*1000)/(NU_cap[[#This Row],[2025]]*8760), 0)</f>
        <v>0</v>
      </c>
      <c r="W152" s="11">
        <f>IFERROR((NU_gen[[#This Row],[2026]]*1000)/(NU_cap[[#This Row],[2026]]*8760), 0)</f>
        <v>0</v>
      </c>
      <c r="X152" s="11">
        <f>IFERROR((NU_gen[[#This Row],[2027]]*1000)/(NU_cap[[#This Row],[2027]]*8760), 0)</f>
        <v>0</v>
      </c>
      <c r="Y152" s="11">
        <f>IFERROR((NU_gen[[#This Row],[2028]]*1000)/(NU_cap[[#This Row],[2028]]*8760), 0)</f>
        <v>0</v>
      </c>
      <c r="Z152" s="11">
        <f>IFERROR((NU_gen[[#This Row],[2029]]*1000)/(NU_cap[[#This Row],[2029]]*8760), 0)</f>
        <v>0</v>
      </c>
      <c r="AA152" s="11">
        <f>IFERROR((NU_gen[[#This Row],[2030]]*1000)/(NU_cap[[#This Row],[2030]]*8760), 0)</f>
        <v>0</v>
      </c>
      <c r="AB152" s="11">
        <f>IFERROR((NU_gen[[#This Row],[2031]]*1000)/(NU_cap[[#This Row],[2031]]*8760), 0)</f>
        <v>0</v>
      </c>
      <c r="AC152" s="11">
        <f>IFERROR((NU_gen[[#This Row],[2032]]*1000)/(NU_cap[[#This Row],[2032]]*8760), 0)</f>
        <v>0</v>
      </c>
      <c r="AD152" s="11">
        <f>IFERROR((NU_gen[[#This Row],[2033]]*1000)/(NU_cap[[#This Row],[2033]]*8760), 0)</f>
        <v>0</v>
      </c>
      <c r="AE152" s="11">
        <f>IFERROR((NU_gen[[#This Row],[2034]]*1000)/(NU_cap[[#This Row],[2034]]*8760), 0)</f>
        <v>0</v>
      </c>
      <c r="AF152" s="11">
        <f>IFERROR((NU_gen[[#This Row],[2035]]*1000)/(NU_cap[[#This Row],[2035]]*8760), 0)</f>
        <v>0</v>
      </c>
      <c r="AG152" s="11">
        <f>IFERROR((NU_gen[[#This Row],[2036]]*1000)/(NU_cap[[#This Row],[2036]]*8760), 0)</f>
        <v>0</v>
      </c>
      <c r="AH152" s="11">
        <f>IFERROR((NU_gen[[#This Row],[2037]]*1000)/(NU_cap[[#This Row],[2037]]*8760), 0)</f>
        <v>0</v>
      </c>
      <c r="AI152" s="11">
        <f>IFERROR((NU_gen[[#This Row],[2038]]*1000)/(NU_cap[[#This Row],[2038]]*8760), 0)</f>
        <v>0</v>
      </c>
      <c r="AJ152" s="11">
        <f>IFERROR((NU_gen[[#This Row],[2039]]*1000)/(NU_cap[[#This Row],[2039]]*8760), 0)</f>
        <v>0</v>
      </c>
      <c r="AK152" s="11">
        <f>IFERROR((NU_gen[[#This Row],[2040]]*1000)/(NU_cap[[#This Row],[2040]]*8760), 0)</f>
        <v>0</v>
      </c>
      <c r="AL152" s="11">
        <f>IFERROR((NU_gen[[#This Row],[2041]]*1000)/(NU_cap[[#This Row],[2041]]*8760), 0)</f>
        <v>0</v>
      </c>
      <c r="AM152" s="11">
        <f>IFERROR((NU_gen[[#This Row],[2042]]*1000)/(NU_cap[[#This Row],[2042]]*8760), 0)</f>
        <v>0</v>
      </c>
      <c r="AN152" s="11">
        <f>IFERROR((NU_gen[[#This Row],[2043]]*1000)/(NU_cap[[#This Row],[2043]]*8760), 0)</f>
        <v>0</v>
      </c>
      <c r="AO152" s="11">
        <f>IFERROR((NU_gen[[#This Row],[2044]]*1000)/(NU_cap[[#This Row],[2044]]*8760), 0)</f>
        <v>0</v>
      </c>
      <c r="AP152" s="11">
        <f>IFERROR((NU_gen[[#This Row],[2045]]*1000)/(NU_cap[[#This Row],[2045]]*8760), 0)</f>
        <v>0</v>
      </c>
      <c r="AQ152" s="11">
        <f>IFERROR((NU_gen[[#This Row],[2046]]*1000)/(NU_cap[[#This Row],[2046]]*8760), 0)</f>
        <v>0</v>
      </c>
      <c r="AR152" s="11">
        <f>IFERROR((NU_gen[[#This Row],[2047]]*1000)/(NU_cap[[#This Row],[2047]]*8760), 0)</f>
        <v>0</v>
      </c>
      <c r="AS152" s="11">
        <f>IFERROR((NU_gen[[#This Row],[2048]]*1000)/(NU_cap[[#This Row],[2048]]*8760), 0)</f>
        <v>0</v>
      </c>
      <c r="AT152" s="11">
        <f>IFERROR((NU_gen[[#This Row],[2049]]*1000)/(NU_cap[[#This Row],[2049]]*8760), 0)</f>
        <v>0</v>
      </c>
      <c r="AU152" s="11">
        <f>IFERROR((NU_gen[[#This Row],[2050]]*1000)/(NU_cap[[#This Row],[2050]]*8760), 0)</f>
        <v>0</v>
      </c>
    </row>
    <row r="153" spans="1:47" x14ac:dyDescent="0.3">
      <c r="A153" s="2" t="s">
        <v>55</v>
      </c>
      <c r="B153" s="11">
        <f>IFERROR((NU_gen[[#This Row],[2005]]*1000)/(NU_cap[[#This Row],[2005]]*8760), 0)</f>
        <v>0</v>
      </c>
      <c r="C153" s="11">
        <f>IFERROR((NU_gen[[#This Row],[2006]]*1000)/(NU_cap[[#This Row],[2006]]*8760), 0)</f>
        <v>0</v>
      </c>
      <c r="D153" s="11">
        <f>IFERROR((NU_gen[[#This Row],[2007]]*1000)/(NU_cap[[#This Row],[2007]]*8760), 0)</f>
        <v>0</v>
      </c>
      <c r="E153" s="11">
        <f>IFERROR((NU_gen[[#This Row],[2008]]*1000)/(NU_cap[[#This Row],[2008]]*8760), 0)</f>
        <v>0</v>
      </c>
      <c r="F153" s="11">
        <f>IFERROR((NU_gen[[#This Row],[2009]]*1000)/(NU_cap[[#This Row],[2009]]*8760), 0)</f>
        <v>0</v>
      </c>
      <c r="G153" s="11">
        <f>IFERROR((NU_gen[[#This Row],[2010]]*1000)/(NU_cap[[#This Row],[2010]]*8760), 0)</f>
        <v>0</v>
      </c>
      <c r="H153" s="11">
        <f>IFERROR((NU_gen[[#This Row],[2011]]*1000)/(NU_cap[[#This Row],[2011]]*8760), 0)</f>
        <v>0</v>
      </c>
      <c r="I153" s="11">
        <f>IFERROR((NU_gen[[#This Row],[2012]]*1000)/(NU_cap[[#This Row],[2012]]*8760), 0)</f>
        <v>0</v>
      </c>
      <c r="J153" s="11">
        <f>IFERROR((NU_gen[[#This Row],[2013]]*1000)/(NU_cap[[#This Row],[2013]]*8760), 0)</f>
        <v>0</v>
      </c>
      <c r="K153" s="11">
        <f>IFERROR((NU_gen[[#This Row],[2014]]*1000)/(NU_cap[[#This Row],[2014]]*8760), 0)</f>
        <v>0</v>
      </c>
      <c r="L153" s="11">
        <f>IFERROR((NU_gen[[#This Row],[2015]]*1000)/(NU_cap[[#This Row],[2015]]*8760), 0)</f>
        <v>0</v>
      </c>
      <c r="M153" s="11">
        <f>IFERROR((NU_gen[[#This Row],[2016]]*1000)/(NU_cap[[#This Row],[2016]]*8760), 0)</f>
        <v>0</v>
      </c>
      <c r="N153" s="11">
        <f>IFERROR((NU_gen[[#This Row],[2017]]*1000)/(NU_cap[[#This Row],[2017]]*8760), 0)</f>
        <v>0</v>
      </c>
      <c r="O153" s="11">
        <f>IFERROR((NU_gen[[#This Row],[2018]]*1000)/(NU_cap[[#This Row],[2018]]*8760), 0)</f>
        <v>0</v>
      </c>
      <c r="P153" s="11">
        <f>IFERROR((NU_gen[[#This Row],[2019]]*1000)/(NU_cap[[#This Row],[2019]]*8760), 0)</f>
        <v>0</v>
      </c>
      <c r="Q153" s="11">
        <f>IFERROR((NU_gen[[#This Row],[2020]]*1000)/(NU_cap[[#This Row],[2020]]*8760), 0)</f>
        <v>0</v>
      </c>
      <c r="R153" s="11">
        <f>IFERROR((NU_gen[[#This Row],[2021]]*1000)/(NU_cap[[#This Row],[2021]]*8760), 0)</f>
        <v>0</v>
      </c>
      <c r="S153" s="11">
        <f>IFERROR((NU_gen[[#This Row],[2022]]*1000)/(NU_cap[[#This Row],[2022]]*8760), 0)</f>
        <v>0</v>
      </c>
      <c r="T153" s="11">
        <f>IFERROR((NU_gen[[#This Row],[2023]]*1000)/(NU_cap[[#This Row],[2023]]*8760), 0)</f>
        <v>0.41095890410958902</v>
      </c>
      <c r="U153" s="11">
        <f>IFERROR((NU_gen[[#This Row],[2024]]*1000)/(NU_cap[[#This Row],[2024]]*8760), 0)</f>
        <v>0.40737756289730503</v>
      </c>
      <c r="V153" s="11">
        <f>IFERROR((NU_gen[[#This Row],[2025]]*1000)/(NU_cap[[#This Row],[2025]]*8760), 0)</f>
        <v>0.39515279241306639</v>
      </c>
      <c r="W153" s="11">
        <f>IFERROR((NU_gen[[#This Row],[2026]]*1000)/(NU_cap[[#This Row],[2026]]*8760), 0)</f>
        <v>0.40120583410914568</v>
      </c>
      <c r="X153" s="11">
        <f>IFERROR((NU_gen[[#This Row],[2027]]*1000)/(NU_cap[[#This Row],[2027]]*8760), 0)</f>
        <v>0.40175569006406853</v>
      </c>
      <c r="Y153" s="11">
        <f>IFERROR((NU_gen[[#This Row],[2028]]*1000)/(NU_cap[[#This Row],[2028]]*8760), 0)</f>
        <v>0.39843865075858004</v>
      </c>
      <c r="Z153" s="11">
        <f>IFERROR((NU_gen[[#This Row],[2029]]*1000)/(NU_cap[[#This Row],[2029]]*8760), 0)</f>
        <v>0.39922803299780518</v>
      </c>
      <c r="AA153" s="11">
        <f>IFERROR((NU_gen[[#This Row],[2030]]*1000)/(NU_cap[[#This Row],[2030]]*8760), 0)</f>
        <v>0.39981911631703182</v>
      </c>
      <c r="AB153" s="11">
        <f>IFERROR((NU_gen[[#This Row],[2031]]*1000)/(NU_cap[[#This Row],[2031]]*8760), 0)</f>
        <v>0.40027828404570132</v>
      </c>
      <c r="AC153" s="11">
        <f>IFERROR((NU_gen[[#This Row],[2032]]*1000)/(NU_cap[[#This Row],[2032]]*8760), 0)</f>
        <v>0.4006452636589623</v>
      </c>
      <c r="AD153" s="11">
        <f>IFERROR((NU_gen[[#This Row],[2033]]*1000)/(NU_cap[[#This Row],[2033]]*8760), 0)</f>
        <v>0.3995433789954338</v>
      </c>
      <c r="AE153" s="11">
        <f>IFERROR((NU_gen[[#This Row],[2034]]*1000)/(NU_cap[[#This Row],[2034]]*8760), 0)</f>
        <v>0.40027514342582837</v>
      </c>
      <c r="AF153" s="11">
        <f>IFERROR((NU_gen[[#This Row],[2035]]*1000)/(NU_cap[[#This Row],[2035]]*8760), 0)</f>
        <v>0.3993750084185288</v>
      </c>
      <c r="AG153" s="11">
        <f>IFERROR((NU_gen[[#This Row],[2036]]*1000)/(NU_cap[[#This Row],[2036]]*8760), 0)</f>
        <v>0.40047907777528258</v>
      </c>
      <c r="AH153" s="11">
        <f>IFERROR((NU_gen[[#This Row],[2037]]*1000)/(NU_cap[[#This Row],[2037]]*8760), 0)</f>
        <v>0.39968861468390904</v>
      </c>
      <c r="AI153" s="11">
        <f>IFERROR((NU_gen[[#This Row],[2038]]*1000)/(NU_cap[[#This Row],[2038]]*8760), 0)</f>
        <v>0.39899978256142637</v>
      </c>
      <c r="AJ153" s="11">
        <f>IFERROR((NU_gen[[#This Row],[2039]]*1000)/(NU_cap[[#This Row],[2039]]*8760), 0)</f>
        <v>0.39992645030798935</v>
      </c>
      <c r="AK153" s="11">
        <f>IFERROR((NU_gen[[#This Row],[2040]]*1000)/(NU_cap[[#This Row],[2040]]*8760), 0)</f>
        <v>0.40074754831127296</v>
      </c>
      <c r="AL153" s="11">
        <f>IFERROR((NU_gen[[#This Row],[2041]]*1000)/(NU_cap[[#This Row],[2041]]*8760), 0)</f>
        <v>0.39931597809674546</v>
      </c>
      <c r="AM153" s="11">
        <f>IFERROR((NU_gen[[#This Row],[2042]]*1000)/(NU_cap[[#This Row],[2042]]*8760), 0)</f>
        <v>0.39932799172912897</v>
      </c>
      <c r="AN153" s="11">
        <f>IFERROR((NU_gen[[#This Row],[2043]]*1000)/(NU_cap[[#This Row],[2043]]*8760), 0)</f>
        <v>0.39933879969231273</v>
      </c>
      <c r="AO153" s="11">
        <f>IFERROR((NU_gen[[#This Row],[2044]]*1000)/(NU_cap[[#This Row],[2044]]*8760), 0)</f>
        <v>0.39934857481259833</v>
      </c>
      <c r="AP153" s="11">
        <f>IFERROR((NU_gen[[#This Row],[2045]]*1000)/(NU_cap[[#This Row],[2045]]*8760), 0)</f>
        <v>0.40047298201775916</v>
      </c>
      <c r="AQ153" s="11">
        <f>IFERROR((NU_gen[[#This Row],[2046]]*1000)/(NU_cap[[#This Row],[2046]]*8760), 0)</f>
        <v>0.39963214668683472</v>
      </c>
      <c r="AR153" s="11">
        <f>IFERROR((NU_gen[[#This Row],[2047]]*1000)/(NU_cap[[#This Row],[2047]]*8760), 0)</f>
        <v>0.40005300065231575</v>
      </c>
      <c r="AS153" s="11">
        <f>IFERROR((NU_gen[[#This Row],[2048]]*1000)/(NU_cap[[#This Row],[2048]]*8760), 0)</f>
        <v>0.40027618731231968</v>
      </c>
      <c r="AT153" s="11">
        <f>IFERROR((NU_gen[[#This Row],[2049]]*1000)/(NU_cap[[#This Row],[2049]]*8760), 0)</f>
        <v>0.39969975605179209</v>
      </c>
      <c r="AU153" s="11">
        <f>IFERROR((NU_gen[[#This Row],[2050]]*1000)/(NU_cap[[#This Row],[2050]]*8760), 0)</f>
        <v>0.39991839624622727</v>
      </c>
    </row>
    <row r="154" spans="1:47" x14ac:dyDescent="0.3">
      <c r="A154" s="2" t="s">
        <v>56</v>
      </c>
      <c r="B154" s="11">
        <f>IFERROR((NU_gen[[#This Row],[2005]]*1000)/(NU_cap[[#This Row],[2005]]*8760), 0)</f>
        <v>0</v>
      </c>
      <c r="C154" s="11">
        <f>IFERROR((NU_gen[[#This Row],[2006]]*1000)/(NU_cap[[#This Row],[2006]]*8760), 0)</f>
        <v>0</v>
      </c>
      <c r="D154" s="11">
        <f>IFERROR((NU_gen[[#This Row],[2007]]*1000)/(NU_cap[[#This Row],[2007]]*8760), 0)</f>
        <v>0</v>
      </c>
      <c r="E154" s="11">
        <f>IFERROR((NU_gen[[#This Row],[2008]]*1000)/(NU_cap[[#This Row],[2008]]*8760), 0)</f>
        <v>0</v>
      </c>
      <c r="F154" s="11">
        <f>IFERROR((NU_gen[[#This Row],[2009]]*1000)/(NU_cap[[#This Row],[2009]]*8760), 0)</f>
        <v>0</v>
      </c>
      <c r="G154" s="11">
        <f>IFERROR((NU_gen[[#This Row],[2010]]*1000)/(NU_cap[[#This Row],[2010]]*8760), 0)</f>
        <v>0</v>
      </c>
      <c r="H154" s="11">
        <f>IFERROR((NU_gen[[#This Row],[2011]]*1000)/(NU_cap[[#This Row],[2011]]*8760), 0)</f>
        <v>0</v>
      </c>
      <c r="I154" s="11">
        <f>IFERROR((NU_gen[[#This Row],[2012]]*1000)/(NU_cap[[#This Row],[2012]]*8760), 0)</f>
        <v>0</v>
      </c>
      <c r="J154" s="11">
        <f>IFERROR((NU_gen[[#This Row],[2013]]*1000)/(NU_cap[[#This Row],[2013]]*8760), 0)</f>
        <v>0</v>
      </c>
      <c r="K154" s="11">
        <f>IFERROR((NU_gen[[#This Row],[2014]]*1000)/(NU_cap[[#This Row],[2014]]*8760), 0)</f>
        <v>0</v>
      </c>
      <c r="L154" s="11">
        <f>IFERROR((NU_gen[[#This Row],[2015]]*1000)/(NU_cap[[#This Row],[2015]]*8760), 0)</f>
        <v>0</v>
      </c>
      <c r="M154" s="11">
        <f>IFERROR((NU_gen[[#This Row],[2016]]*1000)/(NU_cap[[#This Row],[2016]]*8760), 0)</f>
        <v>0</v>
      </c>
      <c r="N154" s="11">
        <f>IFERROR((NU_gen[[#This Row],[2017]]*1000)/(NU_cap[[#This Row],[2017]]*8760), 0)</f>
        <v>0</v>
      </c>
      <c r="O154" s="11">
        <f>IFERROR((NU_gen[[#This Row],[2018]]*1000)/(NU_cap[[#This Row],[2018]]*8760), 0)</f>
        <v>0</v>
      </c>
      <c r="P154" s="11">
        <f>IFERROR((NU_gen[[#This Row],[2019]]*1000)/(NU_cap[[#This Row],[2019]]*8760), 0)</f>
        <v>0</v>
      </c>
      <c r="Q154" s="11">
        <f>IFERROR((NU_gen[[#This Row],[2020]]*1000)/(NU_cap[[#This Row],[2020]]*8760), 0)</f>
        <v>0</v>
      </c>
      <c r="R154" s="11">
        <f>IFERROR((NU_gen[[#This Row],[2021]]*1000)/(NU_cap[[#This Row],[2021]]*8760), 0)</f>
        <v>0</v>
      </c>
      <c r="S154" s="11">
        <f>IFERROR((NU_gen[[#This Row],[2022]]*1000)/(NU_cap[[#This Row],[2022]]*8760), 0)</f>
        <v>0</v>
      </c>
      <c r="T154" s="11">
        <f>IFERROR((NU_gen[[#This Row],[2023]]*1000)/(NU_cap[[#This Row],[2023]]*8760), 0)</f>
        <v>0</v>
      </c>
      <c r="U154" s="11">
        <f>IFERROR((NU_gen[[#This Row],[2024]]*1000)/(NU_cap[[#This Row],[2024]]*8760), 0)</f>
        <v>0</v>
      </c>
      <c r="V154" s="11">
        <f>IFERROR((NU_gen[[#This Row],[2025]]*1000)/(NU_cap[[#This Row],[2025]]*8760), 0)</f>
        <v>0</v>
      </c>
      <c r="W154" s="11">
        <f>IFERROR((NU_gen[[#This Row],[2026]]*1000)/(NU_cap[[#This Row],[2026]]*8760), 0)</f>
        <v>0</v>
      </c>
      <c r="X154" s="11">
        <f>IFERROR((NU_gen[[#This Row],[2027]]*1000)/(NU_cap[[#This Row],[2027]]*8760), 0)</f>
        <v>0</v>
      </c>
      <c r="Y154" s="11">
        <f>IFERROR((NU_gen[[#This Row],[2028]]*1000)/(NU_cap[[#This Row],[2028]]*8760), 0)</f>
        <v>0</v>
      </c>
      <c r="Z154" s="11">
        <f>IFERROR((NU_gen[[#This Row],[2029]]*1000)/(NU_cap[[#This Row],[2029]]*8760), 0)</f>
        <v>0</v>
      </c>
      <c r="AA154" s="11">
        <f>IFERROR((NU_gen[[#This Row],[2030]]*1000)/(NU_cap[[#This Row],[2030]]*8760), 0)</f>
        <v>0</v>
      </c>
      <c r="AB154" s="11">
        <f>IFERROR((NU_gen[[#This Row],[2031]]*1000)/(NU_cap[[#This Row],[2031]]*8760), 0)</f>
        <v>0</v>
      </c>
      <c r="AC154" s="11">
        <f>IFERROR((NU_gen[[#This Row],[2032]]*1000)/(NU_cap[[#This Row],[2032]]*8760), 0)</f>
        <v>0</v>
      </c>
      <c r="AD154" s="11">
        <f>IFERROR((NU_gen[[#This Row],[2033]]*1000)/(NU_cap[[#This Row],[2033]]*8760), 0)</f>
        <v>0</v>
      </c>
      <c r="AE154" s="11">
        <f>IFERROR((NU_gen[[#This Row],[2034]]*1000)/(NU_cap[[#This Row],[2034]]*8760), 0)</f>
        <v>0</v>
      </c>
      <c r="AF154" s="11">
        <f>IFERROR((NU_gen[[#This Row],[2035]]*1000)/(NU_cap[[#This Row],[2035]]*8760), 0)</f>
        <v>0</v>
      </c>
      <c r="AG154" s="11">
        <f>IFERROR((NU_gen[[#This Row],[2036]]*1000)/(NU_cap[[#This Row],[2036]]*8760), 0)</f>
        <v>0</v>
      </c>
      <c r="AH154" s="11">
        <f>IFERROR((NU_gen[[#This Row],[2037]]*1000)/(NU_cap[[#This Row],[2037]]*8760), 0)</f>
        <v>0</v>
      </c>
      <c r="AI154" s="11">
        <f>IFERROR((NU_gen[[#This Row],[2038]]*1000)/(NU_cap[[#This Row],[2038]]*8760), 0)</f>
        <v>0</v>
      </c>
      <c r="AJ154" s="11">
        <f>IFERROR((NU_gen[[#This Row],[2039]]*1000)/(NU_cap[[#This Row],[2039]]*8760), 0)</f>
        <v>0</v>
      </c>
      <c r="AK154" s="11">
        <f>IFERROR((NU_gen[[#This Row],[2040]]*1000)/(NU_cap[[#This Row],[2040]]*8760), 0)</f>
        <v>0</v>
      </c>
      <c r="AL154" s="11">
        <f>IFERROR((NU_gen[[#This Row],[2041]]*1000)/(NU_cap[[#This Row],[2041]]*8760), 0)</f>
        <v>0</v>
      </c>
      <c r="AM154" s="11">
        <f>IFERROR((NU_gen[[#This Row],[2042]]*1000)/(NU_cap[[#This Row],[2042]]*8760), 0)</f>
        <v>0</v>
      </c>
      <c r="AN154" s="11">
        <f>IFERROR((NU_gen[[#This Row],[2043]]*1000)/(NU_cap[[#This Row],[2043]]*8760), 0)</f>
        <v>0</v>
      </c>
      <c r="AO154" s="11">
        <f>IFERROR((NU_gen[[#This Row],[2044]]*1000)/(NU_cap[[#This Row],[2044]]*8760), 0)</f>
        <v>0</v>
      </c>
      <c r="AP154" s="11">
        <f>IFERROR((NU_gen[[#This Row],[2045]]*1000)/(NU_cap[[#This Row],[2045]]*8760), 0)</f>
        <v>0</v>
      </c>
      <c r="AQ154" s="11">
        <f>IFERROR((NU_gen[[#This Row],[2046]]*1000)/(NU_cap[[#This Row],[2046]]*8760), 0)</f>
        <v>0</v>
      </c>
      <c r="AR154" s="11">
        <f>IFERROR((NU_gen[[#This Row],[2047]]*1000)/(NU_cap[[#This Row],[2047]]*8760), 0)</f>
        <v>0</v>
      </c>
      <c r="AS154" s="11">
        <f>IFERROR((NU_gen[[#This Row],[2048]]*1000)/(NU_cap[[#This Row],[2048]]*8760), 0)</f>
        <v>0</v>
      </c>
      <c r="AT154" s="11">
        <f>IFERROR((NU_gen[[#This Row],[2049]]*1000)/(NU_cap[[#This Row],[2049]]*8760), 0)</f>
        <v>0</v>
      </c>
      <c r="AU154" s="11">
        <f>IFERROR((NU_gen[[#This Row],[2050]]*1000)/(NU_cap[[#This Row],[2050]]*8760), 0)</f>
        <v>0</v>
      </c>
    </row>
    <row r="155" spans="1:47" x14ac:dyDescent="0.3">
      <c r="A155" s="2" t="s">
        <v>57</v>
      </c>
      <c r="B155" s="11">
        <f>IFERROR((NU_gen[[#This Row],[2005]]*1000)/(NU_cap[[#This Row],[2005]]*8760), 0)</f>
        <v>0</v>
      </c>
      <c r="C155" s="11">
        <f>IFERROR((NU_gen[[#This Row],[2006]]*1000)/(NU_cap[[#This Row],[2006]]*8760), 0)</f>
        <v>0</v>
      </c>
      <c r="D155" s="11">
        <f>IFERROR((NU_gen[[#This Row],[2007]]*1000)/(NU_cap[[#This Row],[2007]]*8760), 0)</f>
        <v>0</v>
      </c>
      <c r="E155" s="11">
        <f>IFERROR((NU_gen[[#This Row],[2008]]*1000)/(NU_cap[[#This Row],[2008]]*8760), 0)</f>
        <v>0</v>
      </c>
      <c r="F155" s="11">
        <f>IFERROR((NU_gen[[#This Row],[2009]]*1000)/(NU_cap[[#This Row],[2009]]*8760), 0)</f>
        <v>0</v>
      </c>
      <c r="G155" s="11">
        <f>IFERROR((NU_gen[[#This Row],[2010]]*1000)/(NU_cap[[#This Row],[2010]]*8760), 0)</f>
        <v>0</v>
      </c>
      <c r="H155" s="11">
        <f>IFERROR((NU_gen[[#This Row],[2011]]*1000)/(NU_cap[[#This Row],[2011]]*8760), 0)</f>
        <v>0</v>
      </c>
      <c r="I155" s="11">
        <f>IFERROR((NU_gen[[#This Row],[2012]]*1000)/(NU_cap[[#This Row],[2012]]*8760), 0)</f>
        <v>0</v>
      </c>
      <c r="J155" s="11">
        <f>IFERROR((NU_gen[[#This Row],[2013]]*1000)/(NU_cap[[#This Row],[2013]]*8760), 0)</f>
        <v>0</v>
      </c>
      <c r="K155" s="11">
        <f>IFERROR((NU_gen[[#This Row],[2014]]*1000)/(NU_cap[[#This Row],[2014]]*8760), 0)</f>
        <v>0</v>
      </c>
      <c r="L155" s="11">
        <f>IFERROR((NU_gen[[#This Row],[2015]]*1000)/(NU_cap[[#This Row],[2015]]*8760), 0)</f>
        <v>0</v>
      </c>
      <c r="M155" s="11">
        <f>IFERROR((NU_gen[[#This Row],[2016]]*1000)/(NU_cap[[#This Row],[2016]]*8760), 0)</f>
        <v>0</v>
      </c>
      <c r="N155" s="11">
        <f>IFERROR((NU_gen[[#This Row],[2017]]*1000)/(NU_cap[[#This Row],[2017]]*8760), 0)</f>
        <v>0</v>
      </c>
      <c r="O155" s="11">
        <f>IFERROR((NU_gen[[#This Row],[2018]]*1000)/(NU_cap[[#This Row],[2018]]*8760), 0)</f>
        <v>0</v>
      </c>
      <c r="P155" s="11">
        <f>IFERROR((NU_gen[[#This Row],[2019]]*1000)/(NU_cap[[#This Row],[2019]]*8760), 0)</f>
        <v>0</v>
      </c>
      <c r="Q155" s="11">
        <f>IFERROR((NU_gen[[#This Row],[2020]]*1000)/(NU_cap[[#This Row],[2020]]*8760), 0)</f>
        <v>0</v>
      </c>
      <c r="R155" s="11">
        <f>IFERROR((NU_gen[[#This Row],[2021]]*1000)/(NU_cap[[#This Row],[2021]]*8760), 0)</f>
        <v>0</v>
      </c>
      <c r="S155" s="11">
        <f>IFERROR((NU_gen[[#This Row],[2022]]*1000)/(NU_cap[[#This Row],[2022]]*8760), 0)</f>
        <v>0.17320107069752796</v>
      </c>
      <c r="T155" s="11">
        <f>IFERROR((NU_gen[[#This Row],[2023]]*1000)/(NU_cap[[#This Row],[2023]]*8760), 0)</f>
        <v>0.19510170195101703</v>
      </c>
      <c r="U155" s="11">
        <f>IFERROR((NU_gen[[#This Row],[2024]]*1000)/(NU_cap[[#This Row],[2024]]*8760), 0)</f>
        <v>0.20012402051975872</v>
      </c>
      <c r="V155" s="11">
        <f>IFERROR((NU_gen[[#This Row],[2025]]*1000)/(NU_cap[[#This Row],[2025]]*8760), 0)</f>
        <v>0.19843810011522212</v>
      </c>
      <c r="W155" s="11">
        <f>IFERROR((NU_gen[[#This Row],[2026]]*1000)/(NU_cap[[#This Row],[2026]]*8760), 0)</f>
        <v>0.20236612702366125</v>
      </c>
      <c r="X155" s="11">
        <f>IFERROR((NU_gen[[#This Row],[2027]]*1000)/(NU_cap[[#This Row],[2027]]*8760), 0)</f>
        <v>0.20374544823998611</v>
      </c>
      <c r="Y155" s="11">
        <f>IFERROR((NU_gen[[#This Row],[2028]]*1000)/(NU_cap[[#This Row],[2028]]*8760), 0)</f>
        <v>0.20287373436569384</v>
      </c>
      <c r="Z155" s="11">
        <f>IFERROR((NU_gen[[#This Row],[2029]]*1000)/(NU_cap[[#This Row],[2029]]*8760), 0)</f>
        <v>0.20384866275277233</v>
      </c>
      <c r="AA155" s="11">
        <f>IFERROR((NU_gen[[#This Row],[2030]]*1000)/(NU_cap[[#This Row],[2030]]*8760), 0)</f>
        <v>0.20460877641049455</v>
      </c>
      <c r="AB155" s="11">
        <f>IFERROR((NU_gen[[#This Row],[2031]]*1000)/(NU_cap[[#This Row],[2031]]*8760), 0)</f>
        <v>0.20443773113182978</v>
      </c>
      <c r="AC155" s="11">
        <f>IFERROR((NU_gen[[#This Row],[2032]]*1000)/(NU_cap[[#This Row],[2032]]*8760), 0)</f>
        <v>0.20500545101199222</v>
      </c>
      <c r="AD155" s="11">
        <f>IFERROR((NU_gen[[#This Row],[2033]]*1000)/(NU_cap[[#This Row],[2033]]*8760), 0)</f>
        <v>0.20482920062424137</v>
      </c>
      <c r="AE155" s="11">
        <f>IFERROR((NU_gen[[#This Row],[2034]]*1000)/(NU_cap[[#This Row],[2034]]*8760), 0)</f>
        <v>0.20527917968437073</v>
      </c>
      <c r="AF155" s="11">
        <f>IFERROR((NU_gen[[#This Row],[2035]]*1000)/(NU_cap[[#This Row],[2035]]*8760), 0)</f>
        <v>0.20479885164148445</v>
      </c>
      <c r="AG155" s="11">
        <f>IFERROR((NU_gen[[#This Row],[2036]]*1000)/(NU_cap[[#This Row],[2036]]*8760), 0)</f>
        <v>0.20553710622203775</v>
      </c>
      <c r="AH155" s="11">
        <f>IFERROR((NU_gen[[#This Row],[2037]]*1000)/(NU_cap[[#This Row],[2037]]*8760), 0)</f>
        <v>0.20537150382676467</v>
      </c>
      <c r="AI155" s="11">
        <f>IFERROR((NU_gen[[#This Row],[2038]]*1000)/(NU_cap[[#This Row],[2038]]*8760), 0)</f>
        <v>0.20522577371892439</v>
      </c>
      <c r="AJ155" s="11">
        <f>IFERROR((NU_gen[[#This Row],[2039]]*1000)/(NU_cap[[#This Row],[2039]]*8760), 0)</f>
        <v>0.2053839246479815</v>
      </c>
      <c r="AK155" s="11">
        <f>IFERROR((NU_gen[[#This Row],[2040]]*1000)/(NU_cap[[#This Row],[2040]]*8760), 0)</f>
        <v>0.20593155205931551</v>
      </c>
      <c r="AL155" s="11">
        <f>IFERROR((NU_gen[[#This Row],[2041]]*1000)/(NU_cap[[#This Row],[2041]]*8760), 0)</f>
        <v>0.20539378207269954</v>
      </c>
      <c r="AM155" s="11">
        <f>IFERROR((NU_gen[[#This Row],[2042]]*1000)/(NU_cap[[#This Row],[2042]]*8760), 0)</f>
        <v>0.205520149114025</v>
      </c>
      <c r="AN155" s="11">
        <f>IFERROR((NU_gen[[#This Row],[2043]]*1000)/(NU_cap[[#This Row],[2043]]*8760), 0)</f>
        <v>0.20563450163189681</v>
      </c>
      <c r="AO155" s="11">
        <f>IFERROR((NU_gen[[#This Row],[2044]]*1000)/(NU_cap[[#This Row],[2044]]*8760), 0)</f>
        <v>0.2057384753150833</v>
      </c>
      <c r="AP155" s="11">
        <f>IFERROR((NU_gen[[#This Row],[2045]]*1000)/(NU_cap[[#This Row],[2045]]*8760), 0)</f>
        <v>0.20622163789812969</v>
      </c>
      <c r="AQ155" s="11">
        <f>IFERROR((NU_gen[[#This Row],[2046]]*1000)/(NU_cap[[#This Row],[2046]]*8760), 0)</f>
        <v>0.20598680872653474</v>
      </c>
      <c r="AR155" s="11">
        <f>IFERROR((NU_gen[[#This Row],[2047]]*1000)/(NU_cap[[#This Row],[2047]]*8760), 0)</f>
        <v>0.20625778331257782</v>
      </c>
      <c r="AS155" s="11">
        <f>IFERROR((NU_gen[[#This Row],[2048]]*1000)/(NU_cap[[#This Row],[2048]]*8760), 0)</f>
        <v>0.20622597140830876</v>
      </c>
      <c r="AT155" s="11">
        <f>IFERROR((NU_gen[[#This Row],[2049]]*1000)/(NU_cap[[#This Row],[2049]]*8760), 0)</f>
        <v>0.20601806136555412</v>
      </c>
      <c r="AU155" s="11">
        <f>IFERROR((NU_gen[[#This Row],[2050]]*1000)/(NU_cap[[#This Row],[2050]]*8760), 0)</f>
        <v>0.20616955936648146</v>
      </c>
    </row>
    <row r="156" spans="1:47" x14ac:dyDescent="0.3">
      <c r="A156" s="2" t="s">
        <v>58</v>
      </c>
      <c r="B156" s="11">
        <f>IFERROR((NU_gen[[#This Row],[2005]]*1000)/(NU_cap[[#This Row],[2005]]*8760), 0)</f>
        <v>0</v>
      </c>
      <c r="C156" s="11">
        <f>IFERROR((NU_gen[[#This Row],[2006]]*1000)/(NU_cap[[#This Row],[2006]]*8760), 0)</f>
        <v>0</v>
      </c>
      <c r="D156" s="11">
        <f>IFERROR((NU_gen[[#This Row],[2007]]*1000)/(NU_cap[[#This Row],[2007]]*8760), 0)</f>
        <v>0</v>
      </c>
      <c r="E156" s="11">
        <f>IFERROR((NU_gen[[#This Row],[2008]]*1000)/(NU_cap[[#This Row],[2008]]*8760), 0)</f>
        <v>0</v>
      </c>
      <c r="F156" s="11">
        <f>IFERROR((NU_gen[[#This Row],[2009]]*1000)/(NU_cap[[#This Row],[2009]]*8760), 0)</f>
        <v>0</v>
      </c>
      <c r="G156" s="11">
        <f>IFERROR((NU_gen[[#This Row],[2010]]*1000)/(NU_cap[[#This Row],[2010]]*8760), 0)</f>
        <v>0</v>
      </c>
      <c r="H156" s="11">
        <f>IFERROR((NU_gen[[#This Row],[2011]]*1000)/(NU_cap[[#This Row],[2011]]*8760), 0)</f>
        <v>0</v>
      </c>
      <c r="I156" s="11">
        <f>IFERROR((NU_gen[[#This Row],[2012]]*1000)/(NU_cap[[#This Row],[2012]]*8760), 0)</f>
        <v>0</v>
      </c>
      <c r="J156" s="11">
        <f>IFERROR((NU_gen[[#This Row],[2013]]*1000)/(NU_cap[[#This Row],[2013]]*8760), 0)</f>
        <v>0</v>
      </c>
      <c r="K156" s="11">
        <f>IFERROR((NU_gen[[#This Row],[2014]]*1000)/(NU_cap[[#This Row],[2014]]*8760), 0)</f>
        <v>0</v>
      </c>
      <c r="L156" s="11">
        <f>IFERROR((NU_gen[[#This Row],[2015]]*1000)/(NU_cap[[#This Row],[2015]]*8760), 0)</f>
        <v>0</v>
      </c>
      <c r="M156" s="11">
        <f>IFERROR((NU_gen[[#This Row],[2016]]*1000)/(NU_cap[[#This Row],[2016]]*8760), 0)</f>
        <v>0</v>
      </c>
      <c r="N156" s="11">
        <f>IFERROR((NU_gen[[#This Row],[2017]]*1000)/(NU_cap[[#This Row],[2017]]*8760), 0)</f>
        <v>0</v>
      </c>
      <c r="O156" s="11">
        <f>IFERROR((NU_gen[[#This Row],[2018]]*1000)/(NU_cap[[#This Row],[2018]]*8760), 0)</f>
        <v>0</v>
      </c>
      <c r="P156" s="11">
        <f>IFERROR((NU_gen[[#This Row],[2019]]*1000)/(NU_cap[[#This Row],[2019]]*8760), 0)</f>
        <v>0</v>
      </c>
      <c r="Q156" s="11">
        <f>IFERROR((NU_gen[[#This Row],[2020]]*1000)/(NU_cap[[#This Row],[2020]]*8760), 0)</f>
        <v>0</v>
      </c>
      <c r="R156" s="11">
        <f>IFERROR((NU_gen[[#This Row],[2021]]*1000)/(NU_cap[[#This Row],[2021]]*8760), 0)</f>
        <v>0</v>
      </c>
      <c r="S156" s="11">
        <f>IFERROR((NU_gen[[#This Row],[2022]]*1000)/(NU_cap[[#This Row],[2022]]*8760), 0)</f>
        <v>0</v>
      </c>
      <c r="T156" s="11">
        <f>IFERROR((NU_gen[[#This Row],[2023]]*1000)/(NU_cap[[#This Row],[2023]]*8760), 0)</f>
        <v>0</v>
      </c>
      <c r="U156" s="11">
        <f>IFERROR((NU_gen[[#This Row],[2024]]*1000)/(NU_cap[[#This Row],[2024]]*8760), 0)</f>
        <v>0</v>
      </c>
      <c r="V156" s="11">
        <f>IFERROR((NU_gen[[#This Row],[2025]]*1000)/(NU_cap[[#This Row],[2025]]*8760), 0)</f>
        <v>0</v>
      </c>
      <c r="W156" s="11">
        <f>IFERROR((NU_gen[[#This Row],[2026]]*1000)/(NU_cap[[#This Row],[2026]]*8760), 0)</f>
        <v>0</v>
      </c>
      <c r="X156" s="11">
        <f>IFERROR((NU_gen[[#This Row],[2027]]*1000)/(NU_cap[[#This Row],[2027]]*8760), 0)</f>
        <v>0</v>
      </c>
      <c r="Y156" s="11">
        <f>IFERROR((NU_gen[[#This Row],[2028]]*1000)/(NU_cap[[#This Row],[2028]]*8760), 0)</f>
        <v>0</v>
      </c>
      <c r="Z156" s="11">
        <f>IFERROR((NU_gen[[#This Row],[2029]]*1000)/(NU_cap[[#This Row],[2029]]*8760), 0)</f>
        <v>0</v>
      </c>
      <c r="AA156" s="11">
        <f>IFERROR((NU_gen[[#This Row],[2030]]*1000)/(NU_cap[[#This Row],[2030]]*8760), 0)</f>
        <v>0</v>
      </c>
      <c r="AB156" s="11">
        <f>IFERROR((NU_gen[[#This Row],[2031]]*1000)/(NU_cap[[#This Row],[2031]]*8760), 0)</f>
        <v>0</v>
      </c>
      <c r="AC156" s="11">
        <f>IFERROR((NU_gen[[#This Row],[2032]]*1000)/(NU_cap[[#This Row],[2032]]*8760), 0)</f>
        <v>0</v>
      </c>
      <c r="AD156" s="11">
        <f>IFERROR((NU_gen[[#This Row],[2033]]*1000)/(NU_cap[[#This Row],[2033]]*8760), 0)</f>
        <v>0</v>
      </c>
      <c r="AE156" s="11">
        <f>IFERROR((NU_gen[[#This Row],[2034]]*1000)/(NU_cap[[#This Row],[2034]]*8760), 0)</f>
        <v>0</v>
      </c>
      <c r="AF156" s="11">
        <f>IFERROR((NU_gen[[#This Row],[2035]]*1000)/(NU_cap[[#This Row],[2035]]*8760), 0)</f>
        <v>0</v>
      </c>
      <c r="AG156" s="11">
        <f>IFERROR((NU_gen[[#This Row],[2036]]*1000)/(NU_cap[[#This Row],[2036]]*8760), 0)</f>
        <v>0</v>
      </c>
      <c r="AH156" s="11">
        <f>IFERROR((NU_gen[[#This Row],[2037]]*1000)/(NU_cap[[#This Row],[2037]]*8760), 0)</f>
        <v>0</v>
      </c>
      <c r="AI156" s="11">
        <f>IFERROR((NU_gen[[#This Row],[2038]]*1000)/(NU_cap[[#This Row],[2038]]*8760), 0)</f>
        <v>0</v>
      </c>
      <c r="AJ156" s="11">
        <f>IFERROR((NU_gen[[#This Row],[2039]]*1000)/(NU_cap[[#This Row],[2039]]*8760), 0)</f>
        <v>0</v>
      </c>
      <c r="AK156" s="11">
        <f>IFERROR((NU_gen[[#This Row],[2040]]*1000)/(NU_cap[[#This Row],[2040]]*8760), 0)</f>
        <v>0</v>
      </c>
      <c r="AL156" s="11">
        <f>IFERROR((NU_gen[[#This Row],[2041]]*1000)/(NU_cap[[#This Row],[2041]]*8760), 0)</f>
        <v>0</v>
      </c>
      <c r="AM156" s="11">
        <f>IFERROR((NU_gen[[#This Row],[2042]]*1000)/(NU_cap[[#This Row],[2042]]*8760), 0)</f>
        <v>0</v>
      </c>
      <c r="AN156" s="11">
        <f>IFERROR((NU_gen[[#This Row],[2043]]*1000)/(NU_cap[[#This Row],[2043]]*8760), 0)</f>
        <v>0</v>
      </c>
      <c r="AO156" s="11">
        <f>IFERROR((NU_gen[[#This Row],[2044]]*1000)/(NU_cap[[#This Row],[2044]]*8760), 0)</f>
        <v>0</v>
      </c>
      <c r="AP156" s="11">
        <f>IFERROR((NU_gen[[#This Row],[2045]]*1000)/(NU_cap[[#This Row],[2045]]*8760), 0)</f>
        <v>0</v>
      </c>
      <c r="AQ156" s="11">
        <f>IFERROR((NU_gen[[#This Row],[2046]]*1000)/(NU_cap[[#This Row],[2046]]*8760), 0)</f>
        <v>0</v>
      </c>
      <c r="AR156" s="11">
        <f>IFERROR((NU_gen[[#This Row],[2047]]*1000)/(NU_cap[[#This Row],[2047]]*8760), 0)</f>
        <v>0</v>
      </c>
      <c r="AS156" s="11">
        <f>IFERROR((NU_gen[[#This Row],[2048]]*1000)/(NU_cap[[#This Row],[2048]]*8760), 0)</f>
        <v>0</v>
      </c>
      <c r="AT156" s="11">
        <f>IFERROR((NU_gen[[#This Row],[2049]]*1000)/(NU_cap[[#This Row],[2049]]*8760), 0)</f>
        <v>0</v>
      </c>
      <c r="AU156" s="11">
        <f>IFERROR((NU_gen[[#This Row],[2050]]*1000)/(NU_cap[[#This Row],[2050]]*8760), 0)</f>
        <v>0</v>
      </c>
    </row>
    <row r="157" spans="1:47" x14ac:dyDescent="0.3">
      <c r="A157" s="2" t="s">
        <v>59</v>
      </c>
      <c r="B157" s="11">
        <f>IFERROR((NU_gen[[#This Row],[2005]]*1000)/(NU_cap[[#This Row],[2005]]*8760), 0)</f>
        <v>0</v>
      </c>
      <c r="C157" s="11">
        <f>IFERROR((NU_gen[[#This Row],[2006]]*1000)/(NU_cap[[#This Row],[2006]]*8760), 0)</f>
        <v>0</v>
      </c>
      <c r="D157" s="11">
        <f>IFERROR((NU_gen[[#This Row],[2007]]*1000)/(NU_cap[[#This Row],[2007]]*8760), 0)</f>
        <v>0</v>
      </c>
      <c r="E157" s="11">
        <f>IFERROR((NU_gen[[#This Row],[2008]]*1000)/(NU_cap[[#This Row],[2008]]*8760), 0)</f>
        <v>0</v>
      </c>
      <c r="F157" s="11">
        <f>IFERROR((NU_gen[[#This Row],[2009]]*1000)/(NU_cap[[#This Row],[2009]]*8760), 0)</f>
        <v>0</v>
      </c>
      <c r="G157" s="11">
        <f>IFERROR((NU_gen[[#This Row],[2010]]*1000)/(NU_cap[[#This Row],[2010]]*8760), 0)</f>
        <v>0</v>
      </c>
      <c r="H157" s="11">
        <f>IFERROR((NU_gen[[#This Row],[2011]]*1000)/(NU_cap[[#This Row],[2011]]*8760), 0)</f>
        <v>0</v>
      </c>
      <c r="I157" s="11">
        <f>IFERROR((NU_gen[[#This Row],[2012]]*1000)/(NU_cap[[#This Row],[2012]]*8760), 0)</f>
        <v>0</v>
      </c>
      <c r="J157" s="11">
        <f>IFERROR((NU_gen[[#This Row],[2013]]*1000)/(NU_cap[[#This Row],[2013]]*8760), 0)</f>
        <v>0</v>
      </c>
      <c r="K157" s="11">
        <f>IFERROR((NU_gen[[#This Row],[2014]]*1000)/(NU_cap[[#This Row],[2014]]*8760), 0)</f>
        <v>0</v>
      </c>
      <c r="L157" s="11">
        <f>IFERROR((NU_gen[[#This Row],[2015]]*1000)/(NU_cap[[#This Row],[2015]]*8760), 0)</f>
        <v>0</v>
      </c>
      <c r="M157" s="11">
        <f>IFERROR((NU_gen[[#This Row],[2016]]*1000)/(NU_cap[[#This Row],[2016]]*8760), 0)</f>
        <v>0</v>
      </c>
      <c r="N157" s="11">
        <f>IFERROR((NU_gen[[#This Row],[2017]]*1000)/(NU_cap[[#This Row],[2017]]*8760), 0)</f>
        <v>0</v>
      </c>
      <c r="O157" s="11">
        <f>IFERROR((NU_gen[[#This Row],[2018]]*1000)/(NU_cap[[#This Row],[2018]]*8760), 0)</f>
        <v>0</v>
      </c>
      <c r="P157" s="11">
        <f>IFERROR((NU_gen[[#This Row],[2019]]*1000)/(NU_cap[[#This Row],[2019]]*8760), 0)</f>
        <v>0</v>
      </c>
      <c r="Q157" s="11">
        <f>IFERROR((NU_gen[[#This Row],[2020]]*1000)/(NU_cap[[#This Row],[2020]]*8760), 0)</f>
        <v>0</v>
      </c>
      <c r="R157" s="11">
        <f>IFERROR((NU_gen[[#This Row],[2021]]*1000)/(NU_cap[[#This Row],[2021]]*8760), 0)</f>
        <v>0</v>
      </c>
      <c r="S157" s="11">
        <f>IFERROR((NU_gen[[#This Row],[2022]]*1000)/(NU_cap[[#This Row],[2022]]*8760), 0)</f>
        <v>0</v>
      </c>
      <c r="T157" s="11">
        <f>IFERROR((NU_gen[[#This Row],[2023]]*1000)/(NU_cap[[#This Row],[2023]]*8760), 0)</f>
        <v>0</v>
      </c>
      <c r="U157" s="11">
        <f>IFERROR((NU_gen[[#This Row],[2024]]*1000)/(NU_cap[[#This Row],[2024]]*8760), 0)</f>
        <v>0</v>
      </c>
      <c r="V157" s="11">
        <f>IFERROR((NU_gen[[#This Row],[2025]]*1000)/(NU_cap[[#This Row],[2025]]*8760), 0)</f>
        <v>0</v>
      </c>
      <c r="W157" s="11">
        <f>IFERROR((NU_gen[[#This Row],[2026]]*1000)/(NU_cap[[#This Row],[2026]]*8760), 0)</f>
        <v>0</v>
      </c>
      <c r="X157" s="11">
        <f>IFERROR((NU_gen[[#This Row],[2027]]*1000)/(NU_cap[[#This Row],[2027]]*8760), 0)</f>
        <v>0</v>
      </c>
      <c r="Y157" s="11">
        <f>IFERROR((NU_gen[[#This Row],[2028]]*1000)/(NU_cap[[#This Row],[2028]]*8760), 0)</f>
        <v>0</v>
      </c>
      <c r="Z157" s="11">
        <f>IFERROR((NU_gen[[#This Row],[2029]]*1000)/(NU_cap[[#This Row],[2029]]*8760), 0)</f>
        <v>0</v>
      </c>
      <c r="AA157" s="11">
        <f>IFERROR((NU_gen[[#This Row],[2030]]*1000)/(NU_cap[[#This Row],[2030]]*8760), 0)</f>
        <v>0</v>
      </c>
      <c r="AB157" s="11">
        <f>IFERROR((NU_gen[[#This Row],[2031]]*1000)/(NU_cap[[#This Row],[2031]]*8760), 0)</f>
        <v>0</v>
      </c>
      <c r="AC157" s="11">
        <f>IFERROR((NU_gen[[#This Row],[2032]]*1000)/(NU_cap[[#This Row],[2032]]*8760), 0)</f>
        <v>0</v>
      </c>
      <c r="AD157" s="11">
        <f>IFERROR((NU_gen[[#This Row],[2033]]*1000)/(NU_cap[[#This Row],[2033]]*8760), 0)</f>
        <v>0</v>
      </c>
      <c r="AE157" s="11">
        <f>IFERROR((NU_gen[[#This Row],[2034]]*1000)/(NU_cap[[#This Row],[2034]]*8760), 0)</f>
        <v>0</v>
      </c>
      <c r="AF157" s="11">
        <f>IFERROR((NU_gen[[#This Row],[2035]]*1000)/(NU_cap[[#This Row],[2035]]*8760), 0)</f>
        <v>0</v>
      </c>
      <c r="AG157" s="11">
        <f>IFERROR((NU_gen[[#This Row],[2036]]*1000)/(NU_cap[[#This Row],[2036]]*8760), 0)</f>
        <v>0</v>
      </c>
      <c r="AH157" s="11">
        <f>IFERROR((NU_gen[[#This Row],[2037]]*1000)/(NU_cap[[#This Row],[2037]]*8760), 0)</f>
        <v>0</v>
      </c>
      <c r="AI157" s="11">
        <f>IFERROR((NU_gen[[#This Row],[2038]]*1000)/(NU_cap[[#This Row],[2038]]*8760), 0)</f>
        <v>0</v>
      </c>
      <c r="AJ157" s="11">
        <f>IFERROR((NU_gen[[#This Row],[2039]]*1000)/(NU_cap[[#This Row],[2039]]*8760), 0)</f>
        <v>0</v>
      </c>
      <c r="AK157" s="11">
        <f>IFERROR((NU_gen[[#This Row],[2040]]*1000)/(NU_cap[[#This Row],[2040]]*8760), 0)</f>
        <v>0</v>
      </c>
      <c r="AL157" s="11">
        <f>IFERROR((NU_gen[[#This Row],[2041]]*1000)/(NU_cap[[#This Row],[2041]]*8760), 0)</f>
        <v>0</v>
      </c>
      <c r="AM157" s="11">
        <f>IFERROR((NU_gen[[#This Row],[2042]]*1000)/(NU_cap[[#This Row],[2042]]*8760), 0)</f>
        <v>0</v>
      </c>
      <c r="AN157" s="11">
        <f>IFERROR((NU_gen[[#This Row],[2043]]*1000)/(NU_cap[[#This Row],[2043]]*8760), 0)</f>
        <v>0</v>
      </c>
      <c r="AO157" s="11">
        <f>IFERROR((NU_gen[[#This Row],[2044]]*1000)/(NU_cap[[#This Row],[2044]]*8760), 0)</f>
        <v>0</v>
      </c>
      <c r="AP157" s="11">
        <f>IFERROR((NU_gen[[#This Row],[2045]]*1000)/(NU_cap[[#This Row],[2045]]*8760), 0)</f>
        <v>0</v>
      </c>
      <c r="AQ157" s="11">
        <f>IFERROR((NU_gen[[#This Row],[2046]]*1000)/(NU_cap[[#This Row],[2046]]*8760), 0)</f>
        <v>0</v>
      </c>
      <c r="AR157" s="11">
        <f>IFERROR((NU_gen[[#This Row],[2047]]*1000)/(NU_cap[[#This Row],[2047]]*8760), 0)</f>
        <v>0</v>
      </c>
      <c r="AS157" s="11">
        <f>IFERROR((NU_gen[[#This Row],[2048]]*1000)/(NU_cap[[#This Row],[2048]]*8760), 0)</f>
        <v>0</v>
      </c>
      <c r="AT157" s="11">
        <f>IFERROR((NU_gen[[#This Row],[2049]]*1000)/(NU_cap[[#This Row],[2049]]*8760), 0)</f>
        <v>0</v>
      </c>
      <c r="AU157" s="11">
        <f>IFERROR((NU_gen[[#This Row],[2050]]*1000)/(NU_cap[[#This Row],[2050]]*8760), 0)</f>
        <v>0</v>
      </c>
    </row>
    <row r="158" spans="1:47" x14ac:dyDescent="0.3">
      <c r="A158" s="2" t="s">
        <v>60</v>
      </c>
      <c r="B158" s="11">
        <f>IFERROR((NU_gen[[#This Row],[2005]]*1000)/(NU_cap[[#This Row],[2005]]*8760), 0)</f>
        <v>0</v>
      </c>
      <c r="C158" s="11">
        <f>IFERROR((NU_gen[[#This Row],[2006]]*1000)/(NU_cap[[#This Row],[2006]]*8760), 0)</f>
        <v>0</v>
      </c>
      <c r="D158" s="11">
        <f>IFERROR((NU_gen[[#This Row],[2007]]*1000)/(NU_cap[[#This Row],[2007]]*8760), 0)</f>
        <v>0</v>
      </c>
      <c r="E158" s="11">
        <f>IFERROR((NU_gen[[#This Row],[2008]]*1000)/(NU_cap[[#This Row],[2008]]*8760), 0)</f>
        <v>0</v>
      </c>
      <c r="F158" s="11">
        <f>IFERROR((NU_gen[[#This Row],[2009]]*1000)/(NU_cap[[#This Row],[2009]]*8760), 0)</f>
        <v>0</v>
      </c>
      <c r="G158" s="11">
        <f>IFERROR((NU_gen[[#This Row],[2010]]*1000)/(NU_cap[[#This Row],[2010]]*8760), 0)</f>
        <v>0</v>
      </c>
      <c r="H158" s="11">
        <f>IFERROR((NU_gen[[#This Row],[2011]]*1000)/(NU_cap[[#This Row],[2011]]*8760), 0)</f>
        <v>0</v>
      </c>
      <c r="I158" s="11">
        <f>IFERROR((NU_gen[[#This Row],[2012]]*1000)/(NU_cap[[#This Row],[2012]]*8760), 0)</f>
        <v>0</v>
      </c>
      <c r="J158" s="11">
        <f>IFERROR((NU_gen[[#This Row],[2013]]*1000)/(NU_cap[[#This Row],[2013]]*8760), 0)</f>
        <v>0</v>
      </c>
      <c r="K158" s="11">
        <f>IFERROR((NU_gen[[#This Row],[2014]]*1000)/(NU_cap[[#This Row],[2014]]*8760), 0)</f>
        <v>0</v>
      </c>
      <c r="L158" s="11">
        <f>IFERROR((NU_gen[[#This Row],[2015]]*1000)/(NU_cap[[#This Row],[2015]]*8760), 0)</f>
        <v>0</v>
      </c>
      <c r="M158" s="11">
        <f>IFERROR((NU_gen[[#This Row],[2016]]*1000)/(NU_cap[[#This Row],[2016]]*8760), 0)</f>
        <v>0</v>
      </c>
      <c r="N158" s="11">
        <f>IFERROR((NU_gen[[#This Row],[2017]]*1000)/(NU_cap[[#This Row],[2017]]*8760), 0)</f>
        <v>0</v>
      </c>
      <c r="O158" s="11">
        <f>IFERROR((NU_gen[[#This Row],[2018]]*1000)/(NU_cap[[#This Row],[2018]]*8760), 0)</f>
        <v>0</v>
      </c>
      <c r="P158" s="11">
        <f>IFERROR((NU_gen[[#This Row],[2019]]*1000)/(NU_cap[[#This Row],[2019]]*8760), 0)</f>
        <v>0</v>
      </c>
      <c r="Q158" s="11">
        <f>IFERROR((NU_gen[[#This Row],[2020]]*1000)/(NU_cap[[#This Row],[2020]]*8760), 0)</f>
        <v>0</v>
      </c>
      <c r="R158" s="11">
        <f>IFERROR((NU_gen[[#This Row],[2021]]*1000)/(NU_cap[[#This Row],[2021]]*8760), 0)</f>
        <v>0</v>
      </c>
      <c r="S158" s="11">
        <f>IFERROR((NU_gen[[#This Row],[2022]]*1000)/(NU_cap[[#This Row],[2022]]*8760), 0)</f>
        <v>0</v>
      </c>
      <c r="T158" s="11">
        <f>IFERROR((NU_gen[[#This Row],[2023]]*1000)/(NU_cap[[#This Row],[2023]]*8760), 0)</f>
        <v>0</v>
      </c>
      <c r="U158" s="11">
        <f>IFERROR((NU_gen[[#This Row],[2024]]*1000)/(NU_cap[[#This Row],[2024]]*8760), 0)</f>
        <v>0</v>
      </c>
      <c r="V158" s="11">
        <f>IFERROR((NU_gen[[#This Row],[2025]]*1000)/(NU_cap[[#This Row],[2025]]*8760), 0)</f>
        <v>0</v>
      </c>
      <c r="W158" s="11">
        <f>IFERROR((NU_gen[[#This Row],[2026]]*1000)/(NU_cap[[#This Row],[2026]]*8760), 0)</f>
        <v>0</v>
      </c>
      <c r="X158" s="11">
        <f>IFERROR((NU_gen[[#This Row],[2027]]*1000)/(NU_cap[[#This Row],[2027]]*8760), 0)</f>
        <v>0</v>
      </c>
      <c r="Y158" s="11">
        <f>IFERROR((NU_gen[[#This Row],[2028]]*1000)/(NU_cap[[#This Row],[2028]]*8760), 0)</f>
        <v>0</v>
      </c>
      <c r="Z158" s="11">
        <f>IFERROR((NU_gen[[#This Row],[2029]]*1000)/(NU_cap[[#This Row],[2029]]*8760), 0)</f>
        <v>0</v>
      </c>
      <c r="AA158" s="11">
        <f>IFERROR((NU_gen[[#This Row],[2030]]*1000)/(NU_cap[[#This Row],[2030]]*8760), 0)</f>
        <v>0</v>
      </c>
      <c r="AB158" s="11">
        <f>IFERROR((NU_gen[[#This Row],[2031]]*1000)/(NU_cap[[#This Row],[2031]]*8760), 0)</f>
        <v>0</v>
      </c>
      <c r="AC158" s="11">
        <f>IFERROR((NU_gen[[#This Row],[2032]]*1000)/(NU_cap[[#This Row],[2032]]*8760), 0)</f>
        <v>0</v>
      </c>
      <c r="AD158" s="11">
        <f>IFERROR((NU_gen[[#This Row],[2033]]*1000)/(NU_cap[[#This Row],[2033]]*8760), 0)</f>
        <v>0</v>
      </c>
      <c r="AE158" s="11">
        <f>IFERROR((NU_gen[[#This Row],[2034]]*1000)/(NU_cap[[#This Row],[2034]]*8760), 0)</f>
        <v>0</v>
      </c>
      <c r="AF158" s="11">
        <f>IFERROR((NU_gen[[#This Row],[2035]]*1000)/(NU_cap[[#This Row],[2035]]*8760), 0)</f>
        <v>0</v>
      </c>
      <c r="AG158" s="11">
        <f>IFERROR((NU_gen[[#This Row],[2036]]*1000)/(NU_cap[[#This Row],[2036]]*8760), 0)</f>
        <v>0</v>
      </c>
      <c r="AH158" s="11">
        <f>IFERROR((NU_gen[[#This Row],[2037]]*1000)/(NU_cap[[#This Row],[2037]]*8760), 0)</f>
        <v>0</v>
      </c>
      <c r="AI158" s="11">
        <f>IFERROR((NU_gen[[#This Row],[2038]]*1000)/(NU_cap[[#This Row],[2038]]*8760), 0)</f>
        <v>0</v>
      </c>
      <c r="AJ158" s="11">
        <f>IFERROR((NU_gen[[#This Row],[2039]]*1000)/(NU_cap[[#This Row],[2039]]*8760), 0)</f>
        <v>0</v>
      </c>
      <c r="AK158" s="11">
        <f>IFERROR((NU_gen[[#This Row],[2040]]*1000)/(NU_cap[[#This Row],[2040]]*8760), 0)</f>
        <v>0</v>
      </c>
      <c r="AL158" s="11">
        <f>IFERROR((NU_gen[[#This Row],[2041]]*1000)/(NU_cap[[#This Row],[2041]]*8760), 0)</f>
        <v>0</v>
      </c>
      <c r="AM158" s="11">
        <f>IFERROR((NU_gen[[#This Row],[2042]]*1000)/(NU_cap[[#This Row],[2042]]*8760), 0)</f>
        <v>0</v>
      </c>
      <c r="AN158" s="11">
        <f>IFERROR((NU_gen[[#This Row],[2043]]*1000)/(NU_cap[[#This Row],[2043]]*8760), 0)</f>
        <v>0</v>
      </c>
      <c r="AO158" s="11">
        <f>IFERROR((NU_gen[[#This Row],[2044]]*1000)/(NU_cap[[#This Row],[2044]]*8760), 0)</f>
        <v>0</v>
      </c>
      <c r="AP158" s="11">
        <f>IFERROR((NU_gen[[#This Row],[2045]]*1000)/(NU_cap[[#This Row],[2045]]*8760), 0)</f>
        <v>0</v>
      </c>
      <c r="AQ158" s="11">
        <f>IFERROR((NU_gen[[#This Row],[2046]]*1000)/(NU_cap[[#This Row],[2046]]*8760), 0)</f>
        <v>0</v>
      </c>
      <c r="AR158" s="11">
        <f>IFERROR((NU_gen[[#This Row],[2047]]*1000)/(NU_cap[[#This Row],[2047]]*8760), 0)</f>
        <v>0</v>
      </c>
      <c r="AS158" s="11">
        <f>IFERROR((NU_gen[[#This Row],[2048]]*1000)/(NU_cap[[#This Row],[2048]]*8760), 0)</f>
        <v>0</v>
      </c>
      <c r="AT158" s="11">
        <f>IFERROR((NU_gen[[#This Row],[2049]]*1000)/(NU_cap[[#This Row],[2049]]*8760), 0)</f>
        <v>0</v>
      </c>
      <c r="AU158" s="11">
        <f>IFERROR((NU_gen[[#This Row],[2050]]*1000)/(NU_cap[[#This Row],[2050]]*8760), 0)</f>
        <v>0</v>
      </c>
    </row>
    <row r="159" spans="1:47" x14ac:dyDescent="0.3">
      <c r="A159" s="2" t="s">
        <v>61</v>
      </c>
      <c r="B159" s="11">
        <f>IFERROR((NU_gen[[#This Row],[2005]]*1000)/(NU_cap[[#This Row],[2005]]*8760), 0)</f>
        <v>0.29863753983235919</v>
      </c>
      <c r="C159" s="11">
        <f>IFERROR((NU_gen[[#This Row],[2006]]*1000)/(NU_cap[[#This Row],[2006]]*8760), 0)</f>
        <v>0.30494678363163441</v>
      </c>
      <c r="D159" s="11">
        <f>IFERROR((NU_gen[[#This Row],[2007]]*1000)/(NU_cap[[#This Row],[2007]]*8760), 0)</f>
        <v>0.31335910869733463</v>
      </c>
      <c r="E159" s="11">
        <f>IFERROR((NU_gen[[#This Row],[2008]]*1000)/(NU_cap[[#This Row],[2008]]*8760), 0)</f>
        <v>0.38276079048936179</v>
      </c>
      <c r="F159" s="11">
        <f>IFERROR((NU_gen[[#This Row],[2009]]*1000)/(NU_cap[[#This Row],[2009]]*8760), 0)</f>
        <v>0.34069916516086046</v>
      </c>
      <c r="G159" s="11">
        <f>IFERROR((NU_gen[[#This Row],[2010]]*1000)/(NU_cap[[#This Row],[2010]]*8760), 0)</f>
        <v>0.34069916516086046</v>
      </c>
      <c r="H159" s="11">
        <f>IFERROR((NU_gen[[#This Row],[2011]]*1000)/(NU_cap[[#This Row],[2011]]*8760), 0)</f>
        <v>0.20610196410965634</v>
      </c>
      <c r="I159" s="11">
        <f>IFERROR((NU_gen[[#This Row],[2012]]*1000)/(NU_cap[[#This Row],[2012]]*8760), 0)</f>
        <v>0.20610196410965634</v>
      </c>
      <c r="J159" s="11">
        <f>IFERROR((NU_gen[[#This Row],[2013]]*1000)/(NU_cap[[#This Row],[2013]]*8760), 0)</f>
        <v>0.20610196410965634</v>
      </c>
      <c r="K159" s="11">
        <f>IFERROR((NU_gen[[#This Row],[2014]]*1000)/(NU_cap[[#This Row],[2014]]*8760), 0)</f>
        <v>0.33144560758859021</v>
      </c>
      <c r="L159" s="11">
        <f>IFERROR((NU_gen[[#This Row],[2015]]*1000)/(NU_cap[[#This Row],[2015]]*8760), 0)</f>
        <v>0.40181470676317288</v>
      </c>
      <c r="M159" s="11">
        <f>IFERROR((NU_gen[[#This Row],[2016]]*1000)/(NU_cap[[#This Row],[2016]]*8760), 0)</f>
        <v>0.52867256875393276</v>
      </c>
      <c r="N159" s="11">
        <f>IFERROR((NU_gen[[#This Row],[2017]]*1000)/(NU_cap[[#This Row],[2017]]*8760), 0)</f>
        <v>0.53184822146623467</v>
      </c>
      <c r="O159" s="11">
        <f>IFERROR((NU_gen[[#This Row],[2018]]*1000)/(NU_cap[[#This Row],[2018]]*8760), 0)</f>
        <v>0.53815746526550978</v>
      </c>
      <c r="P159" s="11">
        <f>IFERROR((NU_gen[[#This Row],[2019]]*1000)/(NU_cap[[#This Row],[2019]]*8760), 0)</f>
        <v>0.53500284336587223</v>
      </c>
      <c r="Q159" s="11">
        <f>IFERROR((NU_gen[[#This Row],[2020]]*1000)/(NU_cap[[#This Row],[2020]]*8760), 0)</f>
        <v>0.5584521994865117</v>
      </c>
      <c r="R159" s="11">
        <f>IFERROR((NU_gen[[#This Row],[2021]]*1000)/(NU_cap[[#This Row],[2021]]*8760), 0)</f>
        <v>0.57660179081576002</v>
      </c>
      <c r="S159" s="11">
        <f>IFERROR((NU_gen[[#This Row],[2022]]*1000)/(NU_cap[[#This Row],[2022]]*8760), 0)</f>
        <v>0.5791885807734628</v>
      </c>
      <c r="T159" s="11">
        <f>IFERROR((NU_gen[[#This Row],[2023]]*1000)/(NU_cap[[#This Row],[2023]]*8760), 0)</f>
        <v>0.57245872072090265</v>
      </c>
      <c r="U159" s="11">
        <f>IFERROR((NU_gen[[#This Row],[2024]]*1000)/(NU_cap[[#This Row],[2024]]*8760), 0)</f>
        <v>0.52012329080521369</v>
      </c>
      <c r="V159" s="11">
        <f>IFERROR((NU_gen[[#This Row],[2025]]*1000)/(NU_cap[[#This Row],[2025]]*8760), 0)</f>
        <v>0.52268923759648744</v>
      </c>
      <c r="W159" s="11">
        <f>IFERROR((NU_gen[[#This Row],[2026]]*1000)/(NU_cap[[#This Row],[2026]]*8760), 0)</f>
        <v>0.52829122830110031</v>
      </c>
      <c r="X159" s="11">
        <f>IFERROR((NU_gen[[#This Row],[2027]]*1000)/(NU_cap[[#This Row],[2027]]*8760), 0)</f>
        <v>0.52605826697128966</v>
      </c>
      <c r="Y159" s="11">
        <f>IFERROR((NU_gen[[#This Row],[2028]]*1000)/(NU_cap[[#This Row],[2028]]*8760), 0)</f>
        <v>0.49010874442420876</v>
      </c>
      <c r="Z159" s="11">
        <f>IFERROR((NU_gen[[#This Row],[2029]]*1000)/(NU_cap[[#This Row],[2029]]*8760), 0)</f>
        <v>0.49106187111967453</v>
      </c>
      <c r="AA159" s="11">
        <f>IFERROR((NU_gen[[#This Row],[2030]]*1000)/(NU_cap[[#This Row],[2030]]*8760), 0)</f>
        <v>0.50029986832188111</v>
      </c>
      <c r="AB159" s="11">
        <f>IFERROR((NU_gen[[#This Row],[2031]]*1000)/(NU_cap[[#This Row],[2031]]*8760), 0)</f>
        <v>0.49821032133566773</v>
      </c>
      <c r="AC159" s="11">
        <f>IFERROR((NU_gen[[#This Row],[2032]]*1000)/(NU_cap[[#This Row],[2032]]*8760), 0)</f>
        <v>0.46595596927935445</v>
      </c>
      <c r="AD159" s="11">
        <f>IFERROR((NU_gen[[#This Row],[2033]]*1000)/(NU_cap[[#This Row],[2033]]*8760), 0)</f>
        <v>0.47062345163592667</v>
      </c>
      <c r="AE159" s="11">
        <f>IFERROR((NU_gen[[#This Row],[2034]]*1000)/(NU_cap[[#This Row],[2034]]*8760), 0)</f>
        <v>0.46189129829724729</v>
      </c>
      <c r="AF159" s="11">
        <f>IFERROR((NU_gen[[#This Row],[2035]]*1000)/(NU_cap[[#This Row],[2035]]*8760), 0)</f>
        <v>0.46859111614487309</v>
      </c>
      <c r="AG159" s="11">
        <f>IFERROR((NU_gen[[#This Row],[2036]]*1000)/(NU_cap[[#This Row],[2036]]*8760), 0)</f>
        <v>0.4440002546890065</v>
      </c>
      <c r="AH159" s="11">
        <f>IFERROR((NU_gen[[#This Row],[2037]]*1000)/(NU_cap[[#This Row],[2037]]*8760), 0)</f>
        <v>0.44192116075814158</v>
      </c>
      <c r="AI159" s="11">
        <f>IFERROR((NU_gen[[#This Row],[2038]]*1000)/(NU_cap[[#This Row],[2038]]*8760), 0)</f>
        <v>0.44482864367708547</v>
      </c>
      <c r="AJ159" s="11">
        <f>IFERROR((NU_gen[[#This Row],[2039]]*1000)/(NU_cap[[#This Row],[2039]]*8760), 0)</f>
        <v>0.45103343962701054</v>
      </c>
      <c r="AK159" s="11">
        <f>IFERROR((NU_gen[[#This Row],[2040]]*1000)/(NU_cap[[#This Row],[2040]]*8760), 0)</f>
        <v>0.44882440232546655</v>
      </c>
      <c r="AL159" s="11">
        <f>IFERROR((NU_gen[[#This Row],[2041]]*1000)/(NU_cap[[#This Row],[2041]]*8760), 0)</f>
        <v>0.45194304322176393</v>
      </c>
      <c r="AM159" s="11">
        <f>IFERROR((NU_gen[[#This Row],[2042]]*1000)/(NU_cap[[#This Row],[2042]]*8760), 0)</f>
        <v>0.45835899714904244</v>
      </c>
      <c r="AN159" s="11">
        <f>IFERROR((NU_gen[[#This Row],[2043]]*1000)/(NU_cap[[#This Row],[2043]]*8760), 0)</f>
        <v>0.45665349040887976</v>
      </c>
      <c r="AO159" s="11">
        <f>IFERROR((NU_gen[[#This Row],[2044]]*1000)/(NU_cap[[#This Row],[2044]]*8760), 0)</f>
        <v>0.46254967085344201</v>
      </c>
      <c r="AP159" s="11">
        <f>IFERROR((NU_gen[[#This Row],[2045]]*1000)/(NU_cap[[#This Row],[2045]]*8760), 0)</f>
        <v>0.46519726703102782</v>
      </c>
      <c r="AQ159" s="11">
        <f>IFERROR((NU_gen[[#This Row],[2046]]*1000)/(NU_cap[[#This Row],[2046]]*8760), 0)</f>
        <v>0.4698914712968088</v>
      </c>
      <c r="AR159" s="11">
        <f>IFERROR((NU_gen[[#This Row],[2047]]*1000)/(NU_cap[[#This Row],[2047]]*8760), 0)</f>
        <v>0.47443948927057583</v>
      </c>
      <c r="AS159" s="11">
        <f>IFERROR((NU_gen[[#This Row],[2048]]*1000)/(NU_cap[[#This Row],[2048]]*8760), 0)</f>
        <v>0.47877634926698942</v>
      </c>
      <c r="AT159" s="11">
        <f>IFERROR((NU_gen[[#This Row],[2049]]*1000)/(NU_cap[[#This Row],[2049]]*8760), 0)</f>
        <v>0.48298326589272389</v>
      </c>
      <c r="AU159" s="11">
        <f>IFERROR((NU_gen[[#This Row],[2050]]*1000)/(NU_cap[[#This Row],[2050]]*8760), 0)</f>
        <v>0.48616687847436085</v>
      </c>
    </row>
  </sheetData>
  <hyperlinks>
    <hyperlink ref="A2" r:id="rId1" xr:uid="{3E01E507-9620-4BB3-A4C5-79495CCD5897}"/>
  </hyperlinks>
  <pageMargins left="0.75" right="0.75" top="0.75" bottom="0.5" header="0.5" footer="0.75"/>
  <pageSetup orientation="portrait"/>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0CAF-E388-48B8-99CE-A7675C90B7AD}">
  <dimension ref="B2:C14"/>
  <sheetViews>
    <sheetView workbookViewId="0">
      <selection activeCell="C4" sqref="C4"/>
    </sheetView>
  </sheetViews>
  <sheetFormatPr defaultRowHeight="14.4" x14ac:dyDescent="0.3"/>
  <cols>
    <col min="2" max="3" width="20.77734375" customWidth="1"/>
  </cols>
  <sheetData>
    <row r="2" spans="2:3" x14ac:dyDescent="0.3">
      <c r="B2" t="s">
        <v>83</v>
      </c>
    </row>
    <row r="3" spans="2:3" x14ac:dyDescent="0.3">
      <c r="B3" t="s">
        <v>82</v>
      </c>
      <c r="C3" t="s">
        <v>329</v>
      </c>
    </row>
    <row r="4" spans="2:3" x14ac:dyDescent="0.3">
      <c r="B4" t="s">
        <v>84</v>
      </c>
      <c r="C4" t="s">
        <v>54</v>
      </c>
    </row>
    <row r="5" spans="2:3" x14ac:dyDescent="0.3">
      <c r="B5" t="s">
        <v>86</v>
      </c>
      <c r="C5" t="s">
        <v>55</v>
      </c>
    </row>
    <row r="6" spans="2:3" x14ac:dyDescent="0.3">
      <c r="B6" t="s">
        <v>85</v>
      </c>
      <c r="C6" t="s">
        <v>56</v>
      </c>
    </row>
    <row r="7" spans="2:3" x14ac:dyDescent="0.3">
      <c r="B7" t="s">
        <v>87</v>
      </c>
      <c r="C7" t="s">
        <v>57</v>
      </c>
    </row>
    <row r="8" spans="2:3" x14ac:dyDescent="0.3">
      <c r="B8" t="s">
        <v>88</v>
      </c>
      <c r="C8" t="s">
        <v>58</v>
      </c>
    </row>
    <row r="9" spans="2:3" x14ac:dyDescent="0.3">
      <c r="B9" t="s">
        <v>89</v>
      </c>
      <c r="C9" t="s">
        <v>59</v>
      </c>
    </row>
    <row r="10" spans="2:3" x14ac:dyDescent="0.3">
      <c r="C10" t="s">
        <v>60</v>
      </c>
    </row>
    <row r="11" spans="2:3" x14ac:dyDescent="0.3">
      <c r="B11" t="s">
        <v>90</v>
      </c>
      <c r="C11" t="s">
        <v>61</v>
      </c>
    </row>
    <row r="12" spans="2:3" x14ac:dyDescent="0.3">
      <c r="B12" t="s">
        <v>97</v>
      </c>
      <c r="C12" t="s">
        <v>61</v>
      </c>
    </row>
    <row r="13" spans="2:3" x14ac:dyDescent="0.3">
      <c r="B13" t="s">
        <v>98</v>
      </c>
      <c r="C13" t="s">
        <v>61</v>
      </c>
    </row>
    <row r="14" spans="2:3" x14ac:dyDescent="0.3">
      <c r="B14" t="s">
        <v>95</v>
      </c>
      <c r="C14" t="s">
        <v>59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B412A5-B42D-4BE6-BD2E-556FB213614C}">
  <ds:schemaRefs>
    <ds:schemaRef ds:uri="http://schemas.microsoft.com/sharepoint/v3/contenttype/forms"/>
  </ds:schemaRefs>
</ds:datastoreItem>
</file>

<file path=customXml/itemProps2.xml><?xml version="1.0" encoding="utf-8"?>
<ds:datastoreItem xmlns:ds="http://schemas.openxmlformats.org/officeDocument/2006/customXml" ds:itemID="{31717AEE-B980-4EDF-9747-5CD51782E8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U.S. About</vt:lpstr>
      <vt:lpstr>U.S. NREL ATB 2021</vt:lpstr>
      <vt:lpstr>U.S. NREL ATB 2022</vt:lpstr>
      <vt:lpstr>U.S. Table 4.8.B</vt:lpstr>
      <vt:lpstr>CER Electricity Generation</vt:lpstr>
      <vt:lpstr>CER Electricity Capacity</vt:lpstr>
      <vt:lpstr>CER CF</vt:lpstr>
      <vt:lpstr>LookupTables</vt:lpstr>
      <vt:lpstr>BECF-pre-ret</vt:lpstr>
      <vt:lpstr>BECF-pre-nonret</vt:lpstr>
      <vt:lpstr>BECF-new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 Dixon</cp:lastModifiedBy>
  <cp:revision/>
  <dcterms:created xsi:type="dcterms:W3CDTF">2022-10-07T13:27:54Z</dcterms:created>
  <dcterms:modified xsi:type="dcterms:W3CDTF">2022-10-12T19:15:45Z</dcterms:modified>
  <cp:category/>
  <cp:contentStatus/>
</cp:coreProperties>
</file>