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SYFAFE\"/>
    </mc:Choice>
  </mc:AlternateContent>
  <xr:revisionPtr revIDLastSave="0" documentId="13_ncr:1_{6CD4B245-DAB9-4B07-8FD7-37D70960E454}" xr6:coauthVersionLast="47" xr6:coauthVersionMax="47" xr10:uidLastSave="{00000000-0000-0000-0000-000000000000}"/>
  <bookViews>
    <workbookView xWindow="585" yWindow="390" windowWidth="14295" windowHeight="15930" tabRatio="919" firstSheet="12" activeTab="14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Marine Energy Consumption" sheetId="45" r:id="rId12"/>
    <sheet name="marine calcs" sheetId="46" r:id="rId13"/>
    <sheet name="rail calcs" sheetId="48" r:id="rId14"/>
    <sheet name="Table 25_rail" sheetId="49" r:id="rId15"/>
    <sheet name="SYFAFE-psgr" sheetId="23" r:id="rId16"/>
    <sheet name="SYFAFE-frgt" sheetId="24" r:id="rId17"/>
  </sheets>
  <externalReferences>
    <externalReference r:id="rId18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6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 localSheetId="16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 localSheetId="11">'[1]1997  Table 1a Modified'!#REF!</definedName>
    <definedName name="Sum_T2" localSheetId="16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 localSheetId="16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6">#REF!</definedName>
    <definedName name="ti_tbl_50">#REF!</definedName>
    <definedName name="ti_tbl_69" localSheetId="12">#REF!</definedName>
    <definedName name="ti_tbl_69" localSheetId="11">#REF!</definedName>
    <definedName name="ti_tbl_69" localSheetId="16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4" l="1"/>
  <c r="D5" i="24"/>
  <c r="E5" i="24"/>
  <c r="C5" i="23"/>
  <c r="D5" i="23"/>
  <c r="E5" i="23"/>
  <c r="C19" i="48"/>
  <c r="C18" i="48"/>
  <c r="C17" i="48"/>
  <c r="C11" i="48"/>
  <c r="C16" i="48"/>
  <c r="C13" i="48"/>
  <c r="C12" i="48"/>
  <c r="C3" i="48"/>
  <c r="C10" i="48" s="1"/>
  <c r="C2" i="48"/>
  <c r="B137" i="44"/>
  <c r="B138" i="44" s="1"/>
  <c r="B17" i="44"/>
  <c r="B13" i="44"/>
  <c r="B9" i="44"/>
  <c r="B130" i="44" l="1"/>
  <c r="B129" i="44"/>
  <c r="B133" i="44"/>
  <c r="B141" i="44" s="1"/>
  <c r="D7" i="24" s="1"/>
  <c r="B126" i="44"/>
  <c r="B125" i="44"/>
  <c r="B20" i="44"/>
  <c r="B5" i="44"/>
  <c r="B3" i="44"/>
  <c r="B124" i="44"/>
  <c r="B134" i="44" l="1"/>
  <c r="B142" i="44"/>
  <c r="E7" i="24" s="1"/>
  <c r="C16" i="46" l="1"/>
  <c r="C7" i="46"/>
  <c r="C9" i="46" s="1"/>
  <c r="B52" i="44"/>
  <c r="B53" i="44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07" i="44"/>
  <c r="B69" i="44"/>
  <c r="B70" i="44" s="1"/>
  <c r="B96" i="44"/>
  <c r="B97" i="44" s="1"/>
  <c r="B92" i="44"/>
  <c r="C13" i="46" l="1"/>
  <c r="C10" i="46"/>
  <c r="B119" i="44"/>
  <c r="B101" i="44"/>
  <c r="E3" i="23" s="1"/>
  <c r="B100" i="44"/>
  <c r="D3" i="23" s="1"/>
  <c r="B102" i="44"/>
  <c r="C3" i="23" s="1"/>
  <c r="B75" i="44"/>
  <c r="C2" i="23" s="1"/>
  <c r="B73" i="44"/>
  <c r="D2" i="23" s="1"/>
  <c r="B74" i="44"/>
  <c r="E2" i="23" s="1"/>
  <c r="F2" i="23" l="1"/>
  <c r="B2" i="23"/>
  <c r="C17" i="46"/>
  <c r="C18" i="46" l="1"/>
  <c r="E6" i="24"/>
  <c r="B48" i="44"/>
  <c r="B47" i="44"/>
  <c r="E2" i="24" s="1"/>
  <c r="B46" i="44"/>
  <c r="D2" i="24" s="1"/>
  <c r="B3" i="23" l="1"/>
  <c r="F3" i="23"/>
  <c r="B21" i="44" l="1"/>
  <c r="E3" i="24" s="1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tc={C17F907A-B3C6-492E-99E3-7B403A20B337}</author>
    <author>tc={03335BD4-6E91-441B-BB18-C468F5CF9091}</author>
    <author>tc={03781866-59B3-4923-B63B-5B1DA603A071}</author>
    <author>tc={C7F84282-4995-4B7E-9A40-F1DCBBCE80A7}</author>
    <author>tc={CEB127BE-974A-44C1-A5A4-F47C05E4C914}</author>
    <author>tc={16F22C4A-D7EE-4D35-AD35-0E54D964FE86}</author>
    <author>tc={19AB8AB3-6597-4772-8B96-7DA1AF58D356}</author>
    <author>tc={F806F2A1-304C-4295-9AE3-908D376E5EEB}</author>
    <author>tc={D9D7C9DF-9872-4A62-85AA-C577EDDAF656}</author>
  </authors>
  <commentList>
    <comment ref="B3" authorId="0" shapeId="0" xr:uid="{C17F907A-B3C6-492E-99E3-7B403A20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=('Freight Fleet Data'!AE17+'Freight Fleet Data'!AE18)*10^3</t>
      </text>
    </comment>
    <comment ref="B4" authorId="1" shapeId="0" xr:uid="{03335BD4-6E91-441B-BB18-C468F5CF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Data'!AE27*'Freight Energy Data'!AE21/100/('Freight Energy Data'!AE27+'Freight Energy Data'!AE78)*SUM('Freight Fleet Data'!AE17:AE18)*10^3</t>
      </text>
    </comment>
    <comment ref="B5" authorId="2" shapeId="0" xr:uid="{03781866-59B3-4923-B63B-5B1DA603A0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=B3-B4</t>
      </text>
    </comment>
    <comment ref="B8" authorId="3" shapeId="0" xr:uid="{C7F84282-4995-4B7E-9A40-F1DCBBCE80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='Freight Energy Data'!AE15</t>
      </text>
    </comment>
    <comment ref="B9" authorId="4" shapeId="0" xr:uid="{CEB127BE-974A-44C1-A5A4-F47C05E4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Data'!AE16+'Freight Energy Data'!AE52</t>
      </text>
    </comment>
    <comment ref="B12" authorId="5" shapeId="0" xr:uid="{16F22C4A-D7EE-4D35-AD35-0E54D964FE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=CONVERT(SUMPRODUCT('Freight Fleet Data'!AE17:AE18,'Freight Fleet Data'!AE21:AE22)/SUM('Freight Fleet Data'!AE17:AE18),"km","mi")</t>
      </text>
    </comment>
    <comment ref="B13" authorId="6" shapeId="0" xr:uid="{19AB8AB3-6597-4772-8B96-7DA1AF58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=B12</t>
      </text>
    </comment>
    <comment ref="B16" authorId="7" shapeId="0" xr:uid="{F806F2A1-304C-4295-9AE3-908D376E5E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=SUM('Freight Energy Data'!AE78,'Freight Energy Data'!AE27)*10^3/SUMPRODUCT('Freight Fleet Data'!AE17:AE18,'Freight Fleet Data'!AE21:AE22)</t>
      </text>
    </comment>
    <comment ref="B17" authorId="8" shapeId="0" xr:uid="{D9D7C9DF-9872-4A62-85AA-C577EDDA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tc={F880DEE8-7BAB-42D2-883F-C7743ADE7553}</author>
    <author>tc={5BBEDC4A-13C0-40F6-8B14-3C891C5AD16F}</author>
  </authors>
  <commentList>
    <comment ref="C3" authorId="0" shapeId="0" xr:uid="{F880DEE8-7BAB-42D2-883F-C7743ADE75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=D3*'Calibration Adjustments'!C20</t>
      </text>
    </comment>
    <comment ref="E3" authorId="1" shapeId="0" xr:uid="{5BBEDC4A-13C0-40F6-8B14-3C891C5AD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tc={1B324364-DA14-4442-9E57-8E7B9468C56C}</author>
    <author>tc={BC2547AF-5763-4F65-87BC-7DB23B2B37E2}</author>
  </authors>
  <commentList>
    <comment ref="D3" authorId="0" shapeId="0" xr:uid="{1B324364-DA14-4442-9E57-8E7B9468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='Onroad Calcs'!B20</t>
      </text>
    </comment>
    <comment ref="A7" authorId="1" shapeId="0" xr:uid="{BC2547AF-5763-4F65-87BC-7DB23B2B37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this row was zeroes.</t>
      </text>
    </comment>
  </commentList>
</comments>
</file>

<file path=xl/sharedStrings.xml><?xml version="1.0" encoding="utf-8"?>
<sst xmlns="http://schemas.openxmlformats.org/spreadsheetml/2006/main" count="1517" uniqueCount="336">
  <si>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</si>
  <si>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</si>
  <si>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</si>
  <si>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</si>
  <si>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</si>
  <si>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</si>
  <si>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</si>
  <si>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</si>
  <si>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</si>
  <si>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</si>
  <si>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</si>
  <si>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</si>
  <si>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</si>
  <si>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</si>
  <si>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</si>
  <si>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</si>
  <si>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</si>
  <si>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</si>
  <si>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</si>
  <si>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</si>
  <si>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</si>
  <si>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</si>
  <si>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</si>
  <si>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</si>
  <si>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</si>
  <si>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</si>
  <si>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</si>
  <si>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</si>
  <si>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</si>
  <si>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</si>
  <si>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</si>
  <si>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</si>
  <si>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</si>
  <si>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</si>
  <si>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</si>
  <si>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</si>
  <si>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</si>
  <si>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</si>
  <si>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</si>
  <si>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</si>
  <si>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</si>
  <si>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</si>
  <si>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</si>
  <si>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</si>
  <si>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</si>
  <si>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</si>
  <si>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</si>
  <si>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</si>
  <si>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</si>
  <si>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</si>
  <si>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</si>
  <si>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</si>
  <si>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</si>
  <si>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</si>
  <si>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</si>
  <si>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</si>
  <si>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</si>
  <si>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</si>
  <si>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</si>
  <si>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</si>
  <si>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</si>
  <si>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</si>
  <si>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</si>
  <si>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</si>
  <si>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</si>
  <si>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</si>
  <si>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</si>
  <si>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</si>
  <si>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</si>
  <si>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</si>
  <si>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</si>
  <si>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</si>
  <si>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</si>
  <si>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</si>
  <si>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</si>
  <si>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</si>
  <si>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</si>
  <si>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</si>
  <si>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</si>
  <si>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</si>
  <si>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</si>
  <si>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</si>
  <si>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</si>
  <si>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</si>
  <si>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</si>
  <si>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</si>
  <si>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</si>
  <si>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</si>
  <si>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</si>
  <si>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</si>
  <si>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</si>
  <si>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</si>
  <si>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</si>
  <si>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</si>
  <si>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</si>
  <si>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</si>
  <si>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</si>
  <si>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</si>
  <si>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</si>
  <si>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</si>
  <si>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</si>
  <si>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</si>
  <si>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</si>
  <si>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</si>
  <si>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</si>
  <si>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</si>
  <si>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</si>
  <si>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</si>
  <si>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</si>
  <si>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</si>
  <si>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</si>
  <si>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</si>
  <si>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</si>
  <si>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</si>
  <si>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</si>
  <si>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</si>
  <si>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</si>
  <si>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</si>
  <si>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</si>
  <si>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</si>
  <si>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</si>
  <si>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</si>
  <si>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</si>
  <si>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</si>
  <si>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</si>
  <si>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</si>
  <si>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</si>
  <si>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</si>
  <si>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</si>
  <si>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</si>
  <si>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</si>
  <si>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</si>
  <si>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</si>
  <si>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</si>
  <si>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</si>
  <si>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</si>
  <si>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</si>
  <si>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</si>
  <si>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</si>
  <si>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</si>
  <si>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</si>
  <si>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</si>
  <si>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</si>
  <si>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</si>
  <si>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</si>
  <si>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</si>
  <si>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</si>
  <si>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</si>
  <si>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</si>
  <si>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</si>
  <si>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</si>
  <si>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</si>
  <si>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</si>
  <si>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</si>
  <si>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</si>
  <si>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</si>
  <si>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</si>
  <si>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</si>
  <si>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</si>
  <si>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</si>
  <si>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</si>
  <si>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</si>
  <si>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</si>
  <si>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</si>
  <si>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</si>
  <si>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</si>
  <si>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</si>
  <si>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</si>
  <si>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</si>
  <si>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</si>
  <si>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</si>
  <si>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</si>
  <si>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</si>
  <si>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</si>
  <si>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</si>
  <si>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</si>
  <si>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</si>
  <si>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</si>
  <si>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</si>
  <si>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</si>
  <si>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</si>
  <si>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</si>
  <si>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</si>
  <si>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</si>
  <si>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</si>
  <si>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</si>
  <si>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</si>
  <si>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</si>
  <si>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</si>
  <si>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</si>
  <si>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</si>
  <si>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</si>
  <si>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</si>
  <si>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</si>
  <si>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</si>
  <si>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</si>
  <si>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</si>
  <si>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</si>
  <si>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</si>
  <si>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</si>
  <si>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</si>
  <si>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</si>
  <si>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</si>
  <si>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</si>
  <si>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</si>
  <si>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</si>
  <si>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</si>
  <si>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</si>
  <si>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</si>
  <si>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</si>
  <si>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</si>
  <si>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</si>
  <si>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</si>
  <si>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</si>
  <si>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</si>
  <si>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</si>
  <si>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</si>
  <si>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</si>
  <si>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</si>
  <si>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</si>
  <si>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</si>
  <si>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</si>
  <si>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</si>
  <si>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</si>
  <si>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</si>
  <si>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</si>
  <si>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</si>
  <si>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</si>
  <si>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</si>
  <si>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</si>
  <si>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</si>
  <si>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</si>
  <si>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</si>
  <si>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</si>
  <si>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</si>
  <si>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</si>
  <si>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</si>
  <si>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</si>
  <si>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</si>
  <si>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</si>
  <si>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</si>
  <si>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</si>
  <si>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</si>
  <si>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</si>
  <si>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</si>
  <si>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</si>
  <si>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</si>
  <si>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</si>
  <si>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</si>
  <si>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</si>
  <si>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</si>
  <si>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</si>
  <si>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</si>
  <si>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</si>
  <si>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</si>
  <si>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</si>
  <si>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</si>
  <si>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</si>
  <si>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</si>
  <si>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</si>
  <si>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</si>
  <si>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</si>
  <si>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</si>
  <si>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</si>
  <si>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</si>
  <si>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</si>
  <si>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</si>
  <si>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</si>
  <si>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</si>
  <si>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</si>
  <si>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</si>
  <si>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</si>
  <si>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</si>
  <si>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</si>
  <si>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</si>
  <si>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</si>
  <si>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</si>
  <si>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</si>
  <si>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</si>
  <si>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</si>
  <si>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</si>
  <si>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</si>
  <si>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</si>
  <si>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</si>
  <si>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</si>
  <si>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</si>
  <si>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</si>
  <si>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</si>
  <si>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</si>
  <si>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</si>
  <si>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</si>
  <si>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</si>
  <si>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</si>
  <si>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</si>
  <si>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</si>
  <si>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</si>
  <si>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</si>
  <si>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</si>
  <si>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</si>
  <si>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</si>
  <si>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</si>
  <si>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</si>
  <si>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</si>
  <si>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</si>
  <si>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</si>
  <si>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</si>
  <si>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</si>
  <si>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</si>
  <si>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</si>
  <si>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</si>
  <si>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</si>
  <si>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</si>
  <si>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</si>
  <si>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</si>
  <si>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</si>
  <si>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Start Year Fleet Average Fuel Economy (tonne-miles per BTU)</t>
  </si>
  <si>
    <t>Annual Average Loading (tonnes/vehicle)</t>
  </si>
  <si>
    <t>New MDV Handling Approach</t>
  </si>
  <si>
    <t>Freight MDVs</t>
  </si>
  <si>
    <t>Table 25: Rail Transportation Secondary Energy Use and GHG Emissions by Region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</si>
  <si>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</si>
  <si>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</si>
  <si>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</si>
  <si>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t>Passenger Rail Transportation Energy Intensity (MJ/Pkm)</t>
  </si>
  <si>
    <t>Freight Rail Transportation Energy Intensity (MJ/Tkm)</t>
  </si>
  <si>
    <r>
      <t>Rail Transportation GHG Emissions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(Mt of 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</si>
  <si>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</si>
  <si>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</si>
  <si>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</si>
  <si>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megajule to btu</t>
  </si>
  <si>
    <t>btu per Tkm</t>
  </si>
  <si>
    <t>btu per ton-mile</t>
  </si>
  <si>
    <t>inverse (frgt-ton miles/btu)</t>
  </si>
  <si>
    <t>km to miles</t>
  </si>
  <si>
    <t>tonnes to tons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</si>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</sst>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  <numFmt numFmtId="168" formatCode="0.0"/>
    <numFmt numFmtId="169" formatCode="_(* #,##0_);_(* \(#,##0\);_(* &quot;-&quot;??_);_(@_)"/>
    <numFmt numFmtId="170" formatCode="_(* #,##0.000_);_(* \(#,##0.000\);_(* &quot;-&quot;??_);_(@_)"/>
    <numFmt numFmtId="171" formatCode="0.0000"/>
    <numFmt numFmtId="172" formatCode="0.0000E+00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7" fontId="0" fillId="29" borderId="0" xfId="0" applyNumberFormat="1" applyFill="1"/>
    <xf numFmtId="0" fontId="62" fillId="0" borderId="0" xfId="0" applyFont="1"/>
    <xf numFmtId="0" fontId="71" fillId="0" borderId="0" xfId="0" applyFont="1" applyAlignment="1">
      <alignment horizontal="right"/>
    </xf>
    <xf numFmtId="0" fontId="71" fillId="0" borderId="0" xfId="0" applyFont="1"/>
    <xf numFmtId="168" fontId="45" fillId="0" borderId="0" xfId="0" applyNumberFormat="1" applyFont="1"/>
    <xf numFmtId="2" fontId="49" fillId="0" borderId="0" xfId="0" applyNumberFormat="1" applyFont="1" applyAlignment="1">
      <alignment horizontal="left" indent="1"/>
    </xf>
    <xf numFmtId="168" fontId="71" fillId="0" borderId="0" xfId="0" applyNumberFormat="1" applyFont="1"/>
    <xf numFmtId="2" fontId="12" fillId="0" borderId="0" xfId="0" applyNumberFormat="1" applyFont="1" applyAlignment="1">
      <alignment horizontal="left" indent="2"/>
    </xf>
    <xf numFmtId="2" fontId="12" fillId="0" borderId="0" xfId="0" applyNumberFormat="1" applyFont="1"/>
    <xf numFmtId="0" fontId="49" fillId="0" borderId="0" xfId="0" applyFont="1" applyAlignment="1">
      <alignment horizontal="left" indent="1"/>
    </xf>
    <xf numFmtId="2" fontId="46" fillId="0" borderId="0" xfId="0" applyNumberFormat="1" applyFont="1"/>
    <xf numFmtId="1" fontId="47" fillId="0" borderId="0" xfId="0" applyNumberFormat="1" applyFont="1" applyAlignment="1">
      <alignment horizontal="left" indent="2"/>
    </xf>
    <xf numFmtId="3" fontId="71" fillId="0" borderId="0" xfId="0" applyNumberFormat="1" applyFont="1"/>
    <xf numFmtId="2" fontId="45" fillId="0" borderId="0" xfId="0" applyNumberFormat="1" applyFont="1"/>
    <xf numFmtId="0" fontId="45" fillId="0" borderId="0" xfId="0" applyFont="1" applyAlignment="1">
      <alignment horizontal="left" wrapText="1"/>
    </xf>
    <xf numFmtId="1" fontId="47" fillId="0" borderId="0" xfId="0" applyNumberFormat="1" applyFont="1" applyAlignment="1">
      <alignment horizontal="left"/>
    </xf>
    <xf numFmtId="0" fontId="2" fillId="31" borderId="0" xfId="0" applyFont="1" applyFill="1"/>
    <xf numFmtId="0" fontId="0" fillId="31" borderId="0" xfId="0" applyFill="1"/>
    <xf numFmtId="0" fontId="2" fillId="32" borderId="0" xfId="0" applyFont="1" applyFill="1"/>
    <xf numFmtId="0" fontId="0" fillId="32" borderId="0" xfId="0" applyFill="1"/>
    <xf numFmtId="11" fontId="0" fillId="32" borderId="0" xfId="156" applyNumberFormat="1" applyFont="1" applyFill="1"/>
    <xf numFmtId="169" fontId="0" fillId="32" borderId="0" xfId="156" applyNumberFormat="1" applyFont="1" applyFill="1"/>
    <xf numFmtId="43" fontId="0" fillId="32" borderId="0" xfId="156" applyFont="1" applyFill="1"/>
    <xf numFmtId="170" fontId="0" fillId="32" borderId="0" xfId="156" applyNumberFormat="1" applyFont="1" applyFill="1"/>
    <xf numFmtId="43" fontId="0" fillId="0" borderId="0" xfId="0" applyNumberFormat="1"/>
    <xf numFmtId="0" fontId="41" fillId="0" borderId="0" xfId="0" applyFont="1" applyAlignment="1">
      <alignment horizontal="left" indent="2"/>
    </xf>
    <xf numFmtId="0" fontId="0" fillId="0" borderId="0" xfId="0" quotePrefix="1"/>
    <xf numFmtId="0" fontId="72" fillId="0" borderId="0" xfId="0" applyFont="1"/>
    <xf numFmtId="171" fontId="0" fillId="0" borderId="0" xfId="0" applyNumberFormat="1"/>
    <xf numFmtId="0" fontId="57" fillId="0" borderId="0" xfId="0" applyFont="1"/>
    <xf numFmtId="1" fontId="57" fillId="0" borderId="0" xfId="0" applyNumberFormat="1" applyFont="1"/>
    <xf numFmtId="172" fontId="0" fillId="0" borderId="0" xfId="0" applyNumberFormat="1"/>
    <xf numFmtId="0" fontId="12" fillId="0" borderId="0" xfId="0" applyFont="1"/>
    <xf numFmtId="0" fontId="44" fillId="0" borderId="0" xfId="0" applyFont="1"/>
    <xf numFmtId="0" fontId="66" fillId="0" borderId="0" xfId="0" applyFont="1"/>
    <xf numFmtId="0" fontId="62" fillId="0" borderId="0" xfId="0" applyFont="1"/>
    <xf numFmtId="0" fontId="43" fillId="0" borderId="0" xfId="0" applyFont="1"/>
    <xf numFmtId="0" fontId="45" fillId="0" borderId="0" xfId="0" applyFont="1"/>
    <xf numFmtId="2" fontId="73" fillId="0" borderId="0" xfId="0" applyNumberFormat="1" applyFont="1" applyAlignment="1">
      <alignment horizontal="left" wrapText="1"/>
    </xf>
    <xf numFmtId="2" fontId="73" fillId="0" borderId="0" xfId="0" applyNumberFormat="1" applyFont="1" applyAlignment="1">
      <alignment horizontal="left"/>
    </xf>
    <xf numFmtId="168" fontId="0" fillId="0" borderId="0" xfId="0" applyNumberFormat="1"/>
    <xf numFmtId="3" fontId="0" fillId="0" borderId="0" xfId="0" applyNumberFormat="1"/>
    <xf numFmtId="0" fontId="73" fillId="0" borderId="0" xfId="0" applyFont="1" applyAlignment="1">
      <alignment horizontal="left" wrapText="1"/>
    </xf>
    <xf numFmtId="168" fontId="12" fillId="0" borderId="0" xfId="0" applyNumberFormat="1" applyFont="1"/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1" fontId="74" fillId="0" borderId="0" xfId="0" applyNumberFormat="1" applyFont="1" applyAlignment="1">
      <alignment horizontal="left" wrapText="1"/>
    </xf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6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95557556-8703-4CA4-ABDA-F9972C526E77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6:33:19.33" personId="{95557556-8703-4CA4-ABDA-F9972C526E77}" id="{C17F907A-B3C6-492E-99E3-7B403A20B337}">
    <text>Previously: 
=('Freight Fleet Data'!AE17+'Freight Fleet Data'!AE18)*10^3</text>
  </threadedComment>
  <threadedComment ref="B4" dT="2022-10-14T16:36:57.62" personId="{95557556-8703-4CA4-ABDA-F9972C526E77}" id="{03335BD4-6E91-441B-BB18-C468F5CF9091}">
    <text>Previously: 
='Freight Energy Data'!AE27*'Freight Energy Data'!AE21/100/('Freight Energy Data'!AE27+'Freight Energy Data'!AE78)*SUM('Freight Fleet Data'!AE17:AE18)*10^3</text>
  </threadedComment>
  <threadedComment ref="B5" dT="2022-10-14T16:47:55.06" personId="{95557556-8703-4CA4-ABDA-F9972C526E77}" id="{03781866-59B3-4923-B63B-5B1DA603A071}">
    <text>Previously:
=B3-B4</text>
  </threadedComment>
  <threadedComment ref="B8" dT="2022-10-14T16:48:08.88" personId="{95557556-8703-4CA4-ABDA-F9972C526E77}" id="{C7F84282-4995-4B7E-9A40-F1DCBBCE80A7}">
    <text>Previously:
='Freight Energy Data'!AE15</text>
  </threadedComment>
  <threadedComment ref="B9" dT="2022-10-14T16:48:26.66" personId="{95557556-8703-4CA4-ABDA-F9972C526E77}" id="{CEB127BE-974A-44C1-A5A4-F47C05E4C914}">
    <text>Previously: 
='Freight Energy Data'!AE16+'Freight Energy Data'!AE52</text>
  </threadedComment>
  <threadedComment ref="B12" dT="2022-10-14T16:48:56.20" personId="{95557556-8703-4CA4-ABDA-F9972C526E77}" id="{16F22C4A-D7EE-4D35-AD35-0E54D964FE86}">
    <text>Previously:
=CONVERT(SUMPRODUCT('Freight Fleet Data'!AE17:AE18,'Freight Fleet Data'!AE21:AE22)/SUM('Freight Fleet Data'!AE17:AE18),"km","mi")</text>
  </threadedComment>
  <threadedComment ref="B13" dT="2022-10-14T16:49:13.45" personId="{95557556-8703-4CA4-ABDA-F9972C526E77}" id="{19AB8AB3-6597-4772-8B96-7DA1AF58D356}">
    <text>Previously:
=B12</text>
  </threadedComment>
  <threadedComment ref="B16" dT="2022-10-14T16:49:26.72" personId="{95557556-8703-4CA4-ABDA-F9972C526E77}" id="{F806F2A1-304C-4295-9AE3-908D376E5EEB}">
    <text>Previously:
=SUM('Freight Energy Data'!AE78,'Freight Energy Data'!AE27)*10^3/SUMPRODUCT('Freight Fleet Data'!AE17:AE18,'Freight Fleet Data'!AE21:AE22)</text>
  </threadedComment>
  <threadedComment ref="B17" dT="2022-10-14T16:49:45.45" personId="{95557556-8703-4CA4-ABDA-F9972C526E77}" id="{D9D7C9DF-9872-4A62-85AA-C577EDDAF656}">
    <text>Previously:
=B16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0-14T16:16:33.44" personId="{95557556-8703-4CA4-ABDA-F9972C526E77}" id="{F880DEE8-7BAB-42D2-883F-C7743ADE7553}">
    <text>Previously:
=D3*'Calibration Adjustments'!C20</text>
  </threadedComment>
  <threadedComment ref="E3" dT="2022-10-14T16:12:03.53" personId="{95557556-8703-4CA4-ABDA-F9972C526E77}" id="{5BBEDC4A-13C0-40F6-8B14-3C891C5AD16F}">
    <text>Previously:
=D3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2-10-17T12:49:55.77" personId="{95557556-8703-4CA4-ABDA-F9972C526E77}" id="{1B324364-DA14-4442-9E57-8E7B9468C56C}">
    <text>Previously:
='Onroad Calcs'!B20</text>
  </threadedComment>
  <threadedComment ref="A7" dT="2022-10-14T20:52:35.09" personId="{95557556-8703-4CA4-ABDA-F9972C526E77}" id="{BC2547AF-5763-4F65-87BC-7DB23B2B37E2}">
    <text>Previously this row was zeroes.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A29" sqref="A29"/>
    </sheetView>
  </sheetViews>
  <sheetFormatPr defaultRowHeight="1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>
      <c r="A38" s="57" t="s">
        <v>29</v>
      </c>
      <c r="B38" s="38"/>
      <c r="C38" s="38"/>
      <c r="D38" s="38"/>
    </row>
    <row r="39" spans="1:4">
      <c r="A39" s="38" t="s">
        <v>30</v>
      </c>
      <c r="B39" s="38"/>
      <c r="C39" s="38"/>
      <c r="D39" s="38"/>
    </row>
    <row r="40" spans="1:4">
      <c r="A40" s="38" t="s">
        <v>31</v>
      </c>
      <c r="B40" s="38"/>
      <c r="C40" s="38"/>
      <c r="D40" s="38"/>
    </row>
    <row r="41" spans="1:4">
      <c r="A41" s="38" t="s">
        <v>32</v>
      </c>
      <c r="B41" s="38"/>
      <c r="C41" s="38"/>
      <c r="D41" s="38"/>
    </row>
    <row r="42" spans="1:4">
      <c r="A42" s="38" t="s">
        <v>33</v>
      </c>
      <c r="B42" s="38"/>
      <c r="C42" s="38"/>
      <c r="D42" s="38"/>
    </row>
    <row r="43" spans="1:4">
      <c r="A43" s="38" t="s">
        <v>34</v>
      </c>
      <c r="B43" s="38"/>
      <c r="C43" s="38"/>
      <c r="D43" s="38"/>
    </row>
    <row r="44" spans="1:4">
      <c r="A44" s="47" t="s">
        <v>35</v>
      </c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A144" workbookViewId="0">
      <selection activeCell="B74" sqref="B74"/>
    </sheetView>
  </sheetViews>
  <sheetFormatPr defaultRowHeight="15"/>
  <cols>
    <col min="1" max="1" width="3" customWidth="1"/>
    <col min="2" max="2" width="46.5703125" customWidth="1"/>
    <col min="20" max="29" width="9.28515625" customWidth="1"/>
    <col min="257" max="257" width="3" customWidth="1"/>
    <col min="258" max="258" width="46.5703125" customWidth="1"/>
    <col min="276" max="285" width="9.28515625" customWidth="1"/>
    <col min="513" max="513" width="3" customWidth="1"/>
    <col min="514" max="514" width="46.5703125" customWidth="1"/>
    <col min="532" max="541" width="9.28515625" customWidth="1"/>
    <col min="769" max="769" width="3" customWidth="1"/>
    <col min="770" max="770" width="46.5703125" customWidth="1"/>
    <col min="788" max="797" width="9.28515625" customWidth="1"/>
    <col min="1025" max="1025" width="3" customWidth="1"/>
    <col min="1026" max="1026" width="46.5703125" customWidth="1"/>
    <col min="1044" max="1053" width="9.28515625" customWidth="1"/>
    <col min="1281" max="1281" width="3" customWidth="1"/>
    <col min="1282" max="1282" width="46.5703125" customWidth="1"/>
    <col min="1300" max="1309" width="9.28515625" customWidth="1"/>
    <col min="1537" max="1537" width="3" customWidth="1"/>
    <col min="1538" max="1538" width="46.5703125" customWidth="1"/>
    <col min="1556" max="1565" width="9.28515625" customWidth="1"/>
    <col min="1793" max="1793" width="3" customWidth="1"/>
    <col min="1794" max="1794" width="46.5703125" customWidth="1"/>
    <col min="1812" max="1821" width="9.28515625" customWidth="1"/>
    <col min="2049" max="2049" width="3" customWidth="1"/>
    <col min="2050" max="2050" width="46.5703125" customWidth="1"/>
    <col min="2068" max="2077" width="9.28515625" customWidth="1"/>
    <col min="2305" max="2305" width="3" customWidth="1"/>
    <col min="2306" max="2306" width="46.5703125" customWidth="1"/>
    <col min="2324" max="2333" width="9.28515625" customWidth="1"/>
    <col min="2561" max="2561" width="3" customWidth="1"/>
    <col min="2562" max="2562" width="46.5703125" customWidth="1"/>
    <col min="2580" max="2589" width="9.28515625" customWidth="1"/>
    <col min="2817" max="2817" width="3" customWidth="1"/>
    <col min="2818" max="2818" width="46.5703125" customWidth="1"/>
    <col min="2836" max="2845" width="9.28515625" customWidth="1"/>
    <col min="3073" max="3073" width="3" customWidth="1"/>
    <col min="3074" max="3074" width="46.5703125" customWidth="1"/>
    <col min="3092" max="3101" width="9.28515625" customWidth="1"/>
    <col min="3329" max="3329" width="3" customWidth="1"/>
    <col min="3330" max="3330" width="46.5703125" customWidth="1"/>
    <col min="3348" max="3357" width="9.28515625" customWidth="1"/>
    <col min="3585" max="3585" width="3" customWidth="1"/>
    <col min="3586" max="3586" width="46.5703125" customWidth="1"/>
    <col min="3604" max="3613" width="9.28515625" customWidth="1"/>
    <col min="3841" max="3841" width="3" customWidth="1"/>
    <col min="3842" max="3842" width="46.5703125" customWidth="1"/>
    <col min="3860" max="3869" width="9.28515625" customWidth="1"/>
    <col min="4097" max="4097" width="3" customWidth="1"/>
    <col min="4098" max="4098" width="46.5703125" customWidth="1"/>
    <col min="4116" max="4125" width="9.28515625" customWidth="1"/>
    <col min="4353" max="4353" width="3" customWidth="1"/>
    <col min="4354" max="4354" width="46.5703125" customWidth="1"/>
    <col min="4372" max="4381" width="9.28515625" customWidth="1"/>
    <col min="4609" max="4609" width="3" customWidth="1"/>
    <col min="4610" max="4610" width="46.5703125" customWidth="1"/>
    <col min="4628" max="4637" width="9.28515625" customWidth="1"/>
    <col min="4865" max="4865" width="3" customWidth="1"/>
    <col min="4866" max="4866" width="46.5703125" customWidth="1"/>
    <col min="4884" max="4893" width="9.28515625" customWidth="1"/>
    <col min="5121" max="5121" width="3" customWidth="1"/>
    <col min="5122" max="5122" width="46.5703125" customWidth="1"/>
    <col min="5140" max="5149" width="9.28515625" customWidth="1"/>
    <col min="5377" max="5377" width="3" customWidth="1"/>
    <col min="5378" max="5378" width="46.5703125" customWidth="1"/>
    <col min="5396" max="5405" width="9.28515625" customWidth="1"/>
    <col min="5633" max="5633" width="3" customWidth="1"/>
    <col min="5634" max="5634" width="46.5703125" customWidth="1"/>
    <col min="5652" max="5661" width="9.28515625" customWidth="1"/>
    <col min="5889" max="5889" width="3" customWidth="1"/>
    <col min="5890" max="5890" width="46.5703125" customWidth="1"/>
    <col min="5908" max="5917" width="9.28515625" customWidth="1"/>
    <col min="6145" max="6145" width="3" customWidth="1"/>
    <col min="6146" max="6146" width="46.5703125" customWidth="1"/>
    <col min="6164" max="6173" width="9.28515625" customWidth="1"/>
    <col min="6401" max="6401" width="3" customWidth="1"/>
    <col min="6402" max="6402" width="46.5703125" customWidth="1"/>
    <col min="6420" max="6429" width="9.28515625" customWidth="1"/>
    <col min="6657" max="6657" width="3" customWidth="1"/>
    <col min="6658" max="6658" width="46.5703125" customWidth="1"/>
    <col min="6676" max="6685" width="9.28515625" customWidth="1"/>
    <col min="6913" max="6913" width="3" customWidth="1"/>
    <col min="6914" max="6914" width="46.5703125" customWidth="1"/>
    <col min="6932" max="6941" width="9.28515625" customWidth="1"/>
    <col min="7169" max="7169" width="3" customWidth="1"/>
    <col min="7170" max="7170" width="46.5703125" customWidth="1"/>
    <col min="7188" max="7197" width="9.28515625" customWidth="1"/>
    <col min="7425" max="7425" width="3" customWidth="1"/>
    <col min="7426" max="7426" width="46.5703125" customWidth="1"/>
    <col min="7444" max="7453" width="9.28515625" customWidth="1"/>
    <col min="7681" max="7681" width="3" customWidth="1"/>
    <col min="7682" max="7682" width="46.5703125" customWidth="1"/>
    <col min="7700" max="7709" width="9.28515625" customWidth="1"/>
    <col min="7937" max="7937" width="3" customWidth="1"/>
    <col min="7938" max="7938" width="46.5703125" customWidth="1"/>
    <col min="7956" max="7965" width="9.28515625" customWidth="1"/>
    <col min="8193" max="8193" width="3" customWidth="1"/>
    <col min="8194" max="8194" width="46.5703125" customWidth="1"/>
    <col min="8212" max="8221" width="9.28515625" customWidth="1"/>
    <col min="8449" max="8449" width="3" customWidth="1"/>
    <col min="8450" max="8450" width="46.5703125" customWidth="1"/>
    <col min="8468" max="8477" width="9.28515625" customWidth="1"/>
    <col min="8705" max="8705" width="3" customWidth="1"/>
    <col min="8706" max="8706" width="46.5703125" customWidth="1"/>
    <col min="8724" max="8733" width="9.28515625" customWidth="1"/>
    <col min="8961" max="8961" width="3" customWidth="1"/>
    <col min="8962" max="8962" width="46.5703125" customWidth="1"/>
    <col min="8980" max="8989" width="9.28515625" customWidth="1"/>
    <col min="9217" max="9217" width="3" customWidth="1"/>
    <col min="9218" max="9218" width="46.5703125" customWidth="1"/>
    <col min="9236" max="9245" width="9.28515625" customWidth="1"/>
    <col min="9473" max="9473" width="3" customWidth="1"/>
    <col min="9474" max="9474" width="46.5703125" customWidth="1"/>
    <col min="9492" max="9501" width="9.28515625" customWidth="1"/>
    <col min="9729" max="9729" width="3" customWidth="1"/>
    <col min="9730" max="9730" width="46.5703125" customWidth="1"/>
    <col min="9748" max="9757" width="9.28515625" customWidth="1"/>
    <col min="9985" max="9985" width="3" customWidth="1"/>
    <col min="9986" max="9986" width="46.5703125" customWidth="1"/>
    <col min="10004" max="10013" width="9.28515625" customWidth="1"/>
    <col min="10241" max="10241" width="3" customWidth="1"/>
    <col min="10242" max="10242" width="46.5703125" customWidth="1"/>
    <col min="10260" max="10269" width="9.28515625" customWidth="1"/>
    <col min="10497" max="10497" width="3" customWidth="1"/>
    <col min="10498" max="10498" width="46.5703125" customWidth="1"/>
    <col min="10516" max="10525" width="9.28515625" customWidth="1"/>
    <col min="10753" max="10753" width="3" customWidth="1"/>
    <col min="10754" max="10754" width="46.5703125" customWidth="1"/>
    <col min="10772" max="10781" width="9.28515625" customWidth="1"/>
    <col min="11009" max="11009" width="3" customWidth="1"/>
    <col min="11010" max="11010" width="46.5703125" customWidth="1"/>
    <col min="11028" max="11037" width="9.28515625" customWidth="1"/>
    <col min="11265" max="11265" width="3" customWidth="1"/>
    <col min="11266" max="11266" width="46.5703125" customWidth="1"/>
    <col min="11284" max="11293" width="9.28515625" customWidth="1"/>
    <col min="11521" max="11521" width="3" customWidth="1"/>
    <col min="11522" max="11522" width="46.5703125" customWidth="1"/>
    <col min="11540" max="11549" width="9.28515625" customWidth="1"/>
    <col min="11777" max="11777" width="3" customWidth="1"/>
    <col min="11778" max="11778" width="46.5703125" customWidth="1"/>
    <col min="11796" max="11805" width="9.28515625" customWidth="1"/>
    <col min="12033" max="12033" width="3" customWidth="1"/>
    <col min="12034" max="12034" width="46.5703125" customWidth="1"/>
    <col min="12052" max="12061" width="9.28515625" customWidth="1"/>
    <col min="12289" max="12289" width="3" customWidth="1"/>
    <col min="12290" max="12290" width="46.5703125" customWidth="1"/>
    <col min="12308" max="12317" width="9.28515625" customWidth="1"/>
    <col min="12545" max="12545" width="3" customWidth="1"/>
    <col min="12546" max="12546" width="46.5703125" customWidth="1"/>
    <col min="12564" max="12573" width="9.28515625" customWidth="1"/>
    <col min="12801" max="12801" width="3" customWidth="1"/>
    <col min="12802" max="12802" width="46.5703125" customWidth="1"/>
    <col min="12820" max="12829" width="9.28515625" customWidth="1"/>
    <col min="13057" max="13057" width="3" customWidth="1"/>
    <col min="13058" max="13058" width="46.5703125" customWidth="1"/>
    <col min="13076" max="13085" width="9.28515625" customWidth="1"/>
    <col min="13313" max="13313" width="3" customWidth="1"/>
    <col min="13314" max="13314" width="46.5703125" customWidth="1"/>
    <col min="13332" max="13341" width="9.28515625" customWidth="1"/>
    <col min="13569" max="13569" width="3" customWidth="1"/>
    <col min="13570" max="13570" width="46.5703125" customWidth="1"/>
    <col min="13588" max="13597" width="9.28515625" customWidth="1"/>
    <col min="13825" max="13825" width="3" customWidth="1"/>
    <col min="13826" max="13826" width="46.5703125" customWidth="1"/>
    <col min="13844" max="13853" width="9.28515625" customWidth="1"/>
    <col min="14081" max="14081" width="3" customWidth="1"/>
    <col min="14082" max="14082" width="46.5703125" customWidth="1"/>
    <col min="14100" max="14109" width="9.28515625" customWidth="1"/>
    <col min="14337" max="14337" width="3" customWidth="1"/>
    <col min="14338" max="14338" width="46.5703125" customWidth="1"/>
    <col min="14356" max="14365" width="9.28515625" customWidth="1"/>
    <col min="14593" max="14593" width="3" customWidth="1"/>
    <col min="14594" max="14594" width="46.5703125" customWidth="1"/>
    <col min="14612" max="14621" width="9.28515625" customWidth="1"/>
    <col min="14849" max="14849" width="3" customWidth="1"/>
    <col min="14850" max="14850" width="46.5703125" customWidth="1"/>
    <col min="14868" max="14877" width="9.28515625" customWidth="1"/>
    <col min="15105" max="15105" width="3" customWidth="1"/>
    <col min="15106" max="15106" width="46.5703125" customWidth="1"/>
    <col min="15124" max="15133" width="9.28515625" customWidth="1"/>
    <col min="15361" max="15361" width="3" customWidth="1"/>
    <col min="15362" max="15362" width="46.5703125" customWidth="1"/>
    <col min="15380" max="15389" width="9.28515625" customWidth="1"/>
    <col min="15617" max="15617" width="3" customWidth="1"/>
    <col min="15618" max="15618" width="46.5703125" customWidth="1"/>
    <col min="15636" max="15645" width="9.28515625" customWidth="1"/>
    <col min="15873" max="15873" width="3" customWidth="1"/>
    <col min="15874" max="15874" width="46.5703125" customWidth="1"/>
    <col min="15892" max="15901" width="9.28515625" customWidth="1"/>
    <col min="16129" max="16129" width="3" customWidth="1"/>
    <col min="16130" max="16130" width="46.5703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6" t="s">
        <v>187</v>
      </c>
      <c r="B5" s="9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249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4"/>
      <c r="B12" s="94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65" customHeight="1">
      <c r="A21" s="95"/>
      <c r="B21" s="9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65" customHeight="1">
      <c r="A29" s="95"/>
      <c r="B29" s="95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65" customHeight="1">
      <c r="A32" s="95"/>
      <c r="B32" s="95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65" customHeight="1">
      <c r="A34" s="98"/>
      <c r="B34" s="9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>
      <c r="A35" s="94"/>
      <c r="B35" s="9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65" customHeight="1">
      <c r="A52" s="95"/>
      <c r="B52" s="95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65" customHeight="1">
      <c r="A54" s="95"/>
      <c r="B54" s="95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97" t="s">
        <v>254</v>
      </c>
      <c r="B55" s="97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95"/>
      <c r="B56" s="95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95"/>
      <c r="B57" s="95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>
      <c r="A58" s="95"/>
      <c r="B58" s="95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>
      <c r="A59" s="94"/>
      <c r="B59" s="94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65" customHeight="1">
      <c r="A68" s="95"/>
      <c r="B68" s="95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65" customHeight="1">
      <c r="A81" s="95"/>
      <c r="B81" s="95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65" customHeight="1">
      <c r="A91" s="95"/>
      <c r="B91" s="95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65" customHeight="1">
      <c r="A99" s="95"/>
      <c r="B99" s="95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65" customHeight="1">
      <c r="A101" s="95"/>
      <c r="B101" s="95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97" t="s">
        <v>257</v>
      </c>
      <c r="B102" s="97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95"/>
      <c r="B103" s="95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95"/>
      <c r="B104" s="95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95"/>
      <c r="B105" s="95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>
      <c r="A106" s="94"/>
      <c r="B106" s="94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65" customHeight="1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65" customHeight="1">
      <c r="A128" s="94"/>
      <c r="B128" s="94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65" customHeight="1">
      <c r="A130" s="95"/>
      <c r="B130" s="95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95"/>
      <c r="B131" s="95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65" customHeight="1">
      <c r="A141" s="95"/>
      <c r="B141" s="95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65" customHeight="1">
      <c r="A150" s="94"/>
      <c r="B150" s="94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65" customHeight="1">
      <c r="A152" s="95"/>
      <c r="B152" s="95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95"/>
      <c r="B153" s="95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65" customHeight="1">
      <c r="A155" s="95"/>
      <c r="B155" s="95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97" t="s">
        <v>261</v>
      </c>
      <c r="B156" s="97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95"/>
      <c r="B157" s="95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95"/>
      <c r="B158" s="95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95"/>
      <c r="B159" s="95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>
      <c r="A160" s="95"/>
      <c r="B160" s="95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65" customHeight="1">
      <c r="A173" s="95"/>
      <c r="B173" s="95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65" customHeight="1">
      <c r="A185" s="95"/>
      <c r="B185" s="95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65" customHeight="1">
      <c r="A188" s="95"/>
      <c r="B188" s="95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65" customHeight="1">
      <c r="A190" s="95"/>
      <c r="B190" s="95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95"/>
      <c r="B191" s="95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65" customHeight="1">
      <c r="A204" s="95"/>
      <c r="B204" s="95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65" customHeight="1">
      <c r="A216" s="95"/>
      <c r="B216" s="95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65" customHeight="1">
      <c r="A218" s="95"/>
      <c r="B218" s="95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>
      <c r="A219" s="95"/>
      <c r="B219" s="95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7.75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2"/>
  <sheetViews>
    <sheetView topLeftCell="A8" zoomScale="80" zoomScaleNormal="80" workbookViewId="0">
      <pane ySplit="4575" topLeftCell="A122" activePane="bottomLeft"/>
      <selection activeCell="B21" sqref="B21"/>
      <selection pane="bottomLeft" activeCell="D136" sqref="D136"/>
    </sheetView>
  </sheetViews>
  <sheetFormatPr defaultRowHeight="15"/>
  <cols>
    <col min="1" max="1" width="35.7109375" bestFit="1" customWidth="1"/>
    <col min="2" max="2" width="16.7109375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 s="90">
        <f>('Freight Fleet Data'!AE18)*10^3</f>
        <v>481000</v>
      </c>
    </row>
    <row r="4" spans="1:2">
      <c r="A4" s="7" t="s">
        <v>269</v>
      </c>
      <c r="B4" s="91">
        <v>0</v>
      </c>
    </row>
    <row r="5" spans="1:2">
      <c r="A5" s="7" t="s">
        <v>270</v>
      </c>
      <c r="B5" s="91">
        <f>B3-B4</f>
        <v>481000</v>
      </c>
    </row>
    <row r="7" spans="1:2">
      <c r="A7" t="s">
        <v>271</v>
      </c>
    </row>
    <row r="8" spans="1:2">
      <c r="A8" s="7" t="s">
        <v>269</v>
      </c>
      <c r="B8">
        <v>0</v>
      </c>
    </row>
    <row r="9" spans="1:2">
      <c r="A9" s="7" t="s">
        <v>270</v>
      </c>
      <c r="B9">
        <f>'Freight Energy Data'!AE52</f>
        <v>485.9</v>
      </c>
    </row>
    <row r="11" spans="1:2">
      <c r="A11" t="s">
        <v>272</v>
      </c>
    </row>
    <row r="12" spans="1:2">
      <c r="A12" s="7" t="s">
        <v>269</v>
      </c>
      <c r="B12" s="24">
        <v>0</v>
      </c>
    </row>
    <row r="13" spans="1:2">
      <c r="A13" s="7" t="s">
        <v>270</v>
      </c>
      <c r="B13" s="24">
        <f>CONVERT('Freight Fleet Data'!AE22,"km","mi")</f>
        <v>53982.243696810627</v>
      </c>
    </row>
    <row r="15" spans="1:2">
      <c r="A15" t="s">
        <v>316</v>
      </c>
    </row>
    <row r="16" spans="1:2">
      <c r="A16" s="7" t="s">
        <v>269</v>
      </c>
      <c r="B16" s="89">
        <v>0</v>
      </c>
    </row>
    <row r="17" spans="1:4">
      <c r="A17" s="7" t="s">
        <v>270</v>
      </c>
      <c r="B17" s="89">
        <f>'Freight Energy Data'!AE78*10^3/('Freight Fleet Data'!AE18*'Freight Fleet Data'!AE22)</f>
        <v>7.0525160768726307</v>
      </c>
    </row>
    <row r="19" spans="1:4">
      <c r="A19" t="s">
        <v>315</v>
      </c>
    </row>
    <row r="20" spans="1:4">
      <c r="A20" s="7" t="s">
        <v>269</v>
      </c>
      <c r="B20" s="27" t="e">
        <f>(B4*B12*B16)/(B8*btu_per_pj)</f>
        <v>#DIV/0!</v>
      </c>
      <c r="D20" s="87"/>
    </row>
    <row r="21" spans="1:4">
      <c r="A21" s="7" t="s">
        <v>270</v>
      </c>
      <c r="B21" s="27">
        <f>(B5*B13*B17)/(B9*btu_per_pj)</f>
        <v>3.9762043827839882E-4</v>
      </c>
    </row>
    <row r="23" spans="1:4" s="2" customFormat="1">
      <c r="A23" s="2" t="s">
        <v>275</v>
      </c>
    </row>
    <row r="24" spans="1:4">
      <c r="B24">
        <v>2018</v>
      </c>
    </row>
    <row r="25" spans="1:4">
      <c r="A25" t="s">
        <v>268</v>
      </c>
      <c r="B25">
        <f>'Freight Fleet Data'!AE16*10^3</f>
        <v>3397000</v>
      </c>
    </row>
    <row r="26" spans="1:4">
      <c r="A26" s="7" t="s">
        <v>269</v>
      </c>
      <c r="B26" s="24">
        <f>'Freight Energy Data'!AE128/100*'Onroad Calcs'!B25</f>
        <v>3278105</v>
      </c>
    </row>
    <row r="27" spans="1:4">
      <c r="A27" s="7" t="s">
        <v>270</v>
      </c>
      <c r="B27" s="24">
        <f>'Freight Energy Data'!AE129/100*'Onroad Calcs'!B25</f>
        <v>40764</v>
      </c>
    </row>
    <row r="28" spans="1:4">
      <c r="A28" s="7" t="s">
        <v>42</v>
      </c>
      <c r="B28" s="24">
        <f>('Freight Energy Data'!AE127+'Freight Energy Data'!AE132)/100*'Onroad Calcs'!B25</f>
        <v>78131</v>
      </c>
    </row>
    <row r="30" spans="1:4">
      <c r="A30" s="4" t="s">
        <v>271</v>
      </c>
    </row>
    <row r="31" spans="1:4">
      <c r="A31" s="7" t="s">
        <v>269</v>
      </c>
      <c r="B31" s="34">
        <f>'Freight Energy Data'!AE120</f>
        <v>229.7</v>
      </c>
    </row>
    <row r="32" spans="1:4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  <row r="121" spans="1:2">
      <c r="A121" s="88" t="s">
        <v>317</v>
      </c>
    </row>
    <row r="122" spans="1:2" s="2" customFormat="1">
      <c r="A122" s="2" t="s">
        <v>318</v>
      </c>
    </row>
    <row r="123" spans="1:2">
      <c r="B123">
        <v>2018</v>
      </c>
    </row>
    <row r="124" spans="1:2">
      <c r="A124" t="s">
        <v>268</v>
      </c>
      <c r="B124" s="90">
        <f>('Freight Fleet Data'!AE17)*10^3</f>
        <v>1694000</v>
      </c>
    </row>
    <row r="125" spans="1:2">
      <c r="A125" s="7" t="s">
        <v>269</v>
      </c>
      <c r="B125" s="91">
        <f>$B$124*'Freight Energy Data'!AE21/100</f>
        <v>852082</v>
      </c>
    </row>
    <row r="126" spans="1:2">
      <c r="A126" s="7" t="s">
        <v>270</v>
      </c>
      <c r="B126" s="91">
        <f>$B$124*'Freight Energy Data'!AE22/100</f>
        <v>835142</v>
      </c>
    </row>
    <row r="127" spans="1:2">
      <c r="B127" s="90"/>
    </row>
    <row r="128" spans="1:2">
      <c r="A128" t="s">
        <v>271</v>
      </c>
      <c r="B128" s="90"/>
    </row>
    <row r="129" spans="1:2">
      <c r="A129" s="7" t="s">
        <v>269</v>
      </c>
      <c r="B129" s="90">
        <f>'Freight Energy Data'!AE15</f>
        <v>156.69999999999999</v>
      </c>
    </row>
    <row r="130" spans="1:2">
      <c r="A130" s="7" t="s">
        <v>270</v>
      </c>
      <c r="B130" s="90">
        <f>'Freight Energy Data'!AE16</f>
        <v>153.6</v>
      </c>
    </row>
    <row r="131" spans="1:2">
      <c r="B131" s="90"/>
    </row>
    <row r="132" spans="1:2">
      <c r="A132" t="s">
        <v>272</v>
      </c>
      <c r="B132" s="90"/>
    </row>
    <row r="133" spans="1:2">
      <c r="A133" s="7" t="s">
        <v>269</v>
      </c>
      <c r="B133" s="91">
        <f>CONVERT('Freight Fleet Data'!AE21,"km","mi")</f>
        <v>15368.995068798218</v>
      </c>
    </row>
    <row r="134" spans="1:2">
      <c r="A134" s="7" t="s">
        <v>270</v>
      </c>
      <c r="B134" s="91">
        <f>B133</f>
        <v>15368.995068798218</v>
      </c>
    </row>
    <row r="135" spans="1:2">
      <c r="B135" s="90"/>
    </row>
    <row r="136" spans="1:2">
      <c r="A136" t="s">
        <v>316</v>
      </c>
    </row>
    <row r="137" spans="1:2">
      <c r="A137" s="7" t="s">
        <v>269</v>
      </c>
      <c r="B137" s="89">
        <f>'Freight Energy Data'!AE27*10^3/('Freight Fleet Data'!AE17*'Freight Fleet Data'!AE21)</f>
        <v>1.2597794965827191</v>
      </c>
    </row>
    <row r="138" spans="1:2">
      <c r="A138" s="7" t="s">
        <v>270</v>
      </c>
      <c r="B138" s="89">
        <f>B137</f>
        <v>1.2597794965827191</v>
      </c>
    </row>
    <row r="140" spans="1:2">
      <c r="A140" t="s">
        <v>315</v>
      </c>
    </row>
    <row r="141" spans="1:2">
      <c r="A141" s="7" t="s">
        <v>269</v>
      </c>
      <c r="B141" s="92">
        <f>(B125*B133*B137)/(B129*btu_per_pj)</f>
        <v>1.1107796320835077E-4</v>
      </c>
    </row>
    <row r="142" spans="1:2">
      <c r="A142" s="7" t="s">
        <v>270</v>
      </c>
      <c r="B142" s="92">
        <f>(B126*B134*B138)/(B130*btu_per_pj)</f>
        <v>1.1106689290728341E-4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D9F-1F5F-4537-BFEB-616E140E7616}">
  <dimension ref="A2:U36"/>
  <sheetViews>
    <sheetView topLeftCell="A14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62" t="s">
        <v>187</v>
      </c>
      <c r="B2" s="62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3" t="s">
        <v>286</v>
      </c>
    </row>
    <row r="3" spans="1:2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ht="15.75">
      <c r="A4" s="21" t="s">
        <v>188</v>
      </c>
      <c r="B4" s="21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>
      <c r="A5" s="21" t="s">
        <v>287</v>
      </c>
      <c r="B5" s="21"/>
      <c r="C5" s="21"/>
      <c r="D5" s="21"/>
      <c r="E5" s="21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>
      <c r="A8" s="64"/>
      <c r="B8" s="64"/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1">
      <c r="A10" s="15"/>
      <c r="B10" s="52" t="s">
        <v>288</v>
      </c>
      <c r="C10" s="65">
        <v>108.2</v>
      </c>
      <c r="D10" s="65">
        <v>116.7</v>
      </c>
      <c r="E10" s="65">
        <v>112</v>
      </c>
      <c r="F10" s="65">
        <v>112.7</v>
      </c>
      <c r="G10" s="65">
        <v>125.1</v>
      </c>
      <c r="H10" s="65">
        <v>128.1</v>
      </c>
      <c r="I10" s="65">
        <v>113</v>
      </c>
      <c r="J10" s="65">
        <v>125.7</v>
      </c>
      <c r="K10" s="65">
        <v>122.2</v>
      </c>
      <c r="L10" s="65">
        <v>118</v>
      </c>
      <c r="M10" s="65">
        <v>122.3</v>
      </c>
      <c r="N10" s="65">
        <v>98.5</v>
      </c>
      <c r="O10" s="65">
        <v>94.4</v>
      </c>
      <c r="P10" s="65">
        <v>89</v>
      </c>
      <c r="Q10" s="65">
        <v>80.099999999999994</v>
      </c>
      <c r="R10" s="65">
        <v>73.3</v>
      </c>
      <c r="S10" s="65">
        <v>64.7</v>
      </c>
      <c r="T10" s="65">
        <v>69.8</v>
      </c>
      <c r="U10" s="65">
        <v>70.5</v>
      </c>
    </row>
    <row r="11" spans="1:21">
      <c r="A11" s="64"/>
      <c r="B11" s="66" t="s">
        <v>191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>
      <c r="A12" s="64"/>
      <c r="B12" s="68" t="s">
        <v>44</v>
      </c>
      <c r="C12" s="67">
        <v>46.8</v>
      </c>
      <c r="D12" s="67">
        <v>46.4</v>
      </c>
      <c r="E12" s="67">
        <v>46.3</v>
      </c>
      <c r="F12" s="67">
        <v>37.1</v>
      </c>
      <c r="G12" s="67">
        <v>46.2</v>
      </c>
      <c r="H12" s="67">
        <v>45.1</v>
      </c>
      <c r="I12" s="67">
        <v>44.3</v>
      </c>
      <c r="J12" s="67">
        <v>41.2</v>
      </c>
      <c r="K12" s="67">
        <v>37.299999999999997</v>
      </c>
      <c r="L12" s="67">
        <v>31</v>
      </c>
      <c r="M12" s="67">
        <v>36.200000000000003</v>
      </c>
      <c r="N12" s="67">
        <v>37.4</v>
      </c>
      <c r="O12" s="67">
        <v>31.6</v>
      </c>
      <c r="P12" s="67">
        <v>29.6</v>
      </c>
      <c r="Q12" s="67">
        <v>29.3</v>
      </c>
      <c r="R12" s="67">
        <v>32.6</v>
      </c>
      <c r="S12" s="67">
        <v>33.4</v>
      </c>
      <c r="T12" s="67">
        <v>33.1</v>
      </c>
      <c r="U12" s="67">
        <v>33.5</v>
      </c>
    </row>
    <row r="13" spans="1:21">
      <c r="A13" s="64"/>
      <c r="B13" s="68" t="s">
        <v>83</v>
      </c>
      <c r="C13" s="67">
        <v>61.4</v>
      </c>
      <c r="D13" s="67">
        <v>70.3</v>
      </c>
      <c r="E13" s="67">
        <v>65.7</v>
      </c>
      <c r="F13" s="67">
        <v>75.7</v>
      </c>
      <c r="G13" s="67">
        <v>78.8</v>
      </c>
      <c r="H13" s="67">
        <v>83</v>
      </c>
      <c r="I13" s="67">
        <v>68.7</v>
      </c>
      <c r="J13" s="67">
        <v>84.4</v>
      </c>
      <c r="K13" s="67">
        <v>84.9</v>
      </c>
      <c r="L13" s="67">
        <v>87</v>
      </c>
      <c r="M13" s="67">
        <v>86.1</v>
      </c>
      <c r="N13" s="67">
        <v>61.2</v>
      </c>
      <c r="O13" s="67">
        <v>62.8</v>
      </c>
      <c r="P13" s="67">
        <v>59.4</v>
      </c>
      <c r="Q13" s="67">
        <v>50.8</v>
      </c>
      <c r="R13" s="67">
        <v>40.799999999999997</v>
      </c>
      <c r="S13" s="67">
        <v>31.3</v>
      </c>
      <c r="T13" s="67">
        <v>36.700000000000003</v>
      </c>
      <c r="U13" s="67">
        <v>36.9</v>
      </c>
    </row>
    <row r="14" spans="1:21">
      <c r="A14" s="64"/>
      <c r="B14" s="69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</row>
    <row r="15" spans="1:21">
      <c r="A15" s="64"/>
      <c r="B15" s="70" t="s">
        <v>192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</row>
    <row r="16" spans="1:21">
      <c r="A16" s="64"/>
      <c r="B16" s="68" t="s">
        <v>44</v>
      </c>
      <c r="C16" s="67">
        <v>43.3</v>
      </c>
      <c r="D16" s="67">
        <v>39.799999999999997</v>
      </c>
      <c r="E16" s="67">
        <v>41.3</v>
      </c>
      <c r="F16" s="67">
        <v>32.9</v>
      </c>
      <c r="G16" s="67">
        <v>37</v>
      </c>
      <c r="H16" s="67">
        <v>35.200000000000003</v>
      </c>
      <c r="I16" s="67">
        <v>39.200000000000003</v>
      </c>
      <c r="J16" s="67">
        <v>32.799999999999997</v>
      </c>
      <c r="K16" s="67">
        <v>30.5</v>
      </c>
      <c r="L16" s="67">
        <v>26.3</v>
      </c>
      <c r="M16" s="67">
        <v>29.6</v>
      </c>
      <c r="N16" s="67">
        <v>37.9</v>
      </c>
      <c r="O16" s="67">
        <v>33.5</v>
      </c>
      <c r="P16" s="67">
        <v>33.299999999999997</v>
      </c>
      <c r="Q16" s="67">
        <v>36.6</v>
      </c>
      <c r="R16" s="67">
        <v>44.4</v>
      </c>
      <c r="S16" s="67">
        <v>51.6</v>
      </c>
      <c r="T16" s="67">
        <v>47.5</v>
      </c>
      <c r="U16" s="67">
        <v>47.6</v>
      </c>
    </row>
    <row r="17" spans="1:21">
      <c r="A17" s="64"/>
      <c r="B17" s="68" t="s">
        <v>83</v>
      </c>
      <c r="C17" s="67">
        <v>56.7</v>
      </c>
      <c r="D17" s="67">
        <v>60.2</v>
      </c>
      <c r="E17" s="67">
        <v>58.7</v>
      </c>
      <c r="F17" s="67">
        <v>67.099999999999994</v>
      </c>
      <c r="G17" s="67">
        <v>63</v>
      </c>
      <c r="H17" s="67">
        <v>64.8</v>
      </c>
      <c r="I17" s="67">
        <v>60.8</v>
      </c>
      <c r="J17" s="67">
        <v>67.2</v>
      </c>
      <c r="K17" s="67">
        <v>69.5</v>
      </c>
      <c r="L17" s="67">
        <v>73.7</v>
      </c>
      <c r="M17" s="67">
        <v>70.400000000000006</v>
      </c>
      <c r="N17" s="67">
        <v>62.1</v>
      </c>
      <c r="O17" s="67">
        <v>66.5</v>
      </c>
      <c r="P17" s="67">
        <v>66.7</v>
      </c>
      <c r="Q17" s="67">
        <v>63.4</v>
      </c>
      <c r="R17" s="67">
        <v>55.6</v>
      </c>
      <c r="S17" s="67">
        <v>48.4</v>
      </c>
      <c r="T17" s="67">
        <v>52.5</v>
      </c>
      <c r="U17" s="67">
        <v>52.4</v>
      </c>
    </row>
    <row r="18" spans="1:2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>
      <c r="A19" s="64"/>
      <c r="B19" s="71" t="s">
        <v>60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>
      <c r="A20" s="64"/>
      <c r="B20" s="72" t="s">
        <v>193</v>
      </c>
      <c r="C20" s="73">
        <v>210499</v>
      </c>
      <c r="D20" s="73">
        <v>201195</v>
      </c>
      <c r="E20" s="73">
        <v>231463</v>
      </c>
      <c r="F20" s="73">
        <v>243293</v>
      </c>
      <c r="G20" s="73">
        <v>240537</v>
      </c>
      <c r="H20" s="73">
        <v>259113</v>
      </c>
      <c r="I20" s="73">
        <v>259640</v>
      </c>
      <c r="J20" s="73">
        <v>251637</v>
      </c>
      <c r="K20" s="73">
        <v>242848</v>
      </c>
      <c r="L20" s="73">
        <v>211653</v>
      </c>
      <c r="M20" s="73">
        <v>214839</v>
      </c>
      <c r="N20" s="73">
        <v>195675</v>
      </c>
      <c r="O20" s="73">
        <v>199380</v>
      </c>
      <c r="P20" s="73">
        <v>201080</v>
      </c>
      <c r="Q20" s="73">
        <v>199935</v>
      </c>
      <c r="R20" s="73">
        <v>202637</v>
      </c>
      <c r="S20" s="73">
        <v>204085</v>
      </c>
      <c r="T20" s="73">
        <v>205533</v>
      </c>
      <c r="U20" s="73">
        <v>206981</v>
      </c>
    </row>
    <row r="21" spans="1: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>
      <c r="A22" s="15"/>
      <c r="B22" s="71" t="s">
        <v>194</v>
      </c>
      <c r="C22" s="74">
        <v>0.51</v>
      </c>
      <c r="D22" s="74">
        <v>0.57999999999999996</v>
      </c>
      <c r="E22" s="74">
        <v>0.48</v>
      </c>
      <c r="F22" s="74">
        <v>0.46</v>
      </c>
      <c r="G22" s="74">
        <v>0.52</v>
      </c>
      <c r="H22" s="74">
        <v>0.49</v>
      </c>
      <c r="I22" s="74">
        <v>0.44</v>
      </c>
      <c r="J22" s="74">
        <v>0.5</v>
      </c>
      <c r="K22" s="74">
        <v>0.5</v>
      </c>
      <c r="L22" s="74">
        <v>0.56000000000000005</v>
      </c>
      <c r="M22" s="74">
        <v>0.56999999999999995</v>
      </c>
      <c r="N22" s="74">
        <v>0.5</v>
      </c>
      <c r="O22" s="74">
        <v>0.47</v>
      </c>
      <c r="P22" s="74">
        <v>0.44</v>
      </c>
      <c r="Q22" s="74">
        <v>0.4</v>
      </c>
      <c r="R22" s="74">
        <v>0.36</v>
      </c>
      <c r="S22" s="74">
        <v>0.32</v>
      </c>
      <c r="T22" s="74">
        <v>0.34</v>
      </c>
      <c r="U22" s="74">
        <v>0.34</v>
      </c>
    </row>
    <row r="23" spans="1:21">
      <c r="A23" s="15"/>
      <c r="B23" s="7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28.5">
      <c r="A25" s="15"/>
      <c r="B25" s="75" t="s">
        <v>289</v>
      </c>
      <c r="C25" s="65">
        <v>7.9</v>
      </c>
      <c r="D25" s="65">
        <v>8.6</v>
      </c>
      <c r="E25" s="65">
        <v>8.1999999999999993</v>
      </c>
      <c r="F25" s="65">
        <v>8.3000000000000007</v>
      </c>
      <c r="G25" s="65">
        <v>9.1999999999999993</v>
      </c>
      <c r="H25" s="65">
        <v>9.4</v>
      </c>
      <c r="I25" s="65">
        <v>8.3000000000000007</v>
      </c>
      <c r="J25" s="65">
        <v>9.1999999999999993</v>
      </c>
      <c r="K25" s="65">
        <v>9</v>
      </c>
      <c r="L25" s="65">
        <v>8.6999999999999993</v>
      </c>
      <c r="M25" s="65">
        <v>9</v>
      </c>
      <c r="N25" s="65">
        <v>7.2</v>
      </c>
      <c r="O25" s="65">
        <v>6.9</v>
      </c>
      <c r="P25" s="65">
        <v>6.5</v>
      </c>
      <c r="Q25" s="65">
        <v>5.9</v>
      </c>
      <c r="R25" s="65">
        <v>5.4</v>
      </c>
      <c r="S25" s="65">
        <v>4.7</v>
      </c>
      <c r="T25" s="65">
        <v>5.0999999999999996</v>
      </c>
      <c r="U25" s="65">
        <v>5.0999999999999996</v>
      </c>
    </row>
    <row r="26" spans="1:21">
      <c r="A26" s="64"/>
      <c r="B26" s="70" t="s">
        <v>196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</row>
    <row r="27" spans="1:21">
      <c r="A27" s="64"/>
      <c r="B27" s="68" t="s">
        <v>44</v>
      </c>
      <c r="C27" s="67">
        <v>3.3</v>
      </c>
      <c r="D27" s="67">
        <v>3.3</v>
      </c>
      <c r="E27" s="67">
        <v>3.3</v>
      </c>
      <c r="F27" s="67">
        <v>2.6</v>
      </c>
      <c r="G27" s="67">
        <v>3.3</v>
      </c>
      <c r="H27" s="67">
        <v>3.2</v>
      </c>
      <c r="I27" s="67">
        <v>3.1</v>
      </c>
      <c r="J27" s="67">
        <v>2.9</v>
      </c>
      <c r="K27" s="67">
        <v>2.6</v>
      </c>
      <c r="L27" s="67">
        <v>2.2000000000000002</v>
      </c>
      <c r="M27" s="67">
        <v>2.6</v>
      </c>
      <c r="N27" s="67">
        <v>2.6</v>
      </c>
      <c r="O27" s="67">
        <v>2.2000000000000002</v>
      </c>
      <c r="P27" s="67">
        <v>2.1</v>
      </c>
      <c r="Q27" s="67">
        <v>2.1</v>
      </c>
      <c r="R27" s="67">
        <v>2.2999999999999998</v>
      </c>
      <c r="S27" s="67">
        <v>2.4</v>
      </c>
      <c r="T27" s="67">
        <v>2.2999999999999998</v>
      </c>
      <c r="U27" s="67">
        <v>2.4</v>
      </c>
    </row>
    <row r="28" spans="1:21">
      <c r="A28" s="64"/>
      <c r="B28" s="68" t="s">
        <v>83</v>
      </c>
      <c r="C28" s="67">
        <v>4.5999999999999996</v>
      </c>
      <c r="D28" s="67">
        <v>5.3</v>
      </c>
      <c r="E28" s="67">
        <v>4.9000000000000004</v>
      </c>
      <c r="F28" s="67">
        <v>5.7</v>
      </c>
      <c r="G28" s="67">
        <v>5.9</v>
      </c>
      <c r="H28" s="67">
        <v>6.2</v>
      </c>
      <c r="I28" s="67">
        <v>5.2</v>
      </c>
      <c r="J28" s="67">
        <v>6.3</v>
      </c>
      <c r="K28" s="67">
        <v>6.4</v>
      </c>
      <c r="L28" s="67">
        <v>6.5</v>
      </c>
      <c r="M28" s="67">
        <v>6.5</v>
      </c>
      <c r="N28" s="67">
        <v>4.5999999999999996</v>
      </c>
      <c r="O28" s="67">
        <v>4.7</v>
      </c>
      <c r="P28" s="67">
        <v>4.5</v>
      </c>
      <c r="Q28" s="67">
        <v>3.8</v>
      </c>
      <c r="R28" s="67">
        <v>3.1</v>
      </c>
      <c r="S28" s="67">
        <v>2.2999999999999998</v>
      </c>
      <c r="T28" s="67">
        <v>2.8</v>
      </c>
      <c r="U28" s="67">
        <v>2.8</v>
      </c>
    </row>
    <row r="29" spans="1:21">
      <c r="A29" s="64"/>
      <c r="B29" s="6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>
      <c r="A30" s="64"/>
      <c r="B30" s="70" t="s">
        <v>192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</row>
    <row r="31" spans="1:21">
      <c r="A31" s="64"/>
      <c r="B31" s="68" t="s">
        <v>44</v>
      </c>
      <c r="C31" s="67">
        <v>41.8</v>
      </c>
      <c r="D31" s="67">
        <v>38.4</v>
      </c>
      <c r="E31" s="67">
        <v>39.9</v>
      </c>
      <c r="F31" s="67">
        <v>31.6</v>
      </c>
      <c r="G31" s="67">
        <v>35.6</v>
      </c>
      <c r="H31" s="67">
        <v>33.9</v>
      </c>
      <c r="I31" s="67">
        <v>37.799999999999997</v>
      </c>
      <c r="J31" s="67">
        <v>31.5</v>
      </c>
      <c r="K31" s="67">
        <v>29.3</v>
      </c>
      <c r="L31" s="67">
        <v>25.1</v>
      </c>
      <c r="M31" s="67">
        <v>28.4</v>
      </c>
      <c r="N31" s="67">
        <v>36.5</v>
      </c>
      <c r="O31" s="67">
        <v>32.200000000000003</v>
      </c>
      <c r="P31" s="67">
        <v>32</v>
      </c>
      <c r="Q31" s="67">
        <v>35.299999999999997</v>
      </c>
      <c r="R31" s="67">
        <v>43</v>
      </c>
      <c r="S31" s="67">
        <v>50.1</v>
      </c>
      <c r="T31" s="67">
        <v>46</v>
      </c>
      <c r="U31" s="67">
        <v>46.1</v>
      </c>
    </row>
    <row r="32" spans="1:21">
      <c r="A32" s="64"/>
      <c r="B32" s="68" t="s">
        <v>83</v>
      </c>
      <c r="C32" s="67">
        <v>58.2</v>
      </c>
      <c r="D32" s="67">
        <v>61.6</v>
      </c>
      <c r="E32" s="67">
        <v>60.1</v>
      </c>
      <c r="F32" s="67">
        <v>68.400000000000006</v>
      </c>
      <c r="G32" s="67">
        <v>64.400000000000006</v>
      </c>
      <c r="H32" s="67">
        <v>66.099999999999994</v>
      </c>
      <c r="I32" s="67">
        <v>62.2</v>
      </c>
      <c r="J32" s="67">
        <v>68.5</v>
      </c>
      <c r="K32" s="67">
        <v>70.7</v>
      </c>
      <c r="L32" s="67">
        <v>74.900000000000006</v>
      </c>
      <c r="M32" s="67">
        <v>71.599999999999994</v>
      </c>
      <c r="N32" s="67">
        <v>63.5</v>
      </c>
      <c r="O32" s="67">
        <v>67.8</v>
      </c>
      <c r="P32" s="67">
        <v>68</v>
      </c>
      <c r="Q32" s="67">
        <v>64.7</v>
      </c>
      <c r="R32" s="67">
        <v>57</v>
      </c>
      <c r="S32" s="67">
        <v>49.9</v>
      </c>
      <c r="T32" s="67">
        <v>54</v>
      </c>
      <c r="U32" s="67">
        <v>53.9</v>
      </c>
    </row>
    <row r="33" spans="1:21">
      <c r="A33" s="64"/>
      <c r="B33" s="64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</row>
    <row r="34" spans="1:21">
      <c r="A34" s="15"/>
      <c r="B34" s="71" t="s">
        <v>197</v>
      </c>
      <c r="C34" s="65">
        <v>73.099999999999994</v>
      </c>
      <c r="D34" s="65">
        <v>73.3</v>
      </c>
      <c r="E34" s="65">
        <v>73.2</v>
      </c>
      <c r="F34" s="65">
        <v>73.599999999999994</v>
      </c>
      <c r="G34" s="65">
        <v>73.400000000000006</v>
      </c>
      <c r="H34" s="65">
        <v>73.5</v>
      </c>
      <c r="I34" s="65">
        <v>73.3</v>
      </c>
      <c r="J34" s="65">
        <v>73.599999999999994</v>
      </c>
      <c r="K34" s="65">
        <v>73.7</v>
      </c>
      <c r="L34" s="65">
        <v>73.900000000000006</v>
      </c>
      <c r="M34" s="65">
        <v>73.7</v>
      </c>
      <c r="N34" s="65">
        <v>73.400000000000006</v>
      </c>
      <c r="O34" s="65">
        <v>73.599999999999994</v>
      </c>
      <c r="P34" s="65">
        <v>73.599999999999994</v>
      </c>
      <c r="Q34" s="65">
        <v>73.400000000000006</v>
      </c>
      <c r="R34" s="65">
        <v>73.099999999999994</v>
      </c>
      <c r="S34" s="65">
        <v>72.8</v>
      </c>
      <c r="T34" s="65">
        <v>73</v>
      </c>
      <c r="U34" s="65">
        <v>73</v>
      </c>
    </row>
    <row r="35" spans="1:21">
      <c r="A35" s="64"/>
      <c r="B35" s="7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>
      <c r="A36" s="76" t="s">
        <v>290</v>
      </c>
      <c r="B36" s="76"/>
      <c r="C36" s="76"/>
      <c r="D36" s="76"/>
      <c r="E36" s="76"/>
      <c r="F36" s="76"/>
      <c r="G36" s="76"/>
      <c r="H36" s="76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783-D8B8-4CD1-BBA7-BF378544E3EC}">
  <sheetPr>
    <tabColor theme="9" tint="-0.249977111117893"/>
  </sheetPr>
  <dimension ref="B2:AH1355"/>
  <sheetViews>
    <sheetView workbookViewId="0">
      <selection activeCell="B22" sqref="B22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77" t="s">
        <v>291</v>
      </c>
      <c r="C2" s="78" t="s">
        <v>292</v>
      </c>
    </row>
    <row r="3" spans="2:5">
      <c r="B3" s="79" t="s">
        <v>293</v>
      </c>
      <c r="C3" s="79"/>
    </row>
    <row r="4" spans="2:5">
      <c r="B4" s="80" t="s">
        <v>294</v>
      </c>
      <c r="C4" s="80">
        <v>1000</v>
      </c>
      <c r="D4" t="s">
        <v>295</v>
      </c>
    </row>
    <row r="5" spans="2:5">
      <c r="B5" s="80" t="s">
        <v>296</v>
      </c>
      <c r="C5" s="80">
        <v>0.62137100000000001</v>
      </c>
    </row>
    <row r="6" spans="2:5">
      <c r="B6" s="80" t="s">
        <v>297</v>
      </c>
      <c r="C6" s="80">
        <v>206981000000</v>
      </c>
    </row>
    <row r="7" spans="2:5">
      <c r="B7" s="80" t="s">
        <v>298</v>
      </c>
      <c r="C7" s="81">
        <f>(C6*C5)/C4</f>
        <v>128611990.95100001</v>
      </c>
      <c r="D7" t="s">
        <v>299</v>
      </c>
    </row>
    <row r="8" spans="2:5">
      <c r="B8" s="80" t="s">
        <v>300</v>
      </c>
      <c r="C8" s="82">
        <v>1000</v>
      </c>
      <c r="D8" t="s">
        <v>301</v>
      </c>
    </row>
    <row r="9" spans="2:5">
      <c r="B9" s="80" t="s">
        <v>302</v>
      </c>
      <c r="C9" s="82">
        <f>C7/C8</f>
        <v>128611.990951</v>
      </c>
      <c r="D9" t="s">
        <v>303</v>
      </c>
    </row>
    <row r="10" spans="2:5">
      <c r="B10" s="80" t="s">
        <v>304</v>
      </c>
      <c r="C10" s="81">
        <f>C9*C8*C4</f>
        <v>128611990951</v>
      </c>
    </row>
    <row r="11" spans="2:5">
      <c r="B11" s="80"/>
      <c r="C11" s="80"/>
    </row>
    <row r="12" spans="2:5">
      <c r="B12" s="79" t="s">
        <v>305</v>
      </c>
      <c r="C12" s="80"/>
    </row>
    <row r="13" spans="2:5">
      <c r="B13" s="79" t="s">
        <v>306</v>
      </c>
      <c r="C13" s="81">
        <f>C9*C8*C4</f>
        <v>128611990951</v>
      </c>
    </row>
    <row r="14" spans="2:5">
      <c r="B14" s="79" t="s">
        <v>307</v>
      </c>
      <c r="C14" s="83">
        <v>5100000000000</v>
      </c>
      <c r="E14" s="27"/>
    </row>
    <row r="15" spans="2:5">
      <c r="B15" s="79" t="s">
        <v>308</v>
      </c>
      <c r="C15" s="84">
        <v>7.4834977999999996E-2</v>
      </c>
      <c r="D15" t="s">
        <v>309</v>
      </c>
    </row>
    <row r="16" spans="2:5">
      <c r="B16" s="79" t="s">
        <v>310</v>
      </c>
      <c r="C16" s="81">
        <f>C14/C15</f>
        <v>68149949880388.82</v>
      </c>
      <c r="E16" t="s">
        <v>311</v>
      </c>
    </row>
    <row r="17" spans="2:34">
      <c r="B17" s="79" t="s">
        <v>312</v>
      </c>
      <c r="C17" s="81">
        <f>C13/C16</f>
        <v>1.8871912771282911E-3</v>
      </c>
      <c r="D17" t="s">
        <v>313</v>
      </c>
    </row>
    <row r="18" spans="2:34">
      <c r="C18" s="85">
        <f>C13/C17*C15/10^12</f>
        <v>5.0999999999999996</v>
      </c>
      <c r="G18" t="s">
        <v>314</v>
      </c>
    </row>
    <row r="24" spans="2:34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1" spans="2:34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4" spans="3:34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34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3:34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3:34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3:34">
      <c r="C38" s="27"/>
      <c r="D38" s="27"/>
      <c r="E38" s="27"/>
      <c r="F38" s="27"/>
      <c r="G38" s="27"/>
      <c r="H38" s="27"/>
      <c r="I38" s="27"/>
      <c r="J38" s="27"/>
    </row>
    <row r="41" spans="3:34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3:34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3:34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3:34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3:34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3:34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51" spans="3:30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5" spans="3:30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3:30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3:30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61" spans="3:30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5" spans="3:34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3:34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3:34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3:34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71" spans="3:34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5" spans="3:34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3:34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3:34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85" spans="3:34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3:34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3:34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3:3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95" spans="3:34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3:34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3:34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101" spans="3:34">
      <c r="C101" s="27"/>
      <c r="D101" s="27"/>
      <c r="E101" s="27"/>
      <c r="F101" s="27"/>
      <c r="G101" s="27"/>
      <c r="H101" s="27"/>
      <c r="I101" s="27"/>
    </row>
    <row r="105" spans="3:34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3:34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3:34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3:34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11" spans="3:34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5" spans="3:34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3:34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3:34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21" spans="3:34"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5" spans="3:34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3:34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3:34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3:34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31" spans="3:34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4" spans="3:34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3:34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7" spans="3:34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41" spans="3:34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4" spans="3:34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3:34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7" spans="3:34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51" spans="3:34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5" spans="3:34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3:34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3:34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3:34">
      <c r="C158" s="27"/>
    </row>
    <row r="161" spans="3:34">
      <c r="C161" s="27"/>
      <c r="D161" s="27"/>
      <c r="E161" s="27"/>
      <c r="F161" s="27"/>
      <c r="G161" s="27"/>
      <c r="H161" s="27"/>
      <c r="I161" s="27"/>
      <c r="J161" s="27"/>
      <c r="K161" s="27"/>
    </row>
    <row r="165" spans="3:34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3:34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3:34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3:34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71" spans="3:34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94" spans="3:34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3:34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3:34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3:34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3:34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201" spans="3:34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4" spans="3:34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3:34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3:34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3:34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3:34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11" spans="3:34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4" spans="3:34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3:34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3:34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3:34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3:34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21" spans="3:34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4" spans="3:34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3:34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3:34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3:34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3:34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34" spans="3:34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3:34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3:34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3:34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3:34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41" spans="3:34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4" spans="3:34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3:34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3:34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3:34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3:34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54" spans="3:34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3:34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3:34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3:34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3:34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61" spans="3:34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4" spans="3:34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3:34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3:34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3:34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3:34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71" spans="3:34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6" spans="3:34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84" spans="3:34"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3:34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3:34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3:34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3:34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96" spans="3:34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304" spans="3:34"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3:34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3:3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3:34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3:34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14" spans="3:34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3:34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3:3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8" spans="3:34">
      <c r="C318" s="27"/>
      <c r="D318" s="27"/>
      <c r="E318" s="27"/>
      <c r="F318" s="27"/>
      <c r="G318" s="27"/>
      <c r="H318" s="27"/>
    </row>
    <row r="324" spans="3:34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AH324" s="27"/>
    </row>
    <row r="325" spans="3:34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3:34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3:34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3:34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36" spans="3:34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45" spans="3:34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3:34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3:34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56" spans="3:34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64" spans="3:34">
      <c r="C364" s="27"/>
      <c r="D364" s="27"/>
      <c r="E364" s="27"/>
      <c r="F364" s="27"/>
      <c r="G364" s="27"/>
    </row>
    <row r="365" spans="3:34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3:34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3:34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3:34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74" spans="3:34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3:34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3:34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3:34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3:34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81" spans="3:34">
      <c r="C381" s="27"/>
      <c r="D381" s="27"/>
    </row>
    <row r="384" spans="3:34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3:34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3:34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3:34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3:34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95" spans="3:34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3:34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8" spans="3:34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404" spans="3:34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3:34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3:34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3:34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3:34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39" spans="3:34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9" spans="3:34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9" spans="3:34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9" spans="3:34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9" spans="3:34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9" spans="3:34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9" spans="3:34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9" spans="3:34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9" spans="3:34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9" spans="3:34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9" spans="3:34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9" spans="3:34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9" spans="3:34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9" spans="3:34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9" spans="3:34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9" spans="3:34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9" spans="3:34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9" spans="3:34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9" spans="3:34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9" spans="3:34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9" spans="3:34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9" spans="3:34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76" spans="3:34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86" spans="3:34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96" spans="3:34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706" spans="3:34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16" spans="3:34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26" spans="3:34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36" spans="3:34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46" spans="3:34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56" spans="3:34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66" spans="3:34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76" spans="3:34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86" spans="3:34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96" spans="3:34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806" spans="3:34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16" spans="3:34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26" spans="3:34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36" spans="3:34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46" spans="3:34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56" spans="3:34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66" spans="3:34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76" spans="3:34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86" spans="3:34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916" spans="3:34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26" spans="3:34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36" spans="3:34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46" spans="3:34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56" spans="3:34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66" spans="3:34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76" spans="3:34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86" spans="3:34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96" spans="3:34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1006" spans="3:34"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16" spans="3:34"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</row>
    <row r="1026" spans="3:34"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</row>
    <row r="1036" spans="3:34"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</row>
    <row r="1046" spans="3:34"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</row>
    <row r="1056" spans="3:34"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</row>
    <row r="1066" spans="3:34"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</row>
    <row r="1076" spans="3:34"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</row>
    <row r="1086" spans="3:34"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</row>
    <row r="1096" spans="4:34"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</row>
    <row r="1106" spans="3:34"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</row>
    <row r="1116" spans="3:34"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</row>
    <row r="1126" spans="3:34"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</row>
    <row r="1155" spans="3:34"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</row>
    <row r="1157" spans="3:34"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</row>
    <row r="1175" spans="3:34"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</row>
    <row r="1177" spans="3:34"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</row>
    <row r="1195" spans="3:34"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</row>
    <row r="1197" spans="3:34"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</row>
    <row r="1215" spans="3:34"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</row>
    <row r="1217" spans="3:34"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</row>
    <row r="1235" spans="3:34"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</row>
    <row r="1255" spans="3:34"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</row>
    <row r="1315" spans="3:34"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</row>
    <row r="1335" spans="3:34"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</row>
    <row r="1355" spans="3:34"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D0D7-9817-46EB-AC27-A9B7F4096646}">
  <sheetPr>
    <tabColor theme="9"/>
  </sheetPr>
  <dimension ref="B2:C19"/>
  <sheetViews>
    <sheetView workbookViewId="0">
      <selection activeCell="D27" sqref="D27"/>
    </sheetView>
  </sheetViews>
  <sheetFormatPr defaultRowHeight="15"/>
  <cols>
    <col min="2" max="2" width="62.85546875" customWidth="1"/>
  </cols>
  <sheetData>
    <row r="2" spans="2:3">
      <c r="B2" s="100" t="s">
        <v>323</v>
      </c>
      <c r="C2" s="34">
        <f>'Table 25_rail'!V38</f>
        <v>1.3182579999999999</v>
      </c>
    </row>
    <row r="3" spans="2:3">
      <c r="B3" s="100" t="s">
        <v>324</v>
      </c>
      <c r="C3" s="34">
        <f>'Table 25_rail'!V39</f>
        <v>0.21271200000000001</v>
      </c>
    </row>
    <row r="5" spans="2:3">
      <c r="B5" s="1" t="s">
        <v>335</v>
      </c>
    </row>
    <row r="6" spans="2:3">
      <c r="B6" t="s">
        <v>329</v>
      </c>
      <c r="C6">
        <v>947.81700000000001</v>
      </c>
    </row>
    <row r="7" spans="2:3">
      <c r="B7" t="s">
        <v>333</v>
      </c>
      <c r="C7">
        <v>0.62137100000000001</v>
      </c>
    </row>
    <row r="8" spans="2:3">
      <c r="B8" t="s">
        <v>334</v>
      </c>
      <c r="C8">
        <v>0.90718500000000002</v>
      </c>
    </row>
    <row r="10" spans="2:3">
      <c r="B10" s="99" t="s">
        <v>324</v>
      </c>
      <c r="C10" s="34">
        <f>C3</f>
        <v>0.21271200000000001</v>
      </c>
    </row>
    <row r="11" spans="2:3">
      <c r="B11" t="s">
        <v>330</v>
      </c>
      <c r="C11">
        <f>C10*C6</f>
        <v>201.61204970400001</v>
      </c>
    </row>
    <row r="12" spans="2:3">
      <c r="B12" t="s">
        <v>331</v>
      </c>
      <c r="C12">
        <f>C11/C7/C8</f>
        <v>357.65940012232835</v>
      </c>
    </row>
    <row r="13" spans="2:3">
      <c r="B13" t="s">
        <v>332</v>
      </c>
      <c r="C13" s="9">
        <f>1/C12</f>
        <v>2.7959561517409449E-3</v>
      </c>
    </row>
    <row r="16" spans="2:3">
      <c r="B16" s="100" t="s">
        <v>323</v>
      </c>
      <c r="C16" s="34">
        <f>C2</f>
        <v>1.3182579999999999</v>
      </c>
    </row>
    <row r="17" spans="2:3">
      <c r="B17" t="s">
        <v>330</v>
      </c>
      <c r="C17">
        <f>C16*C6</f>
        <v>1249.467342786</v>
      </c>
    </row>
    <row r="18" spans="2:3">
      <c r="B18" t="s">
        <v>331</v>
      </c>
      <c r="C18">
        <f>C17/C7/C8</f>
        <v>2216.5527355601012</v>
      </c>
    </row>
    <row r="19" spans="2:3">
      <c r="B19" t="s">
        <v>332</v>
      </c>
      <c r="C19" s="9">
        <f>1/C18</f>
        <v>4.511510075790323E-4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C087-1172-40CE-90A4-CF79C4572982}">
  <dimension ref="A1:V72"/>
  <sheetViews>
    <sheetView tabSelected="1" workbookViewId="0">
      <selection activeCell="W35" sqref="W35"/>
    </sheetView>
  </sheetViews>
  <sheetFormatPr defaultRowHeight="15"/>
  <cols>
    <col min="2" max="2" width="41.42578125" style="105" customWidth="1"/>
    <col min="3" max="21" width="0" hidden="1" customWidth="1"/>
  </cols>
  <sheetData>
    <row r="1" spans="1:22" ht="15.75">
      <c r="A1" s="21" t="s">
        <v>188</v>
      </c>
      <c r="C1" s="7"/>
      <c r="D1" s="7"/>
      <c r="E1" s="7"/>
    </row>
    <row r="2" spans="1:22" ht="15.75">
      <c r="A2" s="21" t="s">
        <v>319</v>
      </c>
      <c r="B2" s="106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5" spans="1:22">
      <c r="C5" s="33">
        <v>2000</v>
      </c>
      <c r="D5" s="33">
        <v>2001</v>
      </c>
      <c r="E5" s="33">
        <v>2002</v>
      </c>
      <c r="F5" s="33">
        <v>2003</v>
      </c>
      <c r="G5" s="33">
        <v>2004</v>
      </c>
      <c r="H5" s="33">
        <v>2005</v>
      </c>
      <c r="I5" s="33">
        <v>2006</v>
      </c>
      <c r="J5" s="33">
        <v>2007</v>
      </c>
      <c r="K5" s="33">
        <v>2008</v>
      </c>
      <c r="L5" s="33">
        <v>2009</v>
      </c>
      <c r="M5" s="33">
        <v>2010</v>
      </c>
      <c r="N5" s="33">
        <v>2011</v>
      </c>
      <c r="O5" s="33">
        <v>2012</v>
      </c>
      <c r="P5" s="33">
        <v>2013</v>
      </c>
      <c r="Q5" s="33">
        <v>2014</v>
      </c>
      <c r="R5" s="33">
        <v>2015</v>
      </c>
      <c r="S5" s="33">
        <v>2016</v>
      </c>
      <c r="T5" s="33">
        <v>2017</v>
      </c>
      <c r="U5" s="33">
        <v>2018</v>
      </c>
      <c r="V5" s="33">
        <v>2019</v>
      </c>
    </row>
    <row r="7" spans="1:22">
      <c r="A7" s="15"/>
      <c r="B7" s="75" t="s">
        <v>320</v>
      </c>
      <c r="C7" s="65">
        <v>84.48</v>
      </c>
      <c r="D7" s="65">
        <v>83.701999999999998</v>
      </c>
      <c r="E7" s="65">
        <v>76.23</v>
      </c>
      <c r="F7" s="65">
        <v>76.960999999999999</v>
      </c>
      <c r="G7" s="65">
        <v>79.138999999999996</v>
      </c>
      <c r="H7" s="65">
        <v>84.325999999999993</v>
      </c>
      <c r="I7" s="65">
        <v>88.275999999999996</v>
      </c>
      <c r="J7" s="65">
        <v>94.558000000000007</v>
      </c>
      <c r="K7" s="65">
        <v>99.834999999999994</v>
      </c>
      <c r="L7" s="65">
        <v>85.356999999999999</v>
      </c>
      <c r="M7" s="65">
        <v>83.724999999999994</v>
      </c>
      <c r="N7" s="65">
        <v>94.36</v>
      </c>
      <c r="O7" s="65">
        <v>96.578000000000003</v>
      </c>
      <c r="P7" s="65">
        <v>93.05</v>
      </c>
      <c r="Q7" s="65">
        <v>95.406000000000006</v>
      </c>
      <c r="R7" s="65">
        <v>90.855999999999995</v>
      </c>
      <c r="S7" s="65">
        <v>83.477000000000004</v>
      </c>
      <c r="T7" s="65">
        <v>95.518000000000001</v>
      </c>
      <c r="U7" s="65">
        <v>97.563999999999993</v>
      </c>
      <c r="V7" s="65">
        <v>98.284999999999997</v>
      </c>
    </row>
    <row r="8" spans="1:22">
      <c r="B8" s="107" t="s">
        <v>321</v>
      </c>
      <c r="C8" s="101">
        <v>2.9738790000000002</v>
      </c>
      <c r="D8" s="101">
        <v>2.9605899999999998</v>
      </c>
      <c r="E8" s="101">
        <v>2.7514850000000002</v>
      </c>
      <c r="F8" s="101">
        <v>2.6077520000000001</v>
      </c>
      <c r="G8" s="101">
        <v>2.5421640000000001</v>
      </c>
      <c r="H8" s="101">
        <v>2.6696439999999999</v>
      </c>
      <c r="I8" s="101">
        <v>2.6993649999999998</v>
      </c>
      <c r="J8" s="101">
        <v>2.8065530000000001</v>
      </c>
      <c r="K8" s="101">
        <v>3.1555629999999999</v>
      </c>
      <c r="L8" s="101">
        <v>2.9977499999999999</v>
      </c>
      <c r="M8" s="101">
        <v>2.4749439999999998</v>
      </c>
      <c r="N8" s="101">
        <v>2.7665929999999999</v>
      </c>
      <c r="O8" s="101">
        <v>2.3815270000000002</v>
      </c>
      <c r="P8" s="101">
        <v>2.1025550000000002</v>
      </c>
      <c r="Q8" s="101">
        <v>1.9880899999999999</v>
      </c>
      <c r="R8" s="101">
        <v>2.0039169999999999</v>
      </c>
      <c r="S8" s="101">
        <v>2.0251960000000002</v>
      </c>
      <c r="T8" s="101">
        <v>2.2895620000000001</v>
      </c>
      <c r="U8" s="101">
        <v>2.237285</v>
      </c>
      <c r="V8" s="101">
        <v>2.2928009999999999</v>
      </c>
    </row>
    <row r="9" spans="1:22">
      <c r="B9" s="107" t="s">
        <v>322</v>
      </c>
      <c r="C9" s="101">
        <v>81.506120999999993</v>
      </c>
      <c r="D9" s="101">
        <v>80.741410000000002</v>
      </c>
      <c r="E9" s="101">
        <v>73.478515000000002</v>
      </c>
      <c r="F9" s="101">
        <v>74.353247999999994</v>
      </c>
      <c r="G9" s="101">
        <v>76.596835999999996</v>
      </c>
      <c r="H9" s="101">
        <v>81.656356000000002</v>
      </c>
      <c r="I9" s="101">
        <v>85.576634999999996</v>
      </c>
      <c r="J9" s="101">
        <v>91.751446999999999</v>
      </c>
      <c r="K9" s="101">
        <v>96.679436999999993</v>
      </c>
      <c r="L9" s="101">
        <v>82.359250000000003</v>
      </c>
      <c r="M9" s="101">
        <v>81.250056000000001</v>
      </c>
      <c r="N9" s="101">
        <v>91.593406999999999</v>
      </c>
      <c r="O9" s="101">
        <v>94.196472999999997</v>
      </c>
      <c r="P9" s="101">
        <v>90.947445000000002</v>
      </c>
      <c r="Q9" s="101">
        <v>93.417910000000006</v>
      </c>
      <c r="R9" s="101">
        <v>88.852082999999993</v>
      </c>
      <c r="S9" s="101">
        <v>81.451803999999996</v>
      </c>
      <c r="T9" s="101">
        <v>93.228437999999997</v>
      </c>
      <c r="U9" s="101">
        <v>95.326714999999993</v>
      </c>
      <c r="V9" s="101">
        <v>95.992198999999999</v>
      </c>
    </row>
    <row r="10" spans="1:22">
      <c r="B10" s="108" t="s">
        <v>200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</row>
    <row r="11" spans="1:22">
      <c r="B11" s="107" t="s">
        <v>201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</row>
    <row r="12" spans="1:22">
      <c r="B12" s="107" t="s">
        <v>202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</row>
    <row r="13" spans="1:22">
      <c r="B13" s="107" t="s">
        <v>203</v>
      </c>
      <c r="C13" s="101">
        <v>0.94299999999999995</v>
      </c>
      <c r="D13" s="101">
        <v>0.88500000000000001</v>
      </c>
      <c r="E13" s="101">
        <v>0.99</v>
      </c>
      <c r="F13" s="101">
        <v>2.1080000000000001</v>
      </c>
      <c r="G13" s="101">
        <v>1.5049999999999999</v>
      </c>
      <c r="H13" s="101">
        <v>1.47</v>
      </c>
      <c r="I13" s="101">
        <v>1.3360000000000001</v>
      </c>
      <c r="J13" s="101">
        <v>1.9830000000000001</v>
      </c>
      <c r="K13" s="101">
        <v>1.776</v>
      </c>
      <c r="L13" s="101">
        <v>1.4750000000000001</v>
      </c>
      <c r="M13" s="101">
        <v>1.748</v>
      </c>
      <c r="N13" s="101">
        <v>2.1749999999999998</v>
      </c>
      <c r="O13" s="101">
        <v>1.6759999999999999</v>
      </c>
      <c r="P13" s="101">
        <v>1.337</v>
      </c>
      <c r="Q13" s="101">
        <v>1.3859999999999999</v>
      </c>
      <c r="R13" s="101">
        <v>1.5109999999999999</v>
      </c>
      <c r="S13" s="101">
        <v>1.5269999999999999</v>
      </c>
      <c r="T13" s="101">
        <v>1.9379999999999999</v>
      </c>
      <c r="U13" s="101">
        <v>2.0830000000000002</v>
      </c>
      <c r="V13" s="101">
        <v>2.028</v>
      </c>
    </row>
    <row r="14" spans="1:22">
      <c r="B14" s="107" t="s">
        <v>204</v>
      </c>
      <c r="C14" s="101">
        <v>2.9860000000000002</v>
      </c>
      <c r="D14" s="101">
        <v>3.3239999999999998</v>
      </c>
      <c r="E14" s="101">
        <v>3.3090000000000002</v>
      </c>
      <c r="F14" s="101">
        <v>3.6</v>
      </c>
      <c r="G14" s="101">
        <v>3.7290000000000001</v>
      </c>
      <c r="H14" s="101">
        <v>3.6429999999999998</v>
      </c>
      <c r="I14" s="101">
        <v>3.621</v>
      </c>
      <c r="J14" s="101">
        <v>3.6589999999999998</v>
      </c>
      <c r="K14" s="101">
        <v>3.1459999999999999</v>
      </c>
      <c r="L14" s="101">
        <v>3.2330000000000001</v>
      </c>
      <c r="M14" s="101">
        <v>3.919</v>
      </c>
      <c r="N14" s="101">
        <v>3.7069999999999999</v>
      </c>
      <c r="O14" s="101">
        <v>3.4940000000000002</v>
      </c>
      <c r="P14" s="101">
        <v>2.5339999999999998</v>
      </c>
      <c r="Q14" s="101">
        <v>2.6139999999999999</v>
      </c>
      <c r="R14" s="101">
        <v>2.194</v>
      </c>
      <c r="S14" s="101">
        <v>2.0449999999999999</v>
      </c>
      <c r="T14" s="101">
        <v>2.0129999999999999</v>
      </c>
      <c r="U14" s="101">
        <v>2.044</v>
      </c>
      <c r="V14" s="101">
        <v>1.929</v>
      </c>
    </row>
    <row r="15" spans="1:22">
      <c r="B15" s="109" t="s">
        <v>205</v>
      </c>
      <c r="C15" s="101">
        <v>10.317</v>
      </c>
      <c r="D15" s="101">
        <v>9.6929999999999996</v>
      </c>
      <c r="E15" s="101">
        <v>9.5549999999999997</v>
      </c>
      <c r="F15" s="101">
        <v>9.4930000000000003</v>
      </c>
      <c r="G15" s="101">
        <v>10.393000000000001</v>
      </c>
      <c r="H15" s="101">
        <v>9.0340000000000007</v>
      </c>
      <c r="I15" s="101">
        <v>9.8160000000000007</v>
      </c>
      <c r="J15" s="101">
        <v>11.282999999999999</v>
      </c>
      <c r="K15" s="101">
        <v>11.382999999999999</v>
      </c>
      <c r="L15" s="101">
        <v>11.846</v>
      </c>
      <c r="M15" s="101">
        <v>10.804</v>
      </c>
      <c r="N15" s="101">
        <v>11.39</v>
      </c>
      <c r="O15" s="101">
        <v>11.891</v>
      </c>
      <c r="P15" s="101">
        <v>11.1</v>
      </c>
      <c r="Q15" s="101">
        <v>9.9130000000000003</v>
      </c>
      <c r="R15" s="101">
        <v>8.7059999999999995</v>
      </c>
      <c r="S15" s="101">
        <v>8.5950000000000006</v>
      </c>
      <c r="T15" s="101">
        <v>7.931</v>
      </c>
      <c r="U15" s="101">
        <v>8.8879999999999999</v>
      </c>
      <c r="V15" s="101">
        <v>8.1530000000000005</v>
      </c>
    </row>
    <row r="16" spans="1:22">
      <c r="B16" s="109" t="s">
        <v>206</v>
      </c>
      <c r="C16" s="101">
        <v>21.381</v>
      </c>
      <c r="D16" s="101">
        <v>20.234000000000002</v>
      </c>
      <c r="E16" s="101">
        <v>18.707999999999998</v>
      </c>
      <c r="F16" s="101">
        <v>16.413</v>
      </c>
      <c r="G16" s="101">
        <v>18.513999999999999</v>
      </c>
      <c r="H16" s="101">
        <v>19.878</v>
      </c>
      <c r="I16" s="101">
        <v>18.856000000000002</v>
      </c>
      <c r="J16" s="101">
        <v>19.640999999999998</v>
      </c>
      <c r="K16" s="101">
        <v>19.617999999999999</v>
      </c>
      <c r="L16" s="101">
        <v>14.723000000000001</v>
      </c>
      <c r="M16" s="101">
        <v>16.053999999999998</v>
      </c>
      <c r="N16" s="101">
        <v>16.920999999999999</v>
      </c>
      <c r="O16" s="101">
        <v>15.875</v>
      </c>
      <c r="P16" s="101">
        <v>16.82</v>
      </c>
      <c r="Q16" s="101">
        <v>18.047000000000001</v>
      </c>
      <c r="R16" s="101">
        <v>18.280999999999999</v>
      </c>
      <c r="S16" s="101">
        <v>18.533999999999999</v>
      </c>
      <c r="T16" s="101">
        <v>18.454999999999998</v>
      </c>
      <c r="U16" s="101">
        <v>19.616</v>
      </c>
      <c r="V16" s="101">
        <v>19.847000000000001</v>
      </c>
    </row>
    <row r="17" spans="2:22">
      <c r="B17" s="109" t="s">
        <v>207</v>
      </c>
      <c r="C17" s="101">
        <v>4.1070000000000002</v>
      </c>
      <c r="D17" s="101">
        <v>3.1190000000000002</v>
      </c>
      <c r="E17" s="101">
        <v>1.157</v>
      </c>
      <c r="F17" s="101">
        <v>2.5939999999999999</v>
      </c>
      <c r="G17" s="101">
        <v>3.758</v>
      </c>
      <c r="H17" s="101">
        <v>3.8279999999999998</v>
      </c>
      <c r="I17" s="101">
        <v>3.742</v>
      </c>
      <c r="J17" s="101">
        <v>3.25</v>
      </c>
      <c r="K17" s="101">
        <v>3.5209999999999999</v>
      </c>
      <c r="L17" s="101">
        <v>6.6909999999999998</v>
      </c>
      <c r="M17" s="101">
        <v>7.9880000000000004</v>
      </c>
      <c r="N17" s="101">
        <v>8.84</v>
      </c>
      <c r="O17" s="101">
        <v>7.883</v>
      </c>
      <c r="P17" s="101">
        <v>7.2770000000000001</v>
      </c>
      <c r="Q17" s="101">
        <v>8.3710000000000004</v>
      </c>
      <c r="R17" s="101">
        <v>8.9930000000000003</v>
      </c>
      <c r="S17" s="101">
        <v>8.4329999999999998</v>
      </c>
      <c r="T17" s="101">
        <v>10.256</v>
      </c>
      <c r="U17" s="101">
        <v>11.247999999999999</v>
      </c>
      <c r="V17" s="101">
        <v>11.404999999999999</v>
      </c>
    </row>
    <row r="18" spans="2:22">
      <c r="B18" s="109" t="s">
        <v>208</v>
      </c>
      <c r="C18" s="101">
        <v>5.2380000000000004</v>
      </c>
      <c r="D18" s="101">
        <v>3.887</v>
      </c>
      <c r="E18" s="101">
        <v>3.141</v>
      </c>
      <c r="F18" s="101">
        <v>2.4119999999999999</v>
      </c>
      <c r="G18" s="101">
        <v>2.1749999999999998</v>
      </c>
      <c r="H18" s="101">
        <v>5.2530000000000001</v>
      </c>
      <c r="I18" s="101">
        <v>4.875</v>
      </c>
      <c r="J18" s="101">
        <v>3.1819999999999999</v>
      </c>
      <c r="K18" s="101">
        <v>6.0359999999999996</v>
      </c>
      <c r="L18" s="101">
        <v>4.8529999999999998</v>
      </c>
      <c r="M18" s="101">
        <v>8.8740000000000006</v>
      </c>
      <c r="N18" s="101">
        <v>9.2189999999999994</v>
      </c>
      <c r="O18" s="101">
        <v>7.1849999999999996</v>
      </c>
      <c r="P18" s="101">
        <v>8.8759999999999994</v>
      </c>
      <c r="Q18" s="101">
        <v>9.1669999999999998</v>
      </c>
      <c r="R18" s="101">
        <v>10.241</v>
      </c>
      <c r="S18" s="101">
        <v>9.9779999999999998</v>
      </c>
      <c r="T18" s="101">
        <v>14.359</v>
      </c>
      <c r="U18" s="101">
        <v>16.359000000000002</v>
      </c>
      <c r="V18" s="101">
        <v>17.341000000000001</v>
      </c>
    </row>
    <row r="19" spans="2:22">
      <c r="B19" s="109" t="s">
        <v>209</v>
      </c>
      <c r="C19" s="101">
        <v>23.123999999999999</v>
      </c>
      <c r="D19" s="101">
        <v>28.978999999999999</v>
      </c>
      <c r="E19" s="101">
        <v>28.280999999999999</v>
      </c>
      <c r="F19" s="101">
        <v>33.006</v>
      </c>
      <c r="G19" s="101">
        <v>33.895000000000003</v>
      </c>
      <c r="H19" s="101">
        <v>35.636000000000003</v>
      </c>
      <c r="I19" s="101">
        <v>40.584000000000003</v>
      </c>
      <c r="J19" s="101">
        <v>46.076999999999998</v>
      </c>
      <c r="K19" s="101">
        <v>45.878</v>
      </c>
      <c r="L19" s="101">
        <v>36.790999999999997</v>
      </c>
      <c r="M19" s="101">
        <v>27.699000000000002</v>
      </c>
      <c r="N19" s="101">
        <v>33.436</v>
      </c>
      <c r="O19" s="101">
        <v>39.715000000000003</v>
      </c>
      <c r="P19" s="101">
        <v>38.17</v>
      </c>
      <c r="Q19" s="101">
        <v>37.219000000000001</v>
      </c>
      <c r="R19" s="101">
        <v>32.264000000000003</v>
      </c>
      <c r="S19" s="101">
        <v>24.152000000000001</v>
      </c>
      <c r="T19" s="101">
        <v>26.402000000000001</v>
      </c>
      <c r="U19" s="101">
        <v>24.359000000000002</v>
      </c>
      <c r="V19" s="101">
        <v>24.867999999999999</v>
      </c>
    </row>
    <row r="20" spans="2:22">
      <c r="B20" s="109" t="s">
        <v>210</v>
      </c>
      <c r="C20" s="101">
        <v>16.384</v>
      </c>
      <c r="D20" s="101">
        <v>13.581</v>
      </c>
      <c r="E20" s="101">
        <v>11.089</v>
      </c>
      <c r="F20" s="101">
        <v>7.335</v>
      </c>
      <c r="G20" s="101">
        <v>5.17</v>
      </c>
      <c r="H20" s="101">
        <v>5.5839999999999996</v>
      </c>
      <c r="I20" s="101">
        <v>5.4459999999999997</v>
      </c>
      <c r="J20" s="101">
        <v>5.4829999999999997</v>
      </c>
      <c r="K20" s="101">
        <v>8.4770000000000003</v>
      </c>
      <c r="L20" s="101">
        <v>5.7450000000000001</v>
      </c>
      <c r="M20" s="101">
        <v>6.6390000000000002</v>
      </c>
      <c r="N20" s="101">
        <v>8.6720000000000006</v>
      </c>
      <c r="O20" s="101">
        <v>8.859</v>
      </c>
      <c r="P20" s="101">
        <v>6.9359999999999999</v>
      </c>
      <c r="Q20" s="101">
        <v>8.6890000000000001</v>
      </c>
      <c r="R20" s="101">
        <v>8.6660000000000004</v>
      </c>
      <c r="S20" s="101">
        <v>10.212999999999999</v>
      </c>
      <c r="T20" s="101">
        <v>14.164</v>
      </c>
      <c r="U20" s="101">
        <v>12.967000000000001</v>
      </c>
      <c r="V20" s="101">
        <v>12.714</v>
      </c>
    </row>
    <row r="21" spans="2:22">
      <c r="B21" s="107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2:22">
      <c r="B22" s="108" t="s">
        <v>192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2:22">
      <c r="B23" s="107" t="s">
        <v>201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</row>
    <row r="24" spans="2:22">
      <c r="B24" s="107" t="s">
        <v>202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</row>
    <row r="25" spans="2:22">
      <c r="B25" s="107" t="s">
        <v>203</v>
      </c>
      <c r="C25" s="101">
        <v>1.116241</v>
      </c>
      <c r="D25" s="101">
        <v>1.0573220000000001</v>
      </c>
      <c r="E25" s="101">
        <v>1.2987010000000001</v>
      </c>
      <c r="F25" s="101">
        <v>2.7390500000000002</v>
      </c>
      <c r="G25" s="101">
        <v>1.9017170000000001</v>
      </c>
      <c r="H25" s="101">
        <v>1.7432350000000001</v>
      </c>
      <c r="I25" s="101">
        <v>1.5134350000000001</v>
      </c>
      <c r="J25" s="101">
        <v>2.0971259999999998</v>
      </c>
      <c r="K25" s="101">
        <v>1.7789349999999999</v>
      </c>
      <c r="L25" s="101">
        <v>1.7280359999999999</v>
      </c>
      <c r="M25" s="101">
        <v>2.0877870000000001</v>
      </c>
      <c r="N25" s="101">
        <v>2.305002</v>
      </c>
      <c r="O25" s="101">
        <v>1.735385</v>
      </c>
      <c r="P25" s="101">
        <v>1.4368620000000001</v>
      </c>
      <c r="Q25" s="101">
        <v>1.452739</v>
      </c>
      <c r="R25" s="101">
        <v>1.663071</v>
      </c>
      <c r="S25" s="101">
        <v>1.8292459999999999</v>
      </c>
      <c r="T25" s="101">
        <v>2.028937</v>
      </c>
      <c r="U25" s="101">
        <v>2.1350090000000002</v>
      </c>
      <c r="V25" s="101">
        <v>2.0633870000000001</v>
      </c>
    </row>
    <row r="26" spans="2:22">
      <c r="B26" s="107" t="s">
        <v>204</v>
      </c>
      <c r="C26" s="101">
        <v>3.534564</v>
      </c>
      <c r="D26" s="101">
        <v>3.971231</v>
      </c>
      <c r="E26" s="101">
        <v>4.3408110000000004</v>
      </c>
      <c r="F26" s="101">
        <v>4.6776939999999998</v>
      </c>
      <c r="G26" s="101">
        <v>4.7119619999999998</v>
      </c>
      <c r="H26" s="101">
        <v>4.3201390000000002</v>
      </c>
      <c r="I26" s="101">
        <v>4.1019079999999999</v>
      </c>
      <c r="J26" s="101">
        <v>3.869583</v>
      </c>
      <c r="K26" s="101">
        <v>3.1511990000000001</v>
      </c>
      <c r="L26" s="101">
        <v>3.7876210000000001</v>
      </c>
      <c r="M26" s="101">
        <v>4.6807999999999996</v>
      </c>
      <c r="N26" s="101">
        <v>3.9285709999999998</v>
      </c>
      <c r="O26" s="101">
        <v>3.617801</v>
      </c>
      <c r="P26" s="101">
        <v>2.7232669999999999</v>
      </c>
      <c r="Q26" s="101">
        <v>2.7398699999999998</v>
      </c>
      <c r="R26" s="101">
        <v>2.4148100000000001</v>
      </c>
      <c r="S26" s="101">
        <v>2.4497770000000001</v>
      </c>
      <c r="T26" s="101">
        <v>2.107456</v>
      </c>
      <c r="U26" s="101">
        <v>2.0950350000000002</v>
      </c>
      <c r="V26" s="101">
        <v>1.9626600000000001</v>
      </c>
    </row>
    <row r="27" spans="2:22">
      <c r="B27" s="109" t="s">
        <v>205</v>
      </c>
      <c r="C27" s="101">
        <v>12.212358</v>
      </c>
      <c r="D27" s="101">
        <v>11.580368</v>
      </c>
      <c r="E27" s="101">
        <v>12.534435</v>
      </c>
      <c r="F27" s="101">
        <v>12.334819</v>
      </c>
      <c r="G27" s="101">
        <v>13.132588999999999</v>
      </c>
      <c r="H27" s="101">
        <v>10.713184999999999</v>
      </c>
      <c r="I27" s="101">
        <v>11.119669999999999</v>
      </c>
      <c r="J27" s="101">
        <v>11.932359</v>
      </c>
      <c r="K27" s="101">
        <v>11.401813000000001</v>
      </c>
      <c r="L27" s="101">
        <v>13.878182000000001</v>
      </c>
      <c r="M27" s="101">
        <v>12.90415</v>
      </c>
      <c r="N27" s="101">
        <v>12.070793</v>
      </c>
      <c r="O27" s="101">
        <v>12.312328000000001</v>
      </c>
      <c r="P27" s="101">
        <v>11.929069999999999</v>
      </c>
      <c r="Q27" s="101">
        <v>10.390332000000001</v>
      </c>
      <c r="R27" s="101">
        <v>9.5821959999999997</v>
      </c>
      <c r="S27" s="101">
        <v>10.296249</v>
      </c>
      <c r="T27" s="101">
        <v>8.3031469999999992</v>
      </c>
      <c r="U27" s="101">
        <v>9.1099180000000004</v>
      </c>
      <c r="V27" s="101">
        <v>8.2952639999999995</v>
      </c>
    </row>
    <row r="28" spans="2:22">
      <c r="B28" s="109" t="s">
        <v>206</v>
      </c>
      <c r="C28" s="101">
        <v>25.308948999999998</v>
      </c>
      <c r="D28" s="101">
        <v>24.173855</v>
      </c>
      <c r="E28" s="101">
        <v>24.541519000000001</v>
      </c>
      <c r="F28" s="101">
        <v>21.326385999999999</v>
      </c>
      <c r="G28" s="101">
        <v>23.394280999999999</v>
      </c>
      <c r="H28" s="101">
        <v>23.572800999999998</v>
      </c>
      <c r="I28" s="101">
        <v>21.360278999999998</v>
      </c>
      <c r="J28" s="101">
        <v>20.771377999999999</v>
      </c>
      <c r="K28" s="101">
        <v>19.650423</v>
      </c>
      <c r="L28" s="101">
        <v>17.248732</v>
      </c>
      <c r="M28" s="101">
        <v>19.174679000000001</v>
      </c>
      <c r="N28" s="101">
        <v>17.932386999999999</v>
      </c>
      <c r="O28" s="101">
        <v>16.437491000000001</v>
      </c>
      <c r="P28" s="101">
        <v>18.076302999999999</v>
      </c>
      <c r="Q28" s="101">
        <v>18.916001000000001</v>
      </c>
      <c r="R28" s="101">
        <v>20.120850999999998</v>
      </c>
      <c r="S28" s="101">
        <v>22.202522999999999</v>
      </c>
      <c r="T28" s="101">
        <v>19.320965999999999</v>
      </c>
      <c r="U28" s="101">
        <v>20.105777</v>
      </c>
      <c r="V28" s="101">
        <v>20.193314999999998</v>
      </c>
    </row>
    <row r="29" spans="2:22">
      <c r="B29" s="109" t="s">
        <v>207</v>
      </c>
      <c r="C29" s="101">
        <v>4.8615060000000003</v>
      </c>
      <c r="D29" s="101">
        <v>3.726315</v>
      </c>
      <c r="E29" s="101">
        <v>1.5177750000000001</v>
      </c>
      <c r="F29" s="101">
        <v>3.3705379999999998</v>
      </c>
      <c r="G29" s="101">
        <v>4.7486069999999998</v>
      </c>
      <c r="H29" s="101">
        <v>4.5395250000000003</v>
      </c>
      <c r="I29" s="101">
        <v>4.2389780000000004</v>
      </c>
      <c r="J29" s="101">
        <v>3.4370440000000002</v>
      </c>
      <c r="K29" s="101">
        <v>3.5268190000000001</v>
      </c>
      <c r="L29" s="101">
        <v>7.8388419999999996</v>
      </c>
      <c r="M29" s="101">
        <v>9.5407580000000003</v>
      </c>
      <c r="N29" s="101">
        <v>9.3683759999999996</v>
      </c>
      <c r="O29" s="101">
        <v>8.1623140000000003</v>
      </c>
      <c r="P29" s="101">
        <v>7.8205270000000002</v>
      </c>
      <c r="Q29" s="101">
        <v>8.7740810000000007</v>
      </c>
      <c r="R29" s="101">
        <v>9.8980800000000002</v>
      </c>
      <c r="S29" s="101">
        <v>10.102183999999999</v>
      </c>
      <c r="T29" s="101">
        <v>10.737242999999999</v>
      </c>
      <c r="U29" s="101">
        <v>11.528843</v>
      </c>
      <c r="V29" s="101">
        <v>11.604009</v>
      </c>
    </row>
    <row r="30" spans="2:22">
      <c r="B30" s="109" t="s">
        <v>208</v>
      </c>
      <c r="C30" s="101">
        <v>6.2002839999999999</v>
      </c>
      <c r="D30" s="101">
        <v>4.6438560000000004</v>
      </c>
      <c r="E30" s="101">
        <v>4.120425</v>
      </c>
      <c r="F30" s="101">
        <v>3.134055</v>
      </c>
      <c r="G30" s="101">
        <v>2.748329</v>
      </c>
      <c r="H30" s="101">
        <v>6.2293950000000002</v>
      </c>
      <c r="I30" s="101">
        <v>5.5224520000000004</v>
      </c>
      <c r="J30" s="101">
        <v>3.3651300000000002</v>
      </c>
      <c r="K30" s="101">
        <v>6.0459759999999996</v>
      </c>
      <c r="L30" s="101">
        <v>5.6855330000000004</v>
      </c>
      <c r="M30" s="101">
        <v>10.598985000000001</v>
      </c>
      <c r="N30" s="101">
        <v>9.7700300000000002</v>
      </c>
      <c r="O30" s="101">
        <v>7.4395829999999998</v>
      </c>
      <c r="P30" s="101">
        <v>9.5389579999999992</v>
      </c>
      <c r="Q30" s="101">
        <v>9.6084099999999992</v>
      </c>
      <c r="R30" s="101">
        <v>11.271682999999999</v>
      </c>
      <c r="S30" s="101">
        <v>11.952992999999999</v>
      </c>
      <c r="T30" s="101">
        <v>15.032769</v>
      </c>
      <c r="U30" s="101">
        <v>16.767455000000002</v>
      </c>
      <c r="V30" s="101">
        <v>17.643588000000001</v>
      </c>
    </row>
    <row r="31" spans="2:22">
      <c r="B31" s="109" t="s">
        <v>209</v>
      </c>
      <c r="C31" s="101">
        <v>27.372159</v>
      </c>
      <c r="D31" s="101">
        <v>34.621634</v>
      </c>
      <c r="E31" s="101">
        <v>37.099567</v>
      </c>
      <c r="F31" s="101">
        <v>42.886657</v>
      </c>
      <c r="G31" s="101">
        <v>42.829704999999997</v>
      </c>
      <c r="H31" s="101">
        <v>42.259801000000003</v>
      </c>
      <c r="I31" s="101">
        <v>45.973990999999998</v>
      </c>
      <c r="J31" s="101">
        <v>48.728822999999998</v>
      </c>
      <c r="K31" s="101">
        <v>45.953823999999997</v>
      </c>
      <c r="L31" s="101">
        <v>43.102499000000002</v>
      </c>
      <c r="M31" s="101">
        <v>33.083308000000002</v>
      </c>
      <c r="N31" s="101">
        <v>35.434505999999999</v>
      </c>
      <c r="O31" s="101">
        <v>41.122202000000001</v>
      </c>
      <c r="P31" s="101">
        <v>41.020955999999998</v>
      </c>
      <c r="Q31" s="101">
        <v>39.011172999999999</v>
      </c>
      <c r="R31" s="101">
        <v>35.511139</v>
      </c>
      <c r="S31" s="101">
        <v>28.93252</v>
      </c>
      <c r="T31" s="101">
        <v>27.640864000000001</v>
      </c>
      <c r="U31" s="101">
        <v>24.967200999999999</v>
      </c>
      <c r="V31" s="101">
        <v>25.301928</v>
      </c>
    </row>
    <row r="32" spans="2:22">
      <c r="B32" s="109" t="s">
        <v>210</v>
      </c>
      <c r="C32" s="101">
        <v>19.393939</v>
      </c>
      <c r="D32" s="101">
        <v>16.225418999999999</v>
      </c>
      <c r="E32" s="101">
        <v>14.546766</v>
      </c>
      <c r="F32" s="101">
        <v>9.5308010000000003</v>
      </c>
      <c r="G32" s="101">
        <v>6.5328090000000003</v>
      </c>
      <c r="H32" s="101">
        <v>6.6219200000000003</v>
      </c>
      <c r="I32" s="101">
        <v>6.1692869999999997</v>
      </c>
      <c r="J32" s="101">
        <v>5.7985569999999997</v>
      </c>
      <c r="K32" s="101">
        <v>8.4910099999999993</v>
      </c>
      <c r="L32" s="101">
        <v>6.7305549999999998</v>
      </c>
      <c r="M32" s="101">
        <v>7.9295309999999999</v>
      </c>
      <c r="N32" s="101">
        <v>9.1903349999999993</v>
      </c>
      <c r="O32" s="101">
        <v>9.1728970000000007</v>
      </c>
      <c r="P32" s="101">
        <v>7.4540569999999997</v>
      </c>
      <c r="Q32" s="101">
        <v>9.1073939999999993</v>
      </c>
      <c r="R32" s="101">
        <v>9.5381699999999991</v>
      </c>
      <c r="S32" s="101">
        <v>12.234508</v>
      </c>
      <c r="T32" s="101">
        <v>14.828619</v>
      </c>
      <c r="U32" s="101">
        <v>13.290763</v>
      </c>
      <c r="V32" s="101">
        <v>12.93585</v>
      </c>
    </row>
    <row r="33" spans="1:22">
      <c r="B33" s="107"/>
    </row>
    <row r="34" spans="1:22">
      <c r="B34" s="99" t="s">
        <v>60</v>
      </c>
    </row>
    <row r="35" spans="1:22">
      <c r="B35" s="110" t="s">
        <v>251</v>
      </c>
      <c r="C35" s="102">
        <v>1548.5070000000001</v>
      </c>
      <c r="D35" s="102">
        <v>1553.059</v>
      </c>
      <c r="E35" s="102">
        <v>1596.9469999999999</v>
      </c>
      <c r="F35" s="102">
        <v>1433.643</v>
      </c>
      <c r="G35" s="102">
        <v>1420.8040000000001</v>
      </c>
      <c r="H35" s="102">
        <v>1478.454</v>
      </c>
      <c r="I35" s="102">
        <v>1450.481</v>
      </c>
      <c r="J35" s="102">
        <v>1453.0050000000001</v>
      </c>
      <c r="K35" s="102">
        <v>1574.2929999999999</v>
      </c>
      <c r="L35" s="102">
        <v>1413.3520000000001</v>
      </c>
      <c r="M35" s="102">
        <v>1403.8530000000001</v>
      </c>
      <c r="N35" s="102">
        <v>1404.39</v>
      </c>
      <c r="O35" s="102">
        <v>1373.8009999999999</v>
      </c>
      <c r="P35" s="102">
        <v>1365.414</v>
      </c>
      <c r="Q35" s="102">
        <v>1327.2170000000001</v>
      </c>
      <c r="R35" s="102">
        <v>1349.3710000000001</v>
      </c>
      <c r="S35" s="102">
        <v>1408.145</v>
      </c>
      <c r="T35" s="102">
        <v>1528.6289999999999</v>
      </c>
      <c r="U35" s="102">
        <v>1529.5309999999999</v>
      </c>
      <c r="V35" s="102">
        <v>1739.2650000000001</v>
      </c>
    </row>
    <row r="36" spans="1:22">
      <c r="B36" s="110" t="s">
        <v>193</v>
      </c>
      <c r="C36" s="102">
        <v>322511</v>
      </c>
      <c r="D36" s="102">
        <v>323211</v>
      </c>
      <c r="E36" s="102">
        <v>317807</v>
      </c>
      <c r="F36" s="102">
        <v>318263</v>
      </c>
      <c r="G36" s="102">
        <v>338898</v>
      </c>
      <c r="H36" s="102">
        <v>352140</v>
      </c>
      <c r="I36" s="102">
        <v>352477</v>
      </c>
      <c r="J36" s="102">
        <v>358832</v>
      </c>
      <c r="K36" s="102">
        <v>340092</v>
      </c>
      <c r="L36" s="102">
        <v>299829</v>
      </c>
      <c r="M36" s="102">
        <v>341325</v>
      </c>
      <c r="N36" s="102">
        <v>352091</v>
      </c>
      <c r="O36" s="102">
        <v>371074</v>
      </c>
      <c r="P36" s="102">
        <v>386132</v>
      </c>
      <c r="Q36" s="102">
        <v>415462</v>
      </c>
      <c r="R36" s="102">
        <v>411813</v>
      </c>
      <c r="S36" s="102">
        <v>395889</v>
      </c>
      <c r="T36" s="102">
        <v>423664</v>
      </c>
      <c r="U36" s="102">
        <v>448319</v>
      </c>
      <c r="V36" s="102">
        <v>451277</v>
      </c>
    </row>
    <row r="37" spans="1:22">
      <c r="B37" s="107"/>
    </row>
    <row r="38" spans="1:22" ht="26.25">
      <c r="A38" s="15"/>
      <c r="B38" s="99" t="s">
        <v>323</v>
      </c>
      <c r="C38" s="74">
        <v>1.920482</v>
      </c>
      <c r="D38" s="74">
        <v>1.906296</v>
      </c>
      <c r="E38" s="74">
        <v>1.722966</v>
      </c>
      <c r="F38" s="74">
        <v>1.8189690000000001</v>
      </c>
      <c r="G38" s="74">
        <v>1.7892429999999999</v>
      </c>
      <c r="H38" s="74">
        <v>1.8056989999999999</v>
      </c>
      <c r="I38" s="74">
        <v>1.8610139999999999</v>
      </c>
      <c r="J38" s="74">
        <v>1.931551</v>
      </c>
      <c r="K38" s="74">
        <v>2.004432</v>
      </c>
      <c r="L38" s="74">
        <v>2.121022</v>
      </c>
      <c r="M38" s="74">
        <v>1.762966</v>
      </c>
      <c r="N38" s="74">
        <v>1.9699610000000001</v>
      </c>
      <c r="O38" s="74">
        <v>1.7335309999999999</v>
      </c>
      <c r="P38" s="74">
        <v>1.539866</v>
      </c>
      <c r="Q38" s="74">
        <v>1.4979389999999999</v>
      </c>
      <c r="R38" s="74">
        <v>1.4850749999999999</v>
      </c>
      <c r="S38" s="74">
        <v>1.438202</v>
      </c>
      <c r="T38" s="74">
        <v>1.4977879999999999</v>
      </c>
      <c r="U38" s="74">
        <v>1.462726</v>
      </c>
      <c r="V38" s="74">
        <v>1.3182579999999999</v>
      </c>
    </row>
    <row r="39" spans="1:22" ht="26.25">
      <c r="A39" s="15"/>
      <c r="B39" s="99" t="s">
        <v>324</v>
      </c>
      <c r="C39" s="74">
        <v>0.252724</v>
      </c>
      <c r="D39" s="74">
        <v>0.24981</v>
      </c>
      <c r="E39" s="74">
        <v>0.23120499999999999</v>
      </c>
      <c r="F39" s="74">
        <v>0.233622</v>
      </c>
      <c r="G39" s="74">
        <v>0.226017</v>
      </c>
      <c r="H39" s="74">
        <v>0.23188600000000001</v>
      </c>
      <c r="I39" s="74">
        <v>0.242786</v>
      </c>
      <c r="J39" s="74">
        <v>0.25569500000000001</v>
      </c>
      <c r="K39" s="74">
        <v>0.28427400000000003</v>
      </c>
      <c r="L39" s="74">
        <v>0.27468700000000001</v>
      </c>
      <c r="M39" s="74">
        <v>0.238043</v>
      </c>
      <c r="N39" s="74">
        <v>0.26014100000000001</v>
      </c>
      <c r="O39" s="74">
        <v>0.25384800000000002</v>
      </c>
      <c r="P39" s="74">
        <v>0.23553499999999999</v>
      </c>
      <c r="Q39" s="74">
        <v>0.224853</v>
      </c>
      <c r="R39" s="74">
        <v>0.21575800000000001</v>
      </c>
      <c r="S39" s="74">
        <v>0.20574400000000001</v>
      </c>
      <c r="T39" s="74">
        <v>0.220053</v>
      </c>
      <c r="U39" s="74">
        <v>0.21263099999999999</v>
      </c>
      <c r="V39" s="74">
        <v>0.21271200000000001</v>
      </c>
    </row>
    <row r="40" spans="1:22">
      <c r="B40" s="107"/>
    </row>
    <row r="41" spans="1:22">
      <c r="B41" s="107"/>
    </row>
    <row r="42" spans="1:22" ht="28.5">
      <c r="A42" s="15"/>
      <c r="B42" s="103" t="s">
        <v>325</v>
      </c>
      <c r="C42" s="65">
        <v>6.5970870000000001</v>
      </c>
      <c r="D42" s="65">
        <v>6.5363329999999999</v>
      </c>
      <c r="E42" s="65">
        <v>5.9528410000000003</v>
      </c>
      <c r="F42" s="65">
        <v>6.009925</v>
      </c>
      <c r="G42" s="65">
        <v>6.1800059999999997</v>
      </c>
      <c r="H42" s="65">
        <v>6.5850609999999996</v>
      </c>
      <c r="I42" s="65">
        <v>6.8935190000000004</v>
      </c>
      <c r="J42" s="65">
        <v>7.3840839999999996</v>
      </c>
      <c r="K42" s="65">
        <v>7.7961669999999996</v>
      </c>
      <c r="L42" s="65">
        <v>6.6655730000000002</v>
      </c>
      <c r="M42" s="65">
        <v>6.5381289999999996</v>
      </c>
      <c r="N42" s="65">
        <v>7.3686220000000002</v>
      </c>
      <c r="O42" s="65">
        <v>7.5418260000000004</v>
      </c>
      <c r="P42" s="65">
        <v>7.2663229999999999</v>
      </c>
      <c r="Q42" s="65">
        <v>7.450304</v>
      </c>
      <c r="R42" s="65">
        <v>7.0949920000000004</v>
      </c>
      <c r="S42" s="65">
        <v>6.5187629999999999</v>
      </c>
      <c r="T42" s="65">
        <v>7.4590500000000004</v>
      </c>
      <c r="U42" s="65">
        <v>7.618824</v>
      </c>
      <c r="V42" s="65">
        <v>7.6751269999999998</v>
      </c>
    </row>
    <row r="43" spans="1:22">
      <c r="A43" s="15"/>
      <c r="B43" s="107" t="s">
        <v>321</v>
      </c>
      <c r="C43" s="104">
        <v>0.23223199999999999</v>
      </c>
      <c r="D43" s="104">
        <v>0.23119400000000001</v>
      </c>
      <c r="E43" s="104">
        <v>0.214865</v>
      </c>
      <c r="F43" s="104">
        <v>0.20364099999999999</v>
      </c>
      <c r="G43" s="104">
        <v>0.198519</v>
      </c>
      <c r="H43" s="104">
        <v>0.20847399999999999</v>
      </c>
      <c r="I43" s="104">
        <v>0.21079500000000001</v>
      </c>
      <c r="J43" s="104">
        <v>0.219165</v>
      </c>
      <c r="K43" s="104">
        <v>0.24642</v>
      </c>
      <c r="L43" s="104">
        <v>0.234096</v>
      </c>
      <c r="M43" s="104">
        <v>0.19327</v>
      </c>
      <c r="N43" s="104">
        <v>0.21604499999999999</v>
      </c>
      <c r="O43" s="104">
        <v>0.185975</v>
      </c>
      <c r="P43" s="104">
        <v>0.16419</v>
      </c>
      <c r="Q43" s="104">
        <v>0.155251</v>
      </c>
      <c r="R43" s="104">
        <v>0.15648699999999999</v>
      </c>
      <c r="S43" s="104">
        <v>0.15814900000000001</v>
      </c>
      <c r="T43" s="104">
        <v>0.17879300000000001</v>
      </c>
      <c r="U43" s="104">
        <v>0.17471100000000001</v>
      </c>
      <c r="V43" s="104">
        <v>0.17904600000000001</v>
      </c>
    </row>
    <row r="44" spans="1:22">
      <c r="A44" s="15"/>
      <c r="B44" s="107" t="s">
        <v>322</v>
      </c>
      <c r="C44" s="104">
        <v>6.3648559999999996</v>
      </c>
      <c r="D44" s="104">
        <v>6.3051389999999996</v>
      </c>
      <c r="E44" s="104">
        <v>5.7379759999999997</v>
      </c>
      <c r="F44" s="104">
        <v>5.8062839999999998</v>
      </c>
      <c r="G44" s="104">
        <v>5.9814870000000004</v>
      </c>
      <c r="H44" s="104">
        <v>6.3765879999999999</v>
      </c>
      <c r="I44" s="104">
        <v>6.6827240000000003</v>
      </c>
      <c r="J44" s="104">
        <v>7.1649180000000001</v>
      </c>
      <c r="K44" s="104">
        <v>7.5497480000000001</v>
      </c>
      <c r="L44" s="104">
        <v>6.4314770000000001</v>
      </c>
      <c r="M44" s="104">
        <v>6.3448589999999996</v>
      </c>
      <c r="N44" s="104">
        <v>7.152577</v>
      </c>
      <c r="O44" s="104">
        <v>7.3558519999999996</v>
      </c>
      <c r="P44" s="104">
        <v>7.1021340000000004</v>
      </c>
      <c r="Q44" s="104">
        <v>7.2950530000000002</v>
      </c>
      <c r="R44" s="104">
        <v>6.9385060000000003</v>
      </c>
      <c r="S44" s="104">
        <v>6.360614</v>
      </c>
      <c r="T44" s="104">
        <v>7.2802569999999998</v>
      </c>
      <c r="U44" s="104">
        <v>7.4441129999999998</v>
      </c>
      <c r="V44" s="104">
        <v>7.4960810000000002</v>
      </c>
    </row>
    <row r="45" spans="1:22">
      <c r="B45" s="108" t="s">
        <v>212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</row>
    <row r="46" spans="1:22">
      <c r="B46" s="107" t="s">
        <v>201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</row>
    <row r="47" spans="1:22">
      <c r="B47" s="107" t="s">
        <v>202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</row>
    <row r="48" spans="1:22">
      <c r="B48" s="107" t="s">
        <v>203</v>
      </c>
      <c r="C48" s="101">
        <v>7.3638999999999996E-2</v>
      </c>
      <c r="D48" s="101">
        <v>6.9110000000000005E-2</v>
      </c>
      <c r="E48" s="101">
        <v>7.7310000000000004E-2</v>
      </c>
      <c r="F48" s="101">
        <v>0.16461500000000001</v>
      </c>
      <c r="G48" s="101">
        <v>0.11752600000000001</v>
      </c>
      <c r="H48" s="101">
        <v>0.11479300000000001</v>
      </c>
      <c r="I48" s="101">
        <v>0.10432900000000001</v>
      </c>
      <c r="J48" s="101">
        <v>0.15485399999999999</v>
      </c>
      <c r="K48" s="101">
        <v>0.13868900000000001</v>
      </c>
      <c r="L48" s="101">
        <v>0.11518399999999999</v>
      </c>
      <c r="M48" s="101">
        <v>0.13650200000000001</v>
      </c>
      <c r="N48" s="101">
        <v>0.169847</v>
      </c>
      <c r="O48" s="101">
        <v>0.13088</v>
      </c>
      <c r="P48" s="101">
        <v>0.104407</v>
      </c>
      <c r="Q48" s="101">
        <v>0.108233</v>
      </c>
      <c r="R48" s="101">
        <v>0.117995</v>
      </c>
      <c r="S48" s="101">
        <v>0.119244</v>
      </c>
      <c r="T48" s="101">
        <v>0.151339</v>
      </c>
      <c r="U48" s="101">
        <v>0.162663</v>
      </c>
      <c r="V48" s="101">
        <v>0.15836800000000001</v>
      </c>
    </row>
    <row r="49" spans="2:22">
      <c r="B49" s="107" t="s">
        <v>204</v>
      </c>
      <c r="C49" s="101">
        <v>0.233178</v>
      </c>
      <c r="D49" s="101">
        <v>0.259573</v>
      </c>
      <c r="E49" s="101">
        <v>0.25840200000000002</v>
      </c>
      <c r="F49" s="101">
        <v>0.28112599999999999</v>
      </c>
      <c r="G49" s="101">
        <v>0.29120000000000001</v>
      </c>
      <c r="H49" s="101">
        <v>0.28448400000000001</v>
      </c>
      <c r="I49" s="101">
        <v>0.28276600000000002</v>
      </c>
      <c r="J49" s="101">
        <v>0.28573300000000001</v>
      </c>
      <c r="K49" s="101">
        <v>0.245673</v>
      </c>
      <c r="L49" s="101">
        <v>0.252467</v>
      </c>
      <c r="M49" s="101">
        <v>0.306037</v>
      </c>
      <c r="N49" s="101">
        <v>0.28948200000000002</v>
      </c>
      <c r="O49" s="101">
        <v>0.27284799999999998</v>
      </c>
      <c r="P49" s="101">
        <v>0.197881</v>
      </c>
      <c r="Q49" s="101">
        <v>0.204129</v>
      </c>
      <c r="R49" s="101">
        <v>0.17133100000000001</v>
      </c>
      <c r="S49" s="101">
        <v>0.159695</v>
      </c>
      <c r="T49" s="101">
        <v>0.157196</v>
      </c>
      <c r="U49" s="101">
        <v>0.15961700000000001</v>
      </c>
      <c r="V49" s="101">
        <v>0.15063699999999999</v>
      </c>
    </row>
    <row r="50" spans="2:22">
      <c r="B50" s="109" t="s">
        <v>205</v>
      </c>
      <c r="C50" s="101">
        <v>0.80566000000000004</v>
      </c>
      <c r="D50" s="101">
        <v>0.75693100000000002</v>
      </c>
      <c r="E50" s="101">
        <v>0.74615500000000001</v>
      </c>
      <c r="F50" s="101">
        <v>0.741313</v>
      </c>
      <c r="G50" s="101">
        <v>0.81159499999999996</v>
      </c>
      <c r="H50" s="101">
        <v>0.70547000000000004</v>
      </c>
      <c r="I50" s="101">
        <v>0.76653700000000002</v>
      </c>
      <c r="J50" s="101">
        <v>0.88109499999999996</v>
      </c>
      <c r="K50" s="101">
        <v>0.88890400000000003</v>
      </c>
      <c r="L50" s="101">
        <v>0.92505999999999999</v>
      </c>
      <c r="M50" s="101">
        <v>0.84369000000000005</v>
      </c>
      <c r="N50" s="101">
        <v>0.88945099999999999</v>
      </c>
      <c r="O50" s="101">
        <v>0.92857400000000001</v>
      </c>
      <c r="P50" s="101">
        <v>0.86680500000000005</v>
      </c>
      <c r="Q50" s="101">
        <v>0.77411099999999999</v>
      </c>
      <c r="R50" s="101">
        <v>0.67985600000000002</v>
      </c>
      <c r="S50" s="101">
        <v>0.67118800000000001</v>
      </c>
      <c r="T50" s="101">
        <v>0.619336</v>
      </c>
      <c r="U50" s="101">
        <v>0.69406900000000005</v>
      </c>
      <c r="V50" s="101">
        <v>0.63667200000000002</v>
      </c>
    </row>
    <row r="51" spans="2:22">
      <c r="B51" s="109" t="s">
        <v>206</v>
      </c>
      <c r="C51" s="101">
        <v>1.6696530000000001</v>
      </c>
      <c r="D51" s="101">
        <v>1.580084</v>
      </c>
      <c r="E51" s="101">
        <v>1.460917</v>
      </c>
      <c r="F51" s="101">
        <v>1.2817000000000001</v>
      </c>
      <c r="G51" s="101">
        <v>1.4457679999999999</v>
      </c>
      <c r="H51" s="101">
        <v>1.5522830000000001</v>
      </c>
      <c r="I51" s="101">
        <v>1.472475</v>
      </c>
      <c r="J51" s="101">
        <v>1.533776</v>
      </c>
      <c r="K51" s="101">
        <v>1.5319799999999999</v>
      </c>
      <c r="L51" s="101">
        <v>1.1497269999999999</v>
      </c>
      <c r="M51" s="101">
        <v>1.253665</v>
      </c>
      <c r="N51" s="101">
        <v>1.3213699999999999</v>
      </c>
      <c r="O51" s="101">
        <v>1.239687</v>
      </c>
      <c r="P51" s="101">
        <v>1.313483</v>
      </c>
      <c r="Q51" s="101">
        <v>1.4093</v>
      </c>
      <c r="R51" s="101">
        <v>1.427573</v>
      </c>
      <c r="S51" s="101">
        <v>1.44733</v>
      </c>
      <c r="T51" s="101">
        <v>1.4411609999999999</v>
      </c>
      <c r="U51" s="101">
        <v>1.5318240000000001</v>
      </c>
      <c r="V51" s="101">
        <v>1.549863</v>
      </c>
    </row>
    <row r="52" spans="2:22">
      <c r="B52" s="109" t="s">
        <v>207</v>
      </c>
      <c r="C52" s="101">
        <v>0.320718</v>
      </c>
      <c r="D52" s="101">
        <v>0.243564</v>
      </c>
      <c r="E52" s="101">
        <v>9.0351000000000001E-2</v>
      </c>
      <c r="F52" s="101">
        <v>0.202567</v>
      </c>
      <c r="G52" s="101">
        <v>0.293464</v>
      </c>
      <c r="H52" s="101">
        <v>0.298931</v>
      </c>
      <c r="I52" s="101">
        <v>0.292215</v>
      </c>
      <c r="J52" s="101">
        <v>0.25379400000000002</v>
      </c>
      <c r="K52" s="101">
        <v>0.27495700000000001</v>
      </c>
      <c r="L52" s="101">
        <v>0.52250399999999997</v>
      </c>
      <c r="M52" s="101">
        <v>0.62378699999999998</v>
      </c>
      <c r="N52" s="101">
        <v>0.69032000000000004</v>
      </c>
      <c r="O52" s="101">
        <v>0.61558800000000002</v>
      </c>
      <c r="P52" s="101">
        <v>0.56826500000000002</v>
      </c>
      <c r="Q52" s="101">
        <v>0.65369600000000005</v>
      </c>
      <c r="R52" s="101">
        <v>0.702268</v>
      </c>
      <c r="S52" s="101">
        <v>0.65853700000000004</v>
      </c>
      <c r="T52" s="101">
        <v>0.80089600000000005</v>
      </c>
      <c r="U52" s="101">
        <v>0.87836199999999998</v>
      </c>
      <c r="V52" s="101">
        <v>0.89062200000000002</v>
      </c>
    </row>
    <row r="53" spans="2:22">
      <c r="B53" s="109" t="s">
        <v>208</v>
      </c>
      <c r="C53" s="101">
        <v>0.40903800000000001</v>
      </c>
      <c r="D53" s="101">
        <v>0.30353799999999997</v>
      </c>
      <c r="E53" s="101">
        <v>0.245282</v>
      </c>
      <c r="F53" s="101">
        <v>0.18835399999999999</v>
      </c>
      <c r="G53" s="101">
        <v>0.169847</v>
      </c>
      <c r="H53" s="101">
        <v>0.41021000000000002</v>
      </c>
      <c r="I53" s="101">
        <v>0.380691</v>
      </c>
      <c r="J53" s="101">
        <v>0.24848400000000001</v>
      </c>
      <c r="K53" s="101">
        <v>0.471354</v>
      </c>
      <c r="L53" s="101">
        <v>0.378973</v>
      </c>
      <c r="M53" s="101">
        <v>0.69297500000000001</v>
      </c>
      <c r="N53" s="101">
        <v>0.71991700000000003</v>
      </c>
      <c r="O53" s="101">
        <v>0.56108000000000002</v>
      </c>
      <c r="P53" s="101">
        <v>0.69313100000000005</v>
      </c>
      <c r="Q53" s="101">
        <v>0.71585600000000005</v>
      </c>
      <c r="R53" s="101">
        <v>0.79972500000000002</v>
      </c>
      <c r="S53" s="101">
        <v>0.77918699999999996</v>
      </c>
      <c r="T53" s="101">
        <v>1.121302</v>
      </c>
      <c r="U53" s="101">
        <v>1.2774829999999999</v>
      </c>
      <c r="V53" s="101">
        <v>1.354168</v>
      </c>
    </row>
    <row r="54" spans="2:22">
      <c r="B54" s="109" t="s">
        <v>209</v>
      </c>
      <c r="C54" s="101">
        <v>1.8057650000000001</v>
      </c>
      <c r="D54" s="101">
        <v>2.262985</v>
      </c>
      <c r="E54" s="101">
        <v>2.2084779999999999</v>
      </c>
      <c r="F54" s="101">
        <v>2.5774560000000002</v>
      </c>
      <c r="G54" s="101">
        <v>2.6468780000000001</v>
      </c>
      <c r="H54" s="101">
        <v>2.7828339999999998</v>
      </c>
      <c r="I54" s="101">
        <v>3.1692260000000001</v>
      </c>
      <c r="J54" s="101">
        <v>3.5981770000000002</v>
      </c>
      <c r="K54" s="101">
        <v>3.5826370000000001</v>
      </c>
      <c r="L54" s="101">
        <v>2.8730280000000001</v>
      </c>
      <c r="M54" s="101">
        <v>2.1630289999999999</v>
      </c>
      <c r="N54" s="101">
        <v>2.6110350000000002</v>
      </c>
      <c r="O54" s="101">
        <v>3.1013649999999999</v>
      </c>
      <c r="P54" s="101">
        <v>2.980715</v>
      </c>
      <c r="Q54" s="101">
        <v>2.9064510000000001</v>
      </c>
      <c r="R54" s="101">
        <v>2.5195129999999999</v>
      </c>
      <c r="S54" s="101">
        <v>1.886042</v>
      </c>
      <c r="T54" s="101">
        <v>2.0617459999999999</v>
      </c>
      <c r="U54" s="101">
        <v>1.902207</v>
      </c>
      <c r="V54" s="101">
        <v>1.9419550000000001</v>
      </c>
    </row>
    <row r="55" spans="2:22">
      <c r="B55" s="109" t="s">
        <v>210</v>
      </c>
      <c r="C55" s="101">
        <v>1.2794350000000001</v>
      </c>
      <c r="D55" s="101">
        <v>1.0605469999999999</v>
      </c>
      <c r="E55" s="101">
        <v>0.86594599999999999</v>
      </c>
      <c r="F55" s="101">
        <v>0.57279400000000003</v>
      </c>
      <c r="G55" s="101">
        <v>0.40372799999999998</v>
      </c>
      <c r="H55" s="101">
        <v>0.43605699999999997</v>
      </c>
      <c r="I55" s="101">
        <v>0.42528100000000002</v>
      </c>
      <c r="J55" s="101">
        <v>0.42817</v>
      </c>
      <c r="K55" s="101">
        <v>0.66197300000000003</v>
      </c>
      <c r="L55" s="101">
        <v>0.44862999999999997</v>
      </c>
      <c r="M55" s="101">
        <v>0.51844299999999999</v>
      </c>
      <c r="N55" s="101">
        <v>0.67720100000000005</v>
      </c>
      <c r="O55" s="101">
        <v>0.69180399999999997</v>
      </c>
      <c r="P55" s="101">
        <v>0.54163600000000001</v>
      </c>
      <c r="Q55" s="101">
        <v>0.67852900000000005</v>
      </c>
      <c r="R55" s="101">
        <v>0.676732</v>
      </c>
      <c r="S55" s="101">
        <v>0.797539</v>
      </c>
      <c r="T55" s="101">
        <v>1.106074</v>
      </c>
      <c r="U55" s="101">
        <v>1.0125999999999999</v>
      </c>
      <c r="V55" s="101">
        <v>0.99284300000000003</v>
      </c>
    </row>
    <row r="56" spans="2:22">
      <c r="B56" s="107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</row>
    <row r="57" spans="2:22">
      <c r="B57" s="108" t="s">
        <v>192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</row>
    <row r="58" spans="2:22">
      <c r="B58" s="107" t="s">
        <v>201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</row>
    <row r="59" spans="2:22">
      <c r="B59" s="107" t="s">
        <v>202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</row>
    <row r="60" spans="2:22">
      <c r="B60" s="107" t="s">
        <v>203</v>
      </c>
      <c r="C60" s="101">
        <v>1.116241</v>
      </c>
      <c r="D60" s="101">
        <v>1.0573220000000001</v>
      </c>
      <c r="E60" s="101">
        <v>1.2987010000000001</v>
      </c>
      <c r="F60" s="101">
        <v>2.7390500000000002</v>
      </c>
      <c r="G60" s="101">
        <v>1.9017170000000001</v>
      </c>
      <c r="H60" s="101">
        <v>1.7432350000000001</v>
      </c>
      <c r="I60" s="101">
        <v>1.5134350000000001</v>
      </c>
      <c r="J60" s="101">
        <v>2.0971259999999998</v>
      </c>
      <c r="K60" s="101">
        <v>1.7789349999999999</v>
      </c>
      <c r="L60" s="101">
        <v>1.7280359999999999</v>
      </c>
      <c r="M60" s="101">
        <v>2.0877870000000001</v>
      </c>
      <c r="N60" s="101">
        <v>2.305002</v>
      </c>
      <c r="O60" s="101">
        <v>1.735385</v>
      </c>
      <c r="P60" s="101">
        <v>1.4368620000000001</v>
      </c>
      <c r="Q60" s="101">
        <v>1.452739</v>
      </c>
      <c r="R60" s="101">
        <v>1.663071</v>
      </c>
      <c r="S60" s="101">
        <v>1.8292459999999999</v>
      </c>
      <c r="T60" s="101">
        <v>2.028937</v>
      </c>
      <c r="U60" s="101">
        <v>2.1350090000000002</v>
      </c>
      <c r="V60" s="101">
        <v>2.0633870000000001</v>
      </c>
    </row>
    <row r="61" spans="2:22">
      <c r="B61" s="107" t="s">
        <v>204</v>
      </c>
      <c r="C61" s="101">
        <v>3.534564</v>
      </c>
      <c r="D61" s="101">
        <v>3.971231</v>
      </c>
      <c r="E61" s="101">
        <v>4.3408110000000004</v>
      </c>
      <c r="F61" s="101">
        <v>4.6776939999999998</v>
      </c>
      <c r="G61" s="101">
        <v>4.7119619999999998</v>
      </c>
      <c r="H61" s="101">
        <v>4.3201390000000002</v>
      </c>
      <c r="I61" s="101">
        <v>4.1019079999999999</v>
      </c>
      <c r="J61" s="101">
        <v>3.869583</v>
      </c>
      <c r="K61" s="101">
        <v>3.1511990000000001</v>
      </c>
      <c r="L61" s="101">
        <v>3.7876210000000001</v>
      </c>
      <c r="M61" s="101">
        <v>4.6807999999999996</v>
      </c>
      <c r="N61" s="101">
        <v>3.9285709999999998</v>
      </c>
      <c r="O61" s="101">
        <v>3.617801</v>
      </c>
      <c r="P61" s="101">
        <v>2.7232669999999999</v>
      </c>
      <c r="Q61" s="101">
        <v>2.7398699999999998</v>
      </c>
      <c r="R61" s="101">
        <v>2.4148100000000001</v>
      </c>
      <c r="S61" s="101">
        <v>2.4497770000000001</v>
      </c>
      <c r="T61" s="101">
        <v>2.107456</v>
      </c>
      <c r="U61" s="101">
        <v>2.0950350000000002</v>
      </c>
      <c r="V61" s="101">
        <v>1.9626600000000001</v>
      </c>
    </row>
    <row r="62" spans="2:22">
      <c r="B62" s="109" t="s">
        <v>205</v>
      </c>
      <c r="C62" s="101">
        <v>12.212358</v>
      </c>
      <c r="D62" s="101">
        <v>11.580368</v>
      </c>
      <c r="E62" s="101">
        <v>12.534435</v>
      </c>
      <c r="F62" s="101">
        <v>12.334819</v>
      </c>
      <c r="G62" s="101">
        <v>13.132588999999999</v>
      </c>
      <c r="H62" s="101">
        <v>10.713184999999999</v>
      </c>
      <c r="I62" s="101">
        <v>11.119669999999999</v>
      </c>
      <c r="J62" s="101">
        <v>11.932359</v>
      </c>
      <c r="K62" s="101">
        <v>11.401813000000001</v>
      </c>
      <c r="L62" s="101">
        <v>13.878182000000001</v>
      </c>
      <c r="M62" s="101">
        <v>12.90415</v>
      </c>
      <c r="N62" s="101">
        <v>12.070793</v>
      </c>
      <c r="O62" s="101">
        <v>12.312328000000001</v>
      </c>
      <c r="P62" s="101">
        <v>11.929069999999999</v>
      </c>
      <c r="Q62" s="101">
        <v>10.390332000000001</v>
      </c>
      <c r="R62" s="101">
        <v>9.5821959999999997</v>
      </c>
      <c r="S62" s="101">
        <v>10.296249</v>
      </c>
      <c r="T62" s="101">
        <v>8.3031469999999992</v>
      </c>
      <c r="U62" s="101">
        <v>9.1099180000000004</v>
      </c>
      <c r="V62" s="101">
        <v>8.2952639999999995</v>
      </c>
    </row>
    <row r="63" spans="2:22">
      <c r="B63" s="109" t="s">
        <v>206</v>
      </c>
      <c r="C63" s="101">
        <v>25.308948999999998</v>
      </c>
      <c r="D63" s="101">
        <v>24.173855</v>
      </c>
      <c r="E63" s="101">
        <v>24.541519000000001</v>
      </c>
      <c r="F63" s="101">
        <v>21.326385999999999</v>
      </c>
      <c r="G63" s="101">
        <v>23.394280999999999</v>
      </c>
      <c r="H63" s="101">
        <v>23.572800999999998</v>
      </c>
      <c r="I63" s="101">
        <v>21.360278999999998</v>
      </c>
      <c r="J63" s="101">
        <v>20.771377999999999</v>
      </c>
      <c r="K63" s="101">
        <v>19.650423</v>
      </c>
      <c r="L63" s="101">
        <v>17.248732</v>
      </c>
      <c r="M63" s="101">
        <v>19.174679000000001</v>
      </c>
      <c r="N63" s="101">
        <v>17.932386999999999</v>
      </c>
      <c r="O63" s="101">
        <v>16.437491000000001</v>
      </c>
      <c r="P63" s="101">
        <v>18.076302999999999</v>
      </c>
      <c r="Q63" s="101">
        <v>18.916001000000001</v>
      </c>
      <c r="R63" s="101">
        <v>20.120850999999998</v>
      </c>
      <c r="S63" s="101">
        <v>22.202522999999999</v>
      </c>
      <c r="T63" s="101">
        <v>19.320965999999999</v>
      </c>
      <c r="U63" s="101">
        <v>20.105777</v>
      </c>
      <c r="V63" s="101">
        <v>20.193314999999998</v>
      </c>
    </row>
    <row r="64" spans="2:22">
      <c r="B64" s="109" t="s">
        <v>207</v>
      </c>
      <c r="C64" s="101">
        <v>4.8615060000000003</v>
      </c>
      <c r="D64" s="101">
        <v>3.726315</v>
      </c>
      <c r="E64" s="101">
        <v>1.5177750000000001</v>
      </c>
      <c r="F64" s="101">
        <v>3.3705379999999998</v>
      </c>
      <c r="G64" s="101">
        <v>4.7486069999999998</v>
      </c>
      <c r="H64" s="101">
        <v>4.5395250000000003</v>
      </c>
      <c r="I64" s="101">
        <v>4.2389780000000004</v>
      </c>
      <c r="J64" s="101">
        <v>3.4370440000000002</v>
      </c>
      <c r="K64" s="101">
        <v>3.5268190000000001</v>
      </c>
      <c r="L64" s="101">
        <v>7.8388419999999996</v>
      </c>
      <c r="M64" s="101">
        <v>9.5407580000000003</v>
      </c>
      <c r="N64" s="101">
        <v>9.3683759999999996</v>
      </c>
      <c r="O64" s="101">
        <v>8.1623140000000003</v>
      </c>
      <c r="P64" s="101">
        <v>7.8205270000000002</v>
      </c>
      <c r="Q64" s="101">
        <v>8.7740810000000007</v>
      </c>
      <c r="R64" s="101">
        <v>9.8980800000000002</v>
      </c>
      <c r="S64" s="101">
        <v>10.102183999999999</v>
      </c>
      <c r="T64" s="101">
        <v>10.737242999999999</v>
      </c>
      <c r="U64" s="101">
        <v>11.528843</v>
      </c>
      <c r="V64" s="101">
        <v>11.604009</v>
      </c>
    </row>
    <row r="65" spans="1:22">
      <c r="B65" s="109" t="s">
        <v>208</v>
      </c>
      <c r="C65" s="101">
        <v>6.2002839999999999</v>
      </c>
      <c r="D65" s="101">
        <v>4.6438560000000004</v>
      </c>
      <c r="E65" s="101">
        <v>4.120425</v>
      </c>
      <c r="F65" s="101">
        <v>3.134055</v>
      </c>
      <c r="G65" s="101">
        <v>2.748329</v>
      </c>
      <c r="H65" s="101">
        <v>6.2293950000000002</v>
      </c>
      <c r="I65" s="101">
        <v>5.5224520000000004</v>
      </c>
      <c r="J65" s="101">
        <v>3.3651300000000002</v>
      </c>
      <c r="K65" s="101">
        <v>6.0459759999999996</v>
      </c>
      <c r="L65" s="101">
        <v>5.6855330000000004</v>
      </c>
      <c r="M65" s="101">
        <v>10.598985000000001</v>
      </c>
      <c r="N65" s="101">
        <v>9.7700300000000002</v>
      </c>
      <c r="O65" s="101">
        <v>7.4395829999999998</v>
      </c>
      <c r="P65" s="101">
        <v>9.5389579999999992</v>
      </c>
      <c r="Q65" s="101">
        <v>9.6084099999999992</v>
      </c>
      <c r="R65" s="101">
        <v>11.271682999999999</v>
      </c>
      <c r="S65" s="101">
        <v>11.952992999999999</v>
      </c>
      <c r="T65" s="101">
        <v>15.032769</v>
      </c>
      <c r="U65" s="101">
        <v>16.767455000000002</v>
      </c>
      <c r="V65" s="101">
        <v>17.643588000000001</v>
      </c>
    </row>
    <row r="66" spans="1:22">
      <c r="B66" s="109" t="s">
        <v>209</v>
      </c>
      <c r="C66" s="101">
        <v>27.372159</v>
      </c>
      <c r="D66" s="101">
        <v>34.621634</v>
      </c>
      <c r="E66" s="101">
        <v>37.099567</v>
      </c>
      <c r="F66" s="101">
        <v>42.886657</v>
      </c>
      <c r="G66" s="101">
        <v>42.829704999999997</v>
      </c>
      <c r="H66" s="101">
        <v>42.259801000000003</v>
      </c>
      <c r="I66" s="101">
        <v>45.973990999999998</v>
      </c>
      <c r="J66" s="101">
        <v>48.728822999999998</v>
      </c>
      <c r="K66" s="101">
        <v>45.953823999999997</v>
      </c>
      <c r="L66" s="101">
        <v>43.102499000000002</v>
      </c>
      <c r="M66" s="101">
        <v>33.083308000000002</v>
      </c>
      <c r="N66" s="101">
        <v>35.434505999999999</v>
      </c>
      <c r="O66" s="101">
        <v>41.122202000000001</v>
      </c>
      <c r="P66" s="101">
        <v>41.020955999999998</v>
      </c>
      <c r="Q66" s="101">
        <v>39.011172999999999</v>
      </c>
      <c r="R66" s="101">
        <v>35.511139</v>
      </c>
      <c r="S66" s="101">
        <v>28.93252</v>
      </c>
      <c r="T66" s="101">
        <v>27.640864000000001</v>
      </c>
      <c r="U66" s="101">
        <v>24.967200999999999</v>
      </c>
      <c r="V66" s="101">
        <v>25.301928</v>
      </c>
    </row>
    <row r="67" spans="1:22">
      <c r="B67" s="109" t="s">
        <v>210</v>
      </c>
      <c r="C67" s="101">
        <v>19.393939</v>
      </c>
      <c r="D67" s="101">
        <v>16.225418999999999</v>
      </c>
      <c r="E67" s="101">
        <v>14.546766</v>
      </c>
      <c r="F67" s="101">
        <v>9.5308010000000003</v>
      </c>
      <c r="G67" s="101">
        <v>6.5328090000000003</v>
      </c>
      <c r="H67" s="101">
        <v>6.6219200000000003</v>
      </c>
      <c r="I67" s="101">
        <v>6.1692869999999997</v>
      </c>
      <c r="J67" s="101">
        <v>5.7985569999999997</v>
      </c>
      <c r="K67" s="101">
        <v>8.4910099999999993</v>
      </c>
      <c r="L67" s="101">
        <v>6.7305549999999998</v>
      </c>
      <c r="M67" s="101">
        <v>7.9295309999999999</v>
      </c>
      <c r="N67" s="101">
        <v>9.1903349999999993</v>
      </c>
      <c r="O67" s="101">
        <v>9.1728970000000007</v>
      </c>
      <c r="P67" s="101">
        <v>7.4540569999999997</v>
      </c>
      <c r="Q67" s="101">
        <v>9.1073939999999993</v>
      </c>
      <c r="R67" s="101">
        <v>9.5381699999999991</v>
      </c>
      <c r="S67" s="101">
        <v>12.234508</v>
      </c>
      <c r="T67" s="101">
        <v>14.828619</v>
      </c>
      <c r="U67" s="101">
        <v>13.290763</v>
      </c>
      <c r="V67" s="101">
        <v>12.93585</v>
      </c>
    </row>
    <row r="68" spans="1:22">
      <c r="B68" s="107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</row>
    <row r="69" spans="1:22" ht="26.25">
      <c r="A69" s="15"/>
      <c r="B69" s="99" t="s">
        <v>326</v>
      </c>
      <c r="C69" s="65">
        <v>78.090522000000007</v>
      </c>
      <c r="D69" s="65">
        <v>78.090522000000007</v>
      </c>
      <c r="E69" s="65">
        <v>78.090522000000007</v>
      </c>
      <c r="F69" s="65">
        <v>78.090522000000007</v>
      </c>
      <c r="G69" s="65">
        <v>78.090522000000007</v>
      </c>
      <c r="H69" s="65">
        <v>78.090522000000007</v>
      </c>
      <c r="I69" s="65">
        <v>78.090522000000007</v>
      </c>
      <c r="J69" s="65">
        <v>78.090522000000007</v>
      </c>
      <c r="K69" s="65">
        <v>78.090522000000007</v>
      </c>
      <c r="L69" s="65">
        <v>78.090522000000007</v>
      </c>
      <c r="M69" s="65">
        <v>78.090522000000007</v>
      </c>
      <c r="N69" s="65">
        <v>78.090522000000007</v>
      </c>
      <c r="O69" s="65">
        <v>78.090522000000007</v>
      </c>
      <c r="P69" s="65">
        <v>78.090522000000007</v>
      </c>
      <c r="Q69" s="65">
        <v>78.090522000000007</v>
      </c>
      <c r="R69" s="65">
        <v>78.090522000000007</v>
      </c>
      <c r="S69" s="65">
        <v>78.090522000000007</v>
      </c>
      <c r="T69" s="65">
        <v>78.090522000000007</v>
      </c>
      <c r="U69" s="65">
        <v>78.090522000000007</v>
      </c>
      <c r="V69" s="65">
        <v>78.090522000000007</v>
      </c>
    </row>
    <row r="70" spans="1:22" ht="26.25">
      <c r="B70" s="99" t="s">
        <v>327</v>
      </c>
      <c r="C70" s="65">
        <v>78.090522000000007</v>
      </c>
      <c r="D70" s="65">
        <v>78.090522000000007</v>
      </c>
      <c r="E70" s="65">
        <v>78.090522000000007</v>
      </c>
      <c r="F70" s="65">
        <v>78.090522000000007</v>
      </c>
      <c r="G70" s="65">
        <v>78.090522000000007</v>
      </c>
      <c r="H70" s="65">
        <v>78.090522000000007</v>
      </c>
      <c r="I70" s="65">
        <v>78.090522000000007</v>
      </c>
      <c r="J70" s="65">
        <v>78.090522000000007</v>
      </c>
      <c r="K70" s="65">
        <v>78.090522000000007</v>
      </c>
      <c r="L70" s="65">
        <v>78.090522000000007</v>
      </c>
      <c r="M70" s="65">
        <v>78.090522000000007</v>
      </c>
      <c r="N70" s="65">
        <v>78.090522000000007</v>
      </c>
      <c r="O70" s="65">
        <v>78.090522000000007</v>
      </c>
      <c r="P70" s="65">
        <v>78.090522000000007</v>
      </c>
      <c r="Q70" s="65">
        <v>78.090522000000007</v>
      </c>
      <c r="R70" s="65">
        <v>78.090522000000007</v>
      </c>
      <c r="S70" s="65">
        <v>78.090522000000007</v>
      </c>
      <c r="T70" s="65">
        <v>78.090522000000007</v>
      </c>
      <c r="U70" s="65">
        <v>78.090522000000007</v>
      </c>
      <c r="V70" s="65">
        <v>78.090522000000007</v>
      </c>
    </row>
    <row r="71" spans="1:22">
      <c r="B71" s="99"/>
    </row>
    <row r="72" spans="1:22">
      <c r="A72" s="12" t="s">
        <v>328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topLeftCell="B1" workbookViewId="0">
      <selection activeCell="B2" sqref="B2:H7"/>
    </sheetView>
  </sheetViews>
  <sheetFormatPr defaultRowHeight="15"/>
  <cols>
    <col min="1" max="1" width="20.7109375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>
      <c r="A3" t="s">
        <v>128</v>
      </c>
      <c r="B3" s="10">
        <f>E3/(1-elec_reduction_HDVs)*'Calibration Adjustments'!B20</f>
        <v>2.5988932599894377E-3</v>
      </c>
      <c r="C3" s="10">
        <f>'Onroad Calcs'!B102</f>
        <v>8.2385602902333775E-4</v>
      </c>
      <c r="D3" s="10">
        <f>'Onroad Calcs'!B100</f>
        <v>8.2385602902333775E-4</v>
      </c>
      <c r="E3" s="10">
        <f>'Onroad Calcs'!B101</f>
        <v>8.0874864462804417E-4</v>
      </c>
      <c r="F3" s="10">
        <f>(E3/(1-elec_reduction_HDVs)*elec_share+E3*(1-elec_share))*'Calibration Adjustments'!F20</f>
        <v>1.7933281830768107E-3</v>
      </c>
      <c r="G3" s="56">
        <v>8.9360000000000004E-4</v>
      </c>
      <c r="H3" s="56">
        <v>2.6809999999999998E-3</v>
      </c>
    </row>
    <row r="4" spans="1:8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>
      <c r="A5" s="58" t="s">
        <v>110</v>
      </c>
      <c r="B5" s="58">
        <v>1.2405209526886144E-3</v>
      </c>
      <c r="C5" s="60">
        <f>D5</f>
        <v>4.511510075790323E-4</v>
      </c>
      <c r="D5" s="60">
        <f>E5</f>
        <v>4.511510075790323E-4</v>
      </c>
      <c r="E5" s="60">
        <f>'rail calcs'!C19</f>
        <v>4.511510075790323E-4</v>
      </c>
      <c r="F5" s="58">
        <v>0</v>
      </c>
      <c r="G5" s="55">
        <v>0</v>
      </c>
      <c r="H5" s="56">
        <v>1.2731662409172617E-3</v>
      </c>
    </row>
    <row r="6" spans="1:8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topLeftCell="B1" workbookViewId="0">
      <selection activeCell="B2" sqref="B2:H7"/>
    </sheetView>
  </sheetViews>
  <sheetFormatPr defaultRowHeight="15"/>
  <cols>
    <col min="1" max="1" width="20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>
      <c r="A3" t="s">
        <v>128</v>
      </c>
      <c r="B3">
        <f>D3/(1-elec_reduction_HDVs)*'Calibration Adjustments'!B29</f>
        <v>0</v>
      </c>
      <c r="C3">
        <f>D3*'Calibration Adjustments'!C29</f>
        <v>0</v>
      </c>
      <c r="D3">
        <v>0</v>
      </c>
      <c r="E3" s="10">
        <f>'Onroad Calcs'!B21</f>
        <v>3.9762043827839882E-4</v>
      </c>
      <c r="F3">
        <f>(D3/(1-elec_reduction_HDVs)*elec_share+D3*(1-elec_share))*'Calibration Adjustments'!F29</f>
        <v>0</v>
      </c>
      <c r="G3" s="56">
        <v>2.931E-3</v>
      </c>
      <c r="H3" s="56">
        <v>2.761E-3</v>
      </c>
    </row>
    <row r="4" spans="1:8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>
      <c r="A5" s="58" t="s">
        <v>110</v>
      </c>
      <c r="B5" s="58">
        <v>1.1140743815291445E-2</v>
      </c>
      <c r="C5" s="60">
        <f>D5</f>
        <v>2.7959561517409449E-3</v>
      </c>
      <c r="D5" s="60">
        <f>E5</f>
        <v>2.7959561517409449E-3</v>
      </c>
      <c r="E5" s="60">
        <f>'rail calcs'!C13</f>
        <v>2.7959561517409449E-3</v>
      </c>
      <c r="F5" s="58">
        <v>0</v>
      </c>
      <c r="G5" s="55">
        <v>0</v>
      </c>
      <c r="H5" s="56">
        <v>1.0400651999999998E-2</v>
      </c>
    </row>
    <row r="6" spans="1:8">
      <c r="A6" s="58" t="s">
        <v>111</v>
      </c>
      <c r="B6" s="58">
        <v>0</v>
      </c>
      <c r="C6" s="58">
        <v>0</v>
      </c>
      <c r="D6" s="58">
        <v>0</v>
      </c>
      <c r="E6" s="60">
        <f>'marine calcs'!$C$17</f>
        <v>1.8871912771282911E-3</v>
      </c>
      <c r="F6" s="58">
        <v>0</v>
      </c>
      <c r="G6" s="55">
        <v>0</v>
      </c>
      <c r="H6" s="55">
        <v>0</v>
      </c>
    </row>
    <row r="7" spans="1:8">
      <c r="A7" s="58" t="s">
        <v>185</v>
      </c>
      <c r="B7" s="58">
        <v>0</v>
      </c>
      <c r="C7" s="58">
        <v>0</v>
      </c>
      <c r="D7" s="60">
        <f>'Onroad Calcs'!B141</f>
        <v>1.1107796320835077E-4</v>
      </c>
      <c r="E7" s="60">
        <f>'Onroad Calcs'!B142</f>
        <v>1.1106689290728341E-4</v>
      </c>
      <c r="F7" s="58">
        <v>0</v>
      </c>
      <c r="G7" s="55">
        <v>0</v>
      </c>
      <c r="H7" s="55">
        <v>0</v>
      </c>
    </row>
    <row r="14" spans="1:8">
      <c r="D1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A10" zoomScaleNormal="100" workbookViewId="0">
      <selection activeCell="X23" sqref="X23:X24"/>
    </sheetView>
  </sheetViews>
  <sheetFormatPr defaultRowHeight="1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>
      <c r="B21" s="42" t="s">
        <v>51</v>
      </c>
      <c r="AC21" s="12"/>
      <c r="AD21" s="12"/>
      <c r="AE21" s="12"/>
      <c r="AF21" s="38"/>
    </row>
    <row r="22" spans="1:32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>
      <c r="A30" s="93"/>
      <c r="B30" s="93"/>
      <c r="AC30" s="12"/>
      <c r="AD30" s="12"/>
      <c r="AE30" s="12"/>
      <c r="AF30" s="38"/>
    </row>
    <row r="31" spans="1:32">
      <c r="B31" s="43" t="s">
        <v>60</v>
      </c>
      <c r="AC31" s="12"/>
      <c r="AD31" s="12"/>
      <c r="AE31" s="12"/>
      <c r="AF31" s="38"/>
    </row>
    <row r="32" spans="1:32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6.25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>
      <c r="A42" s="93"/>
      <c r="B42" s="93"/>
      <c r="AC42" s="12"/>
      <c r="AD42" s="12"/>
      <c r="AE42" s="12"/>
      <c r="AF42" s="38"/>
    </row>
    <row r="43" spans="1:32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>
      <c r="A44" s="93"/>
      <c r="B44" s="93"/>
      <c r="AC44" s="38"/>
      <c r="AD44" s="38"/>
      <c r="AE44" s="38"/>
      <c r="AF44" s="38"/>
    </row>
    <row r="45" spans="1:32">
      <c r="A45" s="93" t="s">
        <v>72</v>
      </c>
      <c r="B45" s="93"/>
      <c r="AC45" s="38"/>
      <c r="AD45" s="38"/>
      <c r="AE45" s="38"/>
      <c r="AF45" s="38"/>
    </row>
    <row r="46" spans="1:32">
      <c r="A46" s="93"/>
      <c r="B46" s="93"/>
      <c r="AC46" s="38"/>
      <c r="AD46" s="38"/>
      <c r="AE46" s="38"/>
      <c r="AF46" s="38"/>
    </row>
    <row r="47" spans="1:32">
      <c r="A47" s="94" t="s">
        <v>73</v>
      </c>
      <c r="B47" s="94"/>
      <c r="AC47" s="38"/>
      <c r="AD47" s="38"/>
      <c r="AE47" s="38"/>
      <c r="AF47" s="38"/>
    </row>
    <row r="48" spans="1:32">
      <c r="A48" s="93" t="s">
        <v>74</v>
      </c>
      <c r="B48" s="93"/>
      <c r="AC48" s="38"/>
      <c r="AD48" s="38"/>
      <c r="AE48" s="38"/>
      <c r="AF48" s="38"/>
    </row>
    <row r="49" spans="1:32">
      <c r="A49" s="93" t="s">
        <v>75</v>
      </c>
      <c r="B49" s="93"/>
      <c r="AC49" s="38"/>
      <c r="AD49" s="38"/>
      <c r="AE49" s="38"/>
      <c r="AF49" s="38"/>
    </row>
    <row r="50" spans="1:32">
      <c r="A50" s="93" t="s">
        <v>76</v>
      </c>
      <c r="B50" s="93"/>
      <c r="AC50" s="38"/>
      <c r="AD50" s="38"/>
      <c r="AE50" s="38"/>
      <c r="AF50" s="38"/>
    </row>
    <row r="51" spans="1:32">
      <c r="A51" s="93" t="s">
        <v>77</v>
      </c>
      <c r="B51" s="93"/>
      <c r="AC51" s="38"/>
      <c r="AD51" s="38"/>
      <c r="AE51" s="38"/>
      <c r="AF51" s="38"/>
    </row>
    <row r="52" spans="1:32">
      <c r="A52" s="93" t="s">
        <v>78</v>
      </c>
      <c r="B52" s="93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52:B52"/>
    <mergeCell ref="A46:B46"/>
    <mergeCell ref="A47:B47"/>
    <mergeCell ref="A48:B48"/>
    <mergeCell ref="A49:B49"/>
    <mergeCell ref="A50:B50"/>
    <mergeCell ref="A51:B51"/>
    <mergeCell ref="A45:B45"/>
    <mergeCell ref="A8:B8"/>
    <mergeCell ref="A9:B9"/>
    <mergeCell ref="A30:B30"/>
    <mergeCell ref="A42:B42"/>
    <mergeCell ref="A44:B44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L17" zoomScaleNormal="100" workbookViewId="0">
      <selection activeCell="AE31" sqref="AE31"/>
    </sheetView>
  </sheetViews>
  <sheetFormatPr defaultRowHeight="15"/>
  <cols>
    <col min="1" max="1" width="3" style="12" customWidth="1"/>
    <col min="2" max="2" width="52" style="12" customWidth="1"/>
    <col min="3" max="28" width="9.7109375" style="12" customWidth="1"/>
    <col min="29" max="29" width="13.71093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79</v>
      </c>
      <c r="B5" s="2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>
      <c r="B6" s="47" t="s">
        <v>80</v>
      </c>
      <c r="AC6" s="12"/>
      <c r="AD6" s="38"/>
      <c r="AE6" s="38"/>
      <c r="AF6" s="38"/>
    </row>
    <row r="7" spans="1:32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>
      <c r="B22" s="42" t="s">
        <v>51</v>
      </c>
      <c r="AB22" s="15"/>
      <c r="AC22" s="15"/>
      <c r="AD22" s="15"/>
      <c r="AE22" s="15"/>
      <c r="AF22" s="38"/>
    </row>
    <row r="23" spans="1:32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>
      <c r="A29" s="93"/>
      <c r="B29" s="93"/>
      <c r="AB29" s="15"/>
      <c r="AC29" s="15"/>
      <c r="AD29" s="15"/>
      <c r="AE29" s="15"/>
      <c r="AF29" s="38"/>
    </row>
    <row r="30" spans="1:32">
      <c r="B30" s="15" t="s">
        <v>87</v>
      </c>
      <c r="AB30" s="15"/>
      <c r="AC30" s="15"/>
      <c r="AD30" s="15"/>
      <c r="AE30" s="15"/>
      <c r="AF30" s="38"/>
    </row>
    <row r="31" spans="1:32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>
      <c r="B32" s="49" t="s">
        <v>89</v>
      </c>
      <c r="AB32" s="15"/>
      <c r="AC32" s="15"/>
      <c r="AD32" s="15"/>
      <c r="AE32" s="15"/>
      <c r="AF32" s="38"/>
    </row>
    <row r="33" spans="1:32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>
      <c r="A39" s="93"/>
      <c r="B39" s="93"/>
      <c r="AB39" s="15"/>
      <c r="AC39" s="15"/>
      <c r="AD39" s="15"/>
      <c r="AE39" s="15"/>
      <c r="AF39" s="38"/>
    </row>
    <row r="40" spans="1:32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>
      <c r="A41" s="93"/>
      <c r="B41" s="93"/>
      <c r="AC41" s="12"/>
      <c r="AD41" s="38"/>
      <c r="AE41" s="38"/>
      <c r="AF41" s="38"/>
    </row>
    <row r="42" spans="1:32">
      <c r="A42" s="94" t="s">
        <v>73</v>
      </c>
      <c r="B42" s="94"/>
      <c r="AC42" s="12"/>
      <c r="AD42" s="38"/>
      <c r="AE42" s="38"/>
      <c r="AF42" s="38"/>
    </row>
    <row r="43" spans="1:32">
      <c r="A43" s="93" t="s">
        <v>74</v>
      </c>
      <c r="B43" s="93"/>
      <c r="AC43" s="12"/>
      <c r="AD43" s="38"/>
      <c r="AE43" s="38"/>
      <c r="AF43" s="38"/>
    </row>
    <row r="44" spans="1:32">
      <c r="A44" s="93" t="s">
        <v>96</v>
      </c>
      <c r="B44" s="93"/>
      <c r="AC44" s="12"/>
      <c r="AD44" s="38"/>
      <c r="AE44" s="38"/>
      <c r="AF44" s="38"/>
    </row>
    <row r="45" spans="1:32">
      <c r="A45" s="93" t="s">
        <v>97</v>
      </c>
      <c r="B45" s="93"/>
      <c r="AC45" s="12"/>
      <c r="AD45" s="38"/>
      <c r="AE45" s="38"/>
      <c r="AF45" s="38"/>
    </row>
    <row r="46" spans="1:32">
      <c r="A46" s="93" t="s">
        <v>98</v>
      </c>
      <c r="B46" s="93"/>
      <c r="AC46" s="12"/>
      <c r="AD46" s="38"/>
      <c r="AE46" s="38"/>
      <c r="AF46" s="38"/>
    </row>
    <row r="47" spans="1:32">
      <c r="A47" s="93" t="s">
        <v>99</v>
      </c>
      <c r="B47" s="93"/>
      <c r="AC47" s="12"/>
      <c r="AD47" s="38"/>
      <c r="AE47" s="38"/>
      <c r="AF47" s="38"/>
    </row>
    <row r="48" spans="1:32">
      <c r="A48" s="93" t="s">
        <v>100</v>
      </c>
      <c r="B48" s="93"/>
      <c r="AC48" s="12"/>
      <c r="AD48" s="38"/>
      <c r="AE48" s="38"/>
      <c r="AF48" s="38"/>
    </row>
    <row r="49" spans="1:32">
      <c r="A49" s="93" t="s">
        <v>78</v>
      </c>
      <c r="B49" s="93"/>
      <c r="AC49" s="12"/>
      <c r="AD49" s="38"/>
      <c r="AE49" s="38"/>
      <c r="AF49" s="38"/>
    </row>
    <row r="50" spans="1:32">
      <c r="A50" s="93" t="s">
        <v>101</v>
      </c>
      <c r="B50" s="93"/>
      <c r="AC50" s="12"/>
      <c r="AD50" s="38"/>
      <c r="AE50" s="38"/>
      <c r="AF50" s="38"/>
    </row>
    <row r="51" spans="1:32">
      <c r="B51" s="50" t="s">
        <v>102</v>
      </c>
      <c r="AC51" s="12"/>
      <c r="AD51" s="38"/>
      <c r="AE51" s="38"/>
      <c r="AF51" s="38"/>
    </row>
    <row r="52" spans="1:32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5"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A39:B39"/>
    <mergeCell ref="A7:B7"/>
    <mergeCell ref="A8:B8"/>
    <mergeCell ref="A9:B9"/>
    <mergeCell ref="A29:B29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workbookViewId="0">
      <pane xSplit="1" topLeftCell="B1" activePane="topRight" state="frozen"/>
      <selection pane="topRight" activeCell="A37" sqref="A37"/>
    </sheetView>
  </sheetViews>
  <sheetFormatPr defaultRowHeight="15"/>
  <cols>
    <col min="1" max="1" width="12.28515625" customWidth="1"/>
    <col min="2" max="3" width="15.5703125" customWidth="1"/>
    <col min="4" max="4" width="11.7109375" bestFit="1" customWidth="1"/>
    <col min="5" max="6" width="10.2851562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2" sqref="B2"/>
    </sheetView>
  </sheetViews>
  <sheetFormatPr defaultRowHeight="15"/>
  <cols>
    <col min="1" max="1" width="31.5703125" customWidth="1"/>
    <col min="2" max="2" width="10.570312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A7" workbookViewId="0">
      <selection activeCell="B15" sqref="B15"/>
    </sheetView>
  </sheetViews>
  <sheetFormatPr defaultRowHeight="1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>
      <c r="AD4" s="12"/>
      <c r="AE4" s="12"/>
    </row>
    <row r="5" spans="1:31" ht="15.75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B10" s="14" t="s">
        <v>133</v>
      </c>
      <c r="AD10" s="12"/>
      <c r="AE10" s="12"/>
    </row>
    <row r="11" spans="1:31">
      <c r="B11" s="40" t="s">
        <v>134</v>
      </c>
      <c r="AD11" s="12"/>
      <c r="AE11" s="12"/>
    </row>
    <row r="12" spans="1:31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>
      <c r="B15" s="40" t="s">
        <v>138</v>
      </c>
      <c r="AD15" s="12"/>
      <c r="AE15" s="12"/>
    </row>
    <row r="16" spans="1:31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>
      <c r="B19" s="40" t="s">
        <v>142</v>
      </c>
      <c r="AD19" s="12"/>
      <c r="AE19" s="12"/>
    </row>
    <row r="20" spans="1:31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>
      <c r="B23" s="40" t="s">
        <v>145</v>
      </c>
      <c r="AD23" s="12"/>
      <c r="AE23" s="12"/>
    </row>
    <row r="24" spans="1:31">
      <c r="B24" s="12" t="s">
        <v>146</v>
      </c>
      <c r="AD24" s="12"/>
      <c r="AE24" s="12"/>
    </row>
    <row r="25" spans="1:31">
      <c r="A25" s="31"/>
      <c r="B25" s="86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>
      <c r="A26" s="31"/>
      <c r="B26" s="86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>
      <c r="B27" s="12" t="s">
        <v>149</v>
      </c>
      <c r="AD27" s="12"/>
      <c r="AE27" s="12"/>
    </row>
    <row r="28" spans="1:31">
      <c r="A28" s="31"/>
      <c r="B28" s="86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>
      <c r="A29" s="31"/>
      <c r="B29" s="86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>
      <c r="B30" s="12" t="s">
        <v>144</v>
      </c>
      <c r="AD30" s="12"/>
      <c r="AE30" s="12"/>
    </row>
    <row r="31" spans="1:31">
      <c r="A31" s="31"/>
      <c r="B31" s="86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>
      <c r="B32" s="40" t="s">
        <v>150</v>
      </c>
      <c r="AD32" s="12"/>
      <c r="AE32" s="12"/>
    </row>
    <row r="33" spans="1:31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>
      <c r="A38" s="12" t="s">
        <v>155</v>
      </c>
      <c r="AD38" s="12"/>
      <c r="AE38" s="12"/>
    </row>
    <row r="39" spans="1:31">
      <c r="A39" s="12" t="s">
        <v>156</v>
      </c>
      <c r="AD39" s="12"/>
      <c r="AE39" s="12"/>
    </row>
    <row r="40" spans="1:31">
      <c r="AD40" s="12"/>
      <c r="AE40" s="12"/>
    </row>
    <row r="41" spans="1:31">
      <c r="A41" s="14" t="s">
        <v>73</v>
      </c>
      <c r="AD41" s="12"/>
      <c r="AE41" s="12"/>
    </row>
    <row r="42" spans="1:31">
      <c r="A42" s="12" t="s">
        <v>157</v>
      </c>
      <c r="AD42" s="12"/>
      <c r="AE42" s="12"/>
    </row>
    <row r="43" spans="1:31">
      <c r="A43" s="12" t="s">
        <v>158</v>
      </c>
      <c r="AD43" s="12"/>
      <c r="AE43" s="12"/>
    </row>
    <row r="44" spans="1:31">
      <c r="A44" s="12" t="s">
        <v>159</v>
      </c>
      <c r="AD44" s="12"/>
      <c r="AE44" s="12"/>
    </row>
    <row r="45" spans="1:31">
      <c r="A45" s="12" t="s">
        <v>160</v>
      </c>
      <c r="AD45" s="12"/>
      <c r="AE45" s="12"/>
    </row>
    <row r="46" spans="1:31">
      <c r="A46" s="12" t="s">
        <v>161</v>
      </c>
      <c r="AD46" s="12"/>
      <c r="AE46" s="12"/>
    </row>
    <row r="47" spans="1:31">
      <c r="A47" s="12" t="s">
        <v>162</v>
      </c>
      <c r="AD47" s="12"/>
      <c r="AE47" s="12"/>
    </row>
    <row r="48" spans="1:31">
      <c r="A48" s="13"/>
      <c r="U48" s="11"/>
    </row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>
      <selection activeCell="D32" sqref="D32"/>
    </sheetView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A12" zoomScaleNormal="100" workbookViewId="0">
      <selection activeCell="A28" sqref="A28:B28"/>
    </sheetView>
  </sheetViews>
  <sheetFormatPr defaultRowHeight="15"/>
  <cols>
    <col min="1" max="1" width="3" customWidth="1"/>
    <col min="2" max="2" width="45.42578125" customWidth="1"/>
    <col min="20" max="29" width="9.28515625" customWidth="1"/>
    <col min="257" max="257" width="3" customWidth="1"/>
    <col min="258" max="258" width="45.42578125" customWidth="1"/>
    <col min="276" max="285" width="9.28515625" customWidth="1"/>
    <col min="513" max="513" width="3" customWidth="1"/>
    <col min="514" max="514" width="45.42578125" customWidth="1"/>
    <col min="532" max="541" width="9.28515625" customWidth="1"/>
    <col min="769" max="769" width="3" customWidth="1"/>
    <col min="770" max="770" width="45.42578125" customWidth="1"/>
    <col min="788" max="797" width="9.28515625" customWidth="1"/>
    <col min="1025" max="1025" width="3" customWidth="1"/>
    <col min="1026" max="1026" width="45.42578125" customWidth="1"/>
    <col min="1044" max="1053" width="9.28515625" customWidth="1"/>
    <col min="1281" max="1281" width="3" customWidth="1"/>
    <col min="1282" max="1282" width="45.42578125" customWidth="1"/>
    <col min="1300" max="1309" width="9.28515625" customWidth="1"/>
    <col min="1537" max="1537" width="3" customWidth="1"/>
    <col min="1538" max="1538" width="45.42578125" customWidth="1"/>
    <col min="1556" max="1565" width="9.28515625" customWidth="1"/>
    <col min="1793" max="1793" width="3" customWidth="1"/>
    <col min="1794" max="1794" width="45.42578125" customWidth="1"/>
    <col min="1812" max="1821" width="9.28515625" customWidth="1"/>
    <col min="2049" max="2049" width="3" customWidth="1"/>
    <col min="2050" max="2050" width="45.42578125" customWidth="1"/>
    <col min="2068" max="2077" width="9.28515625" customWidth="1"/>
    <col min="2305" max="2305" width="3" customWidth="1"/>
    <col min="2306" max="2306" width="45.42578125" customWidth="1"/>
    <col min="2324" max="2333" width="9.28515625" customWidth="1"/>
    <col min="2561" max="2561" width="3" customWidth="1"/>
    <col min="2562" max="2562" width="45.42578125" customWidth="1"/>
    <col min="2580" max="2589" width="9.28515625" customWidth="1"/>
    <col min="2817" max="2817" width="3" customWidth="1"/>
    <col min="2818" max="2818" width="45.42578125" customWidth="1"/>
    <col min="2836" max="2845" width="9.28515625" customWidth="1"/>
    <col min="3073" max="3073" width="3" customWidth="1"/>
    <col min="3074" max="3074" width="45.42578125" customWidth="1"/>
    <col min="3092" max="3101" width="9.28515625" customWidth="1"/>
    <col min="3329" max="3329" width="3" customWidth="1"/>
    <col min="3330" max="3330" width="45.42578125" customWidth="1"/>
    <col min="3348" max="3357" width="9.28515625" customWidth="1"/>
    <col min="3585" max="3585" width="3" customWidth="1"/>
    <col min="3586" max="3586" width="45.42578125" customWidth="1"/>
    <col min="3604" max="3613" width="9.28515625" customWidth="1"/>
    <col min="3841" max="3841" width="3" customWidth="1"/>
    <col min="3842" max="3842" width="45.42578125" customWidth="1"/>
    <col min="3860" max="3869" width="9.28515625" customWidth="1"/>
    <col min="4097" max="4097" width="3" customWidth="1"/>
    <col min="4098" max="4098" width="45.42578125" customWidth="1"/>
    <col min="4116" max="4125" width="9.28515625" customWidth="1"/>
    <col min="4353" max="4353" width="3" customWidth="1"/>
    <col min="4354" max="4354" width="45.42578125" customWidth="1"/>
    <col min="4372" max="4381" width="9.28515625" customWidth="1"/>
    <col min="4609" max="4609" width="3" customWidth="1"/>
    <col min="4610" max="4610" width="45.42578125" customWidth="1"/>
    <col min="4628" max="4637" width="9.28515625" customWidth="1"/>
    <col min="4865" max="4865" width="3" customWidth="1"/>
    <col min="4866" max="4866" width="45.42578125" customWidth="1"/>
    <col min="4884" max="4893" width="9.28515625" customWidth="1"/>
    <col min="5121" max="5121" width="3" customWidth="1"/>
    <col min="5122" max="5122" width="45.42578125" customWidth="1"/>
    <col min="5140" max="5149" width="9.28515625" customWidth="1"/>
    <col min="5377" max="5377" width="3" customWidth="1"/>
    <col min="5378" max="5378" width="45.42578125" customWidth="1"/>
    <col min="5396" max="5405" width="9.28515625" customWidth="1"/>
    <col min="5633" max="5633" width="3" customWidth="1"/>
    <col min="5634" max="5634" width="45.42578125" customWidth="1"/>
    <col min="5652" max="5661" width="9.28515625" customWidth="1"/>
    <col min="5889" max="5889" width="3" customWidth="1"/>
    <col min="5890" max="5890" width="45.42578125" customWidth="1"/>
    <col min="5908" max="5917" width="9.28515625" customWidth="1"/>
    <col min="6145" max="6145" width="3" customWidth="1"/>
    <col min="6146" max="6146" width="45.42578125" customWidth="1"/>
    <col min="6164" max="6173" width="9.28515625" customWidth="1"/>
    <col min="6401" max="6401" width="3" customWidth="1"/>
    <col min="6402" max="6402" width="45.42578125" customWidth="1"/>
    <col min="6420" max="6429" width="9.28515625" customWidth="1"/>
    <col min="6657" max="6657" width="3" customWidth="1"/>
    <col min="6658" max="6658" width="45.42578125" customWidth="1"/>
    <col min="6676" max="6685" width="9.28515625" customWidth="1"/>
    <col min="6913" max="6913" width="3" customWidth="1"/>
    <col min="6914" max="6914" width="45.42578125" customWidth="1"/>
    <col min="6932" max="6941" width="9.28515625" customWidth="1"/>
    <col min="7169" max="7169" width="3" customWidth="1"/>
    <col min="7170" max="7170" width="45.42578125" customWidth="1"/>
    <col min="7188" max="7197" width="9.28515625" customWidth="1"/>
    <col min="7425" max="7425" width="3" customWidth="1"/>
    <col min="7426" max="7426" width="45.42578125" customWidth="1"/>
    <col min="7444" max="7453" width="9.28515625" customWidth="1"/>
    <col min="7681" max="7681" width="3" customWidth="1"/>
    <col min="7682" max="7682" width="45.42578125" customWidth="1"/>
    <col min="7700" max="7709" width="9.28515625" customWidth="1"/>
    <col min="7937" max="7937" width="3" customWidth="1"/>
    <col min="7938" max="7938" width="45.42578125" customWidth="1"/>
    <col min="7956" max="7965" width="9.28515625" customWidth="1"/>
    <col min="8193" max="8193" width="3" customWidth="1"/>
    <col min="8194" max="8194" width="45.42578125" customWidth="1"/>
    <col min="8212" max="8221" width="9.28515625" customWidth="1"/>
    <col min="8449" max="8449" width="3" customWidth="1"/>
    <col min="8450" max="8450" width="45.42578125" customWidth="1"/>
    <col min="8468" max="8477" width="9.28515625" customWidth="1"/>
    <col min="8705" max="8705" width="3" customWidth="1"/>
    <col min="8706" max="8706" width="45.42578125" customWidth="1"/>
    <col min="8724" max="8733" width="9.28515625" customWidth="1"/>
    <col min="8961" max="8961" width="3" customWidth="1"/>
    <col min="8962" max="8962" width="45.42578125" customWidth="1"/>
    <col min="8980" max="8989" width="9.28515625" customWidth="1"/>
    <col min="9217" max="9217" width="3" customWidth="1"/>
    <col min="9218" max="9218" width="45.42578125" customWidth="1"/>
    <col min="9236" max="9245" width="9.28515625" customWidth="1"/>
    <col min="9473" max="9473" width="3" customWidth="1"/>
    <col min="9474" max="9474" width="45.42578125" customWidth="1"/>
    <col min="9492" max="9501" width="9.28515625" customWidth="1"/>
    <col min="9729" max="9729" width="3" customWidth="1"/>
    <col min="9730" max="9730" width="45.42578125" customWidth="1"/>
    <col min="9748" max="9757" width="9.28515625" customWidth="1"/>
    <col min="9985" max="9985" width="3" customWidth="1"/>
    <col min="9986" max="9986" width="45.42578125" customWidth="1"/>
    <col min="10004" max="10013" width="9.28515625" customWidth="1"/>
    <col min="10241" max="10241" width="3" customWidth="1"/>
    <col min="10242" max="10242" width="45.42578125" customWidth="1"/>
    <col min="10260" max="10269" width="9.28515625" customWidth="1"/>
    <col min="10497" max="10497" width="3" customWidth="1"/>
    <col min="10498" max="10498" width="45.42578125" customWidth="1"/>
    <col min="10516" max="10525" width="9.28515625" customWidth="1"/>
    <col min="10753" max="10753" width="3" customWidth="1"/>
    <col min="10754" max="10754" width="45.42578125" customWidth="1"/>
    <col min="10772" max="10781" width="9.28515625" customWidth="1"/>
    <col min="11009" max="11009" width="3" customWidth="1"/>
    <col min="11010" max="11010" width="45.42578125" customWidth="1"/>
    <col min="11028" max="11037" width="9.28515625" customWidth="1"/>
    <col min="11265" max="11265" width="3" customWidth="1"/>
    <col min="11266" max="11266" width="45.42578125" customWidth="1"/>
    <col min="11284" max="11293" width="9.28515625" customWidth="1"/>
    <col min="11521" max="11521" width="3" customWidth="1"/>
    <col min="11522" max="11522" width="45.42578125" customWidth="1"/>
    <col min="11540" max="11549" width="9.28515625" customWidth="1"/>
    <col min="11777" max="11777" width="3" customWidth="1"/>
    <col min="11778" max="11778" width="45.42578125" customWidth="1"/>
    <col min="11796" max="11805" width="9.28515625" customWidth="1"/>
    <col min="12033" max="12033" width="3" customWidth="1"/>
    <col min="12034" max="12034" width="45.42578125" customWidth="1"/>
    <col min="12052" max="12061" width="9.28515625" customWidth="1"/>
    <col min="12289" max="12289" width="3" customWidth="1"/>
    <col min="12290" max="12290" width="45.42578125" customWidth="1"/>
    <col min="12308" max="12317" width="9.28515625" customWidth="1"/>
    <col min="12545" max="12545" width="3" customWidth="1"/>
    <col min="12546" max="12546" width="45.42578125" customWidth="1"/>
    <col min="12564" max="12573" width="9.28515625" customWidth="1"/>
    <col min="12801" max="12801" width="3" customWidth="1"/>
    <col min="12802" max="12802" width="45.42578125" customWidth="1"/>
    <col min="12820" max="12829" width="9.28515625" customWidth="1"/>
    <col min="13057" max="13057" width="3" customWidth="1"/>
    <col min="13058" max="13058" width="45.42578125" customWidth="1"/>
    <col min="13076" max="13085" width="9.28515625" customWidth="1"/>
    <col min="13313" max="13313" width="3" customWidth="1"/>
    <col min="13314" max="13314" width="45.42578125" customWidth="1"/>
    <col min="13332" max="13341" width="9.28515625" customWidth="1"/>
    <col min="13569" max="13569" width="3" customWidth="1"/>
    <col min="13570" max="13570" width="45.42578125" customWidth="1"/>
    <col min="13588" max="13597" width="9.28515625" customWidth="1"/>
    <col min="13825" max="13825" width="3" customWidth="1"/>
    <col min="13826" max="13826" width="45.42578125" customWidth="1"/>
    <col min="13844" max="13853" width="9.28515625" customWidth="1"/>
    <col min="14081" max="14081" width="3" customWidth="1"/>
    <col min="14082" max="14082" width="45.42578125" customWidth="1"/>
    <col min="14100" max="14109" width="9.28515625" customWidth="1"/>
    <col min="14337" max="14337" width="3" customWidth="1"/>
    <col min="14338" max="14338" width="45.42578125" customWidth="1"/>
    <col min="14356" max="14365" width="9.28515625" customWidth="1"/>
    <col min="14593" max="14593" width="3" customWidth="1"/>
    <col min="14594" max="14594" width="45.42578125" customWidth="1"/>
    <col min="14612" max="14621" width="9.28515625" customWidth="1"/>
    <col min="14849" max="14849" width="3" customWidth="1"/>
    <col min="14850" max="14850" width="45.42578125" customWidth="1"/>
    <col min="14868" max="14877" width="9.28515625" customWidth="1"/>
    <col min="15105" max="15105" width="3" customWidth="1"/>
    <col min="15106" max="15106" width="45.42578125" customWidth="1"/>
    <col min="15124" max="15133" width="9.28515625" customWidth="1"/>
    <col min="15361" max="15361" width="3" customWidth="1"/>
    <col min="15362" max="15362" width="45.42578125" customWidth="1"/>
    <col min="15380" max="15389" width="9.28515625" customWidth="1"/>
    <col min="15617" max="15617" width="3" customWidth="1"/>
    <col min="15618" max="15618" width="45.42578125" customWidth="1"/>
    <col min="15636" max="15645" width="9.28515625" customWidth="1"/>
    <col min="15873" max="15873" width="3" customWidth="1"/>
    <col min="15874" max="15874" width="45.42578125" customWidth="1"/>
    <col min="15892" max="15901" width="9.28515625" customWidth="1"/>
    <col min="16129" max="16129" width="3" customWidth="1"/>
    <col min="16130" max="16130" width="45.42578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6" t="s">
        <v>187</v>
      </c>
      <c r="B5" s="9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189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5"/>
      <c r="B12" s="95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65" customHeight="1">
      <c r="A19" s="95"/>
      <c r="B19" s="95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65" customHeight="1">
      <c r="A25" s="95"/>
      <c r="B25" s="95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65" customHeight="1">
      <c r="A28" s="95"/>
      <c r="B28" s="95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65" customHeight="1">
      <c r="A30" s="95"/>
      <c r="B30" s="95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95"/>
      <c r="B31" s="95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65" customHeight="1">
      <c r="A38" s="95"/>
      <c r="B38" s="95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65" customHeight="1">
      <c r="A46" s="95"/>
      <c r="B46" s="9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97" t="s">
        <v>198</v>
      </c>
      <c r="B47" s="97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95"/>
      <c r="B48" s="95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95"/>
      <c r="B49" s="95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95"/>
      <c r="B50" s="95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>
      <c r="A51" s="95"/>
      <c r="B51" s="95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65" customHeight="1">
      <c r="A64" s="95"/>
      <c r="B64" s="95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65" customHeight="1">
      <c r="A81" s="98"/>
      <c r="B81" s="9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65" customHeight="1">
      <c r="A95" s="93"/>
      <c r="B95" s="9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65" customHeight="1">
      <c r="A107" s="93"/>
      <c r="B107" s="9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65" customHeight="1">
      <c r="A109" s="95"/>
      <c r="B109" s="95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93" t="s">
        <v>213</v>
      </c>
      <c r="B110" s="93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95"/>
      <c r="B111" s="95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97" t="s">
        <v>214</v>
      </c>
      <c r="B112" s="97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95"/>
      <c r="B113" s="95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95"/>
      <c r="B114" s="95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95"/>
      <c r="B115" s="95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65" customHeight="1">
      <c r="A133" s="95"/>
      <c r="B133" s="95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65" customHeight="1">
      <c r="A136" s="95"/>
      <c r="B136" s="95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65" customHeight="1">
      <c r="A138" s="95"/>
      <c r="B138" s="95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95"/>
      <c r="B139" s="95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65" customHeight="1">
      <c r="A148" s="95"/>
      <c r="B148" s="95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65" customHeight="1">
      <c r="A156" s="95"/>
      <c r="B156" s="95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A7" workbookViewId="0">
      <selection activeCell="A5" sqref="A5:B5"/>
    </sheetView>
  </sheetViews>
  <sheetFormatPr defaultRowHeight="1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97" t="s">
        <v>217</v>
      </c>
      <c r="B5" s="97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>
      <c r="A6" s="93"/>
      <c r="B6" s="93"/>
      <c r="AD6" s="38"/>
      <c r="AE6" s="38"/>
      <c r="AF6" s="38"/>
      <c r="AG6" s="38"/>
    </row>
    <row r="7" spans="1:33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>
      <c r="B10" s="14" t="s">
        <v>218</v>
      </c>
      <c r="AD10" s="38"/>
      <c r="AE10" s="38"/>
      <c r="AF10" s="38"/>
      <c r="AG10" s="38"/>
    </row>
    <row r="11" spans="1:33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>
      <c r="B15" s="40" t="s">
        <v>223</v>
      </c>
      <c r="AD15" s="38"/>
      <c r="AE15" s="38"/>
      <c r="AF15" s="38"/>
      <c r="AG15" s="38"/>
    </row>
    <row r="16" spans="1:33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>
      <c r="B19" s="40" t="s">
        <v>226</v>
      </c>
      <c r="AD19" s="38"/>
      <c r="AE19" s="38"/>
      <c r="AF19" s="38"/>
      <c r="AG19" s="38"/>
    </row>
    <row r="20" spans="1:33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>
      <c r="B23" s="40" t="s">
        <v>145</v>
      </c>
      <c r="AD23" s="38"/>
      <c r="AE23" s="38"/>
      <c r="AF23" s="38"/>
      <c r="AG23" s="38"/>
    </row>
    <row r="24" spans="1:33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>
      <c r="B27" s="12" t="s">
        <v>229</v>
      </c>
      <c r="AD27" s="38"/>
      <c r="AE27" s="38"/>
      <c r="AF27" s="38"/>
      <c r="AG27" s="38"/>
    </row>
    <row r="28" spans="1:33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>
      <c r="B30" s="12" t="s">
        <v>230</v>
      </c>
      <c r="AD30" s="38"/>
      <c r="AE30" s="38"/>
      <c r="AF30" s="38"/>
      <c r="AG30" s="38"/>
    </row>
    <row r="31" spans="1:33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>
      <c r="B32" s="40" t="s">
        <v>231</v>
      </c>
      <c r="AD32" s="38"/>
      <c r="AE32" s="38"/>
      <c r="AF32" s="38"/>
      <c r="AG32" s="38"/>
    </row>
    <row r="33" spans="1:33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>
      <c r="A37" s="93"/>
      <c r="B37" s="93"/>
      <c r="AD37" s="38"/>
      <c r="AE37" s="38"/>
      <c r="AF37" s="38"/>
      <c r="AG37" s="38"/>
    </row>
    <row r="38" spans="1:33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>
      <c r="B39" s="40" t="s">
        <v>235</v>
      </c>
      <c r="AD39" s="38"/>
      <c r="AE39" s="38"/>
      <c r="AF39" s="38"/>
      <c r="AG39" s="38"/>
    </row>
    <row r="40" spans="1:33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>
      <c r="B43" s="40" t="s">
        <v>236</v>
      </c>
      <c r="AD43" s="38"/>
      <c r="AE43" s="38"/>
      <c r="AF43" s="38"/>
      <c r="AG43" s="38"/>
    </row>
    <row r="44" spans="1:33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>
      <c r="A47" s="93"/>
      <c r="B47" s="93"/>
      <c r="AD47" s="38"/>
      <c r="AE47" s="38"/>
      <c r="AF47" s="38"/>
      <c r="AG47" s="38"/>
    </row>
    <row r="48" spans="1:33">
      <c r="A48" s="93" t="s">
        <v>153</v>
      </c>
      <c r="B48" s="93"/>
      <c r="AD48" s="38"/>
      <c r="AE48" s="38"/>
      <c r="AF48" s="38"/>
      <c r="AG48" s="38"/>
    </row>
    <row r="49" spans="1:33">
      <c r="A49" s="93" t="s">
        <v>237</v>
      </c>
      <c r="B49" s="93"/>
      <c r="AD49" s="38"/>
      <c r="AE49" s="38"/>
      <c r="AF49" s="38"/>
      <c r="AG49" s="38"/>
    </row>
    <row r="50" spans="1:33">
      <c r="A50" s="93" t="s">
        <v>238</v>
      </c>
      <c r="B50" s="93"/>
      <c r="AD50" s="38"/>
      <c r="AE50" s="38"/>
      <c r="AF50" s="38"/>
      <c r="AG50" s="38"/>
    </row>
    <row r="51" spans="1:33">
      <c r="A51" s="93" t="s">
        <v>239</v>
      </c>
      <c r="B51" s="93"/>
      <c r="AD51" s="38"/>
      <c r="AE51" s="38"/>
      <c r="AF51" s="38"/>
      <c r="AG51" s="38"/>
    </row>
    <row r="52" spans="1:33">
      <c r="A52" s="93"/>
      <c r="B52" s="93"/>
      <c r="AD52" s="38"/>
      <c r="AE52" s="38"/>
      <c r="AF52" s="38"/>
      <c r="AG52" s="38"/>
    </row>
    <row r="53" spans="1:33">
      <c r="A53" s="94" t="s">
        <v>73</v>
      </c>
      <c r="B53" s="94"/>
      <c r="AD53" s="38"/>
      <c r="AE53" s="38"/>
      <c r="AF53" s="38"/>
      <c r="AG53" s="38"/>
    </row>
    <row r="54" spans="1:33">
      <c r="A54" s="93" t="s">
        <v>157</v>
      </c>
      <c r="B54" s="93"/>
      <c r="AD54" s="38"/>
      <c r="AE54" s="38"/>
      <c r="AF54" s="38"/>
      <c r="AG54" s="38"/>
    </row>
    <row r="55" spans="1:33">
      <c r="A55" s="93" t="s">
        <v>240</v>
      </c>
      <c r="B55" s="93"/>
      <c r="AD55" s="38"/>
      <c r="AE55" s="38"/>
      <c r="AF55" s="38"/>
      <c r="AG55" s="38"/>
    </row>
    <row r="56" spans="1:33">
      <c r="A56" s="93" t="s">
        <v>241</v>
      </c>
      <c r="B56" s="93"/>
      <c r="AD56" s="38"/>
      <c r="AE56" s="38"/>
      <c r="AF56" s="38"/>
      <c r="AG56" s="38"/>
    </row>
    <row r="57" spans="1:33">
      <c r="A57" s="93" t="s">
        <v>242</v>
      </c>
      <c r="B57" s="93"/>
      <c r="AD57" s="38"/>
      <c r="AE57" s="38"/>
      <c r="AF57" s="38"/>
      <c r="AG57" s="38"/>
    </row>
    <row r="58" spans="1:33">
      <c r="A58" s="93" t="s">
        <v>243</v>
      </c>
      <c r="B58" s="93"/>
      <c r="AD58" s="38"/>
      <c r="AE58" s="38"/>
      <c r="AF58" s="38"/>
      <c r="AG58" s="38"/>
    </row>
    <row r="59" spans="1:33">
      <c r="A59" s="93" t="s">
        <v>244</v>
      </c>
      <c r="B59" s="93"/>
      <c r="AD59" s="38"/>
      <c r="AE59" s="38"/>
      <c r="AF59" s="38"/>
      <c r="AG59" s="38"/>
    </row>
    <row r="60" spans="1:33">
      <c r="A60" s="93" t="s">
        <v>245</v>
      </c>
      <c r="B60" s="93"/>
      <c r="AD60" s="38"/>
      <c r="AE60" s="38"/>
      <c r="AF60" s="38"/>
      <c r="AG60" s="38"/>
    </row>
    <row r="61" spans="1:33">
      <c r="A61" s="93" t="s">
        <v>246</v>
      </c>
      <c r="B61" s="93"/>
      <c r="AD61" s="38"/>
      <c r="AE61" s="38"/>
      <c r="AF61" s="38"/>
      <c r="AG61" s="38"/>
    </row>
    <row r="62" spans="1:33">
      <c r="A62" s="93" t="s">
        <v>247</v>
      </c>
      <c r="B62" s="93"/>
      <c r="AD62" s="38"/>
      <c r="AE62" s="38"/>
      <c r="AF62" s="38"/>
      <c r="AG62" s="38"/>
    </row>
    <row r="63" spans="1:33">
      <c r="A63" s="93" t="s">
        <v>248</v>
      </c>
      <c r="B63" s="9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B40CC4-551F-4602-B09A-217576ED5767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CE8D4FED-40BD-45E1-B89D-57845E00C3E5}"/>
</file>

<file path=customXml/itemProps3.xml><?xml version="1.0" encoding="utf-8"?>
<ds:datastoreItem xmlns:ds="http://schemas.openxmlformats.org/officeDocument/2006/customXml" ds:itemID="{C9D73F77-AB54-4E48-8354-CA6FB71EB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About</vt:lpstr>
      <vt:lpstr>EUDH T4</vt:lpstr>
      <vt:lpstr>EUDH T8</vt:lpstr>
      <vt:lpstr>Offroad Calcs</vt:lpstr>
      <vt:lpstr>Fuel Efficiency Adjustments</vt:lpstr>
      <vt:lpstr>Freight Fleet Data</vt:lpstr>
      <vt:lpstr>Calibration Adjustments</vt:lpstr>
      <vt:lpstr>Freight Energy Data</vt:lpstr>
      <vt:lpstr>Passenger Fleet Data</vt:lpstr>
      <vt:lpstr>Passenger Energy Data</vt:lpstr>
      <vt:lpstr>Onroad Calcs</vt:lpstr>
      <vt:lpstr>Marine Energy Consumption</vt:lpstr>
      <vt:lpstr>marine calcs</vt:lpstr>
      <vt:lpstr>rail calcs</vt:lpstr>
      <vt:lpstr>Table 25_rail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2023-03-17T18:41:27Z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