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olivia\Documents\EPS_Models by Region\Canada\canada-eps\InputData\land\PLANAbPiaSY\"/>
    </mc:Choice>
  </mc:AlternateContent>
  <xr:revisionPtr revIDLastSave="0" documentId="13_ncr:1_{AE6E5BFC-AB5B-4B81-95BE-E222518F0920}" xr6:coauthVersionLast="47" xr6:coauthVersionMax="47" xr10:uidLastSave="{00000000-0000-0000-0000-000000000000}"/>
  <bookViews>
    <workbookView xWindow="780" yWindow="780" windowWidth="15060" windowHeight="16395" firstSheet="5" activeTab="7" xr2:uid="{00000000-000D-0000-FFFF-FFFF00000000}"/>
  </bookViews>
  <sheets>
    <sheet name="About" sheetId="1" r:id="rId1"/>
    <sheet name="Aff Ref" sheetId="5" r:id="rId2"/>
    <sheet name="Set Asides" sheetId="6" r:id="rId3"/>
    <sheet name="Avoided Def" sheetId="7" r:id="rId4"/>
    <sheet name="Impr Forest Mgmt" sheetId="9" r:id="rId5"/>
    <sheet name="Peatland restoration" sheetId="10" r:id="rId6"/>
    <sheet name="Forest Restoration" sheetId="11" r:id="rId7"/>
    <sheet name="PLANAbPiaSY" sheetId="3" r:id="rId8"/>
  </sheets>
  <definedNames>
    <definedName name="acres_per_million_hectares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3" l="1"/>
  <c r="C7" i="3"/>
  <c r="A13" i="10"/>
  <c r="C35" i="1"/>
  <c r="C36" i="1"/>
  <c r="C33" i="1"/>
  <c r="A11" i="5"/>
  <c r="A13" i="5"/>
  <c r="A8" i="9"/>
  <c r="A10" i="9"/>
  <c r="A11" i="9"/>
  <c r="A33" i="9"/>
  <c r="B4" i="3" s="1"/>
  <c r="A7" i="7"/>
  <c r="A8" i="7"/>
  <c r="B5" i="3" s="1"/>
  <c r="A2" i="6"/>
  <c r="A3" i="6"/>
  <c r="A21" i="6"/>
  <c r="B2" i="3" s="1"/>
  <c r="A2" i="5"/>
  <c r="B3" i="3" s="1"/>
  <c r="A23" i="5"/>
  <c r="A17" i="5"/>
  <c r="A7" i="5"/>
  <c r="A8" i="5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14" i="10"/>
  <c r="A17" i="10"/>
  <c r="B6" i="3" s="1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2" i="11"/>
  <c r="A3" i="11"/>
  <c r="D6" i="3" l="1"/>
  <c r="C6" i="3"/>
  <c r="D3" i="3"/>
  <c r="C3" i="3"/>
  <c r="D2" i="3"/>
  <c r="C2" i="3"/>
  <c r="D5" i="3"/>
  <c r="C5" i="3"/>
  <c r="D4" i="3"/>
  <c r="C4" i="3"/>
</calcChain>
</file>

<file path=xl/sharedStrings.xml><?xml version="1.0" encoding="utf-8"?>
<sst xmlns="http://schemas.openxmlformats.org/spreadsheetml/2006/main" count="147" uniqueCount="127">
  <si>
    <t>PLANAbPiaSY Potential Land Area Newly Affected by Policy in a Single Year</t>
  </si>
  <si>
    <t>Sources:</t>
  </si>
  <si>
    <t>NR Can</t>
  </si>
  <si>
    <t xml:space="preserve">The State of Canada's Forests </t>
  </si>
  <si>
    <t>Annual Report 2019</t>
  </si>
  <si>
    <t>https://cfs.nrcan.gc.ca/publications/download-pdf/40084</t>
  </si>
  <si>
    <t xml:space="preserve">Inventory and land-use change </t>
  </si>
  <si>
    <t>http://www.nrcan.gc.ca/forests/climate-change/carbon-accounting/13111</t>
  </si>
  <si>
    <t xml:space="preserve">(for total area of managed forest) </t>
  </si>
  <si>
    <t>Peat and Peatlands</t>
  </si>
  <si>
    <t xml:space="preserve">Peat and Peatlands Statistics </t>
  </si>
  <si>
    <t>http://peatmoss.com/peat-moss-industry-figures/</t>
  </si>
  <si>
    <t>(for peatland restoration)</t>
  </si>
  <si>
    <t>Canadian Sphagnum Peat Moss</t>
  </si>
  <si>
    <t xml:space="preserve">2017 Statistics about Peatland Areas Managed for Horticultural Peat Harvesting in Canada </t>
  </si>
  <si>
    <t>https://tourbehorticole.com/wp-content/uploads/2020/01/Summary_2016_2017_Indutry_Statistic_AREAS_WEB.pdf</t>
  </si>
  <si>
    <t xml:space="preserve">(for peatland restoration) </t>
  </si>
  <si>
    <t>Notes</t>
  </si>
  <si>
    <t xml:space="preserve">Units: </t>
  </si>
  <si>
    <t xml:space="preserve">ha to acre conversion: </t>
  </si>
  <si>
    <t>1ha=</t>
  </si>
  <si>
    <t>NR Can Data:</t>
  </si>
  <si>
    <t>State of Canada's Forests 2019</t>
  </si>
  <si>
    <t>million ha</t>
  </si>
  <si>
    <t>data yr</t>
  </si>
  <si>
    <t>TOTAL</t>
  </si>
  <si>
    <t xml:space="preserve">deforested </t>
  </si>
  <si>
    <t xml:space="preserve">sustainably managed </t>
  </si>
  <si>
    <t>regenerated</t>
  </si>
  <si>
    <t xml:space="preserve">harvested </t>
  </si>
  <si>
    <t>forest fire</t>
  </si>
  <si>
    <t xml:space="preserve">protected </t>
  </si>
  <si>
    <t>insects</t>
  </si>
  <si>
    <t xml:space="preserve"> </t>
  </si>
  <si>
    <t>Assume 1.5 x current reforestation rate could be done in addition to current rate of regeneration</t>
  </si>
  <si>
    <t>acres</t>
  </si>
  <si>
    <t xml:space="preserve">Rationale: </t>
  </si>
  <si>
    <t xml:space="preserve">Current total forest land: </t>
  </si>
  <si>
    <t xml:space="preserve">Reforestation rate is: </t>
  </si>
  <si>
    <t>ha/year</t>
  </si>
  <si>
    <t>An additional 1.5x ha of reforestation/year is equivalent to</t>
  </si>
  <si>
    <t>in total in 2050</t>
  </si>
  <si>
    <t>34 years from 2016-2050</t>
  </si>
  <si>
    <t xml:space="preserve">To check that this is reasonable: </t>
  </si>
  <si>
    <t xml:space="preserve">This is equivalent to </t>
  </si>
  <si>
    <t xml:space="preserve">% of the land area of the prairies in Canada </t>
  </si>
  <si>
    <t xml:space="preserve">Source: </t>
  </si>
  <si>
    <t>http://www.nrcan.gc.ca/environment/resources/publications/impacts-adaptation/reports/assessments/2008/ch7/10381</t>
  </si>
  <si>
    <t>Table 2</t>
  </si>
  <si>
    <t xml:space="preserve">Land area of the prairies </t>
  </si>
  <si>
    <t>Unit</t>
  </si>
  <si>
    <t xml:space="preserve">km2 </t>
  </si>
  <si>
    <t>ha</t>
  </si>
  <si>
    <t>Note:</t>
  </si>
  <si>
    <t xml:space="preserve">Assume reforesting 11% of the land area of the prairies by 2050 is reasonable, so assume an increase in the current reforestation rate x1.5 is reasonable </t>
  </si>
  <si>
    <t>Harvested per year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</si>
  <si>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</si>
  <si>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</si>
  <si>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</si>
  <si>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</si>
  <si>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</si>
  <si>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</si>
  <si>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</si>
  <si>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</si>
  <si>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(2017-2050) is 34 years long, so if the policy were to</t>
  </si>
  <si>
    <t>be implemented in full strength throughout the entire model run,</t>
  </si>
  <si>
    <t>there would be a total 68% reduction in timber harvesting per year</t>
  </si>
  <si>
    <t>by the end.</t>
  </si>
  <si>
    <t>potential reduction in timber harvesting achievable per year</t>
  </si>
  <si>
    <t>acres potentially available for forest set-asides per year</t>
  </si>
  <si>
    <t>The definition of deforestation in Canada is:</t>
  </si>
  <si>
    <t>deforestation – The conversion of forest to another land use, such as clearing for agriculture or the permanent reduction of the tree canopy cover to less than 10% of the total land area.</t>
  </si>
  <si>
    <t xml:space="preserve">Therefore, the land area that could avoid being deforested is assumed to be the rate of deforestation currently occuring in Canada </t>
  </si>
  <si>
    <t>Deforested</t>
  </si>
  <si>
    <t>As noted in EPS directions, this value must be the total area of forest that may</t>
  </si>
  <si>
    <t>be subject to improved management specifically for carbon sequestration purposes,</t>
  </si>
  <si>
    <t>not an area to be incrementally added to managed areas each year.</t>
  </si>
  <si>
    <t>Area of managed forest</t>
  </si>
  <si>
    <t xml:space="preserve">million ha </t>
  </si>
  <si>
    <t>SOURCE:</t>
  </si>
  <si>
    <t xml:space="preserve">Area certified as sustainably managed </t>
  </si>
  <si>
    <t>https://d1ied5g1xfgpx8.cloudfront.net/pdfs/40084.pdf</t>
  </si>
  <si>
    <t xml:space="preserve">Area that could be managed better </t>
  </si>
  <si>
    <t>Forests that are privately-owned, affected by unfavorable environmental conditions,</t>
  </si>
  <si>
    <t>or other factors may not be suitable for aggressive carbon-sequestering management</t>
  </si>
  <si>
    <t>techniques.</t>
  </si>
  <si>
    <t>In line with assumptions that guide the, U.S. model, we assume that only a share</t>
  </si>
  <si>
    <t>of the forest not already under management is suitable for accelerated carbon sequestration.</t>
  </si>
  <si>
    <t>share of forest that is suitable for improved management</t>
  </si>
  <si>
    <t>We also must account for limited manpower, equipment, and the accessibility of</t>
  </si>
  <si>
    <t>forest to be managed.  Canada has more forest land than the U.S., but much of it</t>
  </si>
  <si>
    <t>is difficult to access, particularly in the far north.  Nonetheless, we assume sufficient</t>
  </si>
  <si>
    <t>access to forest, such thatt the limiting factor on forest management is availability of</t>
  </si>
  <si>
    <t>equipment and manpower.  We estimate availability of equipment and manpower</t>
  </si>
  <si>
    <t>by population, using the using the Canada-to-U.S. population ratio to further adjust</t>
  </si>
  <si>
    <t>the 50% figure taken from the U.S. model above.</t>
  </si>
  <si>
    <t>Canada-to-US population ratio</t>
  </si>
  <si>
    <t>Accounting for the two factors above, the area that could be managed for</t>
  </si>
  <si>
    <t>aggressive carbon sequestration techniques is:</t>
  </si>
  <si>
    <t>Peatlands cover 113.6 million hectares in Canada, or around 13 % of the country’s surface area and are present in all provinces. </t>
  </si>
  <si>
    <t>From that, 30,900 hectares have been or are currently harvested, which represents only 0.03% of the natural capital</t>
  </si>
  <si>
    <t>Out of 29744 ha</t>
  </si>
  <si>
    <t>Under production</t>
  </si>
  <si>
    <t>Restored or reclaimed already</t>
  </si>
  <si>
    <t xml:space="preserve">Still need to be restored </t>
  </si>
  <si>
    <t xml:space="preserve">Converted to other land use </t>
  </si>
  <si>
    <t xml:space="preserve">Still to be restored </t>
  </si>
  <si>
    <t>We assume all of this peatland could be restored by the end of the model run (in 2050).</t>
  </si>
  <si>
    <t>acres per year for 2017-2050</t>
  </si>
  <si>
    <t>This could probably get done faster, but the model would then cause more peatland to</t>
  </si>
  <si>
    <t>be restored than is available to be restored (unless the user set the Policy Implementation</t>
  </si>
  <si>
    <t>Schedule to go to zero in the year the peatland finished being restored, which we cannot</t>
  </si>
  <si>
    <t>rely on the user to do), so it is safest to assume it happens over the course of the whole</t>
  </si>
  <si>
    <t>model run.</t>
  </si>
  <si>
    <t xml:space="preserve">Wildfire and insect degraded forest </t>
  </si>
  <si>
    <t xml:space="preserve">acres </t>
  </si>
  <si>
    <t>This value was left at 0 in the Canada model, because although this amount of land is degraded each year</t>
  </si>
  <si>
    <t xml:space="preserve">due to forest fire or insects, some restoration of this land may be included in federal accounting under. </t>
  </si>
  <si>
    <t>management or regeneration</t>
  </si>
  <si>
    <t>Federal accounting doesn't include a "restoration" category so we choose not to include it in this model either.</t>
  </si>
  <si>
    <t>Acres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</si>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</sst>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171717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9" fontId="0" fillId="2" borderId="0" xfId="0" applyNumberFormat="1" applyFill="1"/>
    <xf numFmtId="0" fontId="3" fillId="0" borderId="0" xfId="0" applyFont="1"/>
    <xf numFmtId="0" fontId="4" fillId="0" borderId="0" xfId="0" applyFont="1"/>
    <xf numFmtId="1" fontId="1" fillId="0" borderId="0" xfId="0" applyNumberFormat="1" applyFont="1"/>
    <xf numFmtId="1" fontId="0" fillId="0" borderId="0" xfId="0" applyNumberFormat="1"/>
    <xf numFmtId="0" fontId="1" fillId="4" borderId="0" xfId="0" applyFont="1" applyFill="1"/>
    <xf numFmtId="0" fontId="0" fillId="4" borderId="0" xfId="0" applyFill="1"/>
    <xf numFmtId="1" fontId="0" fillId="3" borderId="0" xfId="0" applyNumberFormat="1" applyFill="1"/>
    <xf numFmtId="1" fontId="1" fillId="3" borderId="0" xfId="0" applyNumberFormat="1" applyFont="1" applyFill="1"/>
    <xf numFmtId="164" fontId="0" fillId="0" borderId="0" xfId="0" applyNumberFormat="1"/>
    <xf numFmtId="9" fontId="0" fillId="5" borderId="0" xfId="0" applyNumberFormat="1" applyFill="1"/>
    <xf numFmtId="0" fontId="1" fillId="0" borderId="0" xfId="0" applyFont="1" applyAlignment="1">
      <alignment horizontal="left"/>
    </xf>
    <xf numFmtId="0" fontId="5" fillId="0" borderId="0" xfId="0" applyFont="1"/>
    <xf numFmtId="0" fontId="0" fillId="2" borderId="0" xfId="0" applyFill="1"/>
    <xf numFmtId="0" fontId="6" fillId="0" borderId="0" xfId="13"/>
    <xf numFmtId="9" fontId="0" fillId="0" borderId="0" xfId="0" applyNumberFormat="1"/>
  </cellXfs>
  <cellStyles count="14">
    <cellStyle name="Followed Hyperlink" xfId="12" builtinId="9" hidden="1"/>
    <cellStyle name="Followed Hyperlink" xfId="4" builtinId="9" hidden="1"/>
    <cellStyle name="Followed Hyperlink" xfId="2" builtinId="9" hidden="1"/>
    <cellStyle name="Followed Hyperlink" xfId="6" builtinId="9" hidden="1"/>
    <cellStyle name="Followed Hyperlink" xfId="8" builtinId="9" hidden="1"/>
    <cellStyle name="Followed Hyperlink" xfId="5" builtinId="9" hidden="1"/>
    <cellStyle name="Followed Hyperlink" xfId="7" builtinId="9" hidden="1"/>
    <cellStyle name="Followed Hyperlink" xfId="10" builtinId="9" hidden="1"/>
    <cellStyle name="Followed Hyperlink" xfId="3" builtinId="9" hidden="1"/>
    <cellStyle name="Followed Hyperlink" xfId="9" builtinId="9" hidden="1"/>
    <cellStyle name="Followed Hyperlink" xfId="1" builtinId="9" hidden="1"/>
    <cellStyle name="Hyperlink" xfId="11" builtinId="8" hidden="1"/>
    <cellStyle name="Hyperlink" xfId="1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ourbehorticole.com/wp-content/uploads/2020/01/Summary_2016_2017_Indutry_Statistic_AREAS_WEB.pdf" TargetMode="External"/><Relationship Id="rId2" Type="http://schemas.openxmlformats.org/officeDocument/2006/relationships/hyperlink" Target="http://www.nrcan.gc.ca/forests/climate-change/carbon-accounting/13111" TargetMode="External"/><Relationship Id="rId1" Type="http://schemas.openxmlformats.org/officeDocument/2006/relationships/hyperlink" Target="https://cfs.nrcan.gc.ca/publications/download-pdf/40084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d1ied5g1xfgpx8.cloudfront.net/pdfs/40084.pdf" TargetMode="External"/><Relationship Id="rId1" Type="http://schemas.openxmlformats.org/officeDocument/2006/relationships/hyperlink" Target="http://www.nrcan.gc.ca/forests/climate-change/carbon-accounting/13111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://peatmoss.com/peat-moss-industry-figures/" TargetMode="External"/><Relationship Id="rId1" Type="http://schemas.openxmlformats.org/officeDocument/2006/relationships/hyperlink" Target="https://tourbehorticole.com/wp-content/uploads/2020/01/Summary_2016_2017_Indutry_Statistic_AREAS_WEB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topLeftCell="A20" zoomScaleNormal="100" workbookViewId="0">
      <selection activeCell="B6" sqref="B6"/>
    </sheetView>
  </sheetViews>
  <sheetFormatPr defaultColWidth="8.85546875" defaultRowHeight="15" x14ac:dyDescent="0.25"/>
  <cols>
    <col min="2" max="2" width="57.425781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t="s">
        <v>3</v>
      </c>
    </row>
    <row r="5" spans="1:2" x14ac:dyDescent="0.25">
      <c r="B5" t="s">
        <v>4</v>
      </c>
    </row>
    <row r="6" spans="1:2" x14ac:dyDescent="0.25">
      <c r="B6" s="17" t="s">
        <v>5</v>
      </c>
    </row>
    <row r="9" spans="1:2" x14ac:dyDescent="0.25">
      <c r="B9" t="s">
        <v>2</v>
      </c>
    </row>
    <row r="10" spans="1:2" x14ac:dyDescent="0.25">
      <c r="B10" t="s">
        <v>6</v>
      </c>
    </row>
    <row r="11" spans="1:2" x14ac:dyDescent="0.25">
      <c r="B11" s="17" t="s">
        <v>7</v>
      </c>
    </row>
    <row r="12" spans="1:2" x14ac:dyDescent="0.25">
      <c r="B12" t="s">
        <v>8</v>
      </c>
    </row>
    <row r="14" spans="1:2" x14ac:dyDescent="0.25">
      <c r="B14" t="s">
        <v>9</v>
      </c>
    </row>
    <row r="15" spans="1:2" x14ac:dyDescent="0.25">
      <c r="B15" t="s">
        <v>10</v>
      </c>
    </row>
    <row r="16" spans="1:2" x14ac:dyDescent="0.25">
      <c r="B16" t="s">
        <v>11</v>
      </c>
    </row>
    <row r="17" spans="1:5" x14ac:dyDescent="0.25">
      <c r="B17" t="s">
        <v>12</v>
      </c>
    </row>
    <row r="19" spans="1:5" x14ac:dyDescent="0.25">
      <c r="B19" t="s">
        <v>13</v>
      </c>
    </row>
    <row r="20" spans="1:5" x14ac:dyDescent="0.25">
      <c r="B20" t="s">
        <v>14</v>
      </c>
    </row>
    <row r="21" spans="1:5" x14ac:dyDescent="0.25">
      <c r="B21" s="17" t="s">
        <v>15</v>
      </c>
    </row>
    <row r="22" spans="1:5" x14ac:dyDescent="0.25">
      <c r="B22" t="s">
        <v>16</v>
      </c>
    </row>
    <row r="25" spans="1:5" x14ac:dyDescent="0.25">
      <c r="A25" s="1" t="s">
        <v>17</v>
      </c>
    </row>
    <row r="26" spans="1:5" x14ac:dyDescent="0.25">
      <c r="A26" t="s">
        <v>18</v>
      </c>
      <c r="B26" t="s">
        <v>19</v>
      </c>
    </row>
    <row r="27" spans="1:5" x14ac:dyDescent="0.25">
      <c r="B27" t="s">
        <v>20</v>
      </c>
      <c r="C27">
        <v>2.47105</v>
      </c>
    </row>
    <row r="29" spans="1:5" x14ac:dyDescent="0.25">
      <c r="A29" s="8" t="s">
        <v>21</v>
      </c>
      <c r="B29" s="9"/>
      <c r="C29" s="9"/>
      <c r="D29" s="9"/>
      <c r="E29" s="9"/>
    </row>
    <row r="30" spans="1:5" x14ac:dyDescent="0.25">
      <c r="B30" t="s">
        <v>22</v>
      </c>
    </row>
    <row r="31" spans="1:5" x14ac:dyDescent="0.25">
      <c r="C31" s="1" t="s">
        <v>23</v>
      </c>
      <c r="E31" s="1" t="s">
        <v>24</v>
      </c>
    </row>
    <row r="32" spans="1:5" x14ac:dyDescent="0.25">
      <c r="B32" s="1" t="s">
        <v>25</v>
      </c>
      <c r="C32">
        <v>347</v>
      </c>
    </row>
    <row r="33" spans="2:5" x14ac:dyDescent="0.25">
      <c r="B33" t="s">
        <v>26</v>
      </c>
      <c r="C33">
        <f>35385/1000000</f>
        <v>3.5385E-2</v>
      </c>
      <c r="E33">
        <v>2017</v>
      </c>
    </row>
    <row r="34" spans="2:5" x14ac:dyDescent="0.25">
      <c r="B34" t="s">
        <v>27</v>
      </c>
      <c r="C34">
        <v>164</v>
      </c>
      <c r="E34">
        <v>2018</v>
      </c>
    </row>
    <row r="35" spans="2:5" x14ac:dyDescent="0.25">
      <c r="B35" t="s">
        <v>28</v>
      </c>
      <c r="C35">
        <f>396000/1000000</f>
        <v>0.39600000000000002</v>
      </c>
      <c r="E35">
        <v>2017</v>
      </c>
    </row>
    <row r="36" spans="2:5" x14ac:dyDescent="0.25">
      <c r="B36" t="s">
        <v>29</v>
      </c>
      <c r="C36">
        <f>755884/1000000</f>
        <v>0.755884</v>
      </c>
      <c r="E36">
        <v>2017</v>
      </c>
    </row>
    <row r="37" spans="2:5" x14ac:dyDescent="0.25">
      <c r="B37" t="s">
        <v>30</v>
      </c>
      <c r="C37">
        <v>2.2719999999999998</v>
      </c>
      <c r="E37">
        <v>2018</v>
      </c>
    </row>
    <row r="38" spans="2:5" x14ac:dyDescent="0.25">
      <c r="B38" t="s">
        <v>31</v>
      </c>
      <c r="C38">
        <v>29.5</v>
      </c>
      <c r="E38">
        <v>2016</v>
      </c>
    </row>
    <row r="39" spans="2:5" x14ac:dyDescent="0.25">
      <c r="B39" t="s">
        <v>32</v>
      </c>
      <c r="C39">
        <v>15.628</v>
      </c>
      <c r="E39">
        <v>2017</v>
      </c>
    </row>
    <row r="40" spans="2:5" x14ac:dyDescent="0.25">
      <c r="B40" t="s">
        <v>33</v>
      </c>
    </row>
  </sheetData>
  <hyperlinks>
    <hyperlink ref="B6" r:id="rId1" xr:uid="{936CDEAD-90A1-4125-A2EB-D0159B6318BA}"/>
    <hyperlink ref="B11" r:id="rId2" xr:uid="{52F0A99D-A982-463C-BF36-F1B8EC31F862}"/>
    <hyperlink ref="B21" r:id="rId3" xr:uid="{C1064EB9-DA5C-40B2-A6AC-24EE76CDD873}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topLeftCell="A3" zoomScale="118" workbookViewId="0">
      <selection activeCell="A2" sqref="A2"/>
    </sheetView>
  </sheetViews>
  <sheetFormatPr defaultColWidth="8.85546875" defaultRowHeight="15" x14ac:dyDescent="0.25"/>
  <cols>
    <col min="1" max="1" width="22.42578125" customWidth="1"/>
    <col min="2" max="2" width="42" bestFit="1" customWidth="1"/>
    <col min="3" max="3" width="11.140625" bestFit="1" customWidth="1"/>
  </cols>
  <sheetData>
    <row r="1" spans="1:3" x14ac:dyDescent="0.25">
      <c r="A1" t="s">
        <v>34</v>
      </c>
    </row>
    <row r="2" spans="1:3" x14ac:dyDescent="0.25">
      <c r="A2" s="10">
        <f>A11*1.5*About!C27</f>
        <v>1467803.7</v>
      </c>
      <c r="B2" t="s">
        <v>35</v>
      </c>
    </row>
    <row r="5" spans="1:3" x14ac:dyDescent="0.25">
      <c r="A5" s="8" t="s">
        <v>36</v>
      </c>
      <c r="B5" s="9"/>
    </row>
    <row r="6" spans="1:3" x14ac:dyDescent="0.25">
      <c r="A6" t="s">
        <v>37</v>
      </c>
    </row>
    <row r="7" spans="1:3" x14ac:dyDescent="0.25">
      <c r="A7">
        <f>About!C32</f>
        <v>347</v>
      </c>
      <c r="B7" t="s">
        <v>23</v>
      </c>
    </row>
    <row r="8" spans="1:3" x14ac:dyDescent="0.25">
      <c r="A8" s="1">
        <f>A7*10^6*About!C27</f>
        <v>857454350</v>
      </c>
      <c r="B8" t="s">
        <v>35</v>
      </c>
    </row>
    <row r="10" spans="1:3" x14ac:dyDescent="0.25">
      <c r="A10" t="s">
        <v>38</v>
      </c>
    </row>
    <row r="11" spans="1:3" x14ac:dyDescent="0.25">
      <c r="A11">
        <f>About!C35*10^6</f>
        <v>396000</v>
      </c>
      <c r="B11" t="s">
        <v>39</v>
      </c>
    </row>
    <row r="12" spans="1:3" x14ac:dyDescent="0.25">
      <c r="A12" t="s">
        <v>40</v>
      </c>
    </row>
    <row r="13" spans="1:3" x14ac:dyDescent="0.25">
      <c r="A13">
        <f>A11*34*1.5</f>
        <v>20196000</v>
      </c>
      <c r="B13" t="s">
        <v>41</v>
      </c>
      <c r="C13" t="s">
        <v>42</v>
      </c>
    </row>
    <row r="15" spans="1:3" x14ac:dyDescent="0.25">
      <c r="A15" s="15" t="s">
        <v>43</v>
      </c>
    </row>
    <row r="16" spans="1:3" x14ac:dyDescent="0.25">
      <c r="A16" t="s">
        <v>44</v>
      </c>
    </row>
    <row r="17" spans="1:2" x14ac:dyDescent="0.25">
      <c r="A17" s="12">
        <f>A13/A23*100</f>
        <v>11.298189749840983</v>
      </c>
      <c r="B17" t="s">
        <v>45</v>
      </c>
    </row>
    <row r="19" spans="1:2" x14ac:dyDescent="0.25">
      <c r="A19" t="s">
        <v>46</v>
      </c>
      <c r="B19" t="s">
        <v>47</v>
      </c>
    </row>
    <row r="20" spans="1:2" x14ac:dyDescent="0.25">
      <c r="B20" t="s">
        <v>48</v>
      </c>
    </row>
    <row r="21" spans="1:2" x14ac:dyDescent="0.25">
      <c r="A21" s="9" t="s">
        <v>49</v>
      </c>
      <c r="B21" s="9" t="s">
        <v>50</v>
      </c>
    </row>
    <row r="22" spans="1:2" x14ac:dyDescent="0.25">
      <c r="A22" s="5">
        <v>1787543</v>
      </c>
      <c r="B22" t="s">
        <v>51</v>
      </c>
    </row>
    <row r="23" spans="1:2" x14ac:dyDescent="0.25">
      <c r="A23">
        <f>A22*100</f>
        <v>178754300</v>
      </c>
      <c r="B23" t="s">
        <v>52</v>
      </c>
    </row>
    <row r="25" spans="1:2" x14ac:dyDescent="0.25">
      <c r="A25" t="s">
        <v>53</v>
      </c>
    </row>
    <row r="26" spans="1:2" x14ac:dyDescent="0.25">
      <c r="A26" t="s">
        <v>54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"/>
  <sheetViews>
    <sheetView zoomScale="125" zoomScaleNormal="125" zoomScalePageLayoutView="125" workbookViewId="0">
      <selection activeCell="A21" sqref="A21"/>
    </sheetView>
  </sheetViews>
  <sheetFormatPr defaultColWidth="8.85546875" defaultRowHeight="15" x14ac:dyDescent="0.25"/>
  <cols>
    <col min="1" max="1" width="15.85546875" customWidth="1"/>
  </cols>
  <sheetData>
    <row r="1" spans="1:2" ht="12.95" customHeight="1" x14ac:dyDescent="0.25">
      <c r="A1" s="1" t="s">
        <v>55</v>
      </c>
    </row>
    <row r="2" spans="1:2" x14ac:dyDescent="0.25">
      <c r="A2">
        <f>About!C36</f>
        <v>0.755884</v>
      </c>
      <c r="B2" t="s">
        <v>23</v>
      </c>
    </row>
    <row r="3" spans="1:2" x14ac:dyDescent="0.25">
      <c r="A3">
        <f>A2*10^6*About!C27</f>
        <v>1867827.1581999999</v>
      </c>
      <c r="B3" t="s">
        <v>35</v>
      </c>
    </row>
    <row r="6" spans="1:2" x14ac:dyDescent="0.25">
      <c r="A6" s="1" t="s">
        <v>56</v>
      </c>
    </row>
    <row r="7" spans="1:2" x14ac:dyDescent="0.25">
      <c r="A7" t="s">
        <v>57</v>
      </c>
    </row>
    <row r="8" spans="1:2" x14ac:dyDescent="0.25">
      <c r="A8" t="s">
        <v>58</v>
      </c>
    </row>
    <row r="9" spans="1:2" x14ac:dyDescent="0.25">
      <c r="A9" t="s">
        <v>59</v>
      </c>
    </row>
    <row r="10" spans="1:2" x14ac:dyDescent="0.25">
      <c r="A10" t="s">
        <v>60</v>
      </c>
    </row>
    <row r="11" spans="1:2" x14ac:dyDescent="0.25">
      <c r="A11" t="s">
        <v>61</v>
      </c>
    </row>
    <row r="12" spans="1:2" x14ac:dyDescent="0.25">
      <c r="A12" t="s">
        <v>62</v>
      </c>
    </row>
    <row r="13" spans="1:2" x14ac:dyDescent="0.25">
      <c r="A13" t="s">
        <v>63</v>
      </c>
    </row>
    <row r="14" spans="1:2" x14ac:dyDescent="0.25">
      <c r="A14" t="s">
        <v>64</v>
      </c>
    </row>
    <row r="15" spans="1:2" x14ac:dyDescent="0.25">
      <c r="A15" t="s">
        <v>65</v>
      </c>
    </row>
    <row r="16" spans="1:2" x14ac:dyDescent="0.25">
      <c r="A16" t="s">
        <v>66</v>
      </c>
    </row>
    <row r="17" spans="1:2" x14ac:dyDescent="0.25">
      <c r="A17" t="s">
        <v>67</v>
      </c>
    </row>
    <row r="19" spans="1:2" x14ac:dyDescent="0.25">
      <c r="A19" s="3">
        <v>0.02</v>
      </c>
      <c r="B19" t="s">
        <v>68</v>
      </c>
    </row>
    <row r="21" spans="1:2" x14ac:dyDescent="0.25">
      <c r="A21" s="6">
        <f>A3*A19</f>
        <v>37356.543164000002</v>
      </c>
      <c r="B21" t="s">
        <v>69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zoomScale="125" zoomScaleNormal="125" zoomScalePageLayoutView="125" workbookViewId="0">
      <selection activeCell="A8" sqref="A8"/>
    </sheetView>
  </sheetViews>
  <sheetFormatPr defaultColWidth="8.85546875" defaultRowHeight="15" x14ac:dyDescent="0.25"/>
  <cols>
    <col min="1" max="1" width="9.140625" customWidth="1"/>
    <col min="2" max="2" width="15.85546875" customWidth="1"/>
  </cols>
  <sheetData>
    <row r="1" spans="1:2" x14ac:dyDescent="0.25">
      <c r="A1" t="s">
        <v>70</v>
      </c>
    </row>
    <row r="2" spans="1:2" x14ac:dyDescent="0.25">
      <c r="A2" t="s">
        <v>71</v>
      </c>
    </row>
    <row r="4" spans="1:2" x14ac:dyDescent="0.25">
      <c r="A4" t="s">
        <v>72</v>
      </c>
    </row>
    <row r="6" spans="1:2" x14ac:dyDescent="0.25">
      <c r="A6" s="1" t="s">
        <v>73</v>
      </c>
    </row>
    <row r="7" spans="1:2" x14ac:dyDescent="0.25">
      <c r="A7">
        <f>About!C33</f>
        <v>3.5385E-2</v>
      </c>
      <c r="B7" t="s">
        <v>23</v>
      </c>
    </row>
    <row r="8" spans="1:2" x14ac:dyDescent="0.25">
      <c r="A8" s="1">
        <f>A7*10^6*About!C27</f>
        <v>87438.104250000004</v>
      </c>
      <c r="B8" t="s">
        <v>35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3"/>
  <sheetViews>
    <sheetView zoomScale="125" zoomScaleNormal="125" zoomScalePageLayoutView="125" workbookViewId="0">
      <selection activeCell="G17" sqref="G17"/>
    </sheetView>
  </sheetViews>
  <sheetFormatPr defaultColWidth="8.85546875" defaultRowHeight="15" x14ac:dyDescent="0.25"/>
  <cols>
    <col min="1" max="1" width="23.42578125" customWidth="1"/>
    <col min="2" max="2" width="17.42578125" style="2" customWidth="1"/>
    <col min="3" max="3" width="16.85546875" customWidth="1"/>
    <col min="4" max="4" width="12.85546875" style="2" customWidth="1"/>
    <col min="5" max="5" width="18.42578125" customWidth="1"/>
    <col min="6" max="6" width="8.85546875" style="2"/>
  </cols>
  <sheetData>
    <row r="1" spans="1:4" x14ac:dyDescent="0.25">
      <c r="A1" t="s">
        <v>74</v>
      </c>
    </row>
    <row r="2" spans="1:4" x14ac:dyDescent="0.25">
      <c r="A2" t="s">
        <v>75</v>
      </c>
    </row>
    <row r="3" spans="1:4" x14ac:dyDescent="0.25">
      <c r="A3" t="s">
        <v>76</v>
      </c>
    </row>
    <row r="5" spans="1:4" x14ac:dyDescent="0.25">
      <c r="A5" s="1" t="s">
        <v>77</v>
      </c>
    </row>
    <row r="6" spans="1:4" x14ac:dyDescent="0.25">
      <c r="A6" s="16">
        <v>232</v>
      </c>
      <c r="B6" s="2" t="s">
        <v>78</v>
      </c>
      <c r="C6" t="s">
        <v>79</v>
      </c>
      <c r="D6" s="17" t="s">
        <v>7</v>
      </c>
    </row>
    <row r="7" spans="1:4" x14ac:dyDescent="0.25">
      <c r="A7" t="s">
        <v>80</v>
      </c>
    </row>
    <row r="8" spans="1:4" x14ac:dyDescent="0.25">
      <c r="A8">
        <f>About!C34</f>
        <v>164</v>
      </c>
      <c r="B8" s="2" t="s">
        <v>23</v>
      </c>
      <c r="C8" t="s">
        <v>79</v>
      </c>
      <c r="D8" s="17" t="s">
        <v>81</v>
      </c>
    </row>
    <row r="9" spans="1:4" x14ac:dyDescent="0.25">
      <c r="A9" t="s">
        <v>82</v>
      </c>
    </row>
    <row r="10" spans="1:4" x14ac:dyDescent="0.25">
      <c r="A10">
        <f>A6-A8</f>
        <v>68</v>
      </c>
      <c r="B10" s="2" t="s">
        <v>23</v>
      </c>
    </row>
    <row r="11" spans="1:4" x14ac:dyDescent="0.25">
      <c r="A11">
        <f>A10*10^6*About!C27</f>
        <v>168031400</v>
      </c>
      <c r="B11" s="2" t="s">
        <v>35</v>
      </c>
    </row>
    <row r="13" spans="1:4" x14ac:dyDescent="0.25">
      <c r="A13" t="s">
        <v>83</v>
      </c>
    </row>
    <row r="14" spans="1:4" x14ac:dyDescent="0.25">
      <c r="A14" t="s">
        <v>84</v>
      </c>
    </row>
    <row r="15" spans="1:4" x14ac:dyDescent="0.25">
      <c r="A15" t="s">
        <v>85</v>
      </c>
    </row>
    <row r="17" spans="1:2" x14ac:dyDescent="0.25">
      <c r="A17" t="s">
        <v>86</v>
      </c>
    </row>
    <row r="18" spans="1:2" x14ac:dyDescent="0.25">
      <c r="A18" t="s">
        <v>87</v>
      </c>
    </row>
    <row r="19" spans="1:2" x14ac:dyDescent="0.25">
      <c r="A19" s="13">
        <v>0.5</v>
      </c>
      <c r="B19" s="2" t="s">
        <v>88</v>
      </c>
    </row>
    <row r="21" spans="1:2" x14ac:dyDescent="0.25">
      <c r="A21" t="s">
        <v>89</v>
      </c>
    </row>
    <row r="22" spans="1:2" x14ac:dyDescent="0.25">
      <c r="A22" t="s">
        <v>90</v>
      </c>
    </row>
    <row r="23" spans="1:2" x14ac:dyDescent="0.25">
      <c r="A23" t="s">
        <v>91</v>
      </c>
    </row>
    <row r="24" spans="1:2" x14ac:dyDescent="0.25">
      <c r="A24" t="s">
        <v>92</v>
      </c>
    </row>
    <row r="25" spans="1:2" x14ac:dyDescent="0.25">
      <c r="A25" t="s">
        <v>93</v>
      </c>
    </row>
    <row r="26" spans="1:2" x14ac:dyDescent="0.25">
      <c r="A26" t="s">
        <v>94</v>
      </c>
    </row>
    <row r="27" spans="1:2" x14ac:dyDescent="0.25">
      <c r="A27" t="s">
        <v>95</v>
      </c>
    </row>
    <row r="28" spans="1:2" x14ac:dyDescent="0.25">
      <c r="A28" s="13">
        <v>0.11</v>
      </c>
      <c r="B28" s="2" t="s">
        <v>96</v>
      </c>
    </row>
    <row r="30" spans="1:2" x14ac:dyDescent="0.25">
      <c r="A30" t="s">
        <v>97</v>
      </c>
    </row>
    <row r="31" spans="1:2" x14ac:dyDescent="0.25">
      <c r="A31" t="s">
        <v>98</v>
      </c>
    </row>
    <row r="33" spans="1:2" x14ac:dyDescent="0.25">
      <c r="A33" s="6">
        <f>A11*A19*A28</f>
        <v>9241727</v>
      </c>
      <c r="B33" s="14" t="s">
        <v>35</v>
      </c>
    </row>
  </sheetData>
  <hyperlinks>
    <hyperlink ref="D6" r:id="rId1" xr:uid="{5DAD584C-3173-4330-B5A8-D2E840F9F4E1}"/>
    <hyperlink ref="D8" r:id="rId2" xr:uid="{CABA3628-3441-4A0C-A4DC-456AAAFA65F0}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3"/>
  <sheetViews>
    <sheetView zoomScale="125" workbookViewId="0">
      <selection activeCell="B5" sqref="B5"/>
    </sheetView>
  </sheetViews>
  <sheetFormatPr defaultColWidth="10.85546875" defaultRowHeight="15" x14ac:dyDescent="0.25"/>
  <cols>
    <col min="1" max="1" width="27.7109375" customWidth="1"/>
  </cols>
  <sheetData>
    <row r="1" spans="1:2" x14ac:dyDescent="0.25">
      <c r="A1" t="s">
        <v>46</v>
      </c>
      <c r="B1" s="17" t="s">
        <v>11</v>
      </c>
    </row>
    <row r="2" spans="1:2" x14ac:dyDescent="0.25">
      <c r="A2" s="4" t="s">
        <v>99</v>
      </c>
    </row>
    <row r="3" spans="1:2" x14ac:dyDescent="0.25">
      <c r="A3" s="4" t="s">
        <v>100</v>
      </c>
    </row>
    <row r="5" spans="1:2" x14ac:dyDescent="0.25">
      <c r="A5" t="s">
        <v>46</v>
      </c>
      <c r="B5" s="17" t="s">
        <v>15</v>
      </c>
    </row>
    <row r="6" spans="1:2" x14ac:dyDescent="0.25">
      <c r="A6" t="s">
        <v>101</v>
      </c>
    </row>
    <row r="7" spans="1:2" x14ac:dyDescent="0.25">
      <c r="A7" t="s">
        <v>102</v>
      </c>
      <c r="B7" s="18">
        <v>0.65</v>
      </c>
    </row>
    <row r="8" spans="1:2" x14ac:dyDescent="0.25">
      <c r="A8" t="s">
        <v>103</v>
      </c>
      <c r="B8" s="18">
        <v>0.17</v>
      </c>
    </row>
    <row r="9" spans="1:2" x14ac:dyDescent="0.25">
      <c r="A9" t="s">
        <v>104</v>
      </c>
      <c r="B9" s="18">
        <v>0.15</v>
      </c>
    </row>
    <row r="10" spans="1:2" x14ac:dyDescent="0.25">
      <c r="A10" t="s">
        <v>105</v>
      </c>
      <c r="B10" s="18">
        <v>0.03</v>
      </c>
    </row>
    <row r="12" spans="1:2" x14ac:dyDescent="0.25">
      <c r="A12" t="s">
        <v>106</v>
      </c>
    </row>
    <row r="13" spans="1:2" x14ac:dyDescent="0.25">
      <c r="A13">
        <f>30900*B9</f>
        <v>4635</v>
      </c>
      <c r="B13" t="s">
        <v>52</v>
      </c>
    </row>
    <row r="14" spans="1:2" x14ac:dyDescent="0.25">
      <c r="A14" s="7">
        <f>A13*About!C27</f>
        <v>11453.31675</v>
      </c>
      <c r="B14" t="s">
        <v>35</v>
      </c>
    </row>
    <row r="15" spans="1:2" x14ac:dyDescent="0.25">
      <c r="A15" s="7"/>
    </row>
    <row r="16" spans="1:2" x14ac:dyDescent="0.25">
      <c r="A16" s="7" t="s">
        <v>107</v>
      </c>
    </row>
    <row r="17" spans="1:2" x14ac:dyDescent="0.25">
      <c r="A17" s="11">
        <f>A14/34</f>
        <v>336.86225735294119</v>
      </c>
      <c r="B17" t="s">
        <v>108</v>
      </c>
    </row>
    <row r="19" spans="1:2" x14ac:dyDescent="0.25">
      <c r="A19" t="s">
        <v>109</v>
      </c>
    </row>
    <row r="20" spans="1:2" x14ac:dyDescent="0.25">
      <c r="A20" t="s">
        <v>110</v>
      </c>
    </row>
    <row r="21" spans="1:2" x14ac:dyDescent="0.25">
      <c r="A21" t="s">
        <v>111</v>
      </c>
    </row>
    <row r="22" spans="1:2" x14ac:dyDescent="0.25">
      <c r="A22" t="s">
        <v>112</v>
      </c>
    </row>
    <row r="23" spans="1:2" x14ac:dyDescent="0.25">
      <c r="A23" t="s">
        <v>113</v>
      </c>
    </row>
  </sheetData>
  <hyperlinks>
    <hyperlink ref="B5" r:id="rId1" xr:uid="{EB676AF8-468B-BD43-8E23-2814151C268E}"/>
    <hyperlink ref="B1" r:id="rId2" xr:uid="{D845E2A5-7C49-9F48-9178-49F49B966635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9"/>
  <sheetViews>
    <sheetView zoomScale="150" workbookViewId="0">
      <selection activeCell="A3" sqref="A3"/>
    </sheetView>
  </sheetViews>
  <sheetFormatPr defaultColWidth="10.85546875" defaultRowHeight="15" x14ac:dyDescent="0.25"/>
  <sheetData>
    <row r="1" spans="1:2" x14ac:dyDescent="0.25">
      <c r="A1" t="s">
        <v>114</v>
      </c>
    </row>
    <row r="2" spans="1:2" x14ac:dyDescent="0.25">
      <c r="A2">
        <f>About!C37+About!C39</f>
        <v>17.899999999999999</v>
      </c>
      <c r="B2" t="s">
        <v>23</v>
      </c>
    </row>
    <row r="3" spans="1:2" x14ac:dyDescent="0.25">
      <c r="A3">
        <f>A2*10^6*About!C27</f>
        <v>44231795</v>
      </c>
      <c r="B3" t="s">
        <v>115</v>
      </c>
    </row>
    <row r="5" spans="1:2" x14ac:dyDescent="0.25">
      <c r="A5" t="s">
        <v>116</v>
      </c>
    </row>
    <row r="6" spans="1:2" x14ac:dyDescent="0.25">
      <c r="A6" t="s">
        <v>117</v>
      </c>
    </row>
    <row r="7" spans="1:2" x14ac:dyDescent="0.25">
      <c r="A7" t="s">
        <v>118</v>
      </c>
    </row>
    <row r="9" spans="1:2" x14ac:dyDescent="0.25">
      <c r="A9" t="s">
        <v>119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H7"/>
  <sheetViews>
    <sheetView tabSelected="1" zoomScale="120" zoomScaleNormal="120" workbookViewId="0">
      <selection activeCell="A7" sqref="A7"/>
    </sheetView>
  </sheetViews>
  <sheetFormatPr defaultColWidth="8.85546875" defaultRowHeight="15" x14ac:dyDescent="0.25"/>
  <cols>
    <col min="1" max="1" width="29.42578125" customWidth="1"/>
    <col min="2" max="34" width="13.42578125" customWidth="1"/>
  </cols>
  <sheetData>
    <row r="1" spans="1:34" x14ac:dyDescent="0.25">
      <c r="A1" t="s">
        <v>120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121</v>
      </c>
      <c r="B2">
        <f>'Set Asides'!$A$21</f>
        <v>37356.543164000002</v>
      </c>
      <c r="C2">
        <f t="shared" ref="C2:AH2" si="0">$B2</f>
        <v>37356.543164000002</v>
      </c>
      <c r="D2">
        <f t="shared" si="0"/>
        <v>37356.543164000002</v>
      </c>
      <c r="E2">
        <f t="shared" si="0"/>
        <v>37356.543164000002</v>
      </c>
      <c r="F2">
        <f t="shared" si="0"/>
        <v>37356.543164000002</v>
      </c>
      <c r="G2">
        <f t="shared" si="0"/>
        <v>37356.543164000002</v>
      </c>
      <c r="H2">
        <f t="shared" si="0"/>
        <v>37356.543164000002</v>
      </c>
      <c r="I2">
        <f t="shared" si="0"/>
        <v>37356.543164000002</v>
      </c>
      <c r="J2">
        <f t="shared" si="0"/>
        <v>37356.543164000002</v>
      </c>
      <c r="K2">
        <f t="shared" si="0"/>
        <v>37356.543164000002</v>
      </c>
      <c r="L2">
        <f t="shared" si="0"/>
        <v>37356.543164000002</v>
      </c>
      <c r="M2">
        <f t="shared" si="0"/>
        <v>37356.543164000002</v>
      </c>
      <c r="N2">
        <f t="shared" si="0"/>
        <v>37356.543164000002</v>
      </c>
      <c r="O2">
        <f t="shared" si="0"/>
        <v>37356.543164000002</v>
      </c>
      <c r="P2">
        <f t="shared" si="0"/>
        <v>37356.543164000002</v>
      </c>
      <c r="Q2">
        <f t="shared" si="0"/>
        <v>37356.543164000002</v>
      </c>
      <c r="R2">
        <f t="shared" si="0"/>
        <v>37356.543164000002</v>
      </c>
      <c r="S2">
        <f t="shared" si="0"/>
        <v>37356.543164000002</v>
      </c>
      <c r="T2">
        <f t="shared" si="0"/>
        <v>37356.543164000002</v>
      </c>
      <c r="U2">
        <f t="shared" si="0"/>
        <v>37356.543164000002</v>
      </c>
      <c r="V2">
        <f t="shared" si="0"/>
        <v>37356.543164000002</v>
      </c>
      <c r="W2">
        <f t="shared" si="0"/>
        <v>37356.543164000002</v>
      </c>
      <c r="X2">
        <f t="shared" si="0"/>
        <v>37356.543164000002</v>
      </c>
      <c r="Y2">
        <f t="shared" si="0"/>
        <v>37356.543164000002</v>
      </c>
      <c r="Z2">
        <f t="shared" si="0"/>
        <v>37356.543164000002</v>
      </c>
      <c r="AA2">
        <f t="shared" si="0"/>
        <v>37356.543164000002</v>
      </c>
      <c r="AB2">
        <f t="shared" si="0"/>
        <v>37356.543164000002</v>
      </c>
      <c r="AC2">
        <f t="shared" si="0"/>
        <v>37356.543164000002</v>
      </c>
      <c r="AD2">
        <f t="shared" si="0"/>
        <v>37356.543164000002</v>
      </c>
      <c r="AE2">
        <f t="shared" si="0"/>
        <v>37356.543164000002</v>
      </c>
      <c r="AF2">
        <f t="shared" si="0"/>
        <v>37356.543164000002</v>
      </c>
      <c r="AG2">
        <f t="shared" si="0"/>
        <v>37356.543164000002</v>
      </c>
      <c r="AH2">
        <f t="shared" si="0"/>
        <v>37356.543164000002</v>
      </c>
    </row>
    <row r="3" spans="1:34" x14ac:dyDescent="0.25">
      <c r="A3" t="s">
        <v>122</v>
      </c>
      <c r="B3">
        <f>'Aff Ref'!A2</f>
        <v>1467803.7</v>
      </c>
      <c r="C3">
        <f t="shared" ref="C3:C7" si="1">$B3</f>
        <v>1467803.7</v>
      </c>
      <c r="D3">
        <f t="shared" ref="D3:M7" si="2">$B3</f>
        <v>1467803.7</v>
      </c>
      <c r="E3">
        <f t="shared" si="2"/>
        <v>1467803.7</v>
      </c>
      <c r="F3">
        <f t="shared" si="2"/>
        <v>1467803.7</v>
      </c>
      <c r="G3">
        <f t="shared" si="2"/>
        <v>1467803.7</v>
      </c>
      <c r="H3">
        <f t="shared" si="2"/>
        <v>1467803.7</v>
      </c>
      <c r="I3">
        <f t="shared" si="2"/>
        <v>1467803.7</v>
      </c>
      <c r="J3">
        <f t="shared" si="2"/>
        <v>1467803.7</v>
      </c>
      <c r="K3">
        <f t="shared" si="2"/>
        <v>1467803.7</v>
      </c>
      <c r="L3">
        <f t="shared" si="2"/>
        <v>1467803.7</v>
      </c>
      <c r="M3">
        <f t="shared" si="2"/>
        <v>1467803.7</v>
      </c>
      <c r="N3">
        <f t="shared" ref="N3:W7" si="3">$B3</f>
        <v>1467803.7</v>
      </c>
      <c r="O3">
        <f t="shared" si="3"/>
        <v>1467803.7</v>
      </c>
      <c r="P3">
        <f t="shared" si="3"/>
        <v>1467803.7</v>
      </c>
      <c r="Q3">
        <f t="shared" si="3"/>
        <v>1467803.7</v>
      </c>
      <c r="R3">
        <f t="shared" si="3"/>
        <v>1467803.7</v>
      </c>
      <c r="S3">
        <f t="shared" si="3"/>
        <v>1467803.7</v>
      </c>
      <c r="T3">
        <f t="shared" si="3"/>
        <v>1467803.7</v>
      </c>
      <c r="U3">
        <f t="shared" si="3"/>
        <v>1467803.7</v>
      </c>
      <c r="V3">
        <f t="shared" si="3"/>
        <v>1467803.7</v>
      </c>
      <c r="W3">
        <f t="shared" si="3"/>
        <v>1467803.7</v>
      </c>
      <c r="X3">
        <f t="shared" ref="X3:AH7" si="4">$B3</f>
        <v>1467803.7</v>
      </c>
      <c r="Y3">
        <f t="shared" si="4"/>
        <v>1467803.7</v>
      </c>
      <c r="Z3">
        <f t="shared" si="4"/>
        <v>1467803.7</v>
      </c>
      <c r="AA3">
        <f t="shared" si="4"/>
        <v>1467803.7</v>
      </c>
      <c r="AB3">
        <f t="shared" si="4"/>
        <v>1467803.7</v>
      </c>
      <c r="AC3">
        <f t="shared" si="4"/>
        <v>1467803.7</v>
      </c>
      <c r="AD3">
        <f t="shared" si="4"/>
        <v>1467803.7</v>
      </c>
      <c r="AE3">
        <f t="shared" si="4"/>
        <v>1467803.7</v>
      </c>
      <c r="AF3">
        <f t="shared" si="4"/>
        <v>1467803.7</v>
      </c>
      <c r="AG3">
        <f t="shared" si="4"/>
        <v>1467803.7</v>
      </c>
      <c r="AH3">
        <f t="shared" si="4"/>
        <v>1467803.7</v>
      </c>
    </row>
    <row r="4" spans="1:34" x14ac:dyDescent="0.25">
      <c r="A4" t="s">
        <v>123</v>
      </c>
      <c r="B4">
        <f>'Impr Forest Mgmt'!A33</f>
        <v>9241727</v>
      </c>
      <c r="C4">
        <f t="shared" si="1"/>
        <v>9241727</v>
      </c>
      <c r="D4">
        <f t="shared" si="2"/>
        <v>9241727</v>
      </c>
      <c r="E4">
        <f t="shared" si="2"/>
        <v>9241727</v>
      </c>
      <c r="F4">
        <f t="shared" si="2"/>
        <v>9241727</v>
      </c>
      <c r="G4">
        <f t="shared" si="2"/>
        <v>9241727</v>
      </c>
      <c r="H4">
        <f t="shared" si="2"/>
        <v>9241727</v>
      </c>
      <c r="I4">
        <f t="shared" si="2"/>
        <v>9241727</v>
      </c>
      <c r="J4">
        <f t="shared" si="2"/>
        <v>9241727</v>
      </c>
      <c r="K4">
        <f t="shared" si="2"/>
        <v>9241727</v>
      </c>
      <c r="L4">
        <f t="shared" si="2"/>
        <v>9241727</v>
      </c>
      <c r="M4">
        <f t="shared" si="2"/>
        <v>9241727</v>
      </c>
      <c r="N4">
        <f t="shared" si="3"/>
        <v>9241727</v>
      </c>
      <c r="O4">
        <f t="shared" si="3"/>
        <v>9241727</v>
      </c>
      <c r="P4">
        <f t="shared" si="3"/>
        <v>9241727</v>
      </c>
      <c r="Q4">
        <f t="shared" si="3"/>
        <v>9241727</v>
      </c>
      <c r="R4">
        <f t="shared" si="3"/>
        <v>9241727</v>
      </c>
      <c r="S4">
        <f t="shared" si="3"/>
        <v>9241727</v>
      </c>
      <c r="T4">
        <f t="shared" si="3"/>
        <v>9241727</v>
      </c>
      <c r="U4">
        <f t="shared" si="3"/>
        <v>9241727</v>
      </c>
      <c r="V4">
        <f t="shared" si="3"/>
        <v>9241727</v>
      </c>
      <c r="W4">
        <f t="shared" si="3"/>
        <v>9241727</v>
      </c>
      <c r="X4">
        <f t="shared" si="4"/>
        <v>9241727</v>
      </c>
      <c r="Y4">
        <f t="shared" si="4"/>
        <v>9241727</v>
      </c>
      <c r="Z4">
        <f t="shared" si="4"/>
        <v>9241727</v>
      </c>
      <c r="AA4">
        <f t="shared" si="4"/>
        <v>9241727</v>
      </c>
      <c r="AB4">
        <f t="shared" si="4"/>
        <v>9241727</v>
      </c>
      <c r="AC4">
        <f t="shared" si="4"/>
        <v>9241727</v>
      </c>
      <c r="AD4">
        <f t="shared" si="4"/>
        <v>9241727</v>
      </c>
      <c r="AE4">
        <f t="shared" si="4"/>
        <v>9241727</v>
      </c>
      <c r="AF4">
        <f t="shared" si="4"/>
        <v>9241727</v>
      </c>
      <c r="AG4">
        <f t="shared" si="4"/>
        <v>9241727</v>
      </c>
      <c r="AH4">
        <f t="shared" si="4"/>
        <v>9241727</v>
      </c>
    </row>
    <row r="5" spans="1:34" x14ac:dyDescent="0.25">
      <c r="A5" t="s">
        <v>124</v>
      </c>
      <c r="B5">
        <f>'Avoided Def'!$A$8</f>
        <v>87438.104250000004</v>
      </c>
      <c r="C5">
        <f t="shared" si="1"/>
        <v>87438.104250000004</v>
      </c>
      <c r="D5">
        <f t="shared" si="2"/>
        <v>87438.104250000004</v>
      </c>
      <c r="E5">
        <f t="shared" si="2"/>
        <v>87438.104250000004</v>
      </c>
      <c r="F5">
        <f t="shared" si="2"/>
        <v>87438.104250000004</v>
      </c>
      <c r="G5">
        <f t="shared" si="2"/>
        <v>87438.104250000004</v>
      </c>
      <c r="H5">
        <f t="shared" si="2"/>
        <v>87438.104250000004</v>
      </c>
      <c r="I5">
        <f t="shared" si="2"/>
        <v>87438.104250000004</v>
      </c>
      <c r="J5">
        <f t="shared" si="2"/>
        <v>87438.104250000004</v>
      </c>
      <c r="K5">
        <f t="shared" si="2"/>
        <v>87438.104250000004</v>
      </c>
      <c r="L5">
        <f t="shared" si="2"/>
        <v>87438.104250000004</v>
      </c>
      <c r="M5">
        <f t="shared" si="2"/>
        <v>87438.104250000004</v>
      </c>
      <c r="N5">
        <f t="shared" si="3"/>
        <v>87438.104250000004</v>
      </c>
      <c r="O5">
        <f t="shared" si="3"/>
        <v>87438.104250000004</v>
      </c>
      <c r="P5">
        <f t="shared" si="3"/>
        <v>87438.104250000004</v>
      </c>
      <c r="Q5">
        <f t="shared" si="3"/>
        <v>87438.104250000004</v>
      </c>
      <c r="R5">
        <f t="shared" si="3"/>
        <v>87438.104250000004</v>
      </c>
      <c r="S5">
        <f t="shared" si="3"/>
        <v>87438.104250000004</v>
      </c>
      <c r="T5">
        <f t="shared" si="3"/>
        <v>87438.104250000004</v>
      </c>
      <c r="U5">
        <f t="shared" si="3"/>
        <v>87438.104250000004</v>
      </c>
      <c r="V5">
        <f t="shared" si="3"/>
        <v>87438.104250000004</v>
      </c>
      <c r="W5">
        <f t="shared" si="3"/>
        <v>87438.104250000004</v>
      </c>
      <c r="X5">
        <f t="shared" si="4"/>
        <v>87438.104250000004</v>
      </c>
      <c r="Y5">
        <f t="shared" si="4"/>
        <v>87438.104250000004</v>
      </c>
      <c r="Z5">
        <f t="shared" si="4"/>
        <v>87438.104250000004</v>
      </c>
      <c r="AA5">
        <f t="shared" si="4"/>
        <v>87438.104250000004</v>
      </c>
      <c r="AB5">
        <f t="shared" si="4"/>
        <v>87438.104250000004</v>
      </c>
      <c r="AC5">
        <f t="shared" si="4"/>
        <v>87438.104250000004</v>
      </c>
      <c r="AD5">
        <f t="shared" si="4"/>
        <v>87438.104250000004</v>
      </c>
      <c r="AE5">
        <f t="shared" si="4"/>
        <v>87438.104250000004</v>
      </c>
      <c r="AF5">
        <f t="shared" si="4"/>
        <v>87438.104250000004</v>
      </c>
      <c r="AG5">
        <f t="shared" si="4"/>
        <v>87438.104250000004</v>
      </c>
      <c r="AH5">
        <f t="shared" si="4"/>
        <v>87438.104250000004</v>
      </c>
    </row>
    <row r="6" spans="1:34" x14ac:dyDescent="0.25">
      <c r="A6" t="s">
        <v>125</v>
      </c>
      <c r="B6">
        <f>'Peatland restoration'!A17</f>
        <v>336.86225735294119</v>
      </c>
      <c r="C6">
        <f t="shared" si="1"/>
        <v>336.86225735294119</v>
      </c>
      <c r="D6">
        <f t="shared" si="2"/>
        <v>336.86225735294119</v>
      </c>
      <c r="E6">
        <f t="shared" si="2"/>
        <v>336.86225735294119</v>
      </c>
      <c r="F6">
        <f t="shared" si="2"/>
        <v>336.86225735294119</v>
      </c>
      <c r="G6">
        <f t="shared" si="2"/>
        <v>336.86225735294119</v>
      </c>
      <c r="H6">
        <f t="shared" si="2"/>
        <v>336.86225735294119</v>
      </c>
      <c r="I6">
        <f t="shared" si="2"/>
        <v>336.86225735294119</v>
      </c>
      <c r="J6">
        <f t="shared" si="2"/>
        <v>336.86225735294119</v>
      </c>
      <c r="K6">
        <f t="shared" si="2"/>
        <v>336.86225735294119</v>
      </c>
      <c r="L6">
        <f t="shared" si="2"/>
        <v>336.86225735294119</v>
      </c>
      <c r="M6">
        <f t="shared" si="2"/>
        <v>336.86225735294119</v>
      </c>
      <c r="N6">
        <f t="shared" si="3"/>
        <v>336.86225735294119</v>
      </c>
      <c r="O6">
        <f t="shared" si="3"/>
        <v>336.86225735294119</v>
      </c>
      <c r="P6">
        <f t="shared" si="3"/>
        <v>336.86225735294119</v>
      </c>
      <c r="Q6">
        <f t="shared" si="3"/>
        <v>336.86225735294119</v>
      </c>
      <c r="R6">
        <f t="shared" si="3"/>
        <v>336.86225735294119</v>
      </c>
      <c r="S6">
        <f t="shared" si="3"/>
        <v>336.86225735294119</v>
      </c>
      <c r="T6">
        <f t="shared" si="3"/>
        <v>336.86225735294119</v>
      </c>
      <c r="U6">
        <f t="shared" si="3"/>
        <v>336.86225735294119</v>
      </c>
      <c r="V6">
        <f t="shared" si="3"/>
        <v>336.86225735294119</v>
      </c>
      <c r="W6">
        <f t="shared" si="3"/>
        <v>336.86225735294119</v>
      </c>
      <c r="X6">
        <f t="shared" si="4"/>
        <v>336.86225735294119</v>
      </c>
      <c r="Y6">
        <f t="shared" si="4"/>
        <v>336.86225735294119</v>
      </c>
      <c r="Z6">
        <f t="shared" si="4"/>
        <v>336.86225735294119</v>
      </c>
      <c r="AA6">
        <f t="shared" si="4"/>
        <v>336.86225735294119</v>
      </c>
      <c r="AB6">
        <f t="shared" si="4"/>
        <v>336.86225735294119</v>
      </c>
      <c r="AC6">
        <f t="shared" si="4"/>
        <v>336.86225735294119</v>
      </c>
      <c r="AD6">
        <f t="shared" si="4"/>
        <v>336.86225735294119</v>
      </c>
      <c r="AE6">
        <f t="shared" si="4"/>
        <v>336.86225735294119</v>
      </c>
      <c r="AF6">
        <f t="shared" si="4"/>
        <v>336.86225735294119</v>
      </c>
      <c r="AG6">
        <f t="shared" si="4"/>
        <v>336.86225735294119</v>
      </c>
      <c r="AH6">
        <f t="shared" si="4"/>
        <v>336.86225735294119</v>
      </c>
    </row>
    <row r="7" spans="1:34" x14ac:dyDescent="0.25">
      <c r="A7" t="s">
        <v>126</v>
      </c>
      <c r="B7">
        <v>0</v>
      </c>
      <c r="C7">
        <f t="shared" si="1"/>
        <v>0</v>
      </c>
      <c r="D7">
        <f t="shared" si="2"/>
        <v>0</v>
      </c>
      <c r="E7">
        <f t="shared" si="2"/>
        <v>0</v>
      </c>
      <c r="F7">
        <f t="shared" si="2"/>
        <v>0</v>
      </c>
      <c r="G7">
        <f t="shared" si="2"/>
        <v>0</v>
      </c>
      <c r="H7">
        <f t="shared" si="2"/>
        <v>0</v>
      </c>
      <c r="I7">
        <f t="shared" si="2"/>
        <v>0</v>
      </c>
      <c r="J7">
        <f t="shared" si="2"/>
        <v>0</v>
      </c>
      <c r="K7">
        <f t="shared" si="2"/>
        <v>0</v>
      </c>
      <c r="L7">
        <f t="shared" si="2"/>
        <v>0</v>
      </c>
      <c r="M7">
        <f t="shared" si="2"/>
        <v>0</v>
      </c>
      <c r="N7">
        <f t="shared" si="3"/>
        <v>0</v>
      </c>
      <c r="O7">
        <f t="shared" si="3"/>
        <v>0</v>
      </c>
      <c r="P7">
        <f t="shared" si="3"/>
        <v>0</v>
      </c>
      <c r="Q7">
        <f t="shared" si="3"/>
        <v>0</v>
      </c>
      <c r="R7">
        <f t="shared" si="3"/>
        <v>0</v>
      </c>
      <c r="S7">
        <f t="shared" si="3"/>
        <v>0</v>
      </c>
      <c r="T7">
        <f t="shared" si="3"/>
        <v>0</v>
      </c>
      <c r="U7">
        <f t="shared" si="3"/>
        <v>0</v>
      </c>
      <c r="V7">
        <f t="shared" si="3"/>
        <v>0</v>
      </c>
      <c r="W7">
        <f t="shared" si="3"/>
        <v>0</v>
      </c>
      <c r="X7">
        <f t="shared" si="4"/>
        <v>0</v>
      </c>
      <c r="Y7">
        <f t="shared" si="4"/>
        <v>0</v>
      </c>
      <c r="Z7">
        <f t="shared" si="4"/>
        <v>0</v>
      </c>
      <c r="AA7">
        <f t="shared" si="4"/>
        <v>0</v>
      </c>
      <c r="AB7">
        <f t="shared" si="4"/>
        <v>0</v>
      </c>
      <c r="AC7">
        <f t="shared" si="4"/>
        <v>0</v>
      </c>
      <c r="AD7">
        <f t="shared" si="4"/>
        <v>0</v>
      </c>
      <c r="AE7">
        <f t="shared" si="4"/>
        <v>0</v>
      </c>
      <c r="AF7">
        <f t="shared" si="4"/>
        <v>0</v>
      </c>
      <c r="AG7">
        <f t="shared" si="4"/>
        <v>0</v>
      </c>
      <c r="AH7">
        <f t="shared" si="4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17" ma:contentTypeDescription="Create a new document." ma:contentTypeScope="" ma:versionID="6681120aa8fa62dd7a0beb503524cb55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b98e8ac0331400a99b3dbea3ee620024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DBDE92-93F9-4C35-ABA6-B9BBB4CED815}">
  <ds:schemaRefs>
    <ds:schemaRef ds:uri="http://schemas.microsoft.com/office/2006/metadata/properties"/>
    <ds:schemaRef ds:uri="http://schemas.microsoft.com/office/infopath/2007/PartnerControls"/>
    <ds:schemaRef ds:uri="52604411-7aeb-406e-8b34-4ce79a7293cc"/>
  </ds:schemaRefs>
</ds:datastoreItem>
</file>

<file path=customXml/itemProps2.xml><?xml version="1.0" encoding="utf-8"?>
<ds:datastoreItem xmlns:ds="http://schemas.openxmlformats.org/officeDocument/2006/customXml" ds:itemID="{B661E4AF-14CB-4572-9ABF-94EBD456A43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D18F95-39B0-45E9-BFB5-BC73734966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604411-7aeb-406e-8b34-4ce79a7293cc"/>
    <ds:schemaRef ds:uri="de340059-046a-4f1a-8b62-ade039df3700"/>
    <ds:schemaRef ds:uri="d580559a-617d-4d7d-8fb9-71ff64b583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Impr Forest Mgmt</vt:lpstr>
      <vt:lpstr>Peatland restoration</vt:lpstr>
      <vt:lpstr>Forest Restoration</vt:lpstr>
      <vt:lpstr>PLANAbPiaSY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Olivia Ashmoore</cp:lastModifiedBy>
  <cp:revision/>
  <dcterms:created xsi:type="dcterms:W3CDTF">2017-01-27T05:17:42Z</dcterms:created>
  <dcterms:modified xsi:type="dcterms:W3CDTF">2022-12-02T23:36:13Z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</Properties>
</file>