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BCpUC/"/>
    </mc:Choice>
  </mc:AlternateContent>
  <xr:revisionPtr revIDLastSave="21" documentId="13_ncr:1_{26C6F2EA-4A60-4C7E-ADE8-36917C57C687}" xr6:coauthVersionLast="47" xr6:coauthVersionMax="47" xr10:uidLastSave="{6F58ACF7-5EDE-4072-8345-116694F51E0E}"/>
  <bookViews>
    <workbookView xWindow="-13890" yWindow="-16365" windowWidth="29040" windowHeight="15840" activeTab="5"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4" l="1"/>
  <c r="C2" i="4"/>
  <c r="S2" i="4"/>
  <c r="T2" i="4"/>
  <c r="C10" i="7"/>
  <c r="E2" i="4" s="1"/>
  <c r="D10" i="7"/>
  <c r="F2" i="4" s="1"/>
  <c r="E10" i="7"/>
  <c r="G2" i="4" s="1"/>
  <c r="F10" i="7"/>
  <c r="H2" i="4" s="1"/>
  <c r="G10" i="7"/>
  <c r="I2" i="4" s="1"/>
  <c r="H10" i="7"/>
  <c r="J2" i="4" s="1"/>
  <c r="I10" i="7"/>
  <c r="K2" i="4" s="1"/>
  <c r="J10" i="7"/>
  <c r="L2" i="4" s="1"/>
  <c r="K10" i="7"/>
  <c r="M2" i="4" s="1"/>
  <c r="L10" i="7"/>
  <c r="N2" i="4" s="1"/>
  <c r="M10" i="7"/>
  <c r="O2" i="4" s="1"/>
  <c r="N10" i="7"/>
  <c r="P2" i="4" s="1"/>
  <c r="O10" i="7"/>
  <c r="Q2" i="4" s="1"/>
  <c r="P10" i="7"/>
  <c r="R2" i="4" s="1"/>
  <c r="Q10" i="7"/>
  <c r="R10" i="7"/>
  <c r="S10" i="7"/>
  <c r="U2" i="4" s="1"/>
  <c r="T10" i="7"/>
  <c r="V2" i="4" s="1"/>
  <c r="U10" i="7"/>
  <c r="W2" i="4" s="1"/>
  <c r="V10" i="7"/>
  <c r="X2" i="4" s="1"/>
  <c r="W10" i="7"/>
  <c r="Y2" i="4" s="1"/>
  <c r="X10" i="7"/>
  <c r="Z2" i="4" s="1"/>
  <c r="Y10" i="7"/>
  <c r="AA2" i="4" s="1"/>
  <c r="Z10" i="7"/>
  <c r="AB2" i="4" s="1"/>
  <c r="AA10" i="7"/>
  <c r="AC2" i="4" s="1"/>
  <c r="AB10" i="7"/>
  <c r="AD2" i="4" s="1"/>
  <c r="AC10" i="7"/>
  <c r="AE2" i="4" s="1"/>
  <c r="AD10" i="7"/>
  <c r="AF2" i="4" s="1"/>
  <c r="AE10" i="7"/>
  <c r="AG2" i="4" s="1"/>
  <c r="AF10" i="7"/>
  <c r="AH2" i="4" s="1"/>
  <c r="B10" i="7"/>
  <c r="D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31" i="3" l="1"/>
  <c r="B25" i="3"/>
  <c r="B33" i="3"/>
  <c r="B4" i="3"/>
  <c r="B20" i="3"/>
  <c r="B28" i="3"/>
  <c r="B26" i="3"/>
  <c r="B34" i="3"/>
  <c r="B23" i="3" l="1"/>
  <c r="B18" i="3"/>
  <c r="B17" i="3"/>
  <c r="B15" i="3"/>
  <c r="B29" i="3"/>
  <c r="B32" i="3"/>
  <c r="B30" i="3"/>
  <c r="B21" i="3"/>
  <c r="B27" i="3"/>
  <c r="B24" i="3"/>
  <c r="B22" i="3"/>
  <c r="B19" i="3"/>
  <c r="B16" i="3"/>
  <c r="B11" i="3"/>
  <c r="B8" i="3"/>
  <c r="B5" i="3"/>
  <c r="B6" i="3"/>
  <c r="B7" i="3"/>
  <c r="B9" i="3"/>
  <c r="B10" i="3"/>
  <c r="B12" i="3"/>
  <c r="B13" i="3"/>
  <c r="B14" i="3"/>
  <c r="B3" i="3" l="1" a="1"/>
  <c r="B3" i="3" s="1"/>
  <c r="B2" i="3" s="1" a="1"/>
  <c r="B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<sst xmlns="http://schemas.openxmlformats.org/spreadsheetml/2006/main" count="113" uniqueCount="97">
  <si>
    <t>BCpUC Battery Cost per Unit Capacity</t>
  </si>
  <si>
    <t>BCpUC Battery Balance of System Cost per Unit Capacity</t>
  </si>
  <si>
    <t>Sources:</t>
  </si>
  <si>
    <t>Battery cost projections per kWh</t>
  </si>
  <si>
    <t>Rocky Mountain Institute</t>
  </si>
  <si>
    <t>The Economics of Grid Defection</t>
  </si>
  <si>
    <t>http://www.rmi.org/electricity_grid_defection</t>
  </si>
  <si>
    <t>Page 61, First Table, "Li-ion Battery Capital Cost"</t>
  </si>
  <si>
    <t>2010 Battery Costs per kW</t>
  </si>
  <si>
    <t>Sandia National Laboratory</t>
  </si>
  <si>
    <t>DOE/EPRI 2013 Electricity Storage Handbook in Collaboration with NRECA</t>
  </si>
  <si>
    <t>http://www.sandia.gov/ess/publications/SAND2013-5131.pdf</t>
  </si>
  <si>
    <t>Page B-45, Table B-28</t>
  </si>
  <si>
    <t>Capital Costs</t>
  </si>
  <si>
    <t>National Renewable Energy Laboratory</t>
  </si>
  <si>
    <t>Annual Technology Baseline</t>
  </si>
  <si>
    <t>https://atb.nrel.gov/</t>
  </si>
  <si>
    <t>Utility-Scale Battery Storage tab, CAPEX, Moderate scenario</t>
  </si>
  <si>
    <t>Balance of System Costs</t>
  </si>
  <si>
    <t>2018 U.S. Utility-Scale Photovoltaics Plus-Energy Storage System Costs Benchmark</t>
  </si>
  <si>
    <t>https://www.nrel.gov/docs/fy19osti/71714.pdf</t>
  </si>
  <si>
    <t>Page 12, Table 3</t>
  </si>
  <si>
    <t>Note:</t>
  </si>
  <si>
    <t>Used to calculate battery storage deployment. Only the first year of this time series</t>
  </si>
  <si>
    <t xml:space="preserve">input variable is used, and the remaining years are handled via endogenous </t>
  </si>
  <si>
    <t>learning.</t>
  </si>
  <si>
    <t>Balance of System</t>
  </si>
  <si>
    <t>The "balance of system" should include all costs the utility must pay to purchase and</t>
  </si>
  <si>
    <t>install the battery system, apart from the batteries themselves (and apart from sales</t>
  </si>
  <si>
    <t>tax on the batteries).  This includes the inverter, labor, etc.</t>
  </si>
  <si>
    <t>Only the battery cost is affected by endogenous learning.  The "Balance of System"</t>
  </si>
  <si>
    <t>costs are read directly from this variable and are not modified via endogenous learning</t>
  </si>
  <si>
    <t>inside the simulator.</t>
  </si>
  <si>
    <t>Currency Adjustment</t>
  </si>
  <si>
    <t>We adjust currency using the following conversion factors:</t>
  </si>
  <si>
    <t>2010 to 2012 USD</t>
  </si>
  <si>
    <t>2018 to 2012 USD</t>
  </si>
  <si>
    <t>See "cpi.xlsx" in the InputData folder for source information.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</si>
  <si>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</si>
  <si>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</si>
  <si>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</si>
  <si>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</si>
  <si>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</si>
  <si>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</si>
  <si>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</si>
  <si>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</si>
  <si>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</si>
  <si>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</si>
  <si>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</si>
  <si>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</si>
  <si>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</si>
  <si>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</si>
  <si>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</si>
  <si>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</si>
  <si>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</si>
  <si>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</si>
  <si>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Table 3. Detailed Cost Breakdown for a 60-MW U.S. Li-ion Standalone Storage System with Durations of 0.5–4 Hours</t>
  </si>
  <si>
    <t>60-MW, 4-hour Duration, 240-MWh</t>
  </si>
  <si>
    <t>60-MW, 2-hour Duration, 120-MWh</t>
  </si>
  <si>
    <t>60-MW, 1-hour Duration, 60-MWh</t>
  </si>
  <si>
    <t>60-MW, 0.5-hour Duration, 30-MWh</t>
  </si>
  <si>
    <t>Model Component</t>
  </si>
  <si>
    <t>Total Cost ($)</t>
  </si>
  <si>
    <t>$/kWh</t>
  </si>
  <si>
    <t>$/W</t>
  </si>
  <si>
    <t>Total Cost</t>
  </si>
  <si>
    <t>Li-ion battery</t>
  </si>
  <si>
    <t>Battery central inverter</t>
  </si>
  <si>
    <t>Structural BOS</t>
  </si>
  <si>
    <t>Electrical BOS</t>
  </si>
  <si>
    <t>Installation labor &amp; equipment</t>
  </si>
  <si>
    <t>EPC overhead</t>
  </si>
  <si>
    <t>Sales tax</t>
  </si>
  <si>
    <t>∑ EPC cost</t>
  </si>
  <si>
    <t>Land acquisition</t>
  </si>
  <si>
    <t>Permitting fee</t>
  </si>
  <si>
    <t>Interconnection fee</t>
  </si>
  <si>
    <t>Contingency</t>
  </si>
  <si>
    <t>Developer overhead</t>
  </si>
  <si>
    <t>EPC/developer net profit</t>
  </si>
  <si>
    <t>∑ Developer cost</t>
  </si>
  <si>
    <t>We use the largest (4-hour duration) for our estimate.</t>
  </si>
  <si>
    <t>Balance of System (excl. sales tax)</t>
  </si>
  <si>
    <t>2018 $/W</t>
  </si>
  <si>
    <t>Sales tax on balance of system elements</t>
  </si>
  <si>
    <t>2018 $/MW</t>
  </si>
  <si>
    <t>2012 $/MW</t>
  </si>
  <si>
    <t>For the U.S. model, we assume the balance of system costs remain constant throughout the model run.</t>
  </si>
  <si>
    <t>Year</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</si>
  <si>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</si>
  <si>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</si>
  <si>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</si>
  <si>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</si>
  <si>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</si>
  <si>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</si>
  <si>
    <t>Battery Cost ($/MW)</t>
  </si>
  <si>
    <t>Unit: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</si>
</sst>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43">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1" fontId="0" fillId="0" borderId="0" xfId="0" applyNumberFormat="1"/>
    <xf numFmtId="0" fontId="1" fillId="0" borderId="0" xfId="0" applyFont="1" applyAlignment="1">
      <alignment horizontal="right"/>
    </xf>
    <xf numFmtId="164" fontId="7" fillId="0" borderId="6" xfId="0" applyNumberFormat="1" applyFont="1" applyBorder="1" applyAlignment="1">
      <alignment horizontal="left" vertical="center" wrapText="1"/>
    </xf>
    <xf numFmtId="165" fontId="7" fillId="0" borderId="6" xfId="0" applyNumberFormat="1" applyFont="1" applyBorder="1" applyAlignment="1">
      <alignment horizontal="left" vertical="center" wrapText="1"/>
    </xf>
    <xf numFmtId="164" fontId="7" fillId="0" borderId="0" xfId="0" applyNumberFormat="1" applyFont="1" applyAlignment="1">
      <alignment horizontal="left" vertical="top" wrapText="1"/>
    </xf>
    <xf numFmtId="166" fontId="7" fillId="0" borderId="7" xfId="0" applyNumberFormat="1" applyFont="1" applyBorder="1" applyAlignment="1">
      <alignment horizontal="left" vertical="top" wrapText="1"/>
    </xf>
    <xf numFmtId="166" fontId="7" fillId="0" borderId="9" xfId="0" applyNumberFormat="1" applyFont="1" applyBorder="1" applyAlignment="1">
      <alignment horizontal="left" vertical="center" wrapText="1"/>
    </xf>
    <xf numFmtId="165" fontId="7" fillId="0" borderId="0" xfId="0" applyNumberFormat="1" applyFont="1" applyAlignment="1">
      <alignment horizontal="left" vertical="top" wrapText="1"/>
    </xf>
    <xf numFmtId="164" fontId="7" fillId="0" borderId="10" xfId="0" applyNumberFormat="1" applyFont="1" applyBorder="1" applyAlignment="1">
      <alignment horizontal="left" vertical="top" wrapText="1"/>
    </xf>
    <xf numFmtId="164" fontId="7" fillId="0" borderId="12" xfId="0" applyNumberFormat="1" applyFont="1" applyBorder="1" applyAlignment="1">
      <alignment horizontal="left" vertical="center" wrapText="1"/>
    </xf>
    <xf numFmtId="0" fontId="0" fillId="0" borderId="7" xfId="0" applyBorder="1"/>
    <xf numFmtId="0" fontId="7" fillId="0" borderId="7" xfId="0" applyFont="1" applyBorder="1" applyAlignment="1">
      <alignment horizontal="left" vertical="top" wrapText="1"/>
    </xf>
    <xf numFmtId="0" fontId="7" fillId="0" borderId="9" xfId="0" applyFont="1" applyBorder="1" applyAlignment="1">
      <alignment horizontal="left" vertical="center" wrapText="1"/>
    </xf>
    <xf numFmtId="0" fontId="1" fillId="0" borderId="13" xfId="0" applyFont="1" applyBorder="1"/>
    <xf numFmtId="0" fontId="6" fillId="0" borderId="14" xfId="0" applyFont="1" applyBorder="1" applyAlignment="1">
      <alignment horizontal="left" vertical="top"/>
    </xf>
    <xf numFmtId="0" fontId="1" fillId="0" borderId="14" xfId="0" applyFont="1" applyBorder="1"/>
    <xf numFmtId="0" fontId="1" fillId="0" borderId="15" xfId="0" applyFont="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Alignment="1">
      <alignment horizontal="left" vertical="top"/>
    </xf>
    <xf numFmtId="166" fontId="0" fillId="0" borderId="0" xfId="0" applyNumberFormat="1"/>
    <xf numFmtId="2" fontId="0" fillId="0" borderId="0" xfId="0" applyNumberFormat="1"/>
    <xf numFmtId="0" fontId="0" fillId="0" borderId="0" xfId="0" applyAlignment="1">
      <alignment horizontal="right"/>
    </xf>
    <xf numFmtId="167" fontId="0" fillId="0" borderId="0" xfId="0" applyNumberFormat="1"/>
    <xf numFmtId="11" fontId="0" fillId="0" borderId="0" xfId="0" applyNumberFormat="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workbookViewId="0">
      <selection activeCell="B8" sqref="B8"/>
    </sheetView>
  </sheetViews>
  <sheetFormatPr defaultRowHeight="14.4" x14ac:dyDescent="0.3"/>
  <cols>
    <col min="2" max="2" width="67.109375" customWidth="1"/>
  </cols>
  <sheetData>
    <row r="1" spans="1:2" x14ac:dyDescent="0.3">
      <c r="A1" s="1" t="s">
        <v>0</v>
      </c>
    </row>
    <row r="2" spans="1:2" x14ac:dyDescent="0.3">
      <c r="A2" s="1" t="s">
        <v>1</v>
      </c>
    </row>
    <row r="4" spans="1:2" x14ac:dyDescent="0.3">
      <c r="A4" s="1" t="s">
        <v>2</v>
      </c>
      <c r="B4" s="2" t="s">
        <v>3</v>
      </c>
    </row>
    <row r="5" spans="1:2" x14ac:dyDescent="0.3">
      <c r="B5" t="s">
        <v>4</v>
      </c>
    </row>
    <row r="6" spans="1:2" x14ac:dyDescent="0.3">
      <c r="B6" s="4">
        <v>2014</v>
      </c>
    </row>
    <row r="7" spans="1:2" x14ac:dyDescent="0.3">
      <c r="B7" t="s">
        <v>5</v>
      </c>
    </row>
    <row r="8" spans="1:2" x14ac:dyDescent="0.3">
      <c r="B8" s="3" t="s">
        <v>6</v>
      </c>
    </row>
    <row r="9" spans="1:2" x14ac:dyDescent="0.3">
      <c r="B9" t="s">
        <v>7</v>
      </c>
    </row>
    <row r="11" spans="1:2" x14ac:dyDescent="0.3">
      <c r="B11" s="2" t="s">
        <v>8</v>
      </c>
    </row>
    <row r="12" spans="1:2" x14ac:dyDescent="0.3">
      <c r="B12" t="s">
        <v>9</v>
      </c>
    </row>
    <row r="13" spans="1:2" x14ac:dyDescent="0.3">
      <c r="B13" s="4">
        <v>2013</v>
      </c>
    </row>
    <row r="14" spans="1:2" x14ac:dyDescent="0.3">
      <c r="B14" t="s">
        <v>10</v>
      </c>
    </row>
    <row r="15" spans="1:2" x14ac:dyDescent="0.3">
      <c r="B15" s="3" t="s">
        <v>11</v>
      </c>
    </row>
    <row r="16" spans="1:2" x14ac:dyDescent="0.3">
      <c r="B16" t="s">
        <v>12</v>
      </c>
    </row>
    <row r="18" spans="1:2" x14ac:dyDescent="0.3">
      <c r="B18" s="2" t="s">
        <v>13</v>
      </c>
    </row>
    <row r="19" spans="1:2" x14ac:dyDescent="0.3">
      <c r="B19" t="s">
        <v>14</v>
      </c>
    </row>
    <row r="20" spans="1:2" x14ac:dyDescent="0.3">
      <c r="B20" s="4">
        <v>2021</v>
      </c>
    </row>
    <row r="21" spans="1:2" x14ac:dyDescent="0.3">
      <c r="B21" t="s">
        <v>15</v>
      </c>
    </row>
    <row r="22" spans="1:2" x14ac:dyDescent="0.3">
      <c r="B22" s="3" t="s">
        <v>16</v>
      </c>
    </row>
    <row r="23" spans="1:2" x14ac:dyDescent="0.3">
      <c r="B23" t="s">
        <v>17</v>
      </c>
    </row>
    <row r="25" spans="1:2" x14ac:dyDescent="0.3">
      <c r="B25" s="2" t="s">
        <v>18</v>
      </c>
    </row>
    <row r="26" spans="1:2" x14ac:dyDescent="0.3">
      <c r="B26" t="s">
        <v>14</v>
      </c>
    </row>
    <row r="27" spans="1:2" x14ac:dyDescent="0.3">
      <c r="B27" s="4">
        <v>2018</v>
      </c>
    </row>
    <row r="28" spans="1:2" x14ac:dyDescent="0.3">
      <c r="B28" t="s">
        <v>19</v>
      </c>
    </row>
    <row r="29" spans="1:2" x14ac:dyDescent="0.3">
      <c r="B29" s="3" t="s">
        <v>20</v>
      </c>
    </row>
    <row r="30" spans="1:2" x14ac:dyDescent="0.3">
      <c r="B30" t="s">
        <v>21</v>
      </c>
    </row>
    <row r="32" spans="1:2" x14ac:dyDescent="0.3">
      <c r="A32" s="1" t="s">
        <v>22</v>
      </c>
    </row>
    <row r="33" spans="1:2" x14ac:dyDescent="0.3">
      <c r="A33" t="s">
        <v>23</v>
      </c>
    </row>
    <row r="34" spans="1:2" x14ac:dyDescent="0.3">
      <c r="A34" t="s">
        <v>24</v>
      </c>
    </row>
    <row r="35" spans="1:2" x14ac:dyDescent="0.3">
      <c r="A35" t="s">
        <v>25</v>
      </c>
    </row>
    <row r="37" spans="1:2" x14ac:dyDescent="0.3">
      <c r="A37" s="1" t="s">
        <v>26</v>
      </c>
    </row>
    <row r="38" spans="1:2" x14ac:dyDescent="0.3">
      <c r="A38" t="s">
        <v>27</v>
      </c>
    </row>
    <row r="39" spans="1:2" x14ac:dyDescent="0.3">
      <c r="A39" t="s">
        <v>28</v>
      </c>
    </row>
    <row r="40" spans="1:2" x14ac:dyDescent="0.3">
      <c r="A40" t="s">
        <v>29</v>
      </c>
    </row>
    <row r="42" spans="1:2" x14ac:dyDescent="0.3">
      <c r="A42" t="s">
        <v>30</v>
      </c>
    </row>
    <row r="43" spans="1:2" x14ac:dyDescent="0.3">
      <c r="A43" t="s">
        <v>31</v>
      </c>
    </row>
    <row r="44" spans="1:2" x14ac:dyDescent="0.3">
      <c r="A44" t="s">
        <v>32</v>
      </c>
    </row>
    <row r="46" spans="1:2" x14ac:dyDescent="0.3">
      <c r="A46" s="1" t="s">
        <v>33</v>
      </c>
    </row>
    <row r="47" spans="1:2" x14ac:dyDescent="0.3">
      <c r="A47" t="s">
        <v>34</v>
      </c>
    </row>
    <row r="48" spans="1:2" x14ac:dyDescent="0.3">
      <c r="A48">
        <v>1.0549999999999999</v>
      </c>
      <c r="B48" t="s">
        <v>35</v>
      </c>
    </row>
    <row r="49" spans="1:2" x14ac:dyDescent="0.3">
      <c r="A49" s="38">
        <v>0.9143273584567535</v>
      </c>
      <c r="B49" t="s">
        <v>36</v>
      </c>
    </row>
    <row r="50" spans="1:2" x14ac:dyDescent="0.3">
      <c r="A50" t="s">
        <v>37</v>
      </c>
    </row>
  </sheetData>
  <hyperlinks>
    <hyperlink ref="B8" r:id="rId1" xr:uid="{00000000-0004-0000-0000-000000000000}"/>
    <hyperlink ref="B15" r:id="rId2" xr:uid="{00000000-0004-0000-0000-000001000000}"/>
    <hyperlink ref="B29" r:id="rId3" xr:uid="{CA93FE29-A0A0-406A-B94C-DC5006AB81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10" sqref="D10"/>
    </sheetView>
  </sheetViews>
  <sheetFormatPr defaultRowHeight="14.4" x14ac:dyDescent="0.3"/>
  <cols>
    <col min="5" max="5" width="33.44140625" customWidth="1"/>
  </cols>
  <sheetData>
    <row r="1" spans="2:37" x14ac:dyDescent="0.3">
      <c r="D1" t="s">
        <v>38</v>
      </c>
    </row>
    <row r="2" spans="2:37" x14ac:dyDescent="0.3">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x14ac:dyDescent="0.3">
      <c r="B3" t="s">
        <v>39</v>
      </c>
      <c r="D3" t="s">
        <v>40</v>
      </c>
      <c r="E3" t="s">
        <v>41</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x14ac:dyDescent="0.3">
      <c r="E4" t="s">
        <v>42</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x14ac:dyDescent="0.3">
      <c r="E5" t="s">
        <v>43</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x14ac:dyDescent="0.3">
      <c r="E6" t="s">
        <v>44</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x14ac:dyDescent="0.3">
      <c r="E7" t="s">
        <v>45</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x14ac:dyDescent="0.3">
      <c r="E8" t="s">
        <v>46</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x14ac:dyDescent="0.3">
      <c r="E9" t="s">
        <v>47</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x14ac:dyDescent="0.3">
      <c r="E10" t="s">
        <v>48</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x14ac:dyDescent="0.3">
      <c r="E11" t="s">
        <v>49</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x14ac:dyDescent="0.3">
      <c r="E12" t="s">
        <v>50</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x14ac:dyDescent="0.3">
      <c r="E13" t="s">
        <v>51</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x14ac:dyDescent="0.3">
      <c r="E14" t="s">
        <v>52</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x14ac:dyDescent="0.3">
      <c r="E15" t="s">
        <v>53</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x14ac:dyDescent="0.3">
      <c r="E16" t="s">
        <v>54</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x14ac:dyDescent="0.3">
      <c r="E17" t="s">
        <v>55</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workbookViewId="0">
      <selection activeCell="D26" sqref="D26"/>
    </sheetView>
  </sheetViews>
  <sheetFormatPr defaultColWidth="9.109375" defaultRowHeight="14.4" x14ac:dyDescent="0.3"/>
  <cols>
    <col min="1" max="1" width="32.5546875" customWidth="1"/>
    <col min="2" max="13" width="11.33203125" customWidth="1"/>
  </cols>
  <sheetData>
    <row r="1" spans="1:13" x14ac:dyDescent="0.3">
      <c r="A1" s="32" t="s">
        <v>56</v>
      </c>
      <c r="B1" s="33"/>
      <c r="C1" s="33"/>
      <c r="D1" s="33"/>
      <c r="E1" s="33"/>
      <c r="F1" s="33"/>
      <c r="G1" s="33"/>
      <c r="H1" s="33"/>
      <c r="I1" s="33"/>
      <c r="J1" s="33"/>
      <c r="K1" s="33"/>
      <c r="L1" s="33"/>
      <c r="M1" s="33"/>
    </row>
    <row r="2" spans="1:13" x14ac:dyDescent="0.3">
      <c r="A2" s="15"/>
      <c r="B2" s="40" t="s">
        <v>57</v>
      </c>
      <c r="C2" s="41"/>
      <c r="D2" s="42"/>
      <c r="E2" s="40" t="s">
        <v>58</v>
      </c>
      <c r="F2" s="41"/>
      <c r="G2" s="42"/>
      <c r="H2" s="40" t="s">
        <v>59</v>
      </c>
      <c r="I2" s="41"/>
      <c r="J2" s="42"/>
      <c r="K2" s="40" t="s">
        <v>60</v>
      </c>
      <c r="L2" s="41"/>
      <c r="M2" s="42"/>
    </row>
    <row r="3" spans="1:13" x14ac:dyDescent="0.3">
      <c r="A3" s="18" t="s">
        <v>61</v>
      </c>
      <c r="B3" s="19" t="s">
        <v>62</v>
      </c>
      <c r="C3" s="20" t="s">
        <v>63</v>
      </c>
      <c r="D3" s="18" t="s">
        <v>64</v>
      </c>
      <c r="E3" s="21" t="s">
        <v>65</v>
      </c>
      <c r="F3" s="20" t="s">
        <v>63</v>
      </c>
      <c r="G3" s="18" t="s">
        <v>64</v>
      </c>
      <c r="H3" s="21" t="s">
        <v>65</v>
      </c>
      <c r="I3" s="20" t="s">
        <v>63</v>
      </c>
      <c r="J3" s="18" t="s">
        <v>64</v>
      </c>
      <c r="K3" s="21" t="s">
        <v>65</v>
      </c>
      <c r="L3" s="20" t="s">
        <v>63</v>
      </c>
      <c r="M3" s="18" t="s">
        <v>64</v>
      </c>
    </row>
    <row r="4" spans="1:13" x14ac:dyDescent="0.3">
      <c r="A4" s="16" t="s">
        <v>66</v>
      </c>
      <c r="B4" s="9">
        <v>50160000</v>
      </c>
      <c r="C4" s="12">
        <v>209</v>
      </c>
      <c r="D4" s="10">
        <v>0.84</v>
      </c>
      <c r="E4" s="13">
        <v>25080000</v>
      </c>
      <c r="F4" s="12">
        <v>209</v>
      </c>
      <c r="G4" s="10">
        <v>0.42</v>
      </c>
      <c r="H4" s="13">
        <v>12540000</v>
      </c>
      <c r="I4" s="12">
        <v>209</v>
      </c>
      <c r="J4" s="10">
        <v>0.21</v>
      </c>
      <c r="K4" s="13">
        <v>6270000</v>
      </c>
      <c r="L4" s="12">
        <v>209</v>
      </c>
      <c r="M4" s="10">
        <v>0.1</v>
      </c>
    </row>
    <row r="5" spans="1:13" x14ac:dyDescent="0.3">
      <c r="A5" s="16" t="s">
        <v>67</v>
      </c>
      <c r="B5" s="9">
        <v>4200000</v>
      </c>
      <c r="C5" s="12">
        <v>18</v>
      </c>
      <c r="D5" s="10">
        <v>7.0000000000000007E-2</v>
      </c>
      <c r="E5" s="13">
        <v>4200000</v>
      </c>
      <c r="F5" s="12">
        <v>35</v>
      </c>
      <c r="G5" s="10">
        <v>7.0000000000000007E-2</v>
      </c>
      <c r="H5" s="13">
        <v>4200000</v>
      </c>
      <c r="I5" s="12">
        <v>70</v>
      </c>
      <c r="J5" s="10">
        <v>7.0000000000000007E-2</v>
      </c>
      <c r="K5" s="13">
        <v>4200000</v>
      </c>
      <c r="L5" s="12">
        <v>140</v>
      </c>
      <c r="M5" s="10">
        <v>7.0000000000000007E-2</v>
      </c>
    </row>
    <row r="6" spans="1:13" x14ac:dyDescent="0.3">
      <c r="A6" s="16" t="s">
        <v>68</v>
      </c>
      <c r="B6" s="9">
        <v>3121131</v>
      </c>
      <c r="C6" s="12">
        <v>13</v>
      </c>
      <c r="D6" s="10">
        <v>0.05</v>
      </c>
      <c r="E6" s="13">
        <v>1813452</v>
      </c>
      <c r="F6" s="12">
        <v>15</v>
      </c>
      <c r="G6" s="10">
        <v>0.03</v>
      </c>
      <c r="H6" s="13">
        <v>1159612</v>
      </c>
      <c r="I6" s="12">
        <v>19</v>
      </c>
      <c r="J6" s="10">
        <v>0.02</v>
      </c>
      <c r="K6" s="13">
        <v>832692</v>
      </c>
      <c r="L6" s="12">
        <v>28</v>
      </c>
      <c r="M6" s="10">
        <v>0.01</v>
      </c>
    </row>
    <row r="7" spans="1:13" x14ac:dyDescent="0.3">
      <c r="A7" s="16" t="s">
        <v>69</v>
      </c>
      <c r="B7" s="9">
        <v>8602825</v>
      </c>
      <c r="C7" s="12">
        <v>36</v>
      </c>
      <c r="D7" s="10">
        <v>0.14000000000000001</v>
      </c>
      <c r="E7" s="13">
        <v>6119167</v>
      </c>
      <c r="F7" s="12">
        <v>51</v>
      </c>
      <c r="G7" s="10">
        <v>0.1</v>
      </c>
      <c r="H7" s="13">
        <v>4877337</v>
      </c>
      <c r="I7" s="12">
        <v>81</v>
      </c>
      <c r="J7" s="10">
        <v>0.08</v>
      </c>
      <c r="K7" s="13">
        <v>4256423</v>
      </c>
      <c r="L7" s="12">
        <v>142</v>
      </c>
      <c r="M7" s="10">
        <v>7.0000000000000007E-2</v>
      </c>
    </row>
    <row r="8" spans="1:13" x14ac:dyDescent="0.3">
      <c r="A8" s="16" t="s">
        <v>70</v>
      </c>
      <c r="B8" s="9">
        <v>5479149</v>
      </c>
      <c r="C8" s="12">
        <v>23</v>
      </c>
      <c r="D8" s="10">
        <v>0.09</v>
      </c>
      <c r="E8" s="13">
        <v>4322275</v>
      </c>
      <c r="F8" s="12">
        <v>36</v>
      </c>
      <c r="G8" s="10">
        <v>7.0000000000000007E-2</v>
      </c>
      <c r="H8" s="13">
        <v>3743838</v>
      </c>
      <c r="I8" s="12">
        <v>62</v>
      </c>
      <c r="J8" s="10">
        <v>0.06</v>
      </c>
      <c r="K8" s="13">
        <v>3454619</v>
      </c>
      <c r="L8" s="12">
        <v>115</v>
      </c>
      <c r="M8" s="10">
        <v>0.06</v>
      </c>
    </row>
    <row r="9" spans="1:13" x14ac:dyDescent="0.3">
      <c r="A9" s="16" t="s">
        <v>71</v>
      </c>
      <c r="B9" s="9">
        <v>2775545</v>
      </c>
      <c r="C9" s="12">
        <v>12</v>
      </c>
      <c r="D9" s="10">
        <v>0.05</v>
      </c>
      <c r="E9" s="13">
        <v>1948565</v>
      </c>
      <c r="F9" s="12">
        <v>16</v>
      </c>
      <c r="G9" s="10">
        <v>0.03</v>
      </c>
      <c r="H9" s="13">
        <v>1535075</v>
      </c>
      <c r="I9" s="12">
        <v>26</v>
      </c>
      <c r="J9" s="10">
        <v>0.03</v>
      </c>
      <c r="K9" s="13">
        <v>1328330</v>
      </c>
      <c r="L9" s="12">
        <v>44</v>
      </c>
      <c r="M9" s="10">
        <v>0.02</v>
      </c>
    </row>
    <row r="10" spans="1:13" x14ac:dyDescent="0.3">
      <c r="A10" s="16" t="s">
        <v>72</v>
      </c>
      <c r="B10" s="9">
        <v>5293460</v>
      </c>
      <c r="C10" s="12">
        <v>22</v>
      </c>
      <c r="D10" s="10">
        <v>0.09</v>
      </c>
      <c r="E10" s="13">
        <v>3083292</v>
      </c>
      <c r="F10" s="12">
        <v>26</v>
      </c>
      <c r="G10" s="10">
        <v>0.05</v>
      </c>
      <c r="H10" s="13">
        <v>1978209</v>
      </c>
      <c r="I10" s="12">
        <v>33</v>
      </c>
      <c r="J10" s="10">
        <v>0.03</v>
      </c>
      <c r="K10" s="13">
        <v>1425667</v>
      </c>
      <c r="L10" s="12">
        <v>48</v>
      </c>
      <c r="M10" s="10">
        <v>0.02</v>
      </c>
    </row>
    <row r="11" spans="1:13" x14ac:dyDescent="0.3">
      <c r="A11" s="22" t="s">
        <v>73</v>
      </c>
      <c r="B11" s="23">
        <v>79632110</v>
      </c>
      <c r="C11" s="24">
        <v>332</v>
      </c>
      <c r="D11" s="25">
        <v>1.33</v>
      </c>
      <c r="E11" s="26">
        <v>46566751</v>
      </c>
      <c r="F11" s="24">
        <v>388</v>
      </c>
      <c r="G11" s="25">
        <v>0.78</v>
      </c>
      <c r="H11" s="26">
        <v>30034071</v>
      </c>
      <c r="I11" s="24">
        <v>501</v>
      </c>
      <c r="J11" s="25">
        <v>0.5</v>
      </c>
      <c r="K11" s="26">
        <v>21767732</v>
      </c>
      <c r="L11" s="24">
        <v>726</v>
      </c>
      <c r="M11" s="25">
        <v>0.36</v>
      </c>
    </row>
    <row r="12" spans="1:13" x14ac:dyDescent="0.3">
      <c r="A12" s="17" t="s">
        <v>74</v>
      </c>
      <c r="B12" s="7">
        <v>250000</v>
      </c>
      <c r="C12" s="8">
        <v>1</v>
      </c>
      <c r="D12" s="11">
        <v>0</v>
      </c>
      <c r="E12" s="14">
        <v>250000</v>
      </c>
      <c r="F12" s="8">
        <v>2</v>
      </c>
      <c r="G12" s="11">
        <v>0</v>
      </c>
      <c r="H12" s="14">
        <v>250000</v>
      </c>
      <c r="I12" s="8">
        <v>4</v>
      </c>
      <c r="J12" s="11">
        <v>0</v>
      </c>
      <c r="K12" s="14">
        <v>250000</v>
      </c>
      <c r="L12" s="8">
        <v>8</v>
      </c>
      <c r="M12" s="11">
        <v>0</v>
      </c>
    </row>
    <row r="13" spans="1:13" x14ac:dyDescent="0.3">
      <c r="A13" s="16" t="s">
        <v>75</v>
      </c>
      <c r="B13" s="9">
        <v>295289</v>
      </c>
      <c r="C13" s="12">
        <v>1</v>
      </c>
      <c r="D13" s="10">
        <v>0</v>
      </c>
      <c r="E13" s="13">
        <v>295289</v>
      </c>
      <c r="F13" s="12">
        <v>2</v>
      </c>
      <c r="G13" s="10">
        <v>0</v>
      </c>
      <c r="H13" s="13">
        <v>295289</v>
      </c>
      <c r="I13" s="12">
        <v>5</v>
      </c>
      <c r="J13" s="10">
        <v>0</v>
      </c>
      <c r="K13" s="13">
        <v>295289</v>
      </c>
      <c r="L13" s="12">
        <v>10</v>
      </c>
      <c r="M13" s="10">
        <v>0</v>
      </c>
    </row>
    <row r="14" spans="1:13" x14ac:dyDescent="0.3">
      <c r="A14" s="16" t="s">
        <v>76</v>
      </c>
      <c r="B14" s="9">
        <v>1802363</v>
      </c>
      <c r="C14" s="12">
        <v>8</v>
      </c>
      <c r="D14" s="10">
        <v>0.03</v>
      </c>
      <c r="E14" s="13">
        <v>1802363</v>
      </c>
      <c r="F14" s="12">
        <v>15</v>
      </c>
      <c r="G14" s="10">
        <v>0.03</v>
      </c>
      <c r="H14" s="13">
        <v>1802363</v>
      </c>
      <c r="I14" s="12">
        <v>30</v>
      </c>
      <c r="J14" s="10">
        <v>0.03</v>
      </c>
      <c r="K14" s="13">
        <v>1802363</v>
      </c>
      <c r="L14" s="12">
        <v>60</v>
      </c>
      <c r="M14" s="10">
        <v>0.03</v>
      </c>
    </row>
    <row r="15" spans="1:13" x14ac:dyDescent="0.3">
      <c r="A15" s="16" t="s">
        <v>77</v>
      </c>
      <c r="B15" s="9">
        <v>2477135</v>
      </c>
      <c r="C15" s="12">
        <v>10</v>
      </c>
      <c r="D15" s="10">
        <v>0.04</v>
      </c>
      <c r="E15" s="13">
        <v>1476303</v>
      </c>
      <c r="F15" s="12">
        <v>12</v>
      </c>
      <c r="G15" s="10">
        <v>0.02</v>
      </c>
      <c r="H15" s="13">
        <v>975887</v>
      </c>
      <c r="I15" s="12">
        <v>16</v>
      </c>
      <c r="J15" s="10">
        <v>0.02</v>
      </c>
      <c r="K15" s="13">
        <v>725679</v>
      </c>
      <c r="L15" s="12">
        <v>24</v>
      </c>
      <c r="M15" s="10">
        <v>0.01</v>
      </c>
    </row>
    <row r="16" spans="1:13" x14ac:dyDescent="0.3">
      <c r="A16" s="16" t="s">
        <v>78</v>
      </c>
      <c r="B16" s="9">
        <v>2477135</v>
      </c>
      <c r="C16" s="12">
        <v>10</v>
      </c>
      <c r="D16" s="10">
        <v>0.04</v>
      </c>
      <c r="E16" s="13">
        <v>1476303</v>
      </c>
      <c r="F16" s="12">
        <v>12</v>
      </c>
      <c r="G16" s="10">
        <v>0.02</v>
      </c>
      <c r="H16" s="13">
        <v>975887</v>
      </c>
      <c r="I16" s="12">
        <v>16</v>
      </c>
      <c r="J16" s="10">
        <v>0.02</v>
      </c>
      <c r="K16" s="13">
        <v>725679</v>
      </c>
      <c r="L16" s="12">
        <v>24</v>
      </c>
      <c r="M16" s="10">
        <v>0.01</v>
      </c>
    </row>
    <row r="17" spans="1:13" x14ac:dyDescent="0.3">
      <c r="A17" s="16" t="s">
        <v>79</v>
      </c>
      <c r="B17" s="9">
        <v>4346702</v>
      </c>
      <c r="C17" s="12">
        <v>18</v>
      </c>
      <c r="D17" s="10">
        <v>7.0000000000000007E-2</v>
      </c>
      <c r="E17" s="13">
        <v>2593350</v>
      </c>
      <c r="F17" s="12">
        <v>22</v>
      </c>
      <c r="G17" s="10">
        <v>0.04</v>
      </c>
      <c r="H17" s="13">
        <v>1716675</v>
      </c>
      <c r="I17" s="12">
        <v>29</v>
      </c>
      <c r="J17" s="10">
        <v>0.03</v>
      </c>
      <c r="K17" s="13">
        <v>1278337</v>
      </c>
      <c r="L17" s="12">
        <v>43</v>
      </c>
      <c r="M17" s="10">
        <v>0.02</v>
      </c>
    </row>
    <row r="18" spans="1:13" x14ac:dyDescent="0.3">
      <c r="A18" s="27" t="s">
        <v>80</v>
      </c>
      <c r="B18" s="28">
        <v>11648623</v>
      </c>
      <c r="C18" s="29">
        <v>49</v>
      </c>
      <c r="D18" s="30">
        <v>0.19</v>
      </c>
      <c r="E18" s="31">
        <v>7893608</v>
      </c>
      <c r="F18" s="29">
        <v>66</v>
      </c>
      <c r="G18" s="30">
        <v>0.13</v>
      </c>
      <c r="H18" s="31">
        <v>6016101</v>
      </c>
      <c r="I18" s="29">
        <v>100</v>
      </c>
      <c r="J18" s="30">
        <v>0.1</v>
      </c>
      <c r="K18" s="31">
        <v>5077347</v>
      </c>
      <c r="L18" s="29">
        <v>169</v>
      </c>
      <c r="M18" s="30">
        <v>0.08</v>
      </c>
    </row>
    <row r="20" spans="1:13" x14ac:dyDescent="0.3">
      <c r="A20" s="34" t="s">
        <v>81</v>
      </c>
    </row>
    <row r="22" spans="1:13" x14ac:dyDescent="0.3">
      <c r="A22" t="s">
        <v>82</v>
      </c>
      <c r="D22" s="35">
        <f>SUM(D5:D9,D12:D17)</f>
        <v>0.57999999999999985</v>
      </c>
      <c r="E22" s="37" t="s">
        <v>83</v>
      </c>
    </row>
    <row r="23" spans="1:13" x14ac:dyDescent="0.3">
      <c r="A23" t="s">
        <v>84</v>
      </c>
      <c r="D23" s="36">
        <f>D10*SUM(D5:D7)/SUM(D4:D7)</f>
        <v>2.1272727272727273E-2</v>
      </c>
      <c r="E23" s="37" t="s">
        <v>83</v>
      </c>
    </row>
    <row r="24" spans="1:13" x14ac:dyDescent="0.3">
      <c r="A24" t="s">
        <v>26</v>
      </c>
      <c r="D24" s="35">
        <f>SUM(D22:D23)</f>
        <v>0.60127272727272707</v>
      </c>
      <c r="E24" s="37" t="s">
        <v>83</v>
      </c>
    </row>
    <row r="25" spans="1:13" x14ac:dyDescent="0.3">
      <c r="A25" t="s">
        <v>26</v>
      </c>
      <c r="D25" s="5">
        <f>D24*10^6</f>
        <v>601272.72727272706</v>
      </c>
      <c r="E25" s="37" t="s">
        <v>85</v>
      </c>
    </row>
    <row r="26" spans="1:13" x14ac:dyDescent="0.3">
      <c r="A26" t="s">
        <v>26</v>
      </c>
      <c r="D26" s="5">
        <f>D25*About!A49</f>
        <v>549760.10443936056</v>
      </c>
      <c r="E26" s="37" t="s">
        <v>86</v>
      </c>
    </row>
    <row r="28" spans="1:13" x14ac:dyDescent="0.3">
      <c r="A28" t="s">
        <v>87</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defaultRowHeight="14.4" x14ac:dyDescent="0.3"/>
  <cols>
    <col min="1" max="1" width="27.88671875" customWidth="1"/>
    <col min="2" max="2" width="26.33203125" customWidth="1"/>
    <col min="3" max="6" width="15.109375" bestFit="1" customWidth="1"/>
    <col min="7" max="9" width="14.109375" bestFit="1" customWidth="1"/>
    <col min="10" max="10" width="12" bestFit="1" customWidth="1"/>
    <col min="11" max="11" width="13.44140625" bestFit="1" customWidth="1"/>
    <col min="12" max="13" width="14.44140625" bestFit="1" customWidth="1"/>
    <col min="14" max="15" width="13.44140625" bestFit="1" customWidth="1"/>
    <col min="16" max="18" width="12.44140625" bestFit="1" customWidth="1"/>
    <col min="19" max="21" width="13.44140625" bestFit="1" customWidth="1"/>
    <col min="22" max="32" width="14.44140625" bestFit="1" customWidth="1"/>
  </cols>
  <sheetData>
    <row r="1" spans="1:32" x14ac:dyDescent="0.3">
      <c r="A1" s="6" t="s">
        <v>88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3">
      <c r="A2" s="6" t="s">
        <v>89</v>
      </c>
      <c r="B2" s="5">
        <f>INDEX('NREL ATB'!$7:$7,MATCH(B1,'NREL ATB'!$2:$2,0))*1000</f>
        <v>1363284.234215365</v>
      </c>
      <c r="C2" s="5">
        <f>INDEX('NREL ATB'!$7:$7,MATCH(C1,'NREL ATB'!$2:$2,0))*1000</f>
        <v>1281813.0648399449</v>
      </c>
      <c r="D2" s="5">
        <f>INDEX('NREL ATB'!$7:$7,MATCH(D1,'NREL ATB'!$2:$2,0))*1000</f>
        <v>1200341.8954645249</v>
      </c>
      <c r="E2" s="5">
        <f>INDEX('NREL ATB'!$7:$7,MATCH(E1,'NREL ATB'!$2:$2,0))*1000</f>
        <v>1118870.7260891048</v>
      </c>
      <c r="F2" s="5">
        <f>INDEX('NREL ATB'!$7:$7,MATCH(F1,'NREL ATB'!$2:$2,0))*1000</f>
        <v>1037399.5567136847</v>
      </c>
      <c r="G2" s="5">
        <f>INDEX('NREL ATB'!$7:$7,MATCH(G1,'NREL ATB'!$2:$2,0))*1000</f>
        <v>955928.38733826403</v>
      </c>
      <c r="H2" s="5">
        <f>INDEX('NREL ATB'!$7:$7,MATCH(H1,'NREL ATB'!$2:$2,0))*1000</f>
        <v>921561.47421096952</v>
      </c>
      <c r="I2" s="5">
        <f>INDEX('NREL ATB'!$7:$7,MATCH(I1,'NREL ATB'!$2:$2,0))*1000</f>
        <v>887194.56108367513</v>
      </c>
      <c r="J2" s="5">
        <f>INDEX('NREL ATB'!$7:$7,MATCH(J1,'NREL ATB'!$2:$2,0))*1000</f>
        <v>852827.64795638062</v>
      </c>
      <c r="K2" s="5">
        <f>INDEX('NREL ATB'!$7:$7,MATCH(K1,'NREL ATB'!$2:$2,0))*1000</f>
        <v>818460.734829086</v>
      </c>
      <c r="L2" s="5">
        <f>INDEX('NREL ATB'!$7:$7,MATCH(L1,'NREL ATB'!$2:$2,0))*1000</f>
        <v>784093.82170179195</v>
      </c>
      <c r="M2" s="5">
        <f>INDEX('NREL ATB'!$7:$7,MATCH(M1,'NREL ATB'!$2:$2,0))*1000</f>
        <v>774292.64893051935</v>
      </c>
      <c r="N2" s="5">
        <f>INDEX('NREL ATB'!$7:$7,MATCH(N1,'NREL ATB'!$2:$2,0))*1000</f>
        <v>764491.47615924687</v>
      </c>
      <c r="O2" s="5">
        <f>INDEX('NREL ATB'!$7:$7,MATCH(O1,'NREL ATB'!$2:$2,0))*1000</f>
        <v>754690.30338797462</v>
      </c>
      <c r="P2" s="5">
        <f>INDEX('NREL ATB'!$7:$7,MATCH(P1,'NREL ATB'!$2:$2,0))*1000</f>
        <v>744889.13061670202</v>
      </c>
      <c r="Q2" s="5">
        <f>INDEX('NREL ATB'!$7:$7,MATCH(Q1,'NREL ATB'!$2:$2,0))*1000</f>
        <v>735087.95784542954</v>
      </c>
      <c r="R2" s="5">
        <f>INDEX('NREL ATB'!$7:$7,MATCH(R1,'NREL ATB'!$2:$2,0))*1000</f>
        <v>725286.78507415717</v>
      </c>
      <c r="S2" s="5">
        <f>INDEX('NREL ATB'!$7:$7,MATCH(S1,'NREL ATB'!$2:$2,0))*1000</f>
        <v>715485.61230288458</v>
      </c>
      <c r="T2" s="5">
        <f>INDEX('NREL ATB'!$7:$7,MATCH(T1,'NREL ATB'!$2:$2,0))*1000</f>
        <v>705684.43953161221</v>
      </c>
      <c r="U2" s="5">
        <f>INDEX('NREL ATB'!$7:$7,MATCH(U1,'NREL ATB'!$2:$2,0))*1000</f>
        <v>695883.26676033961</v>
      </c>
      <c r="V2" s="5">
        <f>INDEX('NREL ATB'!$7:$7,MATCH(V1,'NREL ATB'!$2:$2,0))*1000</f>
        <v>686082.09398906713</v>
      </c>
      <c r="W2" s="5">
        <f>INDEX('NREL ATB'!$7:$7,MATCH(W1,'NREL ATB'!$2:$2,0))*1000</f>
        <v>676280.92121779488</v>
      </c>
      <c r="X2" s="5">
        <f>INDEX('NREL ATB'!$7:$7,MATCH(X1,'NREL ATB'!$2:$2,0))*1000</f>
        <v>666479.74844652251</v>
      </c>
      <c r="Y2" s="5">
        <f>INDEX('NREL ATB'!$7:$7,MATCH(Y1,'NREL ATB'!$2:$2,0))*1000</f>
        <v>656678.57567524991</v>
      </c>
      <c r="Z2" s="5">
        <f>INDEX('NREL ATB'!$7:$7,MATCH(Z1,'NREL ATB'!$2:$2,0))*1000</f>
        <v>646877.40290397755</v>
      </c>
      <c r="AA2" s="5">
        <f>INDEX('NREL ATB'!$7:$7,MATCH(AA1,'NREL ATB'!$2:$2,0))*1000</f>
        <v>637076.2301327053</v>
      </c>
      <c r="AB2" s="5">
        <f>INDEX('NREL ATB'!$7:$7,MATCH(AB1,'NREL ATB'!$2:$2,0))*1000</f>
        <v>627275.05736143282</v>
      </c>
      <c r="AC2" s="5">
        <f>INDEX('NREL ATB'!$7:$7,MATCH(AC1,'NREL ATB'!$2:$2,0))*1000</f>
        <v>617473.88459016045</v>
      </c>
      <c r="AD2" s="5">
        <f>INDEX('NREL ATB'!$7:$7,MATCH(AD1,'NREL ATB'!$2:$2,0))*1000</f>
        <v>607672.71181888808</v>
      </c>
      <c r="AE2" s="5">
        <f>INDEX('NREL ATB'!$7:$7,MATCH(AE1,'NREL ATB'!$2:$2,0))*1000</f>
        <v>597871.5390476156</v>
      </c>
      <c r="AF2" s="5">
        <f>INDEX('NREL ATB'!$7:$7,MATCH(AF1,'NREL ATB'!$2:$2,0))*1000</f>
        <v>588070.36627634382</v>
      </c>
    </row>
    <row r="5" spans="1:32" x14ac:dyDescent="0.3">
      <c r="A5" s="6" t="s">
        <v>90</v>
      </c>
    </row>
    <row r="7" spans="1:32" x14ac:dyDescent="0.3">
      <c r="A7" t="s">
        <v>91</v>
      </c>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x14ac:dyDescent="0.3">
      <c r="A8" t="s">
        <v>92</v>
      </c>
      <c r="B8" s="39">
        <v>1363280</v>
      </c>
      <c r="C8" s="39">
        <v>1220010</v>
      </c>
      <c r="D8" s="39">
        <v>1125280</v>
      </c>
      <c r="E8" s="39">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x14ac:dyDescent="0.3">
      <c r="A10" t="s">
        <v>93</v>
      </c>
      <c r="B10" s="5">
        <f>B2-B8</f>
        <v>4.2342153650242835</v>
      </c>
      <c r="C10" s="5">
        <f t="shared" ref="C10:AF10" si="0">C2-C8</f>
        <v>61803.064839944942</v>
      </c>
      <c r="D10" s="5">
        <f t="shared" si="0"/>
        <v>75061.89546452486</v>
      </c>
      <c r="E10" s="5">
        <f t="shared" si="0"/>
        <v>63490.726089104777</v>
      </c>
      <c r="F10" s="5">
        <f t="shared" si="0"/>
        <v>37582.556713684695</v>
      </c>
      <c r="G10" s="5">
        <f t="shared" si="0"/>
        <v>1151.3873382640304</v>
      </c>
      <c r="H10" s="5">
        <f t="shared" si="0"/>
        <v>5815.4742109695217</v>
      </c>
      <c r="I10" s="5">
        <f t="shared" si="0"/>
        <v>5304.5610836751293</v>
      </c>
      <c r="J10" s="5">
        <f t="shared" si="0"/>
        <v>67.647956380620599</v>
      </c>
      <c r="K10" s="5">
        <f t="shared" si="0"/>
        <v>-9298.2651709140046</v>
      </c>
      <c r="L10" s="5">
        <f t="shared" si="0"/>
        <v>-22152.178298208048</v>
      </c>
      <c r="M10" s="5">
        <f t="shared" si="0"/>
        <v>-13269.351069480646</v>
      </c>
      <c r="N10" s="5">
        <f t="shared" si="0"/>
        <v>-7018.5238407531288</v>
      </c>
      <c r="O10" s="5">
        <f t="shared" si="0"/>
        <v>-3072.6966120253783</v>
      </c>
      <c r="P10" s="5">
        <f t="shared" si="0"/>
        <v>-976.86938329797704</v>
      </c>
      <c r="Q10" s="5">
        <f t="shared" si="0"/>
        <v>-333.04215457045939</v>
      </c>
      <c r="R10" s="5">
        <f t="shared" si="0"/>
        <v>-966.21492584282532</v>
      </c>
      <c r="S10" s="5">
        <f t="shared" si="0"/>
        <v>-2707.3876971154241</v>
      </c>
      <c r="T10" s="5">
        <f t="shared" si="0"/>
        <v>-5348.56046838779</v>
      </c>
      <c r="U10" s="5">
        <f t="shared" si="0"/>
        <v>-8711.7332396603888</v>
      </c>
      <c r="V10" s="5">
        <f t="shared" si="0"/>
        <v>-12672.906010932871</v>
      </c>
      <c r="W10" s="5">
        <f t="shared" si="0"/>
        <v>-17237.078782205121</v>
      </c>
      <c r="X10" s="5">
        <f t="shared" si="0"/>
        <v>-22299.251553477487</v>
      </c>
      <c r="Y10" s="5">
        <f t="shared" si="0"/>
        <v>-27796.424324750085</v>
      </c>
      <c r="Z10" s="5">
        <f t="shared" si="0"/>
        <v>-33664.597096022451</v>
      </c>
      <c r="AA10" s="5">
        <f t="shared" si="0"/>
        <v>-39853.769867294701</v>
      </c>
      <c r="AB10" s="5">
        <f t="shared" si="0"/>
        <v>-46331.942638567183</v>
      </c>
      <c r="AC10" s="5">
        <f t="shared" si="0"/>
        <v>-53057.115409839549</v>
      </c>
      <c r="AD10" s="5">
        <f t="shared" si="0"/>
        <v>-59997.288181111915</v>
      </c>
      <c r="AE10" s="5">
        <f t="shared" si="0"/>
        <v>-67131.460952384397</v>
      </c>
      <c r="AF10" s="5">
        <f t="shared" si="0"/>
        <v>-74434.633723656181</v>
      </c>
    </row>
    <row r="12" spans="1:32" x14ac:dyDescent="0.3">
      <c r="A12" t="s">
        <v>94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4"/>
  <sheetViews>
    <sheetView workbookViewId="0">
      <selection activeCell="E10" sqref="E10"/>
    </sheetView>
  </sheetViews>
  <sheetFormatPr defaultRowHeight="14.4" x14ac:dyDescent="0.3"/>
  <cols>
    <col min="1" max="1" width="11.109375" customWidth="1"/>
    <col min="2" max="2" width="21.44140625" customWidth="1"/>
  </cols>
  <sheetData>
    <row r="1" spans="1:7" x14ac:dyDescent="0.3">
      <c r="A1" s="6" t="s">
        <v>88</v>
      </c>
      <c r="B1" s="6" t="s">
        <v>95</v>
      </c>
    </row>
    <row r="2" spans="1:7" x14ac:dyDescent="0.3">
      <c r="A2" s="37">
        <v>2018</v>
      </c>
      <c r="B2" s="5" cm="1">
        <f t="array" ref="B2">TREND(B3:B7,A3:A7,A2)</f>
        <v>977378.05556064844</v>
      </c>
    </row>
    <row r="3" spans="1:7" x14ac:dyDescent="0.3">
      <c r="A3">
        <v>2019</v>
      </c>
      <c r="B3" s="5" cm="1">
        <f t="array" ref="B3">TREND(B4:B8,A4:A8,A3)</f>
        <v>870460.0955606401</v>
      </c>
    </row>
    <row r="4" spans="1:7" x14ac:dyDescent="0.3">
      <c r="A4">
        <v>2020</v>
      </c>
      <c r="B4" s="5">
        <f>INDEX('NREL ATB'!$7:$7,MATCH(BCpUC!A4,'NREL ATB'!$2:$2,0))*1000-INDEX(BBoSCpUC!$2:$2,MATCH(A4,BBoSCpUC!$1:$1,0))</f>
        <v>813519.89556063944</v>
      </c>
      <c r="E4" s="5"/>
    </row>
    <row r="5" spans="1:7" x14ac:dyDescent="0.3">
      <c r="A5">
        <v>2021</v>
      </c>
      <c r="B5" s="5">
        <f>INDEX('NREL ATB'!$7:$7,MATCH(BCpUC!A5,'NREL ATB'!$2:$2,0))*1000-INDEX(BBoSCpUC!$2:$2,MATCH(A5,BBoSCpUC!$1:$1,0))</f>
        <v>670249.89556063944</v>
      </c>
      <c r="G5" s="5"/>
    </row>
    <row r="6" spans="1:7" x14ac:dyDescent="0.3">
      <c r="A6">
        <v>2022</v>
      </c>
      <c r="B6" s="5">
        <f>INDEX('NREL ATB'!$7:$7,MATCH(BCpUC!A6,'NREL ATB'!$2:$2,0))*1000-INDEX(BBoSCpUC!$2:$2,MATCH(A6,BBoSCpUC!$1:$1,0))</f>
        <v>575519.89556063944</v>
      </c>
    </row>
    <row r="7" spans="1:7" x14ac:dyDescent="0.3">
      <c r="A7">
        <v>2023</v>
      </c>
      <c r="B7" s="5">
        <f>INDEX('NREL ATB'!$7:$7,MATCH(BCpUC!A7,'NREL ATB'!$2:$2,0))*1000-INDEX(BBoSCpUC!$2:$2,MATCH(A7,BBoSCpUC!$1:$1,0))</f>
        <v>505619.89556063944</v>
      </c>
    </row>
    <row r="8" spans="1:7" x14ac:dyDescent="0.3">
      <c r="A8">
        <v>2024</v>
      </c>
      <c r="B8" s="5">
        <f>INDEX('NREL ATB'!$7:$7,MATCH(BCpUC!A8,'NREL ATB'!$2:$2,0))*1000-INDEX(BBoSCpUC!$2:$2,MATCH(A8,BBoSCpUC!$1:$1,0))</f>
        <v>450056.89556063944</v>
      </c>
    </row>
    <row r="9" spans="1:7" x14ac:dyDescent="0.3">
      <c r="A9">
        <v>2025</v>
      </c>
      <c r="B9" s="5">
        <f>INDEX('NREL ATB'!$7:$7,MATCH(BCpUC!A9,'NREL ATB'!$2:$2,0))*1000-INDEX(BBoSCpUC!$2:$2,MATCH(A9,BBoSCpUC!$1:$1,0))</f>
        <v>405016.89556063944</v>
      </c>
    </row>
    <row r="10" spans="1:7" x14ac:dyDescent="0.3">
      <c r="A10">
        <v>2026</v>
      </c>
      <c r="B10" s="5">
        <f>INDEX('NREL ATB'!$7:$7,MATCH(BCpUC!A10,'NREL ATB'!$2:$2,0))*1000-INDEX(BBoSCpUC!$2:$2,MATCH(A10,BBoSCpUC!$1:$1,0))</f>
        <v>365985.89556063944</v>
      </c>
    </row>
    <row r="11" spans="1:7" x14ac:dyDescent="0.3">
      <c r="A11">
        <v>2027</v>
      </c>
      <c r="B11" s="5">
        <f>INDEX('NREL ATB'!$7:$7,MATCH(BCpUC!A11,'NREL ATB'!$2:$2,0))*1000-INDEX(BBoSCpUC!$2:$2,MATCH(A11,BBoSCpUC!$1:$1,0))</f>
        <v>332129.89556063944</v>
      </c>
    </row>
    <row r="12" spans="1:7" x14ac:dyDescent="0.3">
      <c r="A12">
        <v>2028</v>
      </c>
      <c r="B12" s="5">
        <f>INDEX('NREL ATB'!$7:$7,MATCH(BCpUC!A12,'NREL ATB'!$2:$2,0))*1000-INDEX(BBoSCpUC!$2:$2,MATCH(A12,BBoSCpUC!$1:$1,0))</f>
        <v>302999.89556063944</v>
      </c>
    </row>
    <row r="13" spans="1:7" x14ac:dyDescent="0.3">
      <c r="A13">
        <v>2029</v>
      </c>
      <c r="B13" s="5">
        <f>INDEX('NREL ATB'!$7:$7,MATCH(BCpUC!A13,'NREL ATB'!$2:$2,0))*1000-INDEX(BBoSCpUC!$2:$2,MATCH(A13,BBoSCpUC!$1:$1,0))</f>
        <v>277998.89556063944</v>
      </c>
    </row>
    <row r="14" spans="1:7" x14ac:dyDescent="0.3">
      <c r="A14">
        <v>2030</v>
      </c>
      <c r="B14" s="5">
        <f>INDEX('NREL ATB'!$7:$7,MATCH(BCpUC!A14,'NREL ATB'!$2:$2,0))*1000-INDEX(BBoSCpUC!$2:$2,MATCH(A14,BBoSCpUC!$1:$1,0))</f>
        <v>256485.89556063944</v>
      </c>
    </row>
    <row r="15" spans="1:7" x14ac:dyDescent="0.3">
      <c r="A15">
        <v>2031</v>
      </c>
      <c r="B15" s="5">
        <f>INDEX('NREL ATB'!$7:$7,MATCH(BCpUC!A15,'NREL ATB'!$2:$2,0))*1000-INDEX(BBoSCpUC!$2:$2,MATCH(A15,BBoSCpUC!$1:$1,0))</f>
        <v>237801.89556063944</v>
      </c>
    </row>
    <row r="16" spans="1:7" x14ac:dyDescent="0.3">
      <c r="A16">
        <v>2032</v>
      </c>
      <c r="B16" s="5">
        <f>INDEX('NREL ATB'!$7:$7,MATCH(BCpUC!A16,'NREL ATB'!$2:$2,0))*1000-INDEX(BBoSCpUC!$2:$2,MATCH(A16,BBoSCpUC!$1:$1,0))</f>
        <v>221749.89556063944</v>
      </c>
    </row>
    <row r="17" spans="1:2" x14ac:dyDescent="0.3">
      <c r="A17">
        <v>2033</v>
      </c>
      <c r="B17" s="5">
        <f>INDEX('NREL ATB'!$7:$7,MATCH(BCpUC!A17,'NREL ATB'!$2:$2,0))*1000-INDEX(BBoSCpUC!$2:$2,MATCH(A17,BBoSCpUC!$1:$1,0))</f>
        <v>208002.89556063944</v>
      </c>
    </row>
    <row r="18" spans="1:2" x14ac:dyDescent="0.3">
      <c r="A18">
        <v>2034</v>
      </c>
      <c r="B18" s="5">
        <f>INDEX('NREL ATB'!$7:$7,MATCH(BCpUC!A18,'NREL ATB'!$2:$2,0))*1000-INDEX(BBoSCpUC!$2:$2,MATCH(A18,BBoSCpUC!$1:$1,0))</f>
        <v>196105.89556063944</v>
      </c>
    </row>
    <row r="19" spans="1:2" x14ac:dyDescent="0.3">
      <c r="A19">
        <v>2035</v>
      </c>
      <c r="B19" s="5">
        <f>INDEX('NREL ATB'!$7:$7,MATCH(BCpUC!A19,'NREL ATB'!$2:$2,0))*1000-INDEX(BBoSCpUC!$2:$2,MATCH(A19,BBoSCpUC!$1:$1,0))</f>
        <v>185660.89556063944</v>
      </c>
    </row>
    <row r="20" spans="1:2" x14ac:dyDescent="0.3">
      <c r="A20">
        <v>2036</v>
      </c>
      <c r="B20" s="5">
        <f>INDEX('NREL ATB'!$7:$7,MATCH(BCpUC!A20,'NREL ATB'!$2:$2,0))*1000-INDEX(BBoSCpUC!$2:$2,MATCH(A20,BBoSCpUC!$1:$1,0))</f>
        <v>176492.89556063944</v>
      </c>
    </row>
    <row r="21" spans="1:2" x14ac:dyDescent="0.3">
      <c r="A21">
        <v>2037</v>
      </c>
      <c r="B21" s="5">
        <f>INDEX('NREL ATB'!$7:$7,MATCH(BCpUC!A21,'NREL ATB'!$2:$2,0))*1000-INDEX(BBoSCpUC!$2:$2,MATCH(A21,BBoSCpUC!$1:$1,0))</f>
        <v>168432.89556063944</v>
      </c>
    </row>
    <row r="22" spans="1:2" x14ac:dyDescent="0.3">
      <c r="A22">
        <v>2038</v>
      </c>
      <c r="B22" s="5">
        <f>INDEX('NREL ATB'!$7:$7,MATCH(BCpUC!A22,'NREL ATB'!$2:$2,0))*1000-INDEX(BBoSCpUC!$2:$2,MATCH(A22,BBoSCpUC!$1:$1,0))</f>
        <v>161272.89556063944</v>
      </c>
    </row>
    <row r="23" spans="1:2" x14ac:dyDescent="0.3">
      <c r="A23">
        <v>2039</v>
      </c>
      <c r="B23" s="5">
        <f>INDEX('NREL ATB'!$7:$7,MATCH(BCpUC!A23,'NREL ATB'!$2:$2,0))*1000-INDEX(BBoSCpUC!$2:$2,MATCH(A23,BBoSCpUC!$1:$1,0))</f>
        <v>154834.89556063944</v>
      </c>
    </row>
    <row r="24" spans="1:2" x14ac:dyDescent="0.3">
      <c r="A24">
        <v>2040</v>
      </c>
      <c r="B24" s="5">
        <f>INDEX('NREL ATB'!$7:$7,MATCH(BCpUC!A24,'NREL ATB'!$2:$2,0))*1000-INDEX(BBoSCpUC!$2:$2,MATCH(A24,BBoSCpUC!$1:$1,0))</f>
        <v>148994.89556063944</v>
      </c>
    </row>
    <row r="25" spans="1:2" x14ac:dyDescent="0.3">
      <c r="A25">
        <v>2041</v>
      </c>
      <c r="B25" s="5">
        <f>INDEX('NREL ATB'!$7:$7,MATCH(BCpUC!A25,'NREL ATB'!$2:$2,0))*1000-INDEX(BBoSCpUC!$2:$2,MATCH(A25,BBoSCpUC!$1:$1,0))</f>
        <v>143757.89556063944</v>
      </c>
    </row>
    <row r="26" spans="1:2" x14ac:dyDescent="0.3">
      <c r="A26">
        <v>2042</v>
      </c>
      <c r="B26" s="5">
        <f>INDEX('NREL ATB'!$7:$7,MATCH(BCpUC!A26,'NREL ATB'!$2:$2,0))*1000-INDEX(BBoSCpUC!$2:$2,MATCH(A26,BBoSCpUC!$1:$1,0))</f>
        <v>139018.89556063944</v>
      </c>
    </row>
    <row r="27" spans="1:2" x14ac:dyDescent="0.3">
      <c r="A27">
        <v>2043</v>
      </c>
      <c r="B27" s="5">
        <f>INDEX('NREL ATB'!$7:$7,MATCH(BCpUC!A27,'NREL ATB'!$2:$2,0))*1000-INDEX(BBoSCpUC!$2:$2,MATCH(A27,BBoSCpUC!$1:$1,0))</f>
        <v>134714.89556063944</v>
      </c>
    </row>
    <row r="28" spans="1:2" x14ac:dyDescent="0.3">
      <c r="A28">
        <v>2044</v>
      </c>
      <c r="B28" s="5">
        <f>INDEX('NREL ATB'!$7:$7,MATCH(BCpUC!A28,'NREL ATB'!$2:$2,0))*1000-INDEX(BBoSCpUC!$2:$2,MATCH(A28,BBoSCpUC!$1:$1,0))</f>
        <v>130781.89556063944</v>
      </c>
    </row>
    <row r="29" spans="1:2" x14ac:dyDescent="0.3">
      <c r="A29">
        <v>2045</v>
      </c>
      <c r="B29" s="5">
        <f>INDEX('NREL ATB'!$7:$7,MATCH(BCpUC!A29,'NREL ATB'!$2:$2,0))*1000-INDEX(BBoSCpUC!$2:$2,MATCH(A29,BBoSCpUC!$1:$1,0))</f>
        <v>127169.89556063944</v>
      </c>
    </row>
    <row r="30" spans="1:2" x14ac:dyDescent="0.3">
      <c r="A30">
        <v>2046</v>
      </c>
      <c r="B30" s="5">
        <f>INDEX('NREL ATB'!$7:$7,MATCH(BCpUC!A30,'NREL ATB'!$2:$2,0))*1000-INDEX(BBoSCpUC!$2:$2,MATCH(A30,BBoSCpUC!$1:$1,0))</f>
        <v>123846.89556063944</v>
      </c>
    </row>
    <row r="31" spans="1:2" x14ac:dyDescent="0.3">
      <c r="A31">
        <v>2047</v>
      </c>
      <c r="B31" s="5">
        <f>INDEX('NREL ATB'!$7:$7,MATCH(BCpUC!A31,'NREL ATB'!$2:$2,0))*1000-INDEX(BBoSCpUC!$2:$2,MATCH(A31,BBoSCpUC!$1:$1,0))</f>
        <v>120770.89556063944</v>
      </c>
    </row>
    <row r="32" spans="1:2" x14ac:dyDescent="0.3">
      <c r="A32">
        <v>2048</v>
      </c>
      <c r="B32" s="5">
        <f>INDEX('NREL ATB'!$7:$7,MATCH(BCpUC!A32,'NREL ATB'!$2:$2,0))*1000-INDEX(BBoSCpUC!$2:$2,MATCH(A32,BBoSCpUC!$1:$1,0))</f>
        <v>117909.89556063944</v>
      </c>
    </row>
    <row r="33" spans="1:2" x14ac:dyDescent="0.3">
      <c r="A33">
        <v>2049</v>
      </c>
      <c r="B33" s="5">
        <f>INDEX('NREL ATB'!$7:$7,MATCH(BCpUC!A33,'NREL ATB'!$2:$2,0))*1000-INDEX(BBoSCpUC!$2:$2,MATCH(A33,BBoSCpUC!$1:$1,0))</f>
        <v>115242.89556063944</v>
      </c>
    </row>
    <row r="34" spans="1:2" x14ac:dyDescent="0.3">
      <c r="A34">
        <v>2050</v>
      </c>
      <c r="B34" s="5">
        <f>INDEX('NREL ATB'!$7:$7,MATCH(BCpUC!A34,'NREL ATB'!$2:$2,0))*1000-INDEX(BBoSCpUC!$2:$2,MATCH(A34,BBoSCpUC!$1:$1,0))</f>
        <v>112744.89556063944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H2"/>
  <sheetViews>
    <sheetView tabSelected="1" workbookViewId="0">
      <selection activeCell="A3" sqref="A3"/>
    </sheetView>
  </sheetViews>
  <sheetFormatPr defaultRowHeight="14.4" x14ac:dyDescent="0.3"/>
  <cols>
    <col min="1" max="1" width="19.88671875" customWidth="1"/>
    <col min="2" max="2" width="9.6640625" customWidth="1"/>
    <col min="3" max="3" width="9.109375" customWidth="1"/>
  </cols>
  <sheetData>
    <row r="1" spans="1:34" x14ac:dyDescent="0.3">
      <c r="A1" t="s">
        <v>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3">
      <c r="A2" t="s">
        <v>26</v>
      </c>
      <c r="B2" s="5">
        <f>C2</f>
        <v>549764.33865472558</v>
      </c>
      <c r="C2" s="5">
        <f>D2</f>
        <v>549764.33865472558</v>
      </c>
      <c r="D2" s="5">
        <f>'Balance of System Calculations'!$D$26+'Calibration Check'!B10</f>
        <v>549764.33865472558</v>
      </c>
      <c r="E2" s="5">
        <f>'Balance of System Calculations'!$D$26+'Calibration Check'!C10</f>
        <v>611563.1692793055</v>
      </c>
      <c r="F2" s="5">
        <f>'Balance of System Calculations'!$D$26+'Calibration Check'!D10</f>
        <v>624821.99990388541</v>
      </c>
      <c r="G2" s="5">
        <f>'Balance of System Calculations'!$D$26+'Calibration Check'!E10</f>
        <v>613250.83052846533</v>
      </c>
      <c r="H2" s="5">
        <f>'Balance of System Calculations'!$D$26+'Calibration Check'!F10</f>
        <v>587342.66115304525</v>
      </c>
      <c r="I2" s="5">
        <f>'Balance of System Calculations'!$D$26+'Calibration Check'!G10</f>
        <v>550911.49177762459</v>
      </c>
      <c r="J2" s="5">
        <f>'Balance of System Calculations'!$D$26+'Calibration Check'!H10</f>
        <v>555575.57865033008</v>
      </c>
      <c r="K2" s="5">
        <f>'Balance of System Calculations'!$D$26+'Calibration Check'!I10</f>
        <v>555064.66552303568</v>
      </c>
      <c r="L2" s="5">
        <f>'Balance of System Calculations'!$D$26+'Calibration Check'!J10</f>
        <v>549827.75239574118</v>
      </c>
      <c r="M2" s="5">
        <f>'Balance of System Calculations'!$D$26+'Calibration Check'!K10</f>
        <v>540461.83926844655</v>
      </c>
      <c r="N2" s="5">
        <f>'Balance of System Calculations'!$D$26+'Calibration Check'!L10</f>
        <v>527607.92614115251</v>
      </c>
      <c r="O2" s="5">
        <f>'Balance of System Calculations'!$D$26+'Calibration Check'!M10</f>
        <v>536490.75336987991</v>
      </c>
      <c r="P2" s="5">
        <f>'Balance of System Calculations'!$D$26+'Calibration Check'!N10</f>
        <v>542741.58059860743</v>
      </c>
      <c r="Q2" s="5">
        <f>'Balance of System Calculations'!$D$26+'Calibration Check'!O10</f>
        <v>546687.40782733518</v>
      </c>
      <c r="R2" s="5">
        <f>'Balance of System Calculations'!$D$26+'Calibration Check'!P10</f>
        <v>548783.23505606258</v>
      </c>
      <c r="S2" s="5">
        <f>'Balance of System Calculations'!$D$26+'Calibration Check'!Q10</f>
        <v>549427.0622847901</v>
      </c>
      <c r="T2" s="5">
        <f>'Balance of System Calculations'!$D$26+'Calibration Check'!R10</f>
        <v>548793.88951351773</v>
      </c>
      <c r="U2" s="5">
        <f>'Balance of System Calculations'!$D$26+'Calibration Check'!S10</f>
        <v>547052.71674224513</v>
      </c>
      <c r="V2" s="5">
        <f>'Balance of System Calculations'!$D$26+'Calibration Check'!T10</f>
        <v>544411.54397097277</v>
      </c>
      <c r="W2" s="5">
        <f>'Balance of System Calculations'!$D$26+'Calibration Check'!U10</f>
        <v>541048.37119970017</v>
      </c>
      <c r="X2" s="5">
        <f>'Balance of System Calculations'!$D$26+'Calibration Check'!V10</f>
        <v>537087.19842842768</v>
      </c>
      <c r="Y2" s="5">
        <f>'Balance of System Calculations'!$D$26+'Calibration Check'!W10</f>
        <v>532523.02565715543</v>
      </c>
      <c r="Z2" s="5">
        <f>'Balance of System Calculations'!$D$26+'Calibration Check'!X10</f>
        <v>527460.85288588307</v>
      </c>
      <c r="AA2" s="5">
        <f>'Balance of System Calculations'!$D$26+'Calibration Check'!Y10</f>
        <v>521963.68011461047</v>
      </c>
      <c r="AB2" s="5">
        <f>'Balance of System Calculations'!$D$26+'Calibration Check'!Z10</f>
        <v>516095.5073433381</v>
      </c>
      <c r="AC2" s="5">
        <f>'Balance of System Calculations'!$D$26+'Calibration Check'!AA10</f>
        <v>509906.33457206585</v>
      </c>
      <c r="AD2" s="5">
        <f>'Balance of System Calculations'!$D$26+'Calibration Check'!AB10</f>
        <v>503428.16180079337</v>
      </c>
      <c r="AE2" s="5">
        <f>'Balance of System Calculations'!$D$26+'Calibration Check'!AC10</f>
        <v>496702.98902952101</v>
      </c>
      <c r="AF2" s="5">
        <f>'Balance of System Calculations'!$D$26+'Calibration Check'!AD10</f>
        <v>489762.81625824864</v>
      </c>
      <c r="AG2" s="5">
        <f>'Balance of System Calculations'!$D$26+'Calibration Check'!AE10</f>
        <v>482628.64348697616</v>
      </c>
      <c r="AH2" s="5">
        <f>'Balance of System Calculations'!$D$26+'Calibration Check'!AF10</f>
        <v>475325.47071570437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BE3C00-9504-4975-9E78-5F6466C59A6A}">
  <ds:schemaRefs>
    <ds:schemaRef ds:uri="http://schemas.microsoft.com/sharepoint/v3/contenttype/forms"/>
  </ds:schemaRefs>
</ds:datastoreItem>
</file>

<file path=customXml/itemProps2.xml><?xml version="1.0" encoding="utf-8"?>
<ds:datastoreItem xmlns:ds="http://schemas.openxmlformats.org/officeDocument/2006/customXml" ds:itemID="{95A46C12-9FE6-4E9A-A53E-BF2A84A43F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NREL ATB</vt:lpstr>
      <vt:lpstr>Balance of System Calculations</vt:lpstr>
      <vt:lpstr>Calibration Check</vt:lpstr>
      <vt:lpstr>BCpUC</vt:lpstr>
      <vt:lpstr>BBoSCpUC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 Orvis</dc:creator>
  <cp:keywords/>
  <dc:description/>
  <cp:lastModifiedBy>Andre Dixon</cp:lastModifiedBy>
  <cp:revision/>
  <dcterms:created xsi:type="dcterms:W3CDTF">2015-05-01T22:00:45Z</dcterms:created>
  <dcterms:modified xsi:type="dcterms:W3CDTF">2022-10-12T16:56:17Z</dcterms:modified>
  <cp:category/>
  <cp:contentStatus/>
</cp:coreProperties>
</file>