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state-eps-repos\eps-colorado\"/>
    </mc:Choice>
  </mc:AlternateContent>
  <xr:revisionPtr revIDLastSave="0" documentId="13_ncr:1_{4E0EDA8C-CA1E-4939-A47E-5491C50E9CE8}" xr6:coauthVersionLast="47" xr6:coauthVersionMax="47" xr10:uidLastSave="{00000000-0000-0000-0000-000000000000}"/>
  <bookViews>
    <workbookView xWindow="-120" yWindow="-120" windowWidth="29040" windowHeight="17520" firstSheet="3" activeTab="8"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28" i="27"/>
  <c r="J28" i="27" s="1"/>
  <c r="K28" i="27" s="1"/>
  <c r="G48" i="27"/>
  <c r="O48" i="27" s="1"/>
  <c r="P48" i="27" s="1"/>
  <c r="G8" i="27"/>
  <c r="G29" i="27"/>
  <c r="G49" i="27"/>
  <c r="G10" i="27"/>
  <c r="G32" i="27"/>
  <c r="F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N4" i="23" l="1"/>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F1" i="23" s="1"/>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S1" i="23"/>
  <c r="D1" i="23"/>
  <c r="X1" i="23"/>
  <c r="L1" i="23" l="1"/>
  <c r="H1" i="23"/>
  <c r="Y1" i="23"/>
  <c r="C1" i="23"/>
  <c r="P1" i="23"/>
  <c r="U1" i="23"/>
  <c r="I1" i="23"/>
  <c r="T1" i="23"/>
  <c r="AB1" i="23"/>
  <c r="E1" i="23"/>
  <c r="AG1" i="23"/>
  <c r="AC1" i="23"/>
  <c r="Q1" i="23"/>
  <c r="R1" i="23"/>
  <c r="G7" i="27" s="1"/>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7" i="27" l="1"/>
  <c r="P7" i="27" s="1"/>
  <c r="J7" i="27"/>
  <c r="K7" i="27" s="1"/>
  <c r="J21" i="27"/>
  <c r="K16" i="29" a="1"/>
  <c r="K16" i="29" s="1"/>
  <c r="L16" i="29" s="1"/>
  <c r="J14" i="19" s="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<sst xmlns="http://schemas.openxmlformats.org/spreadsheetml/2006/main" count="30722" uniqueCount="2649">
  <si>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</si>
  <si>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</si>
  <si>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</si>
  <si>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</si>
  <si>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</si>
  <si>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</si>
  <si>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</si>
  <si>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</si>
  <si>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</si>
  <si>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</si>
  <si>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</si>
  <si>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</si>
  <si>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</si>
  <si>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</si>
  <si>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</si>
  <si>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</si>
  <si>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</si>
  <si>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</si>
  <si>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</si>
  <si>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</si>
  <si>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</si>
  <si>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</si>
  <si>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</si>
  <si>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</si>
  <si>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</si>
  <si>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</si>
  <si>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</si>
  <si>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</si>
  <si>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</si>
  <si>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</si>
  <si>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</si>
  <si>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</si>
  <si>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</si>
  <si>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</si>
  <si>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</si>
  <si>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</si>
  <si>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</si>
  <si>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</si>
  <si>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</si>
  <si>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</si>
  <si>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</si>
  <si>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</si>
  <si>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</si>
  <si>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</si>
  <si>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</si>
  <si>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</si>
  <si>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</si>
  <si>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</si>
  <si>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</si>
  <si>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</si>
  <si>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</si>
  <si>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</si>
  <si>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</si>
  <si>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</si>
  <si>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</si>
  <si>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</si>
  <si>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</si>
  <si>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</si>
  <si>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</si>
  <si>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</si>
  <si>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</si>
  <si>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</si>
  <si>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</si>
  <si>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</si>
  <si>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</si>
  <si>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</si>
  <si>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</si>
  <si>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</si>
  <si>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</si>
  <si>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</si>
  <si>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</si>
  <si>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</si>
  <si>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</si>
  <si>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</si>
  <si>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</si>
  <si>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</si>
  <si>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</si>
  <si>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</si>
  <si>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</si>
  <si>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</si>
  <si>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</si>
  <si>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</si>
  <si>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</si>
  <si>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</si>
  <si>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</si>
  <si>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</si>
  <si>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</si>
  <si>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</si>
  <si>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</si>
  <si>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</si>
  <si>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</si>
  <si>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</si>
  <si>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</si>
  <si>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</si>
  <si>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</si>
  <si>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</si>
  <si>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</si>
  <si>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</si>
  <si>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</si>
  <si>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</si>
  <si>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</si>
  <si>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</si>
  <si>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</si>
  <si>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</si>
  <si>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</si>
  <si>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</si>
  <si>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</si>
  <si>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</si>
  <si>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</si>
  <si>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</si>
  <si>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</si>
  <si>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</si>
  <si>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</si>
  <si>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</si>
  <si>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</si>
  <si>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</si>
  <si>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</si>
  <si>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</si>
  <si>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</si>
  <si>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</si>
  <si>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</si>
  <si>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</si>
  <si>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</si>
  <si>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</si>
  <si>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</si>
  <si>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</si>
  <si>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</si>
  <si>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</si>
  <si>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</si>
  <si>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</si>
  <si>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</si>
  <si>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</si>
  <si>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</si>
  <si>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</si>
  <si>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</si>
  <si>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</si>
  <si>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</si>
  <si>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</si>
  <si>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</si>
  <si>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</si>
  <si>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</si>
  <si>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</si>
  <si>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</si>
  <si>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</si>
  <si>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</si>
  <si>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</si>
  <si>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</si>
  <si>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</si>
  <si>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</si>
  <si>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</si>
  <si>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</si>
  <si>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</si>
  <si>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</si>
  <si>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</si>
  <si>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</si>
  <si>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</si>
  <si>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</si>
  <si>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</si>
  <si>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</si>
  <si>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</si>
  <si>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</si>
  <si>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</si>
  <si>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</si>
  <si>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</si>
  <si>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</si>
  <si>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</si>
  <si>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</si>
  <si>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</si>
  <si>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</si>
  <si>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</si>
  <si>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</si>
  <si>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</si>
  <si>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</si>
  <si>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</si>
  <si>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</si>
  <si>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</si>
  <si>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</si>
  <si>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</si>
  <si>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</si>
  <si>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</si>
  <si>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</si>
  <si>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</si>
  <si>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</si>
  <si>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</si>
  <si>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</si>
  <si>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</si>
  <si>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</si>
  <si>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</si>
  <si>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</si>
  <si>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</si>
  <si>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</si>
  <si>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</si>
  <si>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</si>
  <si>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</si>
  <si>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</si>
  <si>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</si>
  <si>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</si>
  <si>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</si>
  <si>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</si>
  <si>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</si>
  <si>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</si>
  <si>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</si>
  <si>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</si>
  <si>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</si>
  <si>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</si>
  <si>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</si>
  <si>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</si>
  <si>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</si>
  <si>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</si>
  <si>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</si>
  <si>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</si>
  <si>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</si>
  <si>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</si>
  <si>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</si>
  <si>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</si>
  <si>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</si>
  <si>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</si>
  <si>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</si>
  <si>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</si>
  <si>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</si>
  <si>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</si>
  <si>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</si>
  <si>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</si>
  <si>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</si>
  <si>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</si>
  <si>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</si>
  <si>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</si>
  <si>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</si>
  <si>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</si>
  <si>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</si>
  <si>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</si>
  <si>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</si>
  <si>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</si>
  <si>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</si>
  <si>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</si>
  <si>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</si>
  <si>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</si>
  <si>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</si>
  <si>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</si>
  <si>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</si>
  <si>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</si>
  <si>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</si>
  <si>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</si>
  <si>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</si>
  <si>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</si>
  <si>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</si>
  <si>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</si>
  <si>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</si>
  <si>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</si>
  <si>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</si>
  <si>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</si>
  <si>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</si>
  <si>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</si>
  <si>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</si>
  <si>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</si>
  <si>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</si>
  <si>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</si>
  <si>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</si>
  <si>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</si>
  <si>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</si>
  <si>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</si>
  <si>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</si>
  <si>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</si>
  <si>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</si>
  <si>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</si>
  <si>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</si>
  <si>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</si>
  <si>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</si>
  <si>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</si>
  <si>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</si>
  <si>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</si>
  <si>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</si>
  <si>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</si>
  <si>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</si>
  <si>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</si>
  <si>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</si>
  <si>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</si>
  <si>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</si>
  <si>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</si>
  <si>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</si>
  <si>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</si>
  <si>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</si>
  <si>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</si>
  <si>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</si>
  <si>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</si>
  <si>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</si>
  <si>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</si>
  <si>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</si>
  <si>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</si>
  <si>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</si>
  <si>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</si>
  <si>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</si>
  <si>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</si>
  <si>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</si>
  <si>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</si>
  <si>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</si>
  <si>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</si>
  <si>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</si>
  <si>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</si>
  <si>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</si>
  <si>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</si>
  <si>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</si>
  <si>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</si>
  <si>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</si>
  <si>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</si>
  <si>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</si>
  <si>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</si>
  <si>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</si>
  <si>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</si>
  <si>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</si>
  <si>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</si>
  <si>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</si>
  <si>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</si>
  <si>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</si>
  <si>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</si>
  <si>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</si>
  <si>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</si>
  <si>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</si>
  <si>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</si>
  <si>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</si>
  <si>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</si>
  <si>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</si>
  <si>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</si>
  <si>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</si>
  <si>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</si>
  <si>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</si>
  <si>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</si>
  <si>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</si>
  <si>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</si>
  <si>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</si>
  <si>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</si>
  <si>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</si>
  <si>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</si>
  <si>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</si>
  <si>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</si>
  <si>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</si>
  <si>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</si>
  <si>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</si>
  <si>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</si>
  <si>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</si>
  <si>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</si>
  <si>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</si>
  <si>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</si>
  <si>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</si>
  <si>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</si>
  <si>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</si>
  <si>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</si>
  <si>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</si>
  <si>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</si>
  <si>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</si>
  <si>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</si>
  <si>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</si>
  <si>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</si>
  <si>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</si>
  <si>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</si>
  <si>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</si>
  <si>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</si>
  <si>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</si>
  <si>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</si>
  <si>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</si>
  <si>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</si>
  <si>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</si>
  <si>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</si>
  <si>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</si>
  <si>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</si>
  <si>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</si>
  <si>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</si>
  <si>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</si>
  <si>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</si>
  <si>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</si>
  <si>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</si>
  <si>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</si>
  <si>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</si>
  <si>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</si>
  <si>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</si>
  <si>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</si>
  <si>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</si>
  <si>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</si>
  <si>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</si>
  <si>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</si>
  <si>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</si>
  <si>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</si>
  <si>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</si>
  <si>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</si>
  <si>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</si>
  <si>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</si>
  <si>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</si>
  <si>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</si>
  <si>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</si>
  <si>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</si>
  <si>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</si>
  <si>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</si>
  <si>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</si>
  <si>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</si>
  <si>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</si>
  <si>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</si>
  <si>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</si>
  <si>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</si>
  <si>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</si>
  <si>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</si>
  <si>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</si>
  <si>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</si>
  <si>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</si>
  <si>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</si>
  <si>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</si>
  <si>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</si>
  <si>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</si>
  <si>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</si>
  <si>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</si>
  <si>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</si>
  <si>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</si>
  <si>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</si>
  <si>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</si>
  <si>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</si>
  <si>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</si>
  <si>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</si>
  <si>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</si>
  <si>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</si>
  <si>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</si>
  <si>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</si>
  <si>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</si>
  <si>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</si>
  <si>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</si>
  <si>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</si>
  <si>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</si>
  <si>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</si>
  <si>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</si>
  <si>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</si>
  <si>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</si>
  <si>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</si>
  <si>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</si>
  <si>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</si>
  <si>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</si>
  <si>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</si>
  <si>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</si>
  <si>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</si>
  <si>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</si>
  <si>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</si>
  <si>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</si>
  <si>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</si>
  <si>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</si>
  <si>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</si>
  <si>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</si>
  <si>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</si>
  <si>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</si>
  <si>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</si>
  <si>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</si>
  <si>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</si>
  <si>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</si>
  <si>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</si>
  <si>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</si>
  <si>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</si>
  <si>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</si>
  <si>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</si>
  <si>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</si>
  <si>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</si>
  <si>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</si>
  <si>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</si>
  <si>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</si>
  <si>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</si>
  <si>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</si>
  <si>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</si>
  <si>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</si>
  <si>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</si>
  <si>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</si>
  <si>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</si>
  <si>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</si>
  <si>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</si>
  <si>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</si>
  <si>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</si>
  <si>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</si>
  <si>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</si>
  <si>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</si>
  <si>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</si>
  <si>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</si>
  <si>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</si>
  <si>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</si>
  <si>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</si>
  <si>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</si>
  <si>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</si>
  <si>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</si>
  <si>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</si>
  <si>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</si>
  <si>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</si>
  <si>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</si>
  <si>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</si>
  <si>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</si>
  <si>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</si>
  <si>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</si>
  <si>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</si>
  <si>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</si>
  <si>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</si>
  <si>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</si>
  <si>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</si>
  <si>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</si>
  <si>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</si>
  <si>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</si>
  <si>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</si>
  <si>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</si>
  <si>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</si>
  <si>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</si>
  <si>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</si>
  <si>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</si>
  <si>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</si>
  <si>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</si>
  <si>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</si>
  <si>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</si>
  <si>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</si>
  <si>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</si>
  <si>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</si>
  <si>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</si>
  <si>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</si>
  <si>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</si>
  <si>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</si>
  <si>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</si>
  <si>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</si>
  <si>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</si>
  <si>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</si>
  <si>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</si>
  <si>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</si>
  <si>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</si>
  <si>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</si>
  <si>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</si>
  <si>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</si>
  <si>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</si>
  <si>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</si>
  <si>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</si>
  <si>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</si>
  <si>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</si>
  <si>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</si>
  <si>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</si>
  <si>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</si>
  <si>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</si>
  <si>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</si>
  <si>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</si>
  <si>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</si>
  <si>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</si>
  <si>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</si>
  <si>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</si>
  <si>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</si>
  <si>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</si>
  <si>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</si>
  <si>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</si>
  <si>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</si>
  <si>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</si>
  <si>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</si>
  <si>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</si>
  <si>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</si>
  <si>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</si>
  <si>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</si>
  <si>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</si>
  <si>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</si>
  <si>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</si>
  <si>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</si>
  <si>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</si>
  <si>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</si>
  <si>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</si>
  <si>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</si>
  <si>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</si>
  <si>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</si>
  <si>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</si>
  <si>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</si>
  <si>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</si>
  <si>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</si>
  <si>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</si>
  <si>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</si>
  <si>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</si>
  <si>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</si>
  <si>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</si>
  <si>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</si>
  <si>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</si>
  <si>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</si>
  <si>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</si>
  <si>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</si>
  <si>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</si>
  <si>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</si>
  <si>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</si>
  <si>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</si>
  <si>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</si>
  <si>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</si>
  <si>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</si>
  <si>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</si>
  <si>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</si>
  <si>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</si>
  <si>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</si>
  <si>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</si>
  <si>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</si>
  <si>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</si>
  <si>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</si>
  <si>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</si>
  <si>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</si>
  <si>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</si>
  <si>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</si>
  <si>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</si>
  <si>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</si>
  <si>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</si>
  <si>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</si>
  <si>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</si>
  <si>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</si>
  <si>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</si>
  <si>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</si>
  <si>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</si>
  <si>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</si>
  <si>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</si>
  <si>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</si>
  <si>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</si>
  <si>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</si>
  <si>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</si>
  <si>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</si>
  <si>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</si>
  <si>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</si>
  <si>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</si>
  <si>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</si>
  <si>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</si>
  <si>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</si>
  <si>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</si>
  <si>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</si>
  <si>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</si>
  <si>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</si>
  <si>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</si>
  <si>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</si>
  <si>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</si>
  <si>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</si>
  <si>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</si>
  <si>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</si>
  <si>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</si>
  <si>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</si>
  <si>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</si>
  <si>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</si>
  <si>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</si>
  <si>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</si>
  <si>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</si>
  <si>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</si>
  <si>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</si>
  <si>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</si>
  <si>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</si>
  <si>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</si>
  <si>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</si>
  <si>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</si>
  <si>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</si>
  <si>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</si>
  <si>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</si>
  <si>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</si>
  <si>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</si>
  <si>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</si>
  <si>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</si>
  <si>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</si>
  <si>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</si>
  <si>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</si>
  <si>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</si>
  <si>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</si>
  <si>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</si>
  <si>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</si>
  <si>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</si>
  <si>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</si>
  <si>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</si>
  <si>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</si>
  <si>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</si>
  <si>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</si>
  <si>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</si>
  <si>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</si>
  <si>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</si>
  <si>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</si>
  <si>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</si>
  <si>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</si>
  <si>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</si>
  <si>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</si>
  <si>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</si>
  <si>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</si>
  <si>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</si>
  <si>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</si>
  <si>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</si>
  <si>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</si>
  <si>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</si>
  <si>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</si>
  <si>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</si>
  <si>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</si>
  <si>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</si>
  <si>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</si>
  <si>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</si>
  <si>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</si>
  <si>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</si>
  <si>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</si>
  <si>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</si>
  <si>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</si>
  <si>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</si>
  <si>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</si>
  <si>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</si>
  <si>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</si>
  <si>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</si>
  <si>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</si>
  <si>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</si>
  <si>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</si>
  <si>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</si>
  <si>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</si>
  <si>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</si>
  <si>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</si>
  <si>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</si>
  <si>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</si>
  <si>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</si>
  <si>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</si>
  <si>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</si>
  <si>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</si>
  <si>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</si>
  <si>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</si>
  <si>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</si>
  <si>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</si>
  <si>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</si>
  <si>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</si>
  <si>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</si>
  <si>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</si>
  <si>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</si>
  <si>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</si>
  <si>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</si>
  <si>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</si>
  <si>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</si>
  <si>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</si>
  <si>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</si>
  <si>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</si>
  <si>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</si>
  <si>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</si>
  <si>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</si>
  <si>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</si>
  <si>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</si>
  <si>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</si>
  <si>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</si>
  <si>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</si>
  <si>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</si>
  <si>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</si>
  <si>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</si>
  <si>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</si>
  <si>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</si>
  <si>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</si>
  <si>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</si>
  <si>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</si>
  <si>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</si>
  <si>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</si>
  <si>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</si>
  <si>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</si>
  <si>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</si>
  <si>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</si>
  <si>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</si>
  <si>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</si>
  <si>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</si>
  <si>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</si>
  <si>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</si>
  <si>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</si>
  <si>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</si>
  <si>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</si>
  <si>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</si>
  <si>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</si>
  <si>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</si>
  <si>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</si>
  <si>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</si>
  <si>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</si>
  <si>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</si>
  <si>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</si>
  <si>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</si>
  <si>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</si>
  <si>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</si>
  <si>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</si>
  <si>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</si>
  <si>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</si>
  <si>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</si>
  <si>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</si>
  <si>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</si>
  <si>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</si>
  <si>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</si>
  <si>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</si>
  <si>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</si>
  <si>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</si>
  <si>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</si>
  <si>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</si>
  <si>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</si>
  <si>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</si>
  <si>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</si>
  <si>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</si>
  <si>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</si>
  <si>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</si>
  <si>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</si>
  <si>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</si>
  <si>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</si>
  <si>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</si>
  <si>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</si>
  <si>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</si>
  <si>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</si>
  <si>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</si>
  <si>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</si>
  <si>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</si>
  <si>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</si>
  <si>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</si>
  <si>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</si>
  <si>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</si>
  <si>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</si>
  <si>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</si>
  <si>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</si>
  <si>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</si>
  <si>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</si>
  <si>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</si>
  <si>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</si>
  <si>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</si>
  <si>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</si>
  <si>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</si>
  <si>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</si>
  <si>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</si>
  <si>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</si>
  <si>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</si>
  <si>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</si>
  <si>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</si>
  <si>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</si>
  <si>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</si>
  <si>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</si>
  <si>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</si>
  <si>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</si>
  <si>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</si>
  <si>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</si>
  <si>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</si>
  <si>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</si>
  <si>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</si>
  <si>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</si>
  <si>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</si>
  <si>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</si>
  <si>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</si>
  <si>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</si>
  <si>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</si>
  <si>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</si>
  <si>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</si>
  <si>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</si>
  <si>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</si>
  <si>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</si>
  <si>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</si>
  <si>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</si>
  <si>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</si>
  <si>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</si>
  <si>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</si>
  <si>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</si>
  <si>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</si>
  <si>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</si>
  <si>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</si>
  <si>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</si>
  <si>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</si>
  <si>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</si>
  <si>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</si>
  <si>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</si>
  <si>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</si>
  <si>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</si>
  <si>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</si>
  <si>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</si>
  <si>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</si>
  <si>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</si>
  <si>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</si>
  <si>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</si>
  <si>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</si>
  <si>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</si>
  <si>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</si>
  <si>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</si>
  <si>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</si>
  <si>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</si>
  <si>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</si>
  <si>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</si>
  <si>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</si>
  <si>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</si>
  <si>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</si>
  <si>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</si>
  <si>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</si>
  <si>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</si>
  <si>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</si>
  <si>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</si>
  <si>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</si>
  <si>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</si>
  <si>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</si>
  <si>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</si>
  <si>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</si>
  <si>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</si>
  <si>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</si>
  <si>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</si>
  <si>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</si>
  <si>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</si>
  <si>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</si>
  <si>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</si>
  <si>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</si>
  <si>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</si>
  <si>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</si>
  <si>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</si>
  <si>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</si>
  <si>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</si>
  <si>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</si>
  <si>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</si>
  <si>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</si>
  <si>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</si>
  <si>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</si>
  <si>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</si>
  <si>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</si>
  <si>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</si>
  <si>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</si>
  <si>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</si>
  <si>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</si>
  <si>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</si>
  <si>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</si>
  <si>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</si>
  <si>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</si>
  <si>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</si>
  <si>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</si>
  <si>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</si>
  <si>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</si>
  <si>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</si>
  <si>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</si>
  <si>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</si>
  <si>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</si>
  <si>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</si>
  <si>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</si>
  <si>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</si>
  <si>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</si>
  <si>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</si>
  <si>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</si>
  <si>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</si>
  <si>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</si>
  <si>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</si>
  <si>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</si>
  <si>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</si>
  <si>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</si>
  <si>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</si>
  <si>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</si>
  <si>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</si>
  <si>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</si>
  <si>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</si>
  <si>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</si>
  <si>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</si>
  <si>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</si>
  <si>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</si>
  <si>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</si>
  <si>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</si>
  <si>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</si>
  <si>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</si>
  <si>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</si>
  <si>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</si>
  <si>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</si>
  <si>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</si>
  <si>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</si>
  <si>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</si>
  <si>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</si>
  <si>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</si>
  <si>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</si>
  <si>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</si>
  <si>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</si>
  <si>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</si>
  <si>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</si>
  <si>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</si>
  <si>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</si>
  <si>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</si>
  <si>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</si>
  <si>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</si>
  <si>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</si>
  <si>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</si>
  <si>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</si>
  <si>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</si>
  <si>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</si>
  <si>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</si>
  <si>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</si>
  <si>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</si>
  <si>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</si>
  <si>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</si>
  <si>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</si>
  <si>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</si>
  <si>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</si>
  <si>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</si>
  <si>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</si>
  <si>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</si>
  <si>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</si>
  <si>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</si>
  <si>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</si>
  <si>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</si>
  <si>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</si>
  <si>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</si>
  <si>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</si>
  <si>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</si>
  <si>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</si>
  <si>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</si>
  <si>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</si>
  <si>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</si>
  <si>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</si>
  <si>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</si>
  <si>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</si>
  <si>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</si>
  <si>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</si>
  <si>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</si>
  <si>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</si>
  <si>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</si>
  <si>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</si>
  <si>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</si>
  <si>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</si>
  <si>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</si>
  <si>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</si>
  <si>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</si>
  <si>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</si>
  <si>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</si>
  <si>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</si>
  <si>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</si>
  <si>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</si>
  <si>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</si>
  <si>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</si>
  <si>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</si>
  <si>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</si>
  <si>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</si>
  <si>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</si>
  <si>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</si>
  <si>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</si>
  <si>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</si>
  <si>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</si>
  <si>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</si>
  <si>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</si>
  <si>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</si>
  <si>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</si>
  <si>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</si>
  <si>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</si>
  <si>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</si>
  <si>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</si>
  <si>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</si>
  <si>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</si>
  <si>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</si>
  <si>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</si>
  <si>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</si>
  <si>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</si>
  <si>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</si>
  <si>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</si>
  <si>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</si>
  <si>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</si>
  <si>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</si>
  <si>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</si>
  <si>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</si>
  <si>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</si>
  <si>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</si>
  <si>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</si>
  <si>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</si>
  <si>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</si>
  <si>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</si>
  <si>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</si>
  <si>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</si>
  <si>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</si>
  <si>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</si>
  <si>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</si>
  <si>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</si>
  <si>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</si>
  <si>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</si>
  <si>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</si>
  <si>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</si>
  <si>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</si>
  <si>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</si>
  <si>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</si>
  <si>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</si>
  <si>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</si>
  <si>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</si>
  <si>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</si>
  <si>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</si>
  <si>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</si>
  <si>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</si>
  <si>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</si>
  <si>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</si>
  <si>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</si>
  <si>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</si>
  <si>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</si>
  <si>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</si>
  <si>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</si>
  <si>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</si>
  <si>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</si>
  <si>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</si>
  <si>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</si>
  <si>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</si>
  <si>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</si>
  <si>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</si>
  <si>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</si>
  <si>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</si>
  <si>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</si>
  <si>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</si>
  <si>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</si>
  <si>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</si>
  <si>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</si>
  <si>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</si>
  <si>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</si>
  <si>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</si>
  <si>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</si>
  <si>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</si>
  <si>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</si>
  <si>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</si>
  <si>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</si>
  <si>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</si>
  <si>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</si>
  <si>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</si>
  <si>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</si>
  <si>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</si>
  <si>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</si>
  <si>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</si>
  <si>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</si>
  <si>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</si>
  <si>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</si>
  <si>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</si>
  <si>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</si>
  <si>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</si>
  <si>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</si>
  <si>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</si>
  <si>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</si>
  <si>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</si>
  <si>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</si>
  <si>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</si>
  <si>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</si>
  <si>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</si>
  <si>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</si>
  <si>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</si>
  <si>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</si>
  <si>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</si>
  <si>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</si>
  <si>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</si>
  <si>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</si>
  <si>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</si>
  <si>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</si>
  <si>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</si>
  <si>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</si>
  <si>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</si>
  <si>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</si>
  <si>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</si>
  <si>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</si>
  <si>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</si>
  <si>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</si>
  <si>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</si>
  <si>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</si>
  <si>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</si>
  <si>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</si>
  <si>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</si>
  <si>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</si>
  <si>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</si>
  <si>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</si>
  <si>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</si>
  <si>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</si>
  <si>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</si>
  <si>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</si>
  <si>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</si>
  <si>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</si>
  <si>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</si>
  <si>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</si>
  <si>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</si>
  <si>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</si>
  <si>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</si>
  <si>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</si>
  <si>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</si>
  <si>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</si>
  <si>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</si>
  <si>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</si>
  <si>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</si>
  <si>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</si>
  <si>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</si>
  <si>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</si>
  <si>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</si>
  <si>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</si>
  <si>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</si>
  <si>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</si>
  <si>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</si>
  <si>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</si>
  <si>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</si>
  <si>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</si>
  <si>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</si>
  <si>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</si>
  <si>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</si>
  <si>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</si>
  <si>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</si>
  <si>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</si>
  <si>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</si>
  <si>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</si>
  <si>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</si>
  <si>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</si>
  <si>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</si>
  <si>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</si>
  <si>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</si>
  <si>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</si>
  <si>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</si>
  <si>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</si>
  <si>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</si>
  <si>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</si>
  <si>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</si>
  <si>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</si>
  <si>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</si>
  <si>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</si>
  <si>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</si>
  <si>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</si>
  <si>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</si>
  <si>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</si>
  <si>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</si>
  <si>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</si>
  <si>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</si>
  <si>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</si>
  <si>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</si>
  <si>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</si>
  <si>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</si>
  <si>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</si>
  <si>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</si>
  <si>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</si>
  <si>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</si>
  <si>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</si>
  <si>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</si>
  <si>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</si>
  <si>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</si>
  <si>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</si>
  <si>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</si>
  <si>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</si>
  <si>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</si>
  <si>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</si>
  <si>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</si>
  <si>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</si>
  <si>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</si>
  <si>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</si>
  <si>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</si>
  <si>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</si>
  <si>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</si>
  <si>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</si>
  <si>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</si>
  <si>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</si>
  <si>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</si>
  <si>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</si>
  <si>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</si>
  <si>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</si>
  <si>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</si>
  <si>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</si>
  <si>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</si>
  <si>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</si>
  <si>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</si>
  <si>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</si>
  <si>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</si>
  <si>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</si>
  <si>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</si>
  <si>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</si>
  <si>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</si>
  <si>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</si>
  <si>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</si>
  <si>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</si>
  <si>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</si>
  <si>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</si>
  <si>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</si>
  <si>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</si>
  <si>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</si>
  <si>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</si>
  <si>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</si>
  <si>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</si>
  <si>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</si>
  <si>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</si>
  <si>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</si>
  <si>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</si>
  <si>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</si>
  <si>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</si>
  <si>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</si>
  <si>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</si>
  <si>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</si>
  <si>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</si>
  <si>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</si>
  <si>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</si>
  <si>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</si>
  <si>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</si>
  <si>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</si>
  <si>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</si>
  <si>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</si>
  <si>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</si>
  <si>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</si>
  <si>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</si>
  <si>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</si>
  <si>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</si>
  <si>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</si>
  <si>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</si>
  <si>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</si>
  <si>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</si>
  <si>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</si>
  <si>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</si>
  <si>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</si>
  <si>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</si>
  <si>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</si>
  <si>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</si>
  <si>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</si>
  <si>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</si>
  <si>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</si>
  <si>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</si>
  <si>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</si>
  <si>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</si>
  <si>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</si>
  <si>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</si>
  <si>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</si>
  <si>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</si>
  <si>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</si>
  <si>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</si>
  <si>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</si>
  <si>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</si>
  <si>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</si>
  <si>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</si>
  <si>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</si>
  <si>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</si>
  <si>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</si>
  <si>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</si>
  <si>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</si>
  <si>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</si>
  <si>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</si>
  <si>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</si>
  <si>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</si>
  <si>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</si>
  <si>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</si>
  <si>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</si>
  <si>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</si>
  <si>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</si>
  <si>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</si>
  <si>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</si>
  <si>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</si>
  <si>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</si>
  <si>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</si>
  <si>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</si>
  <si>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</si>
  <si>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</si>
  <si>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</si>
  <si>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</si>
  <si>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</si>
  <si>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</si>
  <si>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</si>
  <si>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</si>
  <si>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</si>
  <si>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</si>
  <si>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</si>
  <si>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</si>
  <si>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</si>
  <si>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</si>
  <si>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</si>
  <si>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</si>
  <si>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</si>
  <si>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</si>
  <si>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</si>
  <si>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</si>
  <si>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</si>
  <si>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</si>
  <si>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</si>
  <si>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</si>
  <si>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</si>
  <si>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</si>
  <si>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</si>
  <si>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</si>
  <si>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</si>
  <si>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</si>
  <si>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</si>
  <si>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</si>
  <si>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</si>
  <si>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</si>
  <si>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</si>
  <si>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</si>
  <si>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</si>
  <si>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</si>
  <si>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</si>
  <si>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</si>
  <si>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</si>
  <si>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</si>
  <si>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</si>
  <si>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</si>
  <si>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</si>
  <si>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</si>
  <si>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</si>
  <si>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</si>
  <si>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</si>
  <si>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</si>
  <si>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</si>
  <si>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</si>
  <si>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</si>
  <si>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</si>
  <si>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</si>
  <si>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</si>
  <si>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</si>
  <si>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</si>
  <si>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</si>
  <si>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</si>
  <si>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</si>
  <si>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</si>
  <si>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</si>
  <si>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</si>
  <si>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</si>
  <si>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</si>
  <si>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</si>
  <si>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</si>
  <si>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</si>
  <si>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</si>
  <si>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</si>
  <si>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</si>
  <si>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</si>
  <si>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</si>
  <si>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</si>
  <si>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</si>
  <si>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</si>
  <si>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</si>
  <si>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</si>
  <si>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</si>
  <si>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</si>
  <si>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</si>
  <si>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</si>
  <si>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</si>
  <si>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</si>
  <si>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</si>
  <si>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</si>
  <si>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</si>
  <si>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</si>
  <si>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</si>
  <si>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</si>
  <si>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</si>
  <si>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</si>
  <si>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</si>
  <si>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</si>
  <si>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</si>
  <si>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</si>
  <si>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</si>
  <si>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</si>
  <si>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</si>
  <si>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</si>
  <si>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</si>
  <si>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</si>
  <si>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</si>
  <si>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</si>
  <si>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</si>
  <si>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</si>
  <si>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</si>
  <si>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</si>
  <si>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</si>
  <si>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</si>
  <si>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</si>
  <si>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</si>
  <si>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</si>
  <si>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</si>
  <si>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</si>
  <si>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</si>
  <si>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</si>
  <si>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</si>
  <si>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</si>
  <si>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</si>
  <si>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</si>
  <si>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</si>
  <si>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</si>
  <si>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</si>
  <si>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</si>
  <si>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</si>
  <si>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</si>
  <si>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</si>
  <si>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</si>
  <si>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</si>
  <si>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</si>
  <si>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</si>
  <si>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</si>
  <si>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</si>
  <si>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</si>
  <si>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</si>
  <si>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</si>
  <si>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</si>
  <si>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</si>
  <si>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</si>
  <si>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</si>
  <si>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</si>
  <si>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</si>
  <si>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</si>
  <si>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</si>
  <si>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</si>
  <si>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</si>
  <si>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</si>
  <si>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</si>
  <si>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</si>
  <si>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</si>
  <si>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</si>
  <si>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</si>
  <si>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</si>
  <si>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</si>
  <si>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</si>
  <si>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</si>
  <si>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</si>
  <si>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</si>
  <si>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</si>
  <si>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</si>
  <si>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</si>
  <si>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</si>
  <si>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</si>
  <si>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</si>
  <si>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</si>
  <si>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</si>
  <si>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</si>
  <si>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</si>
  <si>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</si>
  <si>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</si>
  <si>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</si>
  <si>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</si>
  <si>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</si>
  <si>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</si>
  <si>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</si>
  <si>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</si>
  <si>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</si>
  <si>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</si>
  <si>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</si>
  <si>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</si>
  <si>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</si>
  <si>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</si>
  <si>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</si>
  <si>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</si>
  <si>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</si>
  <si>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</si>
  <si>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</si>
  <si>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</si>
  <si>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</si>
  <si>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</si>
  <si>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</si>
  <si>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</si>
  <si>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</si>
  <si>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</si>
  <si>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</si>
  <si>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</si>
  <si>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</si>
  <si>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</si>
  <si>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</si>
  <si>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</si>
  <si>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</si>
  <si>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</si>
  <si>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</si>
  <si>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</si>
  <si>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</si>
  <si>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</si>
  <si>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</si>
  <si>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</si>
  <si>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</si>
  <si>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</si>
  <si>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</si>
  <si>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</si>
  <si>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</si>
  <si>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</si>
  <si>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</si>
  <si>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</si>
  <si>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</si>
  <si>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</si>
  <si>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</si>
  <si>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</si>
  <si>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</si>
  <si>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</si>
  <si>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</si>
  <si>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</si>
  <si>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</si>
  <si>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</si>
  <si>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</si>
  <si>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</si>
  <si>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</si>
  <si>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</si>
  <si>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</si>
  <si>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</si>
  <si>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</si>
  <si>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</si>
  <si>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</si>
  <si>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</si>
  <si>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</si>
  <si>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</si>
  <si>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</si>
  <si>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</si>
  <si>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</si>
  <si>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</si>
  <si>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</si>
  <si>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</si>
  <si>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</si>
  <si>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</si>
  <si>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</si>
  <si>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</si>
  <si>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</si>
  <si>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</si>
  <si>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</si>
  <si>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</si>
  <si>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</si>
  <si>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</si>
  <si>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</si>
  <si>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</si>
  <si>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</si>
  <si>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</si>
  <si>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</si>
  <si>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</si>
  <si>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</si>
  <si>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</si>
  <si>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</si>
  <si>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</si>
  <si>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</si>
  <si>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</si>
  <si>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</si>
  <si>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</si>
  <si>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</si>
  <si>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</si>
  <si>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</si>
  <si>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</si>
  <si>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</si>
  <si>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</si>
  <si>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</si>
  <si>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</si>
  <si>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</si>
  <si>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</si>
  <si>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</si>
  <si>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</si>
  <si>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</si>
  <si>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</si>
  <si>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</si>
  <si>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</si>
  <si>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</si>
  <si>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</si>
  <si>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</si>
  <si>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</si>
  <si>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</si>
  <si>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</si>
  <si>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</si>
  <si>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</si>
  <si>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</si>
  <si>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</si>
  <si>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</si>
  <si>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</si>
  <si>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</si>
  <si>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</si>
  <si>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</si>
  <si>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</si>
  <si>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</si>
  <si>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</si>
  <si>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</si>
  <si>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</si>
  <si>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</si>
  <si>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</si>
  <si>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</si>
  <si>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</si>
  <si>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</si>
  <si>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</si>
  <si>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</si>
  <si>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</si>
  <si>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</si>
  <si>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</si>
  <si>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</si>
  <si>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</si>
  <si>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</si>
  <si>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</si>
  <si>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</si>
  <si>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</si>
  <si>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</si>
  <si>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</si>
  <si>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</si>
  <si>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</si>
  <si>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</si>
  <si>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</si>
  <si>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</si>
  <si>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</si>
  <si>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</si>
  <si>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</si>
  <si>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</si>
  <si>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</si>
  <si>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</si>
  <si>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</si>
  <si>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</si>
  <si>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</si>
  <si>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</si>
  <si>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</si>
  <si>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</si>
  <si>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</si>
  <si>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</si>
  <si>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</si>
  <si>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</si>
  <si>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</si>
  <si>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</si>
  <si>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</si>
  <si>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</si>
  <si>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</si>
  <si>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</si>
  <si>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</si>
  <si>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</si>
  <si>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</si>
  <si>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</si>
  <si>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</si>
  <si>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</si>
  <si>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</si>
  <si>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</si>
  <si>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</si>
  <si>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</si>
  <si>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</si>
  <si>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</si>
  <si>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</si>
  <si>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</si>
  <si>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</si>
  <si>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</si>
  <si>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</si>
  <si>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</si>
  <si>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</si>
  <si>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</si>
  <si>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</si>
  <si>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</si>
  <si>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</si>
  <si>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</si>
  <si>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</si>
  <si>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</si>
  <si>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</si>
  <si>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</si>
  <si>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</si>
  <si>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</si>
  <si>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</si>
  <si>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</si>
  <si>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</si>
  <si>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</si>
  <si>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</si>
  <si>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</si>
  <si>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</si>
  <si>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</si>
  <si>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</si>
  <si>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</si>
  <si>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</si>
  <si>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</si>
  <si>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</si>
  <si>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</si>
  <si>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</si>
  <si>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</si>
  <si>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</si>
  <si>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</si>
  <si>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</si>
  <si>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</si>
  <si>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</si>
  <si>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</si>
  <si>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</si>
  <si>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</si>
  <si>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</si>
  <si>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</si>
  <si>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</si>
  <si>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</si>
  <si>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</si>
  <si>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</si>
  <si>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</si>
  <si>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</si>
  <si>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</si>
  <si>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</si>
  <si>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</si>
  <si>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</si>
  <si>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</si>
  <si>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</si>
  <si>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</si>
  <si>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</si>
  <si>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</si>
  <si>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</si>
  <si>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</si>
  <si>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</si>
  <si>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</si>
  <si>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</si>
  <si>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</si>
  <si>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</si>
  <si>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</si>
  <si>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</si>
  <si>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</si>
  <si>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</si>
  <si>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</si>
  <si>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</si>
  <si>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</si>
  <si>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</si>
  <si>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</si>
  <si>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</si>
  <si>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</si>
  <si>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</si>
  <si>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</si>
  <si>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</si>
  <si>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</si>
  <si>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</si>
  <si>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</si>
  <si>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</si>
  <si>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</si>
  <si>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</si>
  <si>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</si>
  <si>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</si>
  <si>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</si>
  <si>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</si>
  <si>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</si>
  <si>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</si>
  <si>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</si>
  <si>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</si>
  <si>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</si>
  <si>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</si>
  <si>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</si>
  <si>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</si>
  <si>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</si>
  <si>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</si>
  <si>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</si>
  <si>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</si>
  <si>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</si>
  <si>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</si>
  <si>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</si>
  <si>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</si>
  <si>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</si>
  <si>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</si>
  <si>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</si>
  <si>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</si>
  <si>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</si>
  <si>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</si>
  <si>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</si>
  <si>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</si>
  <si>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</si>
  <si>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</si>
  <si>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</si>
  <si>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</si>
  <si>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</si>
  <si>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</si>
  <si>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</si>
  <si>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</si>
  <si>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</si>
  <si>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</si>
  <si>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</si>
  <si>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</si>
  <si>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</si>
  <si>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</si>
  <si>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</si>
  <si>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</si>
  <si>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</si>
  <si>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</si>
  <si>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</si>
  <si>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</si>
  <si>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</si>
  <si>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</si>
  <si>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</si>
  <si>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</si>
  <si>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</si>
  <si>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</si>
  <si>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</si>
  <si>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</si>
  <si>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</si>
  <si>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</si>
  <si>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</si>
  <si>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</si>
  <si>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</si>
  <si>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</si>
  <si>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</si>
  <si>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</si>
  <si>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</si>
  <si>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</si>
  <si>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</si>
  <si>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</si>
  <si>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</si>
  <si>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</si>
  <si>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</si>
  <si>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</si>
  <si>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</si>
  <si>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</si>
  <si>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</si>
  <si>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</si>
  <si>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</si>
  <si>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</si>
  <si>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</si>
  <si>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</si>
  <si>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</si>
  <si>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</si>
  <si>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</si>
  <si>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</si>
  <si>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</si>
  <si>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</si>
  <si>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</si>
  <si>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</si>
  <si>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</si>
  <si>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</si>
  <si>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</si>
  <si>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</si>
  <si>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</si>
  <si>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</si>
  <si>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</si>
  <si>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</si>
  <si>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</si>
  <si>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</si>
  <si>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</si>
  <si>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</si>
  <si>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</si>
  <si>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</si>
  <si>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</si>
  <si>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</si>
  <si>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</si>
  <si>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</si>
  <si>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</si>
  <si>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</si>
  <si>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</si>
  <si>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</si>
  <si>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</si>
  <si>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</si>
  <si>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</si>
  <si>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</si>
  <si>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</si>
  <si>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</si>
  <si>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</si>
  <si>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</si>
  <si>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</si>
  <si>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</si>
  <si>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</si>
  <si>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</si>
  <si>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</si>
  <si>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</si>
  <si>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</si>
  <si>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</si>
  <si>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</si>
  <si>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</si>
  <si>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</si>
  <si>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</si>
  <si>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</si>
  <si>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</si>
  <si>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</si>
  <si>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</si>
  <si>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</si>
  <si>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</si>
  <si>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</si>
  <si>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</si>
  <si>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</si>
  <si>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</si>
  <si>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</si>
  <si>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</si>
  <si>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</si>
  <si>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</si>
  <si>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</si>
  <si>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</si>
  <si>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</si>
  <si>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</si>
  <si>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</si>
  <si>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</si>
  <si>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</si>
  <si>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</si>
  <si>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</si>
  <si>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</si>
  <si>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</si>
  <si>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</si>
  <si>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</si>
  <si>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</si>
  <si>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</si>
  <si>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</si>
  <si>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</si>
  <si>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</si>
  <si>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</si>
  <si>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</si>
  <si>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</si>
  <si>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</si>
  <si>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</si>
  <si>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</si>
  <si>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</si>
  <si>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</si>
  <si>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</si>
  <si>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</si>
  <si>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</si>
  <si>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</si>
  <si>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</si>
  <si>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</si>
  <si>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</si>
  <si>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</si>
  <si>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</si>
  <si>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</si>
  <si>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</si>
  <si>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</si>
  <si>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</si>
  <si>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</si>
  <si>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</si>
  <si>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</si>
  <si>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</si>
  <si>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</si>
  <si>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</si>
  <si>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</si>
  <si>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</si>
  <si>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</si>
  <si>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</si>
  <si>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</si>
  <si>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</si>
  <si>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</si>
  <si>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</si>
  <si>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</si>
  <si>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</si>
  <si>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</si>
  <si>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</si>
  <si>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</si>
  <si>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</si>
  <si>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</si>
  <si>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</si>
  <si>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</si>
  <si>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</si>
  <si>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</si>
  <si>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</si>
  <si>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</si>
  <si>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</si>
  <si>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</si>
  <si>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</si>
  <si>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</si>
  <si>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</si>
  <si>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</si>
  <si>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</si>
  <si>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</si>
  <si>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</si>
  <si>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</si>
  <si>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</si>
  <si>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</si>
  <si>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</si>
  <si>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</si>
  <si>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</si>
  <si>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</si>
  <si>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</si>
  <si>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</si>
  <si>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</si>
  <si>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</si>
  <si>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</si>
  <si>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</si>
  <si>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</si>
  <si>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</si>
  <si>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</si>
  <si>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</si>
  <si>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</si>
  <si>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</si>
  <si>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</si>
  <si>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</si>
  <si>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</si>
  <si>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</si>
  <si>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</si>
  <si>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</si>
  <si>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</si>
  <si>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</si>
  <si>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</si>
  <si>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</si>
  <si>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</si>
  <si>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</si>
  <si>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</si>
  <si>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</si>
  <si>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</si>
  <si>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</si>
  <si>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</si>
  <si>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</si>
  <si>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</si>
  <si>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</si>
  <si>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</si>
  <si>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</si>
  <si>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</si>
  <si>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</si>
  <si>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</si>
  <si>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</si>
  <si>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</si>
  <si>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</si>
  <si>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</si>
  <si>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</si>
  <si>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</si>
  <si>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</si>
  <si>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</si>
  <si>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</si>
  <si>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</si>
  <si>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</si>
  <si>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</si>
  <si>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</si>
  <si>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</si>
  <si>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</si>
  <si>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</si>
  <si>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</si>
  <si>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</si>
  <si>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</si>
  <si>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</si>
  <si>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</si>
  <si>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</si>
  <si>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</si>
  <si>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</si>
  <si>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</si>
  <si>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</si>
  <si>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</si>
  <si>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</si>
  <si>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</si>
  <si>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</si>
  <si>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</si>
  <si>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</si>
  <si>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</si>
  <si>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</si>
  <si>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</si>
  <si>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</si>
  <si>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</si>
  <si>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</si>
  <si>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</si>
  <si>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</si>
  <si>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</si>
  <si>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</si>
  <si>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</si>
  <si>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</si>
  <si>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</si>
  <si>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</si>
  <si>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</si>
  <si>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</si>
  <si>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</si>
  <si>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</si>
  <si>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</si>
  <si>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</si>
  <si>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</si>
  <si>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</si>
  <si>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</si>
  <si>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</si>
  <si>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</si>
  <si>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</si>
  <si>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</si>
  <si>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</si>
  <si>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</si>
  <si>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</si>
  <si>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</si>
  <si>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</si>
  <si>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</si>
  <si>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</si>
  <si>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</si>
  <si>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</si>
  <si>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</si>
  <si>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</si>
  <si>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</si>
  <si>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</si>
  <si>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</si>
  <si>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</si>
  <si>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</si>
  <si>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</si>
  <si>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</si>
  <si>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</si>
  <si>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</si>
  <si>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</si>
  <si>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</si>
  <si>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</si>
  <si>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</si>
  <si>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</si>
  <si>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</si>
  <si>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</si>
  <si>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</si>
  <si>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</si>
  <si>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</si>
  <si>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</si>
  <si>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</si>
  <si>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</si>
  <si>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</si>
  <si>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</si>
  <si>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</si>
  <si>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</si>
  <si>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</si>
  <si>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</si>
  <si>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</si>
  <si>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</si>
  <si>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</si>
  <si>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</si>
  <si>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</si>
  <si>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</si>
  <si>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</si>
  <si>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</si>
  <si>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</si>
  <si>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</si>
  <si>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</si>
  <si>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</si>
  <si>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</si>
  <si>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</si>
  <si>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</si>
  <si>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</si>
  <si>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</si>
  <si>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</si>
  <si>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</si>
  <si>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</si>
  <si>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</si>
  <si>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</si>
  <si>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</si>
  <si>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</si>
  <si>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</si>
  <si>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</si>
  <si>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</si>
  <si>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</si>
  <si>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</si>
  <si>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</si>
  <si>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</si>
  <si>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</si>
  <si>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</si>
  <si>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</si>
  <si>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</si>
  <si>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</si>
  <si>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</si>
  <si>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</si>
  <si>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</si>
  <si>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</si>
  <si>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</si>
  <si>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</si>
  <si>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</si>
  <si>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</si>
  <si>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</si>
  <si>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</si>
  <si>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</si>
  <si>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</si>
  <si>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</si>
  <si>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</si>
  <si>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</si>
  <si>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</si>
  <si>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</si>
  <si>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</si>
  <si>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</si>
  <si>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</si>
  <si>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</si>
  <si>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</si>
  <si>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</si>
  <si>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</si>
  <si>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</si>
  <si>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</si>
  <si>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</si>
  <si>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</si>
  <si>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</si>
  <si>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</si>
  <si>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</si>
  <si>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</si>
  <si>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</si>
  <si>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</si>
  <si>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</si>
  <si>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</si>
  <si>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</si>
  <si>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</si>
  <si>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</si>
  <si>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</si>
  <si>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</si>
  <si>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</si>
  <si>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</si>
  <si>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</si>
  <si>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</si>
  <si>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</si>
  <si>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</si>
  <si>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</si>
  <si>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</si>
  <si>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</si>
  <si>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</si>
  <si>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</si>
  <si>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</si>
  <si>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</si>
  <si>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</si>
  <si>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</si>
  <si>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</si>
  <si>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</si>
  <si>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</si>
  <si>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</si>
  <si>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</si>
  <si>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</si>
  <si>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</si>
  <si>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</si>
  <si>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</si>
  <si>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</si>
  <si>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</si>
  <si>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</si>
  <si>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</si>
  <si>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</si>
  <si>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</si>
  <si>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</si>
  <si>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</si>
  <si>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</si>
  <si>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</si>
  <si>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</si>
  <si>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</si>
  <si>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</si>
  <si>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</si>
  <si>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</si>
  <si>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</si>
  <si>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</si>
  <si>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</si>
  <si>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</si>
  <si>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</si>
  <si>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</si>
  <si>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</si>
  <si>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</si>
  <si>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</si>
  <si>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</si>
  <si>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</si>
  <si>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</si>
  <si>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</si>
  <si>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</si>
  <si>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</si>
  <si>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</si>
  <si>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</si>
  <si>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</si>
  <si>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</si>
  <si>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</si>
  <si>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</si>
  <si>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</si>
  <si>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</si>
  <si>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</si>
  <si>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</si>
  <si>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</si>
  <si>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</si>
  <si>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</si>
  <si>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</si>
  <si>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</si>
  <si>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</si>
  <si>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</si>
  <si>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</si>
  <si>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</si>
  <si>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</si>
  <si>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</si>
  <si>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</si>
  <si>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</si>
  <si>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</si>
  <si>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</si>
  <si>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</si>
  <si>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</si>
  <si>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</si>
  <si>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</si>
  <si>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</si>
  <si>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</si>
  <si>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</si>
  <si>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</si>
  <si>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</si>
  <si>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</si>
  <si>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</si>
  <si>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</si>
  <si>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</si>
  <si>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</si>
  <si>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</si>
  <si>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</si>
  <si>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</si>
  <si>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</si>
  <si>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</si>
  <si>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</si>
  <si>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</si>
  <si>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</si>
  <si>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</si>
  <si>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</si>
  <si>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</si>
  <si>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</si>
  <si>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</si>
  <si>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</si>
  <si>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</si>
  <si>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</si>
  <si>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</si>
  <si>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</si>
  <si>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</si>
  <si>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</si>
  <si>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</si>
  <si>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</si>
  <si>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</si>
  <si>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</si>
  <si>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</si>
  <si>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</si>
  <si>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</si>
  <si>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</si>
  <si>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</si>
  <si>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</si>
  <si>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</si>
  <si>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</si>
  <si>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</si>
  <si>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</si>
  <si>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</si>
  <si>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</si>
  <si>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</si>
  <si>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</si>
  <si>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</si>
  <si>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</si>
  <si>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</si>
  <si>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</si>
  <si>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</si>
  <si>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</si>
  <si>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</si>
  <si>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</si>
  <si>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</si>
  <si>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</si>
  <si>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</si>
  <si>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</si>
  <si>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</si>
  <si>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</si>
  <si>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</si>
  <si>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</si>
  <si>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</si>
  <si>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</si>
  <si>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</si>
  <si>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</si>
  <si>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</si>
  <si>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</si>
  <si>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</si>
  <si>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</si>
  <si>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</si>
  <si>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</si>
  <si>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</si>
  <si>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</si>
  <si>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</si>
  <si>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</si>
  <si>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</si>
  <si>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</si>
  <si>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</si>
  <si>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</si>
  <si>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</si>
  <si>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</si>
  <si>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</si>
  <si>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</si>
  <si>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</si>
  <si>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</si>
  <si>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</si>
  <si>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</si>
  <si>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</si>
  <si>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</si>
  <si>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</si>
  <si>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</si>
  <si>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</si>
  <si>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</si>
  <si>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</si>
  <si>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</si>
  <si>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</si>
  <si>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</si>
  <si>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</si>
  <si>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</si>
  <si>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</si>
  <si>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</si>
  <si>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</si>
  <si>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</si>
  <si>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</si>
  <si>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</si>
  <si>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</si>
  <si>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</si>
  <si>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</si>
  <si>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</si>
  <si>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</si>
  <si>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</si>
  <si>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</si>
  <si>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</si>
  <si>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</si>
  <si>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</si>
  <si>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</si>
  <si>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</si>
  <si>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</si>
  <si>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</si>
  <si>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</si>
  <si>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</si>
  <si>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</si>
  <si>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</si>
  <si>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</si>
  <si>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</si>
  <si>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</si>
  <si>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</si>
  <si>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</si>
  <si>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</si>
  <si>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</si>
  <si>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</si>
  <si>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</si>
  <si>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</si>
  <si>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</si>
  <si>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</si>
  <si>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</si>
  <si>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</si>
  <si>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</si>
  <si>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</si>
  <si>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</si>
  <si>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</si>
  <si>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</si>
  <si>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</si>
  <si>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</si>
  <si>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</si>
  <si>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</si>
  <si>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</si>
  <si>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</si>
  <si>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</si>
  <si>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</si>
  <si>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</si>
  <si>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</si>
  <si>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</si>
  <si>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</si>
  <si>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</si>
  <si>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</si>
  <si>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</si>
  <si>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</si>
  <si>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</si>
  <si>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</si>
  <si>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</si>
  <si>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</si>
  <si>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</si>
  <si>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</si>
  <si>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</si>
  <si>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</si>
  <si>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</si>
  <si>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</si>
  <si>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</si>
  <si>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</si>
  <si>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</si>
  <si>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</si>
  <si>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</si>
  <si>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</si>
  <si>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</si>
  <si>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</si>
  <si>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</si>
  <si>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</si>
  <si>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</si>
  <si>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</si>
  <si>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</si>
  <si>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</si>
  <si>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</si>
  <si>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</si>
  <si>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</si>
  <si>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</si>
  <si>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</si>
  <si>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</si>
  <si>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</si>
  <si>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</si>
  <si>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</si>
  <si>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</si>
  <si>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</si>
  <si>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</si>
  <si>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</si>
  <si>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</si>
  <si>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</si>
  <si>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</si>
  <si>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</si>
  <si>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</si>
  <si>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</si>
  <si>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</si>
  <si>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</si>
  <si>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</si>
  <si>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</si>
  <si>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</si>
  <si>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</si>
  <si>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</si>
  <si>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</si>
  <si>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</si>
  <si>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</si>
  <si>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</si>
  <si>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</si>
  <si>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</si>
  <si>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</si>
  <si>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</si>
  <si>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</si>
  <si>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</si>
  <si>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</si>
  <si>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</si>
  <si>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</si>
  <si>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</si>
  <si>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</si>
  <si>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</si>
  <si>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</si>
  <si>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</si>
  <si>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</si>
  <si>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</si>
  <si>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</si>
  <si>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</si>
  <si>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</si>
  <si>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</si>
  <si>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</si>
  <si>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</si>
  <si>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</si>
  <si>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</si>
  <si>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</si>
  <si>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</si>
  <si>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</si>
  <si>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</si>
  <si>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</si>
  <si>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</si>
  <si>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</si>
  <si>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</si>
  <si>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</si>
  <si>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</si>
  <si>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</si>
  <si>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</si>
  <si>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</si>
  <si>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</si>
  <si>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</si>
  <si>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</si>
  <si>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</si>
  <si>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</si>
  <si>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</si>
  <si>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</si>
  <si>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</si>
  <si>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</si>
  <si>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</si>
  <si>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</si>
  <si>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</si>
  <si>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</si>
  <si>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</si>
  <si>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</si>
  <si>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</si>
  <si>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</si>
  <si>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</si>
  <si>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</si>
  <si>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</si>
  <si>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</si>
  <si>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</si>
  <si>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</si>
  <si>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</si>
  <si>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</si>
  <si>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</si>
  <si>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</si>
  <si>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</si>
  <si>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</si>
  <si>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</si>
  <si>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</si>
  <si>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</si>
  <si>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</si>
  <si>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</si>
  <si>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</si>
  <si>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</si>
  <si>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</si>
  <si>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</si>
  <si>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</si>
  <si>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</si>
  <si>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</si>
  <si>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</si>
  <si>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</si>
  <si>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</si>
  <si>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</si>
  <si>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</si>
  <si>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</si>
  <si>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</si>
  <si>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</si>
  <si>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</si>
  <si>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</si>
  <si>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</si>
  <si>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</si>
  <si>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</si>
  <si>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</si>
  <si>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</si>
  <si>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</si>
  <si>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</si>
  <si>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</si>
  <si>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</si>
  <si>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</si>
  <si>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</si>
  <si>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</si>
  <si>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</si>
  <si>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</si>
  <si>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</si>
  <si>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</si>
  <si>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</si>
  <si>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</si>
  <si>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</si>
  <si>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</si>
  <si>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</si>
  <si>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</si>
  <si>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</si>
  <si>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</si>
  <si>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</si>
  <si>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</si>
  <si>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</si>
  <si>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</si>
  <si>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</si>
  <si>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</si>
  <si>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</si>
  <si>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</si>
  <si>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</si>
  <si>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</si>
  <si>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</si>
  <si>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</si>
  <si>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</si>
  <si>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</si>
  <si>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</si>
  <si>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</si>
  <si>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</si>
  <si>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</si>
  <si>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</si>
  <si>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</si>
  <si>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</si>
  <si>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</si>
  <si>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</si>
  <si>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</si>
  <si>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</si>
  <si>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</si>
  <si>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</si>
  <si>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</si>
  <si>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</si>
  <si>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</si>
  <si>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</si>
  <si>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</si>
  <si>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</si>
  <si>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</si>
  <si>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</si>
  <si>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</si>
  <si>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</si>
  <si>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</si>
  <si>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</si>
  <si>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</si>
  <si>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</si>
  <si>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</si>
  <si>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BAU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</si>
</sst>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7"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
      <sz val="11"/>
      <color rgb="FF161616"/>
      <name val="Arial"/>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3">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96" fillId="0" borderId="0" xfId="0" applyFont="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2289</v>
      </c>
      <c r="C1" s="194">
        <v>45764</v>
      </c>
      <c r="G1" s="123" t="s">
        <v>2262</v>
      </c>
      <c r="H1" s="123" t="s">
        <v>2263</v>
      </c>
    </row>
    <row r="2" spans="1:8" x14ac:dyDescent="0.25">
      <c r="B2" t="str">
        <f>_xlfn.XLOOKUP(B1,H:H,G:G,0,0,1)</f>
        <v>CO</v>
      </c>
      <c r="C2" t="str">
        <f>_xlfn.XLOOKUP(B2,G:G, H:H, 0,0,1)</f>
        <v>Colorado</v>
      </c>
      <c r="G2" t="s">
        <v>2080</v>
      </c>
      <c r="H2" t="s">
        <v>2279</v>
      </c>
    </row>
    <row r="3" spans="1:8" x14ac:dyDescent="0.25">
      <c r="A3" t="s">
        <v>103</v>
      </c>
      <c r="G3" t="s">
        <v>2081</v>
      </c>
      <c r="H3" t="s">
        <v>2280</v>
      </c>
    </row>
    <row r="4" spans="1:8" x14ac:dyDescent="0.25">
      <c r="A4" t="s">
        <v>136</v>
      </c>
      <c r="G4" t="s">
        <v>2082</v>
      </c>
      <c r="H4" t="s">
        <v>2281</v>
      </c>
    </row>
    <row r="5" spans="1:8" x14ac:dyDescent="0.25">
      <c r="A5" t="s">
        <v>107</v>
      </c>
      <c r="G5" t="s">
        <v>2083</v>
      </c>
      <c r="H5" t="s">
        <v>2282</v>
      </c>
    </row>
    <row r="6" spans="1:8" x14ac:dyDescent="0.25">
      <c r="A6" t="s">
        <v>104</v>
      </c>
      <c r="G6" t="s">
        <v>2084</v>
      </c>
      <c r="H6" t="s">
        <v>2283</v>
      </c>
    </row>
    <row r="7" spans="1:8" x14ac:dyDescent="0.25">
      <c r="G7" t="s">
        <v>474</v>
      </c>
      <c r="H7" t="s">
        <v>2289</v>
      </c>
    </row>
    <row r="8" spans="1:8" x14ac:dyDescent="0.25">
      <c r="A8" t="s">
        <v>105</v>
      </c>
      <c r="G8" t="s">
        <v>2085</v>
      </c>
      <c r="H8" t="s">
        <v>2295</v>
      </c>
    </row>
    <row r="9" spans="1:8" x14ac:dyDescent="0.25">
      <c r="A9" t="s">
        <v>106</v>
      </c>
      <c r="G9" t="s">
        <v>2086</v>
      </c>
      <c r="H9" t="s">
        <v>2086</v>
      </c>
    </row>
    <row r="10" spans="1:8" x14ac:dyDescent="0.25">
      <c r="A10" s="36" t="s">
        <v>1003</v>
      </c>
      <c r="G10" t="s">
        <v>2087</v>
      </c>
      <c r="H10" t="s">
        <v>2301</v>
      </c>
    </row>
    <row r="11" spans="1:8" x14ac:dyDescent="0.25">
      <c r="A11" s="36"/>
      <c r="G11" t="s">
        <v>2088</v>
      </c>
      <c r="H11" t="s">
        <v>2306</v>
      </c>
    </row>
    <row r="12" spans="1:8" x14ac:dyDescent="0.25">
      <c r="A12" t="s">
        <v>108</v>
      </c>
      <c r="G12" t="s">
        <v>2089</v>
      </c>
      <c r="H12" t="s">
        <v>2310</v>
      </c>
    </row>
    <row r="13" spans="1:8" x14ac:dyDescent="0.25">
      <c r="A13" t="s">
        <v>109</v>
      </c>
      <c r="G13" t="s">
        <v>2090</v>
      </c>
      <c r="H13" t="s">
        <v>2311</v>
      </c>
    </row>
    <row r="14" spans="1:8" x14ac:dyDescent="0.25">
      <c r="A14" t="s">
        <v>110</v>
      </c>
      <c r="G14" t="s">
        <v>2091</v>
      </c>
      <c r="H14" t="s">
        <v>2312</v>
      </c>
    </row>
    <row r="15" spans="1:8" x14ac:dyDescent="0.25">
      <c r="G15" t="s">
        <v>2092</v>
      </c>
      <c r="H15" t="s">
        <v>2313</v>
      </c>
    </row>
    <row r="16" spans="1:8" x14ac:dyDescent="0.25">
      <c r="A16" s="37" t="s">
        <v>1089</v>
      </c>
      <c r="B16" s="38"/>
      <c r="G16" t="s">
        <v>2093</v>
      </c>
      <c r="H16" t="s">
        <v>2314</v>
      </c>
    </row>
    <row r="17" spans="1:8" x14ac:dyDescent="0.25">
      <c r="A17" t="s">
        <v>1072</v>
      </c>
      <c r="B17" s="15">
        <f>MAX(PolicyLevers!H:H)</f>
        <v>2769</v>
      </c>
      <c r="G17" t="s">
        <v>2094</v>
      </c>
      <c r="H17" t="s">
        <v>2315</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2316</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2317</v>
      </c>
    </row>
    <row r="20" spans="1:8" x14ac:dyDescent="0.25">
      <c r="G20" t="s">
        <v>2097</v>
      </c>
      <c r="H20" t="s">
        <v>2320</v>
      </c>
    </row>
    <row r="21" spans="1:8" x14ac:dyDescent="0.25">
      <c r="A21" s="37" t="s">
        <v>1437</v>
      </c>
      <c r="B21" s="38"/>
      <c r="G21" t="s">
        <v>2098</v>
      </c>
      <c r="H21" t="s">
        <v>2325</v>
      </c>
    </row>
    <row r="22" spans="1:8" x14ac:dyDescent="0.25">
      <c r="A22" t="s">
        <v>1431</v>
      </c>
      <c r="G22" t="s">
        <v>2099</v>
      </c>
      <c r="H22" t="s">
        <v>2330</v>
      </c>
    </row>
    <row r="23" spans="1:8" x14ac:dyDescent="0.25">
      <c r="A23" t="s">
        <v>1432</v>
      </c>
      <c r="G23" t="s">
        <v>2100</v>
      </c>
      <c r="H23" t="s">
        <v>2336</v>
      </c>
    </row>
    <row r="24" spans="1:8" x14ac:dyDescent="0.25">
      <c r="A24" t="s">
        <v>1433</v>
      </c>
      <c r="G24" t="s">
        <v>2101</v>
      </c>
      <c r="H24" t="s">
        <v>2341</v>
      </c>
    </row>
    <row r="25" spans="1:8" x14ac:dyDescent="0.25">
      <c r="A25" t="s">
        <v>1434</v>
      </c>
      <c r="G25" t="s">
        <v>2102</v>
      </c>
      <c r="H25" t="s">
        <v>2347</v>
      </c>
    </row>
    <row r="26" spans="1:8" x14ac:dyDescent="0.25">
      <c r="G26" t="s">
        <v>2103</v>
      </c>
      <c r="H26" t="s">
        <v>2353</v>
      </c>
    </row>
    <row r="27" spans="1:8" x14ac:dyDescent="0.25">
      <c r="A27" s="37" t="s">
        <v>1435</v>
      </c>
      <c r="B27" s="38"/>
      <c r="C27" s="38"/>
      <c r="G27" t="s">
        <v>2104</v>
      </c>
      <c r="H27" t="s">
        <v>2354</v>
      </c>
    </row>
    <row r="28" spans="1:8" x14ac:dyDescent="0.25">
      <c r="A28" t="s">
        <v>1082</v>
      </c>
      <c r="G28" t="s">
        <v>2105</v>
      </c>
      <c r="H28" t="s">
        <v>2355</v>
      </c>
    </row>
    <row r="29" spans="1:8" x14ac:dyDescent="0.25">
      <c r="A29" t="s">
        <v>1068</v>
      </c>
      <c r="G29" t="s">
        <v>2106</v>
      </c>
      <c r="H29" t="s">
        <v>2357</v>
      </c>
    </row>
    <row r="30" spans="1:8" x14ac:dyDescent="0.25">
      <c r="A30" t="s">
        <v>1069</v>
      </c>
      <c r="G30" t="s">
        <v>2107</v>
      </c>
      <c r="H30" t="s">
        <v>2361</v>
      </c>
    </row>
    <row r="31" spans="1:8" x14ac:dyDescent="0.25">
      <c r="A31" t="s">
        <v>1070</v>
      </c>
      <c r="G31" t="s">
        <v>475</v>
      </c>
      <c r="H31" t="s">
        <v>2362</v>
      </c>
    </row>
    <row r="32" spans="1:8" x14ac:dyDescent="0.25">
      <c r="A32" t="s">
        <v>1071</v>
      </c>
      <c r="G32" t="s">
        <v>2108</v>
      </c>
      <c r="H32" t="s">
        <v>2363</v>
      </c>
    </row>
    <row r="33" spans="1:8" x14ac:dyDescent="0.25">
      <c r="G33" t="s">
        <v>2109</v>
      </c>
      <c r="H33" t="s">
        <v>2368</v>
      </c>
    </row>
    <row r="34" spans="1:8" x14ac:dyDescent="0.25">
      <c r="A34" t="s">
        <v>1083</v>
      </c>
      <c r="G34" t="s">
        <v>2110</v>
      </c>
      <c r="H34" t="s">
        <v>2374</v>
      </c>
    </row>
    <row r="35" spans="1:8" x14ac:dyDescent="0.25">
      <c r="A35" t="s">
        <v>1066</v>
      </c>
      <c r="G35" t="s">
        <v>2111</v>
      </c>
      <c r="H35" t="s">
        <v>2377</v>
      </c>
    </row>
    <row r="36" spans="1:8" x14ac:dyDescent="0.25">
      <c r="A36" t="s">
        <v>1067</v>
      </c>
      <c r="G36" t="s">
        <v>2112</v>
      </c>
      <c r="H36" t="s">
        <v>2381</v>
      </c>
    </row>
    <row r="37" spans="1:8" x14ac:dyDescent="0.25">
      <c r="G37" t="s">
        <v>2113</v>
      </c>
      <c r="H37" t="s">
        <v>2385</v>
      </c>
    </row>
    <row r="38" spans="1:8" x14ac:dyDescent="0.25">
      <c r="A38" t="s">
        <v>1084</v>
      </c>
      <c r="G38" t="s">
        <v>2114</v>
      </c>
      <c r="H38" t="s">
        <v>2386</v>
      </c>
    </row>
    <row r="39" spans="1:8" x14ac:dyDescent="0.25">
      <c r="A39" t="s">
        <v>1073</v>
      </c>
      <c r="G39" t="s">
        <v>2115</v>
      </c>
      <c r="H39" t="s">
        <v>2387</v>
      </c>
    </row>
    <row r="40" spans="1:8" x14ac:dyDescent="0.25">
      <c r="A40" t="s">
        <v>1074</v>
      </c>
      <c r="G40" t="s">
        <v>2116</v>
      </c>
      <c r="H40" t="s">
        <v>2392</v>
      </c>
    </row>
    <row r="41" spans="1:8" x14ac:dyDescent="0.25">
      <c r="G41" t="s">
        <v>2117</v>
      </c>
      <c r="H41" t="s">
        <v>2397</v>
      </c>
    </row>
    <row r="42" spans="1:8" x14ac:dyDescent="0.25">
      <c r="A42" t="s">
        <v>1085</v>
      </c>
      <c r="G42" t="s">
        <v>2118</v>
      </c>
      <c r="H42" t="s">
        <v>2402</v>
      </c>
    </row>
    <row r="43" spans="1:8" x14ac:dyDescent="0.25">
      <c r="A43" t="s">
        <v>1075</v>
      </c>
      <c r="G43" t="s">
        <v>2119</v>
      </c>
      <c r="H43" t="s">
        <v>2403</v>
      </c>
    </row>
    <row r="44" spans="1:8" x14ac:dyDescent="0.25">
      <c r="A44" t="s">
        <v>1076</v>
      </c>
      <c r="G44" t="s">
        <v>2120</v>
      </c>
      <c r="H44" t="s">
        <v>2404</v>
      </c>
    </row>
    <row r="45" spans="1:8" x14ac:dyDescent="0.25">
      <c r="G45" t="s">
        <v>2121</v>
      </c>
      <c r="H45" t="s">
        <v>2405</v>
      </c>
    </row>
    <row r="46" spans="1:8" x14ac:dyDescent="0.25">
      <c r="A46" s="37" t="s">
        <v>1436</v>
      </c>
      <c r="B46" s="38"/>
      <c r="G46" t="s">
        <v>2122</v>
      </c>
      <c r="H46" t="s">
        <v>2406</v>
      </c>
    </row>
    <row r="47" spans="1:8" x14ac:dyDescent="0.25">
      <c r="A47" t="s">
        <v>1077</v>
      </c>
      <c r="G47" t="s">
        <v>2123</v>
      </c>
      <c r="H47" t="s">
        <v>2407</v>
      </c>
    </row>
    <row r="48" spans="1:8" x14ac:dyDescent="0.25">
      <c r="A48" t="s">
        <v>1078</v>
      </c>
      <c r="G48" t="s">
        <v>2124</v>
      </c>
      <c r="H48" t="s">
        <v>2409</v>
      </c>
    </row>
    <row r="49" spans="1:8" x14ac:dyDescent="0.25">
      <c r="G49" t="s">
        <v>2125</v>
      </c>
      <c r="H49" t="s">
        <v>2413</v>
      </c>
    </row>
    <row r="50" spans="1:8" x14ac:dyDescent="0.25">
      <c r="A50" t="s">
        <v>1079</v>
      </c>
      <c r="G50" t="s">
        <v>2126</v>
      </c>
      <c r="H50" t="s">
        <v>2417</v>
      </c>
    </row>
    <row r="51" spans="1:8" x14ac:dyDescent="0.25">
      <c r="A51" t="s">
        <v>1086</v>
      </c>
      <c r="G51" t="s">
        <v>2127</v>
      </c>
      <c r="H51" t="s">
        <v>2418</v>
      </c>
    </row>
    <row r="52" spans="1:8" x14ac:dyDescent="0.25">
      <c r="A52" t="s">
        <v>1080</v>
      </c>
      <c r="G52" t="s">
        <v>2128</v>
      </c>
      <c r="H52" t="s">
        <v>2419</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2635</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2622</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2596</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2597</v>
      </c>
      <c r="K13" s="88" t="s">
        <v>192</v>
      </c>
      <c r="L13" s="78" t="s">
        <v>193</v>
      </c>
      <c r="M13" s="234" t="s">
        <v>1428</v>
      </c>
    </row>
    <row r="14" spans="1:14" ht="15.75" x14ac:dyDescent="0.25">
      <c r="A14" s="143" t="s">
        <v>4</v>
      </c>
      <c r="B14" s="143" t="s">
        <v>1601</v>
      </c>
      <c r="C14" s="235" t="s">
        <v>2584</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2618</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2644</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2591</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2623</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2592</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2645</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2593</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Colorado.</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2636</v>
      </c>
    </row>
    <row r="40" spans="1:14" x14ac:dyDescent="0.25">
      <c r="A40" t="s">
        <v>8</v>
      </c>
      <c r="B40" t="s">
        <v>59</v>
      </c>
      <c r="C40" t="s">
        <v>129</v>
      </c>
      <c r="D40" t="s">
        <v>59</v>
      </c>
      <c r="E40" s="58"/>
      <c r="F40">
        <v>0</v>
      </c>
      <c r="G40">
        <v>1</v>
      </c>
      <c r="H40">
        <v>1</v>
      </c>
      <c r="I40" s="88" t="s">
        <v>29</v>
      </c>
      <c r="J40" s="225" t="s">
        <v>2624</v>
      </c>
    </row>
    <row r="41" spans="1:14" x14ac:dyDescent="0.25">
      <c r="A41" t="s">
        <v>8</v>
      </c>
      <c r="B41" t="s">
        <v>1857</v>
      </c>
      <c r="C41" t="s">
        <v>1858</v>
      </c>
      <c r="D41" t="s">
        <v>1857</v>
      </c>
      <c r="E41" s="58"/>
      <c r="F41">
        <v>0</v>
      </c>
      <c r="G41">
        <v>1</v>
      </c>
      <c r="H41">
        <v>1</v>
      </c>
      <c r="I41" s="88" t="s">
        <v>29</v>
      </c>
      <c r="J41" s="225" t="s">
        <v>2637</v>
      </c>
    </row>
    <row r="42" spans="1:14" s="244" customFormat="1" x14ac:dyDescent="0.25">
      <c r="A42" s="244" t="s">
        <v>8</v>
      </c>
      <c r="B42" s="244" t="s">
        <v>355</v>
      </c>
      <c r="C42" s="244" t="s">
        <v>356</v>
      </c>
      <c r="D42" s="244" t="s">
        <v>355</v>
      </c>
      <c r="E42" s="244" t="s">
        <v>529</v>
      </c>
      <c r="F42" s="245">
        <v>0</v>
      </c>
      <c r="G42" s="245">
        <v>1</v>
      </c>
      <c r="H42" s="245">
        <v>1</v>
      </c>
      <c r="I42" s="246" t="s">
        <v>29</v>
      </c>
      <c r="J42" s="232" t="s">
        <v>2545</v>
      </c>
      <c r="K42" s="246"/>
      <c r="L42" s="247" t="s">
        <v>2546</v>
      </c>
      <c r="M42" s="248"/>
      <c r="N42" s="246"/>
    </row>
    <row r="43" spans="1:14" x14ac:dyDescent="0.25">
      <c r="A43" s="143" t="s">
        <v>8</v>
      </c>
      <c r="B43" s="143" t="s">
        <v>2628</v>
      </c>
      <c r="C43" t="s">
        <v>253</v>
      </c>
      <c r="D43" s="143" t="s">
        <v>252</v>
      </c>
      <c r="E43" t="s">
        <v>528</v>
      </c>
      <c r="F43" s="223">
        <v>-0.3</v>
      </c>
      <c r="G43" s="223">
        <v>0.6</v>
      </c>
      <c r="H43" s="223">
        <v>0.01</v>
      </c>
      <c r="I43" s="78" t="s">
        <v>254</v>
      </c>
      <c r="J43" s="88" t="s">
        <v>2629</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2641</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2625</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2585</v>
      </c>
      <c r="C49" t="s">
        <v>2587</v>
      </c>
      <c r="D49" t="s">
        <v>1795</v>
      </c>
      <c r="E49" t="s">
        <v>2588</v>
      </c>
      <c r="F49" s="217">
        <v>-100</v>
      </c>
      <c r="G49">
        <v>100</v>
      </c>
      <c r="H49">
        <v>1</v>
      </c>
      <c r="I49" s="88" t="s">
        <v>1833</v>
      </c>
      <c r="J49" s="88" t="s">
        <v>2620</v>
      </c>
      <c r="K49" s="88"/>
      <c r="L49" s="78"/>
      <c r="M49" s="228"/>
    </row>
    <row r="50" spans="1:14" x14ac:dyDescent="0.25">
      <c r="A50" t="s">
        <v>8</v>
      </c>
      <c r="B50" t="s">
        <v>1796</v>
      </c>
      <c r="C50" t="s">
        <v>1794</v>
      </c>
      <c r="D50" t="s">
        <v>1795</v>
      </c>
      <c r="E50" t="s">
        <v>1799</v>
      </c>
      <c r="F50" s="217">
        <v>-100</v>
      </c>
      <c r="G50">
        <v>100</v>
      </c>
      <c r="H50">
        <v>1</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2626</v>
      </c>
      <c r="K51" s="88"/>
      <c r="L51" s="78"/>
      <c r="M51" s="228"/>
    </row>
    <row r="52" spans="1:14" x14ac:dyDescent="0.25">
      <c r="A52" t="s">
        <v>8</v>
      </c>
      <c r="B52" t="s">
        <v>1803</v>
      </c>
      <c r="C52" t="s">
        <v>1804</v>
      </c>
      <c r="D52" t="s">
        <v>1803</v>
      </c>
      <c r="E52" t="s">
        <v>1805</v>
      </c>
      <c r="F52">
        <v>-100</v>
      </c>
      <c r="G52">
        <v>100</v>
      </c>
      <c r="H52">
        <v>1</v>
      </c>
      <c r="I52" s="143" t="s">
        <v>1806</v>
      </c>
      <c r="J52" s="88" t="s">
        <v>2598</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2627</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2621</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2594</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2581</v>
      </c>
      <c r="C72" s="112" t="s">
        <v>1941</v>
      </c>
      <c r="D72" s="112" t="s">
        <v>2582</v>
      </c>
      <c r="E72" s="112" t="s">
        <v>2583</v>
      </c>
      <c r="F72" s="251">
        <v>0</v>
      </c>
      <c r="G72" s="251">
        <v>1</v>
      </c>
      <c r="H72" s="251">
        <v>1</v>
      </c>
      <c r="I72" s="237" t="s">
        <v>29</v>
      </c>
      <c r="J72" s="237" t="s">
        <v>2619</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2632</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2646</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2647</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2638</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2639</v>
      </c>
      <c r="K91" s="88" t="s">
        <v>239</v>
      </c>
      <c r="L91" s="78" t="s">
        <v>240</v>
      </c>
    </row>
    <row r="92" spans="1:14" x14ac:dyDescent="0.25">
      <c r="A92" s="143" t="s">
        <v>10</v>
      </c>
      <c r="B92" t="s">
        <v>1519</v>
      </c>
      <c r="C92" t="s">
        <v>1562</v>
      </c>
      <c r="D92" s="58"/>
      <c r="E92" s="58"/>
      <c r="F92">
        <v>0</v>
      </c>
      <c r="G92">
        <v>1</v>
      </c>
      <c r="H92">
        <v>1</v>
      </c>
      <c r="I92" s="88" t="s">
        <v>29</v>
      </c>
      <c r="J92" t="s">
        <v>2640</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2634</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2586</v>
      </c>
      <c r="C114" t="s">
        <v>2589</v>
      </c>
      <c r="D114" s="58"/>
      <c r="E114" t="s">
        <v>2590</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2515</v>
      </c>
      <c r="K1" s="98" t="s">
        <v>2516</v>
      </c>
      <c r="L1" s="98" t="s">
        <v>2</v>
      </c>
      <c r="M1" s="98" t="s">
        <v>2517</v>
      </c>
      <c r="N1" s="98" t="s">
        <v>2518</v>
      </c>
      <c r="O1" s="98" t="s">
        <v>2519</v>
      </c>
      <c r="P1" s="98" t="s">
        <v>2520</v>
      </c>
      <c r="Q1" s="98" t="s">
        <v>2521</v>
      </c>
      <c r="R1" s="98" t="s">
        <v>2522</v>
      </c>
      <c r="S1" s="98" t="s">
        <v>2523</v>
      </c>
      <c r="T1" s="98" t="s">
        <v>2524</v>
      </c>
    </row>
    <row r="2" spans="1:20" x14ac:dyDescent="0.25">
      <c r="A2" t="s">
        <v>71</v>
      </c>
      <c r="B2" t="s">
        <v>15</v>
      </c>
      <c r="C2" t="s">
        <v>727</v>
      </c>
      <c r="D2" t="s">
        <v>15</v>
      </c>
      <c r="E2" t="s">
        <v>726</v>
      </c>
      <c r="F2" s="221">
        <v>0</v>
      </c>
      <c r="G2" s="221">
        <v>1</v>
      </c>
      <c r="H2" s="221">
        <v>0.01</v>
      </c>
      <c r="I2" s="88" t="s">
        <v>113</v>
      </c>
      <c r="J2" s="88" t="s">
        <v>2525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Colorado, the share of electricity among fuels used for heating in urban, residential buildings will rise from 9% to 13%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Colorado, the share of electricity among fuels used for appliances in urban, residential buildings will rise from 34%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Colorado, the share of electricity among fuels used for heating in rural, residential buildings will rise from 9%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Colorado, the share of electricity among fuels used for appliances in rural, residential buildings will rise from 34%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Colorado, the share of electricity among fuels used for heating in commercial buildings will fall from 5% to 5%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Colorado, the share of electricity among fuels used for appliances in commercial buildings will fall from 43% to 41%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Colorado, the share of electricity among fuels used for other components in commercial buildings will rise from 64% to 74% through 2050.</v>
      </c>
    </row>
    <row r="3" spans="1:20" x14ac:dyDescent="0.25">
      <c r="A3" t="s">
        <v>8</v>
      </c>
      <c r="B3" s="88" t="s">
        <v>1360</v>
      </c>
      <c r="C3" s="222" t="s">
        <v>2526</v>
      </c>
      <c r="D3" s="88" t="s">
        <v>1360</v>
      </c>
      <c r="E3" t="s">
        <v>526</v>
      </c>
      <c r="F3" s="221">
        <v>0</v>
      </c>
      <c r="G3" s="8">
        <v>1</v>
      </c>
      <c r="H3" s="8">
        <v>0.01</v>
      </c>
      <c r="I3" s="88" t="s">
        <v>34</v>
      </c>
      <c r="J3" s="114" t="s">
        <v>2527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2528</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2529</v>
      </c>
      <c r="K5" t="str">
        <f>_xlfn.CONCAT("From 2008 to 2021, electricity imports grew by ",'Supporting Data'!F3,"%.")</f>
        <v>From 2008 to 2021, electricity imports grew by -1%.</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row>
    <row r="6" spans="1:20" x14ac:dyDescent="0.25">
      <c r="A6" t="s">
        <v>8</v>
      </c>
      <c r="B6" t="s">
        <v>17</v>
      </c>
      <c r="C6" t="s">
        <v>27</v>
      </c>
      <c r="D6" t="s">
        <v>17</v>
      </c>
      <c r="E6" t="s">
        <v>531</v>
      </c>
      <c r="F6" s="221">
        <v>0</v>
      </c>
      <c r="G6" s="8">
        <v>1</v>
      </c>
      <c r="H6" s="8">
        <v>0.01</v>
      </c>
      <c r="I6" s="88" t="s">
        <v>33</v>
      </c>
      <c r="J6" s="88" t="s">
        <v>2530</v>
      </c>
      <c r="K6" t="str">
        <f>_xlfn.CONCAT("For ", About!$C$2, ", a 100% setting provides for an additional  ",'Supporting Data'!J3," MW of demand response capacity in 2050 (on top of a BAU quantity of ", 'Supporting Data'!L3, " MW).")</f>
        <v>For Colorado, a 100% setting provides for an additional  2693 MW of demand response capacity in 2050 (on top of a BAU quantity of 1288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row>
    <row r="7" spans="1:20" x14ac:dyDescent="0.25">
      <c r="A7" s="143" t="s">
        <v>8</v>
      </c>
      <c r="B7" t="s">
        <v>1026</v>
      </c>
      <c r="C7" t="s">
        <v>1028</v>
      </c>
      <c r="D7" t="s">
        <v>1026</v>
      </c>
      <c r="E7" t="s">
        <v>1029</v>
      </c>
      <c r="F7" s="223">
        <v>0</v>
      </c>
      <c r="G7" s="223">
        <v>0.95</v>
      </c>
      <c r="H7" s="223">
        <v>0.01</v>
      </c>
      <c r="I7" s="78" t="s">
        <v>1030</v>
      </c>
      <c r="J7" s="88" t="s">
        <v>2531</v>
      </c>
      <c r="K7" t="s">
        <v>2532</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Colorado does not have a capacity construction subsidy. However, the Investment Tax Credit, a similar program for solar power, covers 30% of system costs through 2019, with declining amounts thereafter.//**Solar PV: **Colorado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**Colorado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Colorado does not have a capacity construction subsidy. However, the Investment Tax Credit, a similar program for solar power, covers 30% of system costs through 2019, with declining amounts thereafter.</v>
      </c>
      <c r="N7" t="s">
        <v>2533</v>
      </c>
      <c r="O7" t="str">
        <f>_xlfn.CONCAT("//**Solar PV: **",About!$C$2," does not have a capacity construction subsidy. ")&amp;N7</f>
        <v>//**Solar PV: **Colorado does not have a capacity construction subsidy. However, the Investment Tax Credit, a similar program for solar power, covers 30% of system costs through 2019, with declining amounts thereafter.</v>
      </c>
      <c r="P7" t="s">
        <v>2534</v>
      </c>
      <c r="Q7" t="str">
        <f>_xlfn.CONCAT("//**Offshore Wind: **",About!$C$2," does not have a capacity construction subsidy. ")&amp;N7</f>
        <v>//**Offshore Wind: **Colorado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2631</v>
      </c>
      <c r="K8" t="str">
        <f>_xlfn.CONCAT(" If this policy is fully implemented, the afforestation/reforestation rate reaches ",'Supporting Data'!C3," thousand acres per year in 2050.")</f>
        <v xml:space="preserve"> If this policy is fully implemented, the afforestation/reforestation rate reaches 219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row>
    <row r="9" spans="1:20" x14ac:dyDescent="0.25">
      <c r="A9" s="143" t="s">
        <v>8</v>
      </c>
      <c r="B9" s="143" t="s">
        <v>326</v>
      </c>
      <c r="C9" t="s">
        <v>327</v>
      </c>
      <c r="D9" s="143" t="s">
        <v>326</v>
      </c>
      <c r="E9" t="s">
        <v>535</v>
      </c>
      <c r="F9" s="143">
        <v>0</v>
      </c>
      <c r="G9" s="143">
        <v>1</v>
      </c>
      <c r="H9" s="143">
        <v>1</v>
      </c>
      <c r="I9" s="78" t="s">
        <v>29</v>
      </c>
      <c r="J9" s="88" t="s">
        <v>2535</v>
      </c>
      <c r="K9" t="str">
        <f>_xlfn.CONCAT(" No new coal is planned in ", 'Supporting Data'!A3, ".")</f>
        <v xml:space="preserve"> No new coal is planned in Colorado.</v>
      </c>
      <c r="L9" s="143" t="str">
        <f>J9&amp;K9</f>
        <v>**Description:** This policy prevents new capacity of the selected type(s) from being built or deployed.  // **Guidance for setting values:** No new coal is planned in Colorado.</v>
      </c>
      <c r="M9" s="102"/>
    </row>
    <row r="10" spans="1:20" ht="180" x14ac:dyDescent="0.25">
      <c r="A10" s="143" t="s">
        <v>4</v>
      </c>
      <c r="B10" s="143" t="s">
        <v>1609</v>
      </c>
      <c r="C10" t="s">
        <v>1611</v>
      </c>
      <c r="D10" s="143" t="s">
        <v>1613</v>
      </c>
      <c r="E10" t="s">
        <v>1614</v>
      </c>
      <c r="F10" s="224">
        <v>0</v>
      </c>
      <c r="G10" s="224">
        <v>50000</v>
      </c>
      <c r="H10" s="224">
        <v>100</v>
      </c>
      <c r="I10" s="224" t="s">
        <v>1616</v>
      </c>
      <c r="J10" s="225" t="s">
        <v>2642</v>
      </c>
      <c r="K10" s="220" t="str">
        <f>_xlfn.CONCAT(IF('Supporting Data'!$AN$3=0," This state has no additional state subsidies. ",_xlfn.CONCAT(" As of late 2020, there is an additional state subsidy of $",'Supporting Data'!$AN$3,".")))</f>
        <v xml:space="preserve"> As of late 2020, there is an additional state subsidy of $2400.</v>
      </c>
      <c r="L10" s="220"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2643</v>
      </c>
      <c r="K11" s="220" t="str">
        <f>_xlfn.CONCAT(IF('Supporting Data'!$AO$3=0," This state has no additional state subsidies. ",_xlfn.CONCAT(" As of late 2020, there is an additional state subsidy of $",'Supporting Data'!$AO$3,".")))</f>
        <v xml:space="preserve"> As of late 2020, there is an additional state subsidy of $4000.</v>
      </c>
      <c r="L11" s="220" t="str">
        <f>J11&amp;K11</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M11" s="226"/>
      <c r="N11" s="227"/>
    </row>
    <row r="12" spans="1:20" x14ac:dyDescent="0.25">
      <c r="A12" t="s">
        <v>8</v>
      </c>
      <c r="B12" t="s">
        <v>128</v>
      </c>
      <c r="C12" t="s">
        <v>127</v>
      </c>
      <c r="D12" t="s">
        <v>128</v>
      </c>
      <c r="E12" t="s">
        <v>530</v>
      </c>
      <c r="F12" s="34">
        <v>0</v>
      </c>
      <c r="G12" s="34">
        <v>25000</v>
      </c>
      <c r="H12" s="34">
        <v>500</v>
      </c>
      <c r="I12" s="88" t="s">
        <v>185</v>
      </c>
      <c r="J12" s="88" t="s">
        <v>2536</v>
      </c>
      <c r="K12" s="143" t="str">
        <f>_xlfn.CONCAT("**Hard coal:** The EIA projects that ", About!$C$2, " will retire ", 'Supporting Data'!M3, " MW of coal by 2050. ", About!$C$2, " currently has ",'Supporting Data'!T3, " MW of coal capacity." )</f>
        <v>**Hard coal:** The EIA projects that Colorado will retire 3300 MW of coal by 2050. Colorado currently has 4337 MW of coal capacity.</v>
      </c>
      <c r="L12" s="78" t="str">
        <f>J12&amp;K12&amp;M12&amp;N12&amp;O12&amp;P12</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CO will retire 300 MW of natural gas by 2050. CO currently has 3219 MW of natural gas non-peaker capacity.</v>
      </c>
      <c r="N12" t="str">
        <f>_xlfn.CONCAT("//**Nuclear:** The EIA projects that ", About!B2, " will retire ", 'Supporting Data'!$O$3, " MW of nuclear by 2050. ", About!B2, " currently has ",'Supporting Data'!$V$3, " MW of nuclear capacity." )</f>
        <v>//**Nuclear:** The EIA projects that CO will retire 0 MW of nuclear by 2050. CO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CO will retire 150 MW of natural gas by 2050. CO currently has 3172 MW of natural gas peaker capacity.</v>
      </c>
      <c r="P12" t="str">
        <f>_xlfn.CONCAT("//**Lignite:** The EIA projects that ", About!B2, " will retire ", 'Supporting Data'!$S$3, " MW of lignite by 2050. ", About!B2, " currently has ",'Supporting Data'!$AE$3, " MW of lignite capacity." )</f>
        <v>//**Lignite:** The EIA projects that CO will retire 0 MW of lignite by 2050. CO currently has 0 MW of lignite capacity.</v>
      </c>
    </row>
    <row r="13" spans="1:20" x14ac:dyDescent="0.25">
      <c r="A13" t="s">
        <v>9</v>
      </c>
      <c r="B13" t="s">
        <v>731</v>
      </c>
      <c r="C13" t="s">
        <v>732</v>
      </c>
      <c r="D13" t="s">
        <v>732</v>
      </c>
      <c r="E13" t="s">
        <v>733</v>
      </c>
      <c r="F13" s="221">
        <v>0</v>
      </c>
      <c r="G13" s="8">
        <v>1</v>
      </c>
      <c r="H13" s="8">
        <v>0.01</v>
      </c>
      <c r="I13" s="88" t="s">
        <v>734</v>
      </c>
      <c r="J13" s="88" t="s">
        <v>2595</v>
      </c>
      <c r="K13" t="str">
        <f>_xlfn.CONCAT(IF('Supporting Data'!$BB$3=0,"**Hard coal**: The model assumes the state has no hard coal production. ",_xlfn.CONCAT("**Hard coal:** The model assumes that exports represent ",'Supporting Data'!$BJ$3,"% of the state's production.")))</f>
        <v>**Hard coal:** The model assumes that exports represent 35.92%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93.67%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61.77%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0%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0% of the state's production.</v>
      </c>
    </row>
    <row r="14" spans="1:20" x14ac:dyDescent="0.25">
      <c r="A14" t="s">
        <v>71</v>
      </c>
      <c r="B14" t="s">
        <v>100</v>
      </c>
      <c r="C14" t="s">
        <v>297</v>
      </c>
      <c r="D14" t="s">
        <v>100</v>
      </c>
      <c r="E14" t="s">
        <v>542</v>
      </c>
      <c r="F14" s="221">
        <v>0</v>
      </c>
      <c r="G14" s="221">
        <v>0.75</v>
      </c>
      <c r="H14" s="221">
        <v>0.01</v>
      </c>
      <c r="I14" s="88" t="s">
        <v>30</v>
      </c>
      <c r="J14" s="88" t="s">
        <v>1419</v>
      </c>
      <c r="K14" s="88" t="s">
        <v>2537</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2538</v>
      </c>
      <c r="N14" s="88"/>
    </row>
    <row r="15" spans="1:20" x14ac:dyDescent="0.25">
      <c r="K15" s="58" t="s">
        <v>2539</v>
      </c>
      <c r="M15" s="58" t="s">
        <v>2540</v>
      </c>
    </row>
    <row r="16" spans="1:20" x14ac:dyDescent="0.25">
      <c r="A16" s="143" t="s">
        <v>4</v>
      </c>
      <c r="B16" s="143" t="s">
        <v>1601</v>
      </c>
      <c r="C16" t="s">
        <v>2584</v>
      </c>
      <c r="D16" s="143" t="s">
        <v>1602</v>
      </c>
      <c r="E16" t="s">
        <v>1603</v>
      </c>
      <c r="F16" s="221">
        <v>0</v>
      </c>
      <c r="G16" s="221">
        <v>1</v>
      </c>
      <c r="H16" s="221">
        <v>0.01</v>
      </c>
      <c r="I16" s="88" t="s">
        <v>1834</v>
      </c>
      <c r="J16" s="88" t="s">
        <v>2630</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partially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2541</v>
      </c>
      <c r="N16" t="s">
        <v>2542</v>
      </c>
    </row>
    <row r="17" spans="1:13" ht="73.7" customHeight="1" x14ac:dyDescent="0.25">
      <c r="A17" t="s">
        <v>8</v>
      </c>
      <c r="B17" s="88" t="s">
        <v>2543</v>
      </c>
      <c r="C17" t="s">
        <v>1889</v>
      </c>
      <c r="F17" s="143">
        <v>0</v>
      </c>
      <c r="G17" s="143">
        <v>1000</v>
      </c>
      <c r="H17" s="229">
        <v>20</v>
      </c>
      <c r="I17" s="143" t="s">
        <v>1835</v>
      </c>
      <c r="J17" s="88" t="s">
        <v>1887</v>
      </c>
      <c r="K17" t="s">
        <v>2544</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6" t="s">
        <v>2434</v>
      </c>
      <c r="C1" s="256"/>
      <c r="D1" s="162"/>
      <c r="E1" s="163" t="s">
        <v>2435</v>
      </c>
      <c r="F1" s="164"/>
      <c r="H1" s="163" t="s">
        <v>2436</v>
      </c>
      <c r="J1" s="165" t="s">
        <v>2437</v>
      </c>
      <c r="K1" s="256" t="s">
        <v>2438</v>
      </c>
      <c r="L1" s="256"/>
      <c r="M1" s="256" t="s">
        <v>2439</v>
      </c>
      <c r="N1" s="256"/>
      <c r="O1" s="256"/>
      <c r="P1" s="256"/>
      <c r="Q1" s="256"/>
      <c r="R1" s="256"/>
      <c r="S1" s="256"/>
      <c r="T1" s="256" t="s">
        <v>2440</v>
      </c>
      <c r="U1" s="256"/>
      <c r="V1" s="256"/>
      <c r="W1" s="256"/>
      <c r="X1" s="256"/>
      <c r="Y1" s="256"/>
      <c r="Z1" s="256"/>
      <c r="AA1" s="256"/>
      <c r="AB1" s="256"/>
      <c r="AC1" s="256"/>
      <c r="AD1" s="256"/>
      <c r="AE1" s="256"/>
      <c r="AF1" s="256"/>
      <c r="AG1" s="256"/>
      <c r="AH1" s="256"/>
      <c r="AI1" s="257"/>
      <c r="AJ1" s="258" t="s">
        <v>2441</v>
      </c>
      <c r="AK1" s="258"/>
      <c r="AL1" s="258"/>
      <c r="AM1"/>
      <c r="AN1" s="255" t="s">
        <v>2442</v>
      </c>
      <c r="AO1" s="255"/>
      <c r="AQ1" t="s">
        <v>2443</v>
      </c>
      <c r="AS1" s="259" t="s">
        <v>2444</v>
      </c>
      <c r="AT1" s="260"/>
      <c r="AU1" s="260"/>
      <c r="AV1" s="260"/>
      <c r="AW1" s="260"/>
      <c r="AX1" s="260"/>
      <c r="AY1" s="260"/>
      <c r="AZ1" s="260"/>
      <c r="BA1" s="259" t="s">
        <v>2445</v>
      </c>
      <c r="BB1" s="260"/>
      <c r="BC1" s="260"/>
      <c r="BD1" s="260"/>
      <c r="BE1" s="260"/>
      <c r="BF1" s="260"/>
      <c r="BG1" s="260"/>
      <c r="BH1" s="260"/>
      <c r="BI1" s="261" t="s">
        <v>2446</v>
      </c>
      <c r="BJ1" s="262"/>
      <c r="BK1" s="262"/>
      <c r="BL1" s="262"/>
      <c r="BM1" s="262"/>
      <c r="BN1" s="262"/>
      <c r="BO1" s="262"/>
      <c r="BP1" s="262"/>
      <c r="BQ1" s="258" t="s">
        <v>2447</v>
      </c>
      <c r="BR1" s="258"/>
      <c r="BS1" s="258"/>
      <c r="BT1" s="258"/>
      <c r="BU1" s="258"/>
      <c r="BV1" s="258"/>
      <c r="BW1" s="258"/>
      <c r="BX1" s="258"/>
      <c r="BY1" s="258"/>
      <c r="BZ1" s="258"/>
      <c r="CA1" s="258"/>
      <c r="CB1" s="258"/>
      <c r="CC1" s="258"/>
      <c r="CD1" s="258"/>
      <c r="CE1" s="258"/>
      <c r="CF1" s="258"/>
      <c r="CG1" s="258"/>
      <c r="CH1" s="258"/>
      <c r="CI1" s="263" t="s">
        <v>2448</v>
      </c>
      <c r="CJ1" s="264"/>
      <c r="CK1" s="265"/>
      <c r="CL1" s="38" t="s">
        <v>2449</v>
      </c>
    </row>
    <row r="2" spans="1:91" s="146" customFormat="1" ht="59.1" customHeight="1" thickBot="1" x14ac:dyDescent="0.3">
      <c r="A2" s="65"/>
      <c r="B2" s="166" t="s">
        <v>2450</v>
      </c>
      <c r="C2" s="167" t="s">
        <v>2451</v>
      </c>
      <c r="D2" s="65" t="s">
        <v>2452</v>
      </c>
      <c r="E2" s="65" t="s">
        <v>2453</v>
      </c>
      <c r="F2" s="167" t="s">
        <v>2454</v>
      </c>
      <c r="G2" s="65" t="s">
        <v>2455</v>
      </c>
      <c r="H2" s="65" t="s">
        <v>2456</v>
      </c>
      <c r="I2" s="167" t="s">
        <v>2457</v>
      </c>
      <c r="J2" s="167" t="s">
        <v>2458</v>
      </c>
      <c r="K2" s="168" t="s">
        <v>2459</v>
      </c>
      <c r="L2" s="169" t="s">
        <v>2460</v>
      </c>
      <c r="M2" s="170" t="s">
        <v>2461</v>
      </c>
      <c r="N2" s="170" t="s">
        <v>2462</v>
      </c>
      <c r="O2" s="170" t="s">
        <v>2463</v>
      </c>
      <c r="P2" s="170" t="s">
        <v>2464</v>
      </c>
      <c r="Q2" s="170" t="s">
        <v>2465</v>
      </c>
      <c r="R2" s="170" t="s">
        <v>2466</v>
      </c>
      <c r="S2" s="171" t="s">
        <v>2467</v>
      </c>
      <c r="T2" s="172" t="s">
        <v>2468</v>
      </c>
      <c r="U2" s="172" t="s">
        <v>2469</v>
      </c>
      <c r="V2" s="172" t="s">
        <v>2470</v>
      </c>
      <c r="W2" s="172" t="s">
        <v>2471</v>
      </c>
      <c r="X2" s="172" t="s">
        <v>2472</v>
      </c>
      <c r="Y2" s="172" t="s">
        <v>2473</v>
      </c>
      <c r="Z2" s="172" t="s">
        <v>2474</v>
      </c>
      <c r="AA2" s="172" t="s">
        <v>2475</v>
      </c>
      <c r="AB2" s="172" t="s">
        <v>2476</v>
      </c>
      <c r="AC2" s="172" t="s">
        <v>2477</v>
      </c>
      <c r="AD2" s="172" t="s">
        <v>2478</v>
      </c>
      <c r="AE2" s="172" t="s">
        <v>2479</v>
      </c>
      <c r="AF2" s="172" t="s">
        <v>2480</v>
      </c>
      <c r="AG2" s="172" t="s">
        <v>2481</v>
      </c>
      <c r="AH2" s="172" t="s">
        <v>2482</v>
      </c>
      <c r="AI2" s="173" t="s">
        <v>2483</v>
      </c>
      <c r="AJ2" s="146">
        <v>2021</v>
      </c>
      <c r="AK2" s="146">
        <v>2030</v>
      </c>
      <c r="AL2" s="146">
        <v>2050</v>
      </c>
      <c r="AM2" s="174" t="s">
        <v>2484</v>
      </c>
      <c r="AN2" s="175" t="s">
        <v>2485</v>
      </c>
      <c r="AO2" s="167" t="s">
        <v>2486</v>
      </c>
      <c r="AP2" s="176" t="s">
        <v>2487</v>
      </c>
      <c r="AQ2" s="176" t="s">
        <v>2488</v>
      </c>
      <c r="AR2" s="174" t="s">
        <v>2489</v>
      </c>
      <c r="AS2" s="177" t="s">
        <v>708</v>
      </c>
      <c r="AT2" s="177" t="s">
        <v>447</v>
      </c>
      <c r="AU2" s="177" t="s">
        <v>2490</v>
      </c>
      <c r="AV2" s="177" t="s">
        <v>716</v>
      </c>
      <c r="AW2" s="177" t="s">
        <v>709</v>
      </c>
      <c r="AX2" s="177" t="s">
        <v>46</v>
      </c>
      <c r="AY2" s="177" t="s">
        <v>54</v>
      </c>
      <c r="AZ2" s="178" t="s">
        <v>53</v>
      </c>
      <c r="BA2" s="177" t="s">
        <v>708</v>
      </c>
      <c r="BB2" s="177" t="s">
        <v>447</v>
      </c>
      <c r="BC2" s="177" t="s">
        <v>2490</v>
      </c>
      <c r="BD2" s="177" t="s">
        <v>716</v>
      </c>
      <c r="BE2" s="177" t="s">
        <v>709</v>
      </c>
      <c r="BF2" s="177" t="s">
        <v>46</v>
      </c>
      <c r="BG2" s="177" t="s">
        <v>54</v>
      </c>
      <c r="BH2" s="178" t="s">
        <v>53</v>
      </c>
      <c r="BI2" s="177" t="s">
        <v>708</v>
      </c>
      <c r="BJ2" s="177" t="s">
        <v>447</v>
      </c>
      <c r="BK2" s="177" t="s">
        <v>2490</v>
      </c>
      <c r="BL2" s="177" t="s">
        <v>716</v>
      </c>
      <c r="BM2" s="177" t="s">
        <v>709</v>
      </c>
      <c r="BN2" s="177" t="s">
        <v>46</v>
      </c>
      <c r="BO2" s="177" t="s">
        <v>54</v>
      </c>
      <c r="BP2" s="178" t="s">
        <v>53</v>
      </c>
      <c r="BQ2" s="65" t="s">
        <v>2491</v>
      </c>
      <c r="BR2" s="65" t="s">
        <v>2492</v>
      </c>
      <c r="BS2" s="65" t="s">
        <v>2493</v>
      </c>
      <c r="BT2" s="65" t="s">
        <v>2494</v>
      </c>
      <c r="BU2" s="65" t="s">
        <v>2495</v>
      </c>
      <c r="BV2" s="65" t="s">
        <v>2496</v>
      </c>
      <c r="BW2" s="65" t="s">
        <v>2497</v>
      </c>
      <c r="BX2" s="65" t="s">
        <v>2498</v>
      </c>
      <c r="BY2" s="65" t="s">
        <v>2499</v>
      </c>
      <c r="BZ2" s="65" t="s">
        <v>2500</v>
      </c>
      <c r="CA2" s="65" t="s">
        <v>2501</v>
      </c>
      <c r="CB2" s="65" t="s">
        <v>2502</v>
      </c>
      <c r="CC2" s="65" t="s">
        <v>2503</v>
      </c>
      <c r="CD2" s="65" t="s">
        <v>2504</v>
      </c>
      <c r="CE2" s="65" t="s">
        <v>2505</v>
      </c>
      <c r="CF2" s="65" t="s">
        <v>2506</v>
      </c>
      <c r="CG2" s="65" t="s">
        <v>2507</v>
      </c>
      <c r="CH2" s="167" t="s">
        <v>2508</v>
      </c>
      <c r="CI2" s="179" t="s">
        <v>2509</v>
      </c>
      <c r="CJ2" s="180" t="s">
        <v>2510</v>
      </c>
      <c r="CK2" s="181" t="s">
        <v>2511</v>
      </c>
      <c r="CL2" s="146" t="s">
        <v>2512</v>
      </c>
      <c r="CM2" s="65" t="s">
        <v>2513</v>
      </c>
    </row>
    <row r="3" spans="1:91" s="58" customFormat="1" x14ac:dyDescent="0.25">
      <c r="A3" s="182" t="str">
        <f>About!$C$2</f>
        <v>Colorado</v>
      </c>
      <c r="B3" s="183">
        <f>ROUND(SUMIFS(B$4:B$54, $A$4:$A$54, $A$3),0)</f>
        <v>219495</v>
      </c>
      <c r="C3" s="184">
        <f t="shared" ref="C3" si="0">ROUND(SUMIFS(C$4:C$54, $A$4:$A$54, $A$3),0)</f>
        <v>219</v>
      </c>
      <c r="D3" s="183">
        <f>SUMIFS(D$4:D$54, $A$4:$A$54, $A$3)</f>
        <v>2807326</v>
      </c>
      <c r="E3" s="183">
        <f>SUMIFS(E$4:E$54, $A$4:$A$54, $A$3)</f>
        <v>2791383.9999999963</v>
      </c>
      <c r="F3" s="134">
        <f>ROUND(SUMIFS(F$4:F$54,$A$4:$A$54,$A$3)*100,0)</f>
        <v>-1</v>
      </c>
      <c r="G3" s="58">
        <f>SUMIFS(G$4:G$54, $A$4:$A$54, $A$3)</f>
        <v>3200</v>
      </c>
      <c r="H3" s="58">
        <f>SUMIFS(H$4:H$54, $A$4:$A$54, $A$3)</f>
        <v>0</v>
      </c>
      <c r="I3" s="134">
        <f>ROUND(SUMIFS(I$4:I$54,$A$4:$A$54,$A$3)*100,0)</f>
        <v>-100</v>
      </c>
      <c r="J3" s="134">
        <f>ROUND(SUMIFS(J$4:J$54, $A$4:$A$54, $A$3),0)</f>
        <v>2693</v>
      </c>
      <c r="K3" s="58">
        <f t="shared" ref="K3:AI3" si="1">ROUND(SUMIFS(K$4:K$54, $A$4:$A$54, $A$3),0)</f>
        <v>980</v>
      </c>
      <c r="L3" s="134">
        <f t="shared" si="1"/>
        <v>1288</v>
      </c>
      <c r="M3" s="58">
        <f t="shared" si="1"/>
        <v>3300</v>
      </c>
      <c r="N3" s="58">
        <f t="shared" si="1"/>
        <v>300</v>
      </c>
      <c r="O3" s="58">
        <f t="shared" si="1"/>
        <v>0</v>
      </c>
      <c r="P3" s="58">
        <f t="shared" si="1"/>
        <v>0</v>
      </c>
      <c r="Q3" s="58">
        <f t="shared" si="1"/>
        <v>0</v>
      </c>
      <c r="R3" s="58">
        <f t="shared" si="1"/>
        <v>150</v>
      </c>
      <c r="S3" s="134">
        <f t="shared" si="1"/>
        <v>0</v>
      </c>
      <c r="T3" s="58">
        <f t="shared" si="1"/>
        <v>4337</v>
      </c>
      <c r="U3" s="58">
        <f t="shared" si="1"/>
        <v>3219</v>
      </c>
      <c r="V3" s="58">
        <f t="shared" si="1"/>
        <v>0</v>
      </c>
      <c r="W3" s="58">
        <f t="shared" si="1"/>
        <v>680</v>
      </c>
      <c r="X3" s="58">
        <f t="shared" si="1"/>
        <v>3750</v>
      </c>
      <c r="Y3" s="58">
        <f t="shared" si="1"/>
        <v>591</v>
      </c>
      <c r="Z3" s="58">
        <f t="shared" si="1"/>
        <v>0</v>
      </c>
      <c r="AA3" s="58">
        <f t="shared" si="1"/>
        <v>29</v>
      </c>
      <c r="AB3" s="58">
        <f t="shared" si="1"/>
        <v>0</v>
      </c>
      <c r="AC3" s="58">
        <f t="shared" si="1"/>
        <v>164</v>
      </c>
      <c r="AD3" s="58">
        <f t="shared" si="1"/>
        <v>3172</v>
      </c>
      <c r="AE3" s="58">
        <f t="shared" si="1"/>
        <v>0</v>
      </c>
      <c r="AF3" s="58">
        <f t="shared" si="1"/>
        <v>0</v>
      </c>
      <c r="AG3" s="58">
        <f t="shared" si="1"/>
        <v>0</v>
      </c>
      <c r="AH3" s="58">
        <f t="shared" si="1"/>
        <v>0</v>
      </c>
      <c r="AI3" s="134">
        <f t="shared" si="1"/>
        <v>0</v>
      </c>
      <c r="AJ3" s="58">
        <f>ROUND(SUMIFS(AJ$4:AJ$54,$A$4:$A$54,$A$3)*100,0)</f>
        <v>27</v>
      </c>
      <c r="AK3" s="58">
        <f t="shared" ref="AK3:AL3" si="2">ROUND(SUMIFS(AK$4:AK$54,$A$4:$A$54,$A$3)*100,0)</f>
        <v>36</v>
      </c>
      <c r="AL3" s="58">
        <f t="shared" si="2"/>
        <v>55</v>
      </c>
      <c r="AM3" s="58">
        <f>SUMIFS(AM$4:AM$54, $A$4:$A$54, $A$3)</f>
        <v>1</v>
      </c>
      <c r="AN3" s="58">
        <f t="shared" ref="AN3:AQ3" si="3">SUMIFS(AN$4:AN$54, $A$4:$A$54, $A$3)</f>
        <v>2400</v>
      </c>
      <c r="AO3" s="134">
        <f t="shared" si="3"/>
        <v>4000</v>
      </c>
      <c r="AP3" s="134">
        <f t="shared" si="3"/>
        <v>3355</v>
      </c>
      <c r="AQ3" s="134">
        <f t="shared" si="3"/>
        <v>5914181</v>
      </c>
      <c r="AR3" s="134">
        <f>ROUND(SUMIFS(AR$4:AR$54,$A$4:$A$54,$A$3),2)</f>
        <v>56.73</v>
      </c>
      <c r="AS3" s="58">
        <f>SUMIFS(AS$4:AS$54, $A$4:$A$54, $A$3)</f>
        <v>1086225400000000</v>
      </c>
      <c r="AT3" s="58">
        <f t="shared" ref="AT3:BH3" si="4">SUMIFS(AT$4:AT$54, $A$4:$A$54, $A$3)</f>
        <v>95209854964974</v>
      </c>
      <c r="AU3" s="58">
        <f t="shared" si="4"/>
        <v>0</v>
      </c>
      <c r="AV3" s="58">
        <f t="shared" si="4"/>
        <v>0</v>
      </c>
      <c r="AW3" s="58">
        <f t="shared" si="4"/>
        <v>142219417683423</v>
      </c>
      <c r="AX3" s="58">
        <f t="shared" si="4"/>
        <v>1252778960000000</v>
      </c>
      <c r="AY3" s="58">
        <f t="shared" si="4"/>
        <v>0</v>
      </c>
      <c r="AZ3" s="58">
        <f t="shared" si="4"/>
        <v>0</v>
      </c>
      <c r="BA3" s="58">
        <f t="shared" si="4"/>
        <v>1151082461318380</v>
      </c>
      <c r="BB3" s="58">
        <f t="shared" si="4"/>
        <v>265058383448991</v>
      </c>
      <c r="BC3" s="58">
        <f t="shared" si="4"/>
        <v>4538324965609.2998</v>
      </c>
      <c r="BD3" s="58">
        <f t="shared" si="4"/>
        <v>11064715337262.6</v>
      </c>
      <c r="BE3" s="58">
        <f t="shared" si="4"/>
        <v>151828806635462</v>
      </c>
      <c r="BF3" s="58">
        <f t="shared" si="4"/>
        <v>2028127671606050</v>
      </c>
      <c r="BG3" s="58">
        <f t="shared" si="4"/>
        <v>71994376337266.094</v>
      </c>
      <c r="BH3" s="58">
        <f t="shared" si="4"/>
        <v>91827852515001</v>
      </c>
      <c r="BI3" s="58">
        <f>ROUND(SUMIFS(BI$4:BI$54,$A$4:$A$54,$A$3),2)</f>
        <v>94.37</v>
      </c>
      <c r="BJ3" s="58">
        <f t="shared" ref="BJ3:BP3" si="5">ROUND(SUMIFS(BJ$4:BJ$54,$A$4:$A$54,$A$3),2)</f>
        <v>35.92</v>
      </c>
      <c r="BK3" s="58">
        <f t="shared" si="5"/>
        <v>0</v>
      </c>
      <c r="BL3" s="58">
        <f t="shared" si="5"/>
        <v>0</v>
      </c>
      <c r="BM3" s="58">
        <f t="shared" si="5"/>
        <v>93.67</v>
      </c>
      <c r="BN3" s="58">
        <f t="shared" si="5"/>
        <v>61.77</v>
      </c>
      <c r="BO3" s="58">
        <f t="shared" si="5"/>
        <v>0</v>
      </c>
      <c r="BP3" s="134">
        <f t="shared" si="5"/>
        <v>0</v>
      </c>
      <c r="BQ3" s="134">
        <f t="shared" ref="BQ3:BR3" si="6">ROUND(SUMIFS(BQ$4:BQ$54,$A$4:$A$54,$A$3)*100,0)</f>
        <v>5</v>
      </c>
      <c r="BR3" s="134">
        <f t="shared" si="6"/>
        <v>5</v>
      </c>
      <c r="BS3" s="134">
        <f>ROUND(SUMIFS(BS$4:BS$54,$A$4:$A$54,$A$3)*100,0)</f>
        <v>43</v>
      </c>
      <c r="BT3" s="134">
        <f>ROUND(SUMIFS(BT$4:BT$54,$A$4:$A$54,$A$3)*100,0)</f>
        <v>41</v>
      </c>
      <c r="BU3" s="134">
        <f t="shared" ref="BU3:CH3" si="7">ROUND(SUMIFS(BU$4:BU$54,$A$4:$A$54,$A$3)*100,0)</f>
        <v>64</v>
      </c>
      <c r="BV3" s="134">
        <f t="shared" si="7"/>
        <v>74</v>
      </c>
      <c r="BW3" s="134">
        <f t="shared" si="7"/>
        <v>9</v>
      </c>
      <c r="BX3" s="134">
        <f t="shared" si="7"/>
        <v>13</v>
      </c>
      <c r="BY3" s="134">
        <f t="shared" si="7"/>
        <v>34</v>
      </c>
      <c r="BZ3" s="134">
        <f>ROUND(SUMIFS(BZ$4:BZ$54,$A$4:$A$54,$A$3)*100,0)</f>
        <v>35</v>
      </c>
      <c r="CA3" s="134">
        <f>ROUND(SUMIFS(CA$4:CA$54,$A$4:$A$54,$A$3)*100,0)</f>
        <v>100</v>
      </c>
      <c r="CB3" s="134">
        <f>ROUND(SUMIFS(CB$4:CB$54,$A$4:$A$54,$A$3)*100,0)</f>
        <v>100</v>
      </c>
      <c r="CC3" s="134">
        <f t="shared" si="7"/>
        <v>9</v>
      </c>
      <c r="CD3" s="134">
        <f t="shared" si="7"/>
        <v>13</v>
      </c>
      <c r="CE3" s="134">
        <f t="shared" si="7"/>
        <v>34</v>
      </c>
      <c r="CF3" s="134">
        <f t="shared" si="7"/>
        <v>35</v>
      </c>
      <c r="CG3" s="134">
        <f t="shared" si="7"/>
        <v>100</v>
      </c>
      <c r="CH3" s="134">
        <f t="shared" si="7"/>
        <v>100</v>
      </c>
      <c r="CI3" s="58">
        <f>SUMIFS(CI$4:CI$54, $A$4:$A$54, $A$3)</f>
        <v>1</v>
      </c>
      <c r="CJ3" s="58">
        <f t="shared" ref="CJ3:CK3" si="8">SUMIFS(CJ$4:CJ$54, $A$4:$A$54, $A$3)</f>
        <v>0.82</v>
      </c>
      <c r="CK3" s="58">
        <f t="shared" si="8"/>
        <v>1</v>
      </c>
      <c r="CL3" s="58" t="str">
        <f>_xlfn.XLOOKUP($A$3,A4:A54,CL4:CL54,0,0,1)</f>
        <v>FALSE</v>
      </c>
      <c r="CM3" s="58">
        <f>SUMIFS(CM$4:CM$54, $A$4:$A$54, $A$3)</f>
        <v>0</v>
      </c>
    </row>
    <row r="4" spans="1:91" x14ac:dyDescent="0.25">
      <c r="A4" t="s">
        <v>2279</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2280</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2281</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2282</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2283</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2289</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2295</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2514</v>
      </c>
    </row>
    <row r="12" spans="1:91" x14ac:dyDescent="0.25">
      <c r="A12" t="s">
        <v>2301</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2306</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2310</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2311</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2312</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2313</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2314</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2315</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2316</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2317</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2320</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2325</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2330</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2336</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2341</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2347</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2353</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2354</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2355</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2357</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2361</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2362</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2363</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2368</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2374</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2377</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2381</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2385</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2386</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2387</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2392</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2397</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2402</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2403</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2404</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2405</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2406</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2407</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2409</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2413</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2417</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2418</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2419</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40625" defaultRowHeight="15" x14ac:dyDescent="0.25"/>
  <cols>
    <col min="1" max="1" width="11.7109375" customWidth="1"/>
    <col min="2" max="2" width="11.7109375" style="204" customWidth="1"/>
    <col min="3" max="3" width="88.4257812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$2400.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As of late 2020, there is an additional state subsidy of $4000.</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2584</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Colorado, the share of electricity among fuels used for heating in urban, residential buildings will rise from 9% to 13% through 2050.//**Urban Residential Appliances:** In the BAU case, in Colorado, the share of electricity among fuels used for appliances in urban, residential buildings will rise from 34% to 35% through 2050.//**Urban Residential Other Components:** In the United States, the share of electricity among fuels used by other components in urban, residential buildings is 100%.//**Rural Residential Heating:** In the BAU case, in Colorado, the share of electricity among fuels used for heating in rural, residential buildings will rise from 9% to 13% through 2050.//**Rural Residential Appliances:** In the BAU case, in Colorado, the share of electricity among fuels used for appliances in rural, residential buildings will rise from 34% to 35% through 2050.//**Rural Residential Other Components:** In the United States, the share of electricity among fuels used by other components in rural, residential buildings is 100%.//**Commercial Heating:** In the BAU case, in Colorado, the share of electricity among fuels used for heating in commercial buildings will fall from 5% to 5% through 2050.//**Comercial Appliances:** In the BAU case, in Colorado, the share of electricity among fuels used for appliances in commercial buildings will fall from 43% to 41% through 2050.//**Comercial Other Components:** In the BAU case, in Colorado, the share of electricity among fuels used for other components in commercial buildings will rise from 64%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Colorado.</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Colorado.</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Colorado.</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Colorado.</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Colorado.</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Colorado.</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Colorado.</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Colorado.</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Colorado.</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Colorado.</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Colorado.</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Colorado.</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Colorado.</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Colorado.</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Colorado.</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Colorado.</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Colorado.</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Colorado.</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Colorado.</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Colorado.</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Colorado.</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Colorado.</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Colorado.</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Colorado.</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Colorado.. After weighing for coop and municipality requirements, the BAU assumes a total CES of 36% in 2030 that rises to 55%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Colorado.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Colorado, a 100% setting provides for an additional  2693 MW of demand response capacity in 2050 (on top of a BAU quantity of 1288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Colorado will retire 3300 MW of coal by 2050. Colorado currently has 4337 MW of coal capacity.//**Natural gas non-peaker:** The EIA projects that CO will retire 300 MW of natural gas by 2050. CO currently has 3219 MW of natural gas non-peaker capacity.//**Nuclear:** The EIA projects that CO will retire 0 MW of nuclear by 2050. CO currently has 0 MW of nuclear capacity.//**Natural gas peaker:** The EIA projects that CO will retire 150 MW of natural gas by 2050. CO currently has 3172 MW of natural gas peaker capacity.//**Lignite:** The EIA projects that CO will retire 0 MW of lignite by 2050. CO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2587</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2432</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2433</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2433</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2433</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2433</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2433</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2433</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2433</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2433</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2433</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2433</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2433</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2433</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2433</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2433</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2433</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2433</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2433</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2433</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2433</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2433</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2433</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2433</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2433</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2433</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2433</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2547</v>
      </c>
      <c r="E1578" s="88"/>
      <c r="F1578" s="88" t="s">
        <v>2548</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2549</v>
      </c>
      <c r="E1579" s="88"/>
      <c r="F1579" s="88" t="s">
        <v>2550</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2551</v>
      </c>
      <c r="E1580" s="88"/>
      <c r="F1580" s="88" t="s">
        <v>2552</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2553</v>
      </c>
      <c r="E1581" s="88"/>
      <c r="F1581" s="88" t="s">
        <v>2554</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2555</v>
      </c>
      <c r="E1582" s="88"/>
      <c r="F1582" s="88" t="s">
        <v>2556</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2557</v>
      </c>
      <c r="E1583" s="88"/>
      <c r="F1583" s="88" t="s">
        <v>2558</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2559</v>
      </c>
      <c r="E1584" s="88"/>
      <c r="F1584" s="88" t="s">
        <v>2560</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2561</v>
      </c>
      <c r="E1585" s="88"/>
      <c r="F1585" s="88" t="s">
        <v>2562</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2563</v>
      </c>
      <c r="E1586" s="88"/>
      <c r="F1586" s="88" t="s">
        <v>2564</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2565</v>
      </c>
      <c r="E1587" s="88"/>
      <c r="F1587" s="88" t="s">
        <v>2566</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2567</v>
      </c>
      <c r="E1588" s="88"/>
      <c r="F1588" s="88" t="s">
        <v>2568</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2569</v>
      </c>
      <c r="E1589" s="88"/>
      <c r="F1589" s="88" t="s">
        <v>2570</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2571</v>
      </c>
      <c r="E1590" s="88"/>
      <c r="F1590" s="88" t="s">
        <v>2572</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2573</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2574</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2575</v>
      </c>
      <c r="E1593" s="88"/>
      <c r="F1593" s="88" t="s">
        <v>2576</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2577</v>
      </c>
      <c r="E1594" s="88"/>
      <c r="F1594" s="88" t="s">
        <v>2578</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2579</v>
      </c>
      <c r="E1595" s="88"/>
      <c r="F1595" s="88" t="s">
        <v>2580</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35.92%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93.67% of the state's production.//**Natural gas:** The model assumes that exports represent 61.77% of the state's production.//**Petroleum diesel:** The model assumes that exports represent 0% of the state's production.//**Petroleum gasoline:** The model assumes that exports represent 0%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219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2633</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2589</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6" t="s">
        <v>1054</v>
      </c>
      <c r="B1" s="266"/>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2601</v>
      </c>
      <c r="B5" t="str">
        <f>A5</f>
        <v>g CO2e / 2024 dollar</v>
      </c>
    </row>
    <row r="6" spans="1:2" x14ac:dyDescent="0.25">
      <c r="A6" s="68" t="s">
        <v>563</v>
      </c>
      <c r="B6" t="str">
        <f t="shared" ref="B6:B46" si="0">A6</f>
        <v>thousand metric tons / year</v>
      </c>
    </row>
    <row r="7" spans="1:2" x14ac:dyDescent="0.25">
      <c r="A7" s="68" t="s">
        <v>2602</v>
      </c>
      <c r="B7" t="str">
        <f>A7</f>
        <v>g CO2 / 2024 dollar</v>
      </c>
    </row>
    <row r="8" spans="1:2" ht="30" x14ac:dyDescent="0.25">
      <c r="A8" s="68" t="s">
        <v>2603</v>
      </c>
      <c r="B8" t="str">
        <f t="shared" si="0"/>
        <v>2024 dollars / metric ton CO2e abated, Annual average abatement (million metric tons CO2e)</v>
      </c>
    </row>
    <row r="9" spans="1:2" x14ac:dyDescent="0.25">
      <c r="A9" s="68" t="s">
        <v>2604</v>
      </c>
      <c r="B9" t="str">
        <f t="shared" si="0"/>
        <v>billion 2024 dollars / year</v>
      </c>
    </row>
    <row r="10" spans="1:2" x14ac:dyDescent="0.25">
      <c r="A10" s="68" t="s">
        <v>2605</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2606</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2607</v>
      </c>
      <c r="B20" t="str">
        <f t="shared" si="0"/>
        <v>kilowatt-hour / 2024 dollar</v>
      </c>
    </row>
    <row r="21" spans="1:2" x14ac:dyDescent="0.25">
      <c r="A21" s="68" t="s">
        <v>353</v>
      </c>
      <c r="B21" t="str">
        <f t="shared" si="0"/>
        <v>gigawatts (GW) / year</v>
      </c>
    </row>
    <row r="22" spans="1:2" x14ac:dyDescent="0.25">
      <c r="A22" s="68" t="s">
        <v>2608</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2609</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2610</v>
      </c>
      <c r="B37" t="str">
        <f t="shared" si="0"/>
        <v>2024 dollars / short ton</v>
      </c>
    </row>
    <row r="38" spans="1:2" x14ac:dyDescent="0.25">
      <c r="A38" s="68" t="s">
        <v>2611</v>
      </c>
      <c r="B38" t="str">
        <f t="shared" si="0"/>
        <v>2024 dollars / thousand cubic feet</v>
      </c>
    </row>
    <row r="39" spans="1:2" x14ac:dyDescent="0.25">
      <c r="A39" s="68" t="s">
        <v>2612</v>
      </c>
      <c r="B39" t="str">
        <f t="shared" si="0"/>
        <v>2024 dollars / gallon</v>
      </c>
    </row>
    <row r="40" spans="1:2" x14ac:dyDescent="0.25">
      <c r="A40" s="68" t="s">
        <v>2613</v>
      </c>
      <c r="B40" t="str">
        <f t="shared" si="0"/>
        <v>2024 dollars / barrel of oil</v>
      </c>
    </row>
    <row r="41" spans="1:2" x14ac:dyDescent="0.25">
      <c r="A41" s="68" t="s">
        <v>2614</v>
      </c>
      <c r="B41" t="str">
        <f t="shared" si="0"/>
        <v>2024 dollars / kg</v>
      </c>
    </row>
    <row r="42" spans="1:2" x14ac:dyDescent="0.25">
      <c r="A42" s="68" t="s">
        <v>2615</v>
      </c>
      <c r="B42" t="str">
        <f t="shared" si="0"/>
        <v>2024 dollars / kilowatt-hour (kWh)</v>
      </c>
    </row>
    <row r="43" spans="1:2" x14ac:dyDescent="0.25">
      <c r="A43" s="68" t="s">
        <v>2608</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2616</v>
      </c>
      <c r="B45" t="str">
        <f t="shared" si="0"/>
        <v>million 2024 dollars / megawatt (MW)</v>
      </c>
    </row>
    <row r="46" spans="1:2" ht="30" x14ac:dyDescent="0.25">
      <c r="A46" s="68" t="s">
        <v>2617</v>
      </c>
      <c r="B46" t="str">
        <f t="shared" si="0"/>
        <v>cost of eqpt. to produce 1 kg H2/yr (2024 dollars)</v>
      </c>
    </row>
    <row r="48" spans="1:2" x14ac:dyDescent="0.25">
      <c r="A48" s="266" t="s">
        <v>1058</v>
      </c>
      <c r="B48" s="266"/>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2420</v>
      </c>
      <c r="H96" s="58" t="s">
        <v>2421</v>
      </c>
      <c r="I96" t="s">
        <v>2422</v>
      </c>
    </row>
    <row r="97" spans="1:10" x14ac:dyDescent="0.25">
      <c r="A97" s="143" t="s">
        <v>706</v>
      </c>
      <c r="B97" s="143" t="s">
        <v>582</v>
      </c>
      <c r="C97" s="15">
        <v>1</v>
      </c>
      <c r="D97" t="s">
        <v>65</v>
      </c>
      <c r="E97" t="s">
        <v>64</v>
      </c>
      <c r="F97" t="str">
        <f>UnitControlCenter!$B$16</f>
        <v>terawatt-hours (TWh) / year</v>
      </c>
      <c r="G97" s="58" t="s">
        <v>2423</v>
      </c>
      <c r="H97" s="58" t="s">
        <v>2424</v>
      </c>
      <c r="I97" t="s">
        <v>2422</v>
      </c>
    </row>
    <row r="98" spans="1:10" x14ac:dyDescent="0.25">
      <c r="A98" s="143" t="s">
        <v>706</v>
      </c>
      <c r="B98" s="143" t="s">
        <v>583</v>
      </c>
      <c r="C98" s="15">
        <v>1</v>
      </c>
      <c r="D98" t="s">
        <v>65</v>
      </c>
      <c r="E98" t="s">
        <v>66</v>
      </c>
      <c r="F98" t="str">
        <f>UnitControlCenter!$B$21</f>
        <v>gigawatts (GW) / year</v>
      </c>
      <c r="G98" s="58" t="s">
        <v>2425</v>
      </c>
      <c r="H98" s="58" t="s">
        <v>2426</v>
      </c>
      <c r="I98" t="s">
        <v>2427</v>
      </c>
    </row>
    <row r="99" spans="1:10" x14ac:dyDescent="0.25">
      <c r="A99" s="143" t="s">
        <v>706</v>
      </c>
      <c r="B99" s="143" t="s">
        <v>584</v>
      </c>
      <c r="C99" s="15">
        <v>1</v>
      </c>
      <c r="D99" t="s">
        <v>65</v>
      </c>
      <c r="E99" t="s">
        <v>64</v>
      </c>
      <c r="F99" t="str">
        <f>UnitControlCenter!$B$21</f>
        <v>gigawatts (GW) / year</v>
      </c>
      <c r="G99" s="58" t="s">
        <v>2428</v>
      </c>
      <c r="H99" s="58" t="s">
        <v>2429</v>
      </c>
      <c r="I99" t="s">
        <v>2430</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2431</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tabSelected="1" workbookViewId="0">
      <selection activeCell="A3" sqref="A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s="254" t="s">
        <v>2648</v>
      </c>
      <c r="B2" t="s">
        <v>1595</v>
      </c>
      <c r="C2" s="40" t="s">
        <v>1596</v>
      </c>
    </row>
    <row r="3" spans="1:3" x14ac:dyDescent="0.25">
      <c r="A3" t="s">
        <v>1831</v>
      </c>
      <c r="B3" t="s">
        <v>1832</v>
      </c>
    </row>
    <row r="4" spans="1:3" x14ac:dyDescent="0.25">
      <c r="A4" t="s">
        <v>2600</v>
      </c>
      <c r="B4" t="s">
        <v>2599</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ht="45" x14ac:dyDescent="0.25">
      <c r="A2" s="1" t="s">
        <v>1739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50</v>
      </c>
      <c r="E2" s="1">
        <f>INDEX('State Targets'!K:K,MATCH(About!$C$2,'State Targets'!$B:$B,0))</f>
        <v>50</v>
      </c>
      <c r="F2" s="1" t="str">
        <f>IF(INDEX('State Targets'!L:L,MATCH(About!$C$2,'State Targets'!$B:$B,0))=0,"",INDEX('State Targets'!L:L,MATCH(About!$C$2,'State Targets'!$B:$B,0)))</f>
        <v xml:space="preserve">Colorado updated its statutory target in 2023 to reduce 2030 greenhouse gas emissions by 50% below 2005 levels. </v>
      </c>
    </row>
    <row r="3" spans="1:6" ht="45" x14ac:dyDescent="0.25">
      <c r="A3" s="1" t="s">
        <v>1739</v>
      </c>
      <c r="B3" s="1" t="str">
        <f>IF(INDEX('State Targets'!M:M,MATCH(About!$C$2,'State Targets'!$B:$B,0))=0,"",INDEX('State Targets'!M:M,MATCH(About!$C$2,'State Targets'!$B:$B,0)))</f>
        <v>90% below 2005 levels by 2050</v>
      </c>
      <c r="C3" s="1">
        <f>IF(INDEX('State Targets'!N:N,MATCH(About!$C$2,'State Targets'!$B:$B,0))=0,"",INDEX('State Targets'!N:N,MATCH(About!$C$2,'State Targets'!$B:$B,0)))</f>
        <v>2050</v>
      </c>
      <c r="D3" s="1">
        <f>INDEX('State Targets'!O:O,MATCH(About!$C$2,'State Targets'!$B:$B,0))</f>
        <v>9.9999999999999982</v>
      </c>
      <c r="E3" s="1">
        <f>INDEX('State Targets'!P:P,MATCH(About!$C$2,'State Targets'!$B:$B,0))</f>
        <v>9.9999999999999982</v>
      </c>
      <c r="F3" s="1" t="str">
        <f>IF(INDEX('State Targets'!Q:Q,MATCH(About!$C$2,'State Targets'!$B:$B,0))=0,"",INDEX('State Targets'!Q:Q,MATCH(About!$C$2,'State Targets'!$B:$B,0)))</f>
        <v xml:space="preserve">Colorado updated its statutory target in 2023 to reduce 2050 greenhouse gas emissions by 90% below 2005 levels.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2262</v>
      </c>
      <c r="B1" s="123" t="s">
        <v>2263</v>
      </c>
      <c r="C1" s="124" t="s">
        <v>2264</v>
      </c>
      <c r="D1" s="124" t="s">
        <v>2265</v>
      </c>
      <c r="E1" s="125" t="s">
        <v>2266</v>
      </c>
      <c r="F1" s="125" t="s">
        <v>2267</v>
      </c>
      <c r="G1" s="126" t="s">
        <v>2268</v>
      </c>
      <c r="H1" s="123" t="s">
        <v>2269</v>
      </c>
      <c r="I1" s="127" t="s">
        <v>2270</v>
      </c>
      <c r="J1" s="127" t="s">
        <v>2271</v>
      </c>
      <c r="K1" s="127" t="s">
        <v>2272</v>
      </c>
      <c r="L1" s="127" t="s">
        <v>2273</v>
      </c>
      <c r="M1" s="127" t="s">
        <v>2274</v>
      </c>
      <c r="N1" s="128" t="s">
        <v>2275</v>
      </c>
      <c r="O1" s="127" t="s">
        <v>2276</v>
      </c>
      <c r="P1" s="127" t="s">
        <v>2277</v>
      </c>
      <c r="Q1" s="129" t="s">
        <v>2278</v>
      </c>
    </row>
    <row r="2" spans="1:17" x14ac:dyDescent="0.25">
      <c r="A2" t="s">
        <v>2080</v>
      </c>
      <c r="B2" t="s">
        <v>2279</v>
      </c>
    </row>
    <row r="3" spans="1:17" x14ac:dyDescent="0.25">
      <c r="A3" t="s">
        <v>2081</v>
      </c>
      <c r="B3" t="s">
        <v>2280</v>
      </c>
    </row>
    <row r="4" spans="1:17" x14ac:dyDescent="0.25">
      <c r="A4" t="s">
        <v>2082</v>
      </c>
      <c r="B4" t="s">
        <v>2281</v>
      </c>
    </row>
    <row r="5" spans="1:17" x14ac:dyDescent="0.25">
      <c r="A5" t="s">
        <v>2083</v>
      </c>
      <c r="B5" t="s">
        <v>2282</v>
      </c>
    </row>
    <row r="6" spans="1:17" x14ac:dyDescent="0.25">
      <c r="A6" t="s">
        <v>2084</v>
      </c>
      <c r="B6" t="s">
        <v>2283</v>
      </c>
      <c r="C6" s="102" t="s">
        <v>2284</v>
      </c>
      <c r="D6">
        <v>1990</v>
      </c>
      <c r="E6" s="130">
        <v>0.4</v>
      </c>
      <c r="F6" s="130">
        <v>1</v>
      </c>
      <c r="G6" s="134">
        <f>ROUND(IF(About!$B$2=$A6,INDEX('State GHG Summary'!$C$1:$AH$1,MATCH('State Targets'!D6,'State GHG Summary'!$C$3:$AH$3,0)),0),0)</f>
        <v>0</v>
      </c>
      <c r="H6" t="s">
        <v>2285</v>
      </c>
      <c r="I6" s="132">
        <v>2030</v>
      </c>
      <c r="J6" s="132">
        <f>IF($E6="","",(1-$E6)*$G6)</f>
        <v>0</v>
      </c>
      <c r="K6" s="132">
        <f>J6</f>
        <v>0</v>
      </c>
      <c r="L6" s="132" t="s">
        <v>2286</v>
      </c>
      <c r="M6" t="s">
        <v>2287</v>
      </c>
      <c r="N6" s="133">
        <v>2045</v>
      </c>
      <c r="O6">
        <f>IF($F6="","",(1-$F6)*$G6)</f>
        <v>0</v>
      </c>
      <c r="P6">
        <f>O6</f>
        <v>0</v>
      </c>
      <c r="Q6" s="131" t="s">
        <v>2288</v>
      </c>
    </row>
    <row r="7" spans="1:17" x14ac:dyDescent="0.25">
      <c r="A7" t="s">
        <v>474</v>
      </c>
      <c r="B7" t="s">
        <v>2289</v>
      </c>
      <c r="C7" s="102" t="s">
        <v>2290</v>
      </c>
      <c r="D7">
        <v>2005</v>
      </c>
      <c r="E7" s="135">
        <v>0.5</v>
      </c>
      <c r="F7" s="135">
        <v>0.9</v>
      </c>
      <c r="G7" s="134">
        <f>ROUND(IF(About!$B$2=$A7,INDEX('State GHG Summary'!$C$1:$AH$1,MATCH('State Targets'!D7,'State GHG Summary'!$C$3:$AH$3,0)),0),0)</f>
        <v>100</v>
      </c>
      <c r="H7" t="s">
        <v>2291</v>
      </c>
      <c r="I7" s="136">
        <v>2030</v>
      </c>
      <c r="J7" s="132">
        <f t="shared" ref="J7:J52" si="0">IF($E7="","",(1-$E7)*$G7)</f>
        <v>50</v>
      </c>
      <c r="K7" s="132">
        <f t="shared" ref="K7:K52" si="1">J7</f>
        <v>50</v>
      </c>
      <c r="L7" s="136" t="s">
        <v>2292</v>
      </c>
      <c r="M7" t="s">
        <v>2293</v>
      </c>
      <c r="N7" s="137">
        <v>2050</v>
      </c>
      <c r="O7">
        <f t="shared" ref="O7:O52" si="2">IF($F7="","",(1-$F7)*$G7)</f>
        <v>9.9999999999999982</v>
      </c>
      <c r="P7">
        <f t="shared" ref="P7:P52" si="3">O7</f>
        <v>9.9999999999999982</v>
      </c>
      <c r="Q7" s="131" t="s">
        <v>2294</v>
      </c>
    </row>
    <row r="8" spans="1:17" x14ac:dyDescent="0.25">
      <c r="A8" t="s">
        <v>2085</v>
      </c>
      <c r="B8" t="s">
        <v>2295</v>
      </c>
      <c r="C8" s="102" t="s">
        <v>2296</v>
      </c>
      <c r="D8">
        <v>2001</v>
      </c>
      <c r="E8" s="130">
        <v>0.45</v>
      </c>
      <c r="F8" s="130">
        <v>0.8</v>
      </c>
      <c r="G8" s="134">
        <f>ROUND(IF(About!$B$2=$A8,INDEX('State GHG Summary'!$C$1:$AH$1,MATCH('State Targets'!D8,'State GHG Summary'!$C$3:$AH$3,0)),0),0)</f>
        <v>0</v>
      </c>
      <c r="H8" t="s">
        <v>2297</v>
      </c>
      <c r="I8" s="132">
        <v>2030</v>
      </c>
      <c r="J8" s="132">
        <f t="shared" si="0"/>
        <v>0</v>
      </c>
      <c r="K8" s="132">
        <f t="shared" si="1"/>
        <v>0</v>
      </c>
      <c r="L8" s="132" t="s">
        <v>2298</v>
      </c>
      <c r="M8" t="s">
        <v>2299</v>
      </c>
      <c r="N8" s="133">
        <v>2050</v>
      </c>
      <c r="O8">
        <f t="shared" si="2"/>
        <v>0</v>
      </c>
      <c r="P8">
        <f t="shared" si="3"/>
        <v>0</v>
      </c>
      <c r="Q8" s="131" t="s">
        <v>2300</v>
      </c>
    </row>
    <row r="9" spans="1:17" x14ac:dyDescent="0.25">
      <c r="A9" t="s">
        <v>2086</v>
      </c>
      <c r="B9" t="s">
        <v>2086</v>
      </c>
      <c r="J9" s="132" t="str">
        <f t="shared" si="0"/>
        <v/>
      </c>
      <c r="K9" s="132" t="str">
        <f t="shared" si="1"/>
        <v/>
      </c>
      <c r="O9" t="str">
        <f t="shared" si="2"/>
        <v/>
      </c>
      <c r="P9" t="str">
        <f t="shared" si="3"/>
        <v/>
      </c>
    </row>
    <row r="10" spans="1:17" x14ac:dyDescent="0.25">
      <c r="A10" t="s">
        <v>2087</v>
      </c>
      <c r="B10" t="s">
        <v>2301</v>
      </c>
      <c r="C10" s="102" t="s">
        <v>2302</v>
      </c>
      <c r="D10">
        <v>2005</v>
      </c>
      <c r="E10" s="130">
        <v>0.5</v>
      </c>
      <c r="F10" s="130">
        <v>1</v>
      </c>
      <c r="G10" s="134">
        <f>ROUND(IF(About!$B$2=$A10,INDEX('State GHG Summary'!$C$1:$AH$1,MATCH('State Targets'!D10,'State GHG Summary'!$C$3:$AH$3,0)),0),0)</f>
        <v>0</v>
      </c>
      <c r="H10" t="s">
        <v>2291</v>
      </c>
      <c r="I10" s="132">
        <v>2030</v>
      </c>
      <c r="J10" s="132">
        <f t="shared" si="0"/>
        <v>0</v>
      </c>
      <c r="K10" s="132">
        <f t="shared" si="1"/>
        <v>0</v>
      </c>
      <c r="L10" s="132" t="s">
        <v>2303</v>
      </c>
      <c r="M10" t="s">
        <v>2304</v>
      </c>
      <c r="N10" s="133">
        <v>2050</v>
      </c>
      <c r="O10">
        <f t="shared" si="2"/>
        <v>0</v>
      </c>
      <c r="P10">
        <f t="shared" si="3"/>
        <v>0</v>
      </c>
      <c r="Q10" s="131" t="s">
        <v>2305</v>
      </c>
    </row>
    <row r="11" spans="1:17" x14ac:dyDescent="0.25">
      <c r="A11" t="s">
        <v>2088</v>
      </c>
      <c r="B11" t="s">
        <v>2306</v>
      </c>
      <c r="C11" s="102" t="s">
        <v>2307</v>
      </c>
      <c r="D11">
        <v>1990</v>
      </c>
      <c r="E11" s="130">
        <v>0.8</v>
      </c>
      <c r="G11" s="134">
        <f>ROUND(IF(About!$B$2=$A11,INDEX('State GHG Summary'!$C$1:$AH$1,MATCH('State Targets'!D11,'State GHG Summary'!$C$3:$AH$3,0)),0),0)</f>
        <v>0</v>
      </c>
      <c r="H11" t="s">
        <v>2308</v>
      </c>
      <c r="I11" s="132">
        <v>2050</v>
      </c>
      <c r="J11" s="132">
        <f t="shared" si="0"/>
        <v>0</v>
      </c>
      <c r="K11" s="132">
        <f t="shared" si="1"/>
        <v>0</v>
      </c>
      <c r="L11" s="132" t="s">
        <v>2309</v>
      </c>
      <c r="O11" t="str">
        <f t="shared" si="2"/>
        <v/>
      </c>
      <c r="P11" t="str">
        <f t="shared" si="3"/>
        <v/>
      </c>
    </row>
    <row r="12" spans="1:17" x14ac:dyDescent="0.25">
      <c r="A12" t="s">
        <v>2089</v>
      </c>
      <c r="B12" t="s">
        <v>2310</v>
      </c>
      <c r="J12" s="132" t="str">
        <f t="shared" si="0"/>
        <v/>
      </c>
      <c r="K12" s="132" t="str">
        <f t="shared" si="1"/>
        <v/>
      </c>
      <c r="O12" t="str">
        <f t="shared" si="2"/>
        <v/>
      </c>
      <c r="P12" t="str">
        <f t="shared" si="3"/>
        <v/>
      </c>
    </row>
    <row r="13" spans="1:17" x14ac:dyDescent="0.25">
      <c r="A13" t="s">
        <v>2090</v>
      </c>
      <c r="B13" t="s">
        <v>2311</v>
      </c>
      <c r="J13" s="132" t="str">
        <f t="shared" si="0"/>
        <v/>
      </c>
      <c r="K13" s="132" t="str">
        <f t="shared" si="1"/>
        <v/>
      </c>
      <c r="O13" t="str">
        <f t="shared" si="2"/>
        <v/>
      </c>
      <c r="P13" t="str">
        <f t="shared" si="3"/>
        <v/>
      </c>
    </row>
    <row r="14" spans="1:17" x14ac:dyDescent="0.25">
      <c r="A14" t="s">
        <v>2091</v>
      </c>
      <c r="B14" t="s">
        <v>2312</v>
      </c>
      <c r="J14" s="132" t="str">
        <f t="shared" si="0"/>
        <v/>
      </c>
      <c r="K14" s="132" t="str">
        <f t="shared" si="1"/>
        <v/>
      </c>
      <c r="O14" t="str">
        <f t="shared" si="2"/>
        <v/>
      </c>
      <c r="P14" t="str">
        <f t="shared" si="3"/>
        <v/>
      </c>
    </row>
    <row r="15" spans="1:17" x14ac:dyDescent="0.25">
      <c r="A15" t="s">
        <v>2092</v>
      </c>
      <c r="B15" t="s">
        <v>2313</v>
      </c>
      <c r="J15" s="132" t="str">
        <f t="shared" si="0"/>
        <v/>
      </c>
      <c r="K15" s="132" t="str">
        <f t="shared" si="1"/>
        <v/>
      </c>
      <c r="O15" t="str">
        <f t="shared" si="2"/>
        <v/>
      </c>
      <c r="P15" t="str">
        <f t="shared" si="3"/>
        <v/>
      </c>
    </row>
    <row r="16" spans="1:17" x14ac:dyDescent="0.25">
      <c r="A16" t="s">
        <v>2093</v>
      </c>
      <c r="B16" t="s">
        <v>2314</v>
      </c>
      <c r="J16" s="132" t="str">
        <f t="shared" si="0"/>
        <v/>
      </c>
      <c r="K16" s="132" t="str">
        <f t="shared" si="1"/>
        <v/>
      </c>
      <c r="O16" t="str">
        <f t="shared" si="2"/>
        <v/>
      </c>
      <c r="P16" t="str">
        <f t="shared" si="3"/>
        <v/>
      </c>
    </row>
    <row r="17" spans="1:17" x14ac:dyDescent="0.25">
      <c r="A17" t="s">
        <v>2094</v>
      </c>
      <c r="B17" t="s">
        <v>2315</v>
      </c>
      <c r="J17" s="132" t="str">
        <f t="shared" si="0"/>
        <v/>
      </c>
      <c r="K17" s="132" t="str">
        <f t="shared" si="1"/>
        <v/>
      </c>
      <c r="O17" t="str">
        <f t="shared" si="2"/>
        <v/>
      </c>
      <c r="P17" t="str">
        <f t="shared" si="3"/>
        <v/>
      </c>
    </row>
    <row r="18" spans="1:17" x14ac:dyDescent="0.25">
      <c r="A18" t="s">
        <v>2095</v>
      </c>
      <c r="B18" t="s">
        <v>2316</v>
      </c>
      <c r="J18" s="132" t="str">
        <f t="shared" si="0"/>
        <v/>
      </c>
      <c r="K18" s="132" t="str">
        <f t="shared" si="1"/>
        <v/>
      </c>
      <c r="O18" t="str">
        <f t="shared" si="2"/>
        <v/>
      </c>
      <c r="P18" t="str">
        <f t="shared" si="3"/>
        <v/>
      </c>
    </row>
    <row r="19" spans="1:17" x14ac:dyDescent="0.25">
      <c r="A19" t="s">
        <v>2096</v>
      </c>
      <c r="B19" t="s">
        <v>2317</v>
      </c>
      <c r="C19" s="102" t="s">
        <v>2318</v>
      </c>
      <c r="D19">
        <v>1990</v>
      </c>
      <c r="E19" s="130">
        <v>0.2</v>
      </c>
      <c r="G19" s="134">
        <f>ROUND(IF(About!$B$2=$A19,INDEX('State GHG Summary'!$C$1:$AH$1,MATCH('State Targets'!D19,'State GHG Summary'!$C$3:$AH$3,0)),0),0)</f>
        <v>0</v>
      </c>
      <c r="H19" t="s">
        <v>2319</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2320</v>
      </c>
      <c r="C20" s="102" t="s">
        <v>2321</v>
      </c>
      <c r="D20">
        <v>2005</v>
      </c>
      <c r="E20" s="130">
        <v>0.45</v>
      </c>
      <c r="F20" s="130">
        <v>1</v>
      </c>
      <c r="G20" s="134">
        <f>ROUND(IF(About!$B$2=$A20,INDEX('State GHG Summary'!$C$1:$AH$1,MATCH('State Targets'!D20,'State GHG Summary'!$C$3:$AH$3,0)),0),0)</f>
        <v>0</v>
      </c>
      <c r="H20" t="s">
        <v>2322</v>
      </c>
      <c r="I20" s="132">
        <v>2030</v>
      </c>
      <c r="J20" s="132">
        <f t="shared" si="0"/>
        <v>0</v>
      </c>
      <c r="K20" s="132">
        <f t="shared" si="1"/>
        <v>0</v>
      </c>
      <c r="L20" s="132" t="s">
        <v>2323</v>
      </c>
      <c r="M20" t="s">
        <v>2304</v>
      </c>
      <c r="N20" s="133">
        <v>2050</v>
      </c>
      <c r="O20">
        <f t="shared" si="2"/>
        <v>0</v>
      </c>
      <c r="P20">
        <f t="shared" si="3"/>
        <v>0</v>
      </c>
      <c r="Q20" t="s">
        <v>2324</v>
      </c>
    </row>
    <row r="21" spans="1:17" x14ac:dyDescent="0.25">
      <c r="A21" t="s">
        <v>2098</v>
      </c>
      <c r="B21" t="s">
        <v>2325</v>
      </c>
      <c r="C21" s="102" t="s">
        <v>2326</v>
      </c>
      <c r="D21">
        <v>1990</v>
      </c>
      <c r="E21" s="130">
        <v>0.75</v>
      </c>
      <c r="F21" s="130">
        <v>1</v>
      </c>
      <c r="G21" s="134">
        <f>ROUND(IF(About!$B$2=$A21,INDEX('State GHG Summary'!$C$1:$AH$1,MATCH('State Targets'!D21,'State GHG Summary'!$C$3:$AH$3,0)),0),0)</f>
        <v>0</v>
      </c>
      <c r="H21" t="s">
        <v>2327</v>
      </c>
      <c r="I21" s="132">
        <v>2040</v>
      </c>
      <c r="J21" s="132">
        <f t="shared" si="0"/>
        <v>0</v>
      </c>
      <c r="K21" s="132">
        <f t="shared" si="1"/>
        <v>0</v>
      </c>
      <c r="L21" s="132" t="s">
        <v>2328</v>
      </c>
      <c r="M21" t="s">
        <v>2304</v>
      </c>
      <c r="N21" s="133">
        <v>2050</v>
      </c>
      <c r="O21">
        <f t="shared" si="2"/>
        <v>0</v>
      </c>
      <c r="P21">
        <f t="shared" si="3"/>
        <v>0</v>
      </c>
      <c r="Q21" t="s">
        <v>2329</v>
      </c>
    </row>
    <row r="22" spans="1:17" x14ac:dyDescent="0.25">
      <c r="A22" t="s">
        <v>2099</v>
      </c>
      <c r="B22" t="s">
        <v>2330</v>
      </c>
      <c r="C22" s="102" t="s">
        <v>2331</v>
      </c>
      <c r="D22">
        <v>2006</v>
      </c>
      <c r="E22" s="130">
        <v>0.6</v>
      </c>
      <c r="F22" s="130">
        <v>1</v>
      </c>
      <c r="G22" s="134">
        <f>ROUND(IF(About!$B$2=$A22,INDEX('State GHG Summary'!$C$1:$AH$1,MATCH('State Targets'!D22,'State GHG Summary'!$C$3:$AH$3,0)),0),0)</f>
        <v>0</v>
      </c>
      <c r="H22" t="s">
        <v>2332</v>
      </c>
      <c r="I22" s="132">
        <v>2031</v>
      </c>
      <c r="J22" s="132">
        <f t="shared" si="0"/>
        <v>0</v>
      </c>
      <c r="K22" s="132">
        <f t="shared" si="1"/>
        <v>0</v>
      </c>
      <c r="L22" s="132" t="s">
        <v>2333</v>
      </c>
      <c r="M22" t="s">
        <v>2334</v>
      </c>
      <c r="N22" s="133">
        <v>2045</v>
      </c>
      <c r="O22">
        <f t="shared" si="2"/>
        <v>0</v>
      </c>
      <c r="P22">
        <f t="shared" si="3"/>
        <v>0</v>
      </c>
      <c r="Q22" s="131" t="s">
        <v>2335</v>
      </c>
    </row>
    <row r="23" spans="1:17" x14ac:dyDescent="0.25">
      <c r="A23" t="s">
        <v>2100</v>
      </c>
      <c r="B23" t="s">
        <v>2336</v>
      </c>
      <c r="C23" s="102" t="s">
        <v>2337</v>
      </c>
      <c r="D23">
        <v>1990</v>
      </c>
      <c r="E23" s="130">
        <v>0.45</v>
      </c>
      <c r="F23" s="130">
        <v>1</v>
      </c>
      <c r="G23" s="134">
        <f>ROUND(IF(About!$B$2=$A23,INDEX('State GHG Summary'!$C$1:$AH$1,MATCH('State Targets'!D23,'State GHG Summary'!$C$3:$AH$3,0)),0),0)</f>
        <v>0</v>
      </c>
      <c r="H23" t="s">
        <v>2338</v>
      </c>
      <c r="I23" s="132">
        <v>2030</v>
      </c>
      <c r="J23" s="132">
        <f t="shared" si="0"/>
        <v>0</v>
      </c>
      <c r="K23" s="132">
        <f t="shared" si="1"/>
        <v>0</v>
      </c>
      <c r="L23" s="132" t="s">
        <v>2339</v>
      </c>
      <c r="M23" t="s">
        <v>2304</v>
      </c>
      <c r="N23" s="133">
        <v>2050</v>
      </c>
      <c r="O23">
        <f t="shared" si="2"/>
        <v>0</v>
      </c>
      <c r="P23">
        <f t="shared" si="3"/>
        <v>0</v>
      </c>
      <c r="Q23" s="131" t="s">
        <v>2340</v>
      </c>
    </row>
    <row r="24" spans="1:17" x14ac:dyDescent="0.25">
      <c r="A24" t="s">
        <v>2101</v>
      </c>
      <c r="B24" t="s">
        <v>2341</v>
      </c>
      <c r="C24" s="102" t="s">
        <v>2342</v>
      </c>
      <c r="D24">
        <v>2005</v>
      </c>
      <c r="E24" s="130">
        <v>0.52</v>
      </c>
      <c r="F24" s="130">
        <v>1</v>
      </c>
      <c r="G24" s="134">
        <f>ROUND(IF(About!$B$2=$A24,INDEX('State GHG Summary'!$C$1:$AH$1,MATCH('State Targets'!D24,'State GHG Summary'!$C$3:$AH$3,0)),0),0)</f>
        <v>0</v>
      </c>
      <c r="H24" t="s">
        <v>2343</v>
      </c>
      <c r="I24" s="132">
        <v>2030</v>
      </c>
      <c r="J24" s="132">
        <f t="shared" si="0"/>
        <v>0</v>
      </c>
      <c r="K24" s="132">
        <f t="shared" si="1"/>
        <v>0</v>
      </c>
      <c r="L24" s="132" t="s">
        <v>2344</v>
      </c>
      <c r="M24" t="s">
        <v>2345</v>
      </c>
      <c r="N24" s="133">
        <v>2050</v>
      </c>
      <c r="O24">
        <f t="shared" si="2"/>
        <v>0</v>
      </c>
      <c r="P24">
        <f t="shared" si="3"/>
        <v>0</v>
      </c>
      <c r="Q24" s="131" t="s">
        <v>2346</v>
      </c>
    </row>
    <row r="25" spans="1:17" x14ac:dyDescent="0.25">
      <c r="A25" t="s">
        <v>2102</v>
      </c>
      <c r="B25" t="s">
        <v>2347</v>
      </c>
      <c r="C25" s="102" t="s">
        <v>2348</v>
      </c>
      <c r="D25">
        <v>2005</v>
      </c>
      <c r="E25" s="130">
        <v>0.3</v>
      </c>
      <c r="F25" s="130">
        <v>0.8</v>
      </c>
      <c r="G25" s="134">
        <f>ROUND(IF(About!$B$2=$A25,INDEX('State GHG Summary'!$C$1:$AH$1,MATCH('State Targets'!D25,'State GHG Summary'!$C$3:$AH$3,0)),0),0)</f>
        <v>0</v>
      </c>
      <c r="H25" t="s">
        <v>2349</v>
      </c>
      <c r="I25" s="132">
        <v>2025</v>
      </c>
      <c r="J25" s="132">
        <f t="shared" si="0"/>
        <v>0</v>
      </c>
      <c r="K25" s="132">
        <f t="shared" si="1"/>
        <v>0</v>
      </c>
      <c r="L25" s="132" t="s">
        <v>2350</v>
      </c>
      <c r="M25" t="s">
        <v>2351</v>
      </c>
      <c r="N25" s="133">
        <v>2050</v>
      </c>
      <c r="O25">
        <f t="shared" si="2"/>
        <v>0</v>
      </c>
      <c r="P25">
        <f t="shared" si="3"/>
        <v>0</v>
      </c>
      <c r="Q25" s="131" t="s">
        <v>2352</v>
      </c>
    </row>
    <row r="26" spans="1:17" x14ac:dyDescent="0.25">
      <c r="A26" t="s">
        <v>2103</v>
      </c>
      <c r="B26" t="s">
        <v>2353</v>
      </c>
      <c r="J26" s="132" t="str">
        <f t="shared" si="0"/>
        <v/>
      </c>
      <c r="K26" s="132" t="str">
        <f t="shared" si="1"/>
        <v/>
      </c>
      <c r="O26" t="str">
        <f t="shared" si="2"/>
        <v/>
      </c>
      <c r="P26" t="str">
        <f t="shared" si="3"/>
        <v/>
      </c>
    </row>
    <row r="27" spans="1:17" x14ac:dyDescent="0.25">
      <c r="A27" t="s">
        <v>2104</v>
      </c>
      <c r="B27" t="s">
        <v>2354</v>
      </c>
      <c r="J27" s="132" t="str">
        <f t="shared" si="0"/>
        <v/>
      </c>
      <c r="K27" s="132" t="str">
        <f t="shared" si="1"/>
        <v/>
      </c>
      <c r="O27" t="str">
        <f t="shared" si="2"/>
        <v/>
      </c>
      <c r="P27" t="str">
        <f t="shared" si="3"/>
        <v/>
      </c>
    </row>
    <row r="28" spans="1:17" x14ac:dyDescent="0.25">
      <c r="A28" t="s">
        <v>2105</v>
      </c>
      <c r="B28" t="s">
        <v>2355</v>
      </c>
      <c r="C28" s="102" t="s">
        <v>2356</v>
      </c>
      <c r="D28">
        <v>2005</v>
      </c>
      <c r="E28" s="130">
        <v>1</v>
      </c>
      <c r="G28" s="134">
        <f>ROUND(IF(About!$B$2=$A28,INDEX('State GHG Summary'!$C$1:$AH$1,MATCH('State Targets'!D28,'State GHG Summary'!$C$3:$AH$3,0)),0),0)</f>
        <v>0</v>
      </c>
      <c r="H28" t="s">
        <v>2345</v>
      </c>
      <c r="I28" s="132">
        <v>2050</v>
      </c>
      <c r="J28" s="132">
        <f t="shared" si="0"/>
        <v>0</v>
      </c>
      <c r="K28" s="132">
        <f t="shared" si="1"/>
        <v>0</v>
      </c>
      <c r="L28" s="132" t="s">
        <v>2356</v>
      </c>
      <c r="O28" t="str">
        <f t="shared" si="2"/>
        <v/>
      </c>
      <c r="P28" t="str">
        <f t="shared" si="3"/>
        <v/>
      </c>
    </row>
    <row r="29" spans="1:17" x14ac:dyDescent="0.25">
      <c r="A29" t="s">
        <v>2106</v>
      </c>
      <c r="B29" t="s">
        <v>2357</v>
      </c>
      <c r="C29" s="102" t="s">
        <v>2358</v>
      </c>
      <c r="D29">
        <v>2005</v>
      </c>
      <c r="E29" s="130">
        <v>0.5</v>
      </c>
      <c r="F29" s="130">
        <v>1</v>
      </c>
      <c r="G29" s="134">
        <f>ROUND(IF(About!$B$2=$A29,INDEX('State GHG Summary'!$C$1:$AH$1,MATCH('State Targets'!D29,'State GHG Summary'!$C$3:$AH$3,0)),0),0)</f>
        <v>0</v>
      </c>
      <c r="H29" t="s">
        <v>2291</v>
      </c>
      <c r="I29" s="132">
        <v>2030</v>
      </c>
      <c r="J29" s="132">
        <f t="shared" si="0"/>
        <v>0</v>
      </c>
      <c r="K29" s="132">
        <f t="shared" si="1"/>
        <v>0</v>
      </c>
      <c r="L29" s="132" t="s">
        <v>2359</v>
      </c>
      <c r="M29" s="132" t="s">
        <v>2304</v>
      </c>
      <c r="N29" s="133">
        <v>2050</v>
      </c>
      <c r="O29">
        <f t="shared" si="2"/>
        <v>0</v>
      </c>
      <c r="P29">
        <f t="shared" si="3"/>
        <v>0</v>
      </c>
      <c r="Q29" s="131" t="s">
        <v>2360</v>
      </c>
    </row>
    <row r="30" spans="1:17" x14ac:dyDescent="0.25">
      <c r="A30" t="s">
        <v>2107</v>
      </c>
      <c r="B30" t="s">
        <v>2361</v>
      </c>
      <c r="J30" s="132" t="str">
        <f t="shared" si="0"/>
        <v/>
      </c>
      <c r="K30" s="132" t="str">
        <f t="shared" si="1"/>
        <v/>
      </c>
      <c r="O30" t="str">
        <f t="shared" si="2"/>
        <v/>
      </c>
      <c r="P30" t="str">
        <f t="shared" si="3"/>
        <v/>
      </c>
    </row>
    <row r="31" spans="1:17" x14ac:dyDescent="0.25">
      <c r="A31" t="s">
        <v>475</v>
      </c>
      <c r="B31" t="s">
        <v>2362</v>
      </c>
      <c r="J31" s="132" t="str">
        <f t="shared" si="0"/>
        <v/>
      </c>
      <c r="K31" s="132" t="str">
        <f t="shared" si="1"/>
        <v/>
      </c>
      <c r="O31" t="str">
        <f t="shared" si="2"/>
        <v/>
      </c>
      <c r="P31" t="str">
        <f t="shared" si="3"/>
        <v/>
      </c>
    </row>
    <row r="32" spans="1:17" x14ac:dyDescent="0.25">
      <c r="A32" t="s">
        <v>2108</v>
      </c>
      <c r="B32" t="s">
        <v>2363</v>
      </c>
      <c r="C32" s="102" t="s">
        <v>2364</v>
      </c>
      <c r="D32">
        <v>1990</v>
      </c>
      <c r="E32" s="130">
        <v>0.2</v>
      </c>
      <c r="F32" s="130">
        <v>0.8</v>
      </c>
      <c r="G32" s="134">
        <f>ROUND(IF(About!$B$2=$A32,INDEX('State GHG Summary'!$C$1:$AH$1,MATCH('State Targets'!D32,'State GHG Summary'!$C$3:$AH$3,0)),0),0)</f>
        <v>0</v>
      </c>
      <c r="H32" t="s">
        <v>2365</v>
      </c>
      <c r="I32" s="132">
        <v>2025</v>
      </c>
      <c r="J32" s="132">
        <f t="shared" si="0"/>
        <v>0</v>
      </c>
      <c r="K32" s="132">
        <f t="shared" si="1"/>
        <v>0</v>
      </c>
      <c r="L32" s="132" t="s">
        <v>2366</v>
      </c>
      <c r="M32" t="s">
        <v>2308</v>
      </c>
      <c r="N32" s="133">
        <v>2050</v>
      </c>
      <c r="O32">
        <f t="shared" si="2"/>
        <v>0</v>
      </c>
      <c r="P32">
        <f t="shared" si="3"/>
        <v>0</v>
      </c>
      <c r="Q32" s="131" t="s">
        <v>2367</v>
      </c>
    </row>
    <row r="33" spans="1:17" x14ac:dyDescent="0.25">
      <c r="A33" t="s">
        <v>2109</v>
      </c>
      <c r="B33" t="s">
        <v>2368</v>
      </c>
      <c r="C33" s="102" t="s">
        <v>2369</v>
      </c>
      <c r="D33">
        <v>2006</v>
      </c>
      <c r="E33" s="130">
        <v>0.5</v>
      </c>
      <c r="F33" s="130">
        <v>0.8</v>
      </c>
      <c r="G33" s="134">
        <f>ROUND(IF(About!$B$2=$A33,INDEX('State GHG Summary'!$C$1:$AH$1,MATCH('State Targets'!D33,'State GHG Summary'!$C$3:$AH$3,0)),0),0)</f>
        <v>0</v>
      </c>
      <c r="H33" t="s">
        <v>2370</v>
      </c>
      <c r="I33" s="132">
        <v>2030</v>
      </c>
      <c r="J33" s="132">
        <f t="shared" si="0"/>
        <v>0</v>
      </c>
      <c r="K33" s="132">
        <f t="shared" si="1"/>
        <v>0</v>
      </c>
      <c r="L33" s="132" t="s">
        <v>2371</v>
      </c>
      <c r="M33" t="s">
        <v>2372</v>
      </c>
      <c r="N33" s="133">
        <v>2050</v>
      </c>
      <c r="O33">
        <f t="shared" si="2"/>
        <v>0</v>
      </c>
      <c r="P33">
        <f t="shared" si="3"/>
        <v>0</v>
      </c>
      <c r="Q33" s="131" t="s">
        <v>2373</v>
      </c>
    </row>
    <row r="34" spans="1:17" x14ac:dyDescent="0.25">
      <c r="A34" t="s">
        <v>2110</v>
      </c>
      <c r="B34" t="s">
        <v>2374</v>
      </c>
      <c r="C34" s="102" t="s">
        <v>2375</v>
      </c>
      <c r="D34">
        <v>2005</v>
      </c>
      <c r="E34" s="130">
        <v>0.45</v>
      </c>
      <c r="G34" s="134">
        <f>ROUND(IF(About!$B$2=$A34,INDEX('State GHG Summary'!$C$1:$AH$1,MATCH('State Targets'!D34,'State GHG Summary'!$C$3:$AH$3,0)),0),0)</f>
        <v>0</v>
      </c>
      <c r="H34" t="s">
        <v>2376</v>
      </c>
      <c r="I34" s="132">
        <v>2030</v>
      </c>
      <c r="J34" s="132">
        <f t="shared" si="0"/>
        <v>0</v>
      </c>
      <c r="K34" s="132">
        <f t="shared" si="1"/>
        <v>0</v>
      </c>
      <c r="L34" t="s">
        <v>2375</v>
      </c>
      <c r="O34" t="str">
        <f t="shared" si="2"/>
        <v/>
      </c>
      <c r="P34" t="str">
        <f t="shared" si="3"/>
        <v/>
      </c>
    </row>
    <row r="35" spans="1:17" x14ac:dyDescent="0.25">
      <c r="A35" t="s">
        <v>2111</v>
      </c>
      <c r="B35" t="s">
        <v>2377</v>
      </c>
      <c r="C35" s="102" t="s">
        <v>2378</v>
      </c>
      <c r="D35">
        <v>2005</v>
      </c>
      <c r="E35" s="130">
        <v>0.45</v>
      </c>
      <c r="F35" s="130">
        <v>1</v>
      </c>
      <c r="G35" s="134">
        <f>ROUND(IF(About!$B$2=$A35,INDEX('State GHG Summary'!$C$1:$AH$1,MATCH('State Targets'!D35,'State GHG Summary'!$C$3:$AH$3,0)),0),0)</f>
        <v>0</v>
      </c>
      <c r="H35" t="s">
        <v>2376</v>
      </c>
      <c r="I35" s="132">
        <v>2030</v>
      </c>
      <c r="J35" s="132">
        <f t="shared" si="0"/>
        <v>0</v>
      </c>
      <c r="K35" s="132">
        <f t="shared" si="1"/>
        <v>0</v>
      </c>
      <c r="L35" s="132" t="s">
        <v>2379</v>
      </c>
      <c r="M35" s="132" t="s">
        <v>2304</v>
      </c>
      <c r="N35" s="133">
        <v>2050</v>
      </c>
      <c r="O35">
        <f t="shared" si="2"/>
        <v>0</v>
      </c>
      <c r="P35">
        <f t="shared" si="3"/>
        <v>0</v>
      </c>
      <c r="Q35" s="131" t="s">
        <v>2380</v>
      </c>
    </row>
    <row r="36" spans="1:17" x14ac:dyDescent="0.25">
      <c r="A36" t="s">
        <v>2112</v>
      </c>
      <c r="B36" t="s">
        <v>2381</v>
      </c>
      <c r="C36" s="102" t="s">
        <v>2382</v>
      </c>
      <c r="D36">
        <v>1990</v>
      </c>
      <c r="E36" s="130">
        <v>0.4</v>
      </c>
      <c r="F36" s="130">
        <v>1</v>
      </c>
      <c r="G36" s="134">
        <f>ROUND(IF(About!$B$2=$A36,INDEX('State GHG Summary'!$C$1:$AH$1,MATCH('State Targets'!D36,'State GHG Summary'!$C$3:$AH$3,0)),0),0)</f>
        <v>0</v>
      </c>
      <c r="H36" t="s">
        <v>2285</v>
      </c>
      <c r="I36" s="132">
        <v>2030</v>
      </c>
      <c r="J36" s="132">
        <f t="shared" si="0"/>
        <v>0</v>
      </c>
      <c r="K36" s="132">
        <f t="shared" si="1"/>
        <v>0</v>
      </c>
      <c r="L36" s="132" t="s">
        <v>2383</v>
      </c>
      <c r="M36" s="132" t="s">
        <v>2304</v>
      </c>
      <c r="N36" s="133">
        <v>2050</v>
      </c>
      <c r="O36">
        <f t="shared" si="2"/>
        <v>0</v>
      </c>
      <c r="P36">
        <f t="shared" si="3"/>
        <v>0</v>
      </c>
      <c r="Q36" s="131" t="s">
        <v>2384</v>
      </c>
    </row>
    <row r="37" spans="1:17" x14ac:dyDescent="0.25">
      <c r="A37" t="s">
        <v>2113</v>
      </c>
      <c r="B37" t="s">
        <v>2385</v>
      </c>
      <c r="J37" s="132" t="str">
        <f t="shared" si="0"/>
        <v/>
      </c>
      <c r="K37" s="132" t="str">
        <f t="shared" si="1"/>
        <v/>
      </c>
      <c r="O37" t="str">
        <f t="shared" si="2"/>
        <v/>
      </c>
      <c r="P37" t="str">
        <f t="shared" si="3"/>
        <v/>
      </c>
    </row>
    <row r="38" spans="1:17" x14ac:dyDescent="0.25">
      <c r="A38" t="s">
        <v>2114</v>
      </c>
      <c r="B38" t="s">
        <v>2386</v>
      </c>
      <c r="J38" s="132" t="str">
        <f t="shared" si="0"/>
        <v/>
      </c>
      <c r="K38" s="132" t="str">
        <f t="shared" si="1"/>
        <v/>
      </c>
      <c r="O38" t="str">
        <f t="shared" si="2"/>
        <v/>
      </c>
      <c r="P38" t="str">
        <f t="shared" si="3"/>
        <v/>
      </c>
    </row>
    <row r="39" spans="1:17" x14ac:dyDescent="0.25">
      <c r="A39" t="s">
        <v>2115</v>
      </c>
      <c r="B39" t="s">
        <v>2387</v>
      </c>
      <c r="C39" s="102" t="s">
        <v>2388</v>
      </c>
      <c r="D39">
        <v>1990</v>
      </c>
      <c r="E39" s="130">
        <v>0.45</v>
      </c>
      <c r="F39" s="130">
        <v>0.8</v>
      </c>
      <c r="G39" s="134">
        <f>ROUND(IF(About!$B$2=$A39,INDEX('State GHG Summary'!$C$1:$AH$1,MATCH('State Targets'!D39,'State GHG Summary'!$C$3:$AH$3,0)),0),0)</f>
        <v>0</v>
      </c>
      <c r="H39" t="s">
        <v>2389</v>
      </c>
      <c r="I39" s="132">
        <v>2035</v>
      </c>
      <c r="J39" s="132">
        <f t="shared" si="0"/>
        <v>0</v>
      </c>
      <c r="K39" s="132">
        <f t="shared" si="1"/>
        <v>0</v>
      </c>
      <c r="L39" s="132" t="s">
        <v>2390</v>
      </c>
      <c r="M39" t="s">
        <v>2308</v>
      </c>
      <c r="N39" s="133">
        <v>2050</v>
      </c>
      <c r="O39">
        <f t="shared" si="2"/>
        <v>0</v>
      </c>
      <c r="P39">
        <f t="shared" si="3"/>
        <v>0</v>
      </c>
      <c r="Q39" s="131" t="s">
        <v>2391</v>
      </c>
    </row>
    <row r="40" spans="1:17" x14ac:dyDescent="0.25">
      <c r="A40" t="s">
        <v>2116</v>
      </c>
      <c r="B40" t="s">
        <v>2392</v>
      </c>
      <c r="C40" s="102" t="s">
        <v>2393</v>
      </c>
      <c r="D40">
        <v>2005</v>
      </c>
      <c r="E40" s="130">
        <v>0.26</v>
      </c>
      <c r="F40" s="130">
        <v>0.8</v>
      </c>
      <c r="G40" s="134">
        <f>ROUND(IF(About!$B$2=$A40,INDEX('State GHG Summary'!$C$1:$AH$1,MATCH('State Targets'!D40,'State GHG Summary'!$C$3:$AH$3,0)),0),0)</f>
        <v>0</v>
      </c>
      <c r="H40" t="s">
        <v>2394</v>
      </c>
      <c r="I40" s="132">
        <v>2025</v>
      </c>
      <c r="J40" s="132">
        <f t="shared" si="0"/>
        <v>0</v>
      </c>
      <c r="K40" s="132">
        <f t="shared" si="1"/>
        <v>0</v>
      </c>
      <c r="L40" s="132" t="s">
        <v>2395</v>
      </c>
      <c r="M40" t="s">
        <v>2351</v>
      </c>
      <c r="N40" s="133">
        <v>2050</v>
      </c>
      <c r="O40">
        <f t="shared" si="2"/>
        <v>0</v>
      </c>
      <c r="P40">
        <f t="shared" si="3"/>
        <v>0</v>
      </c>
      <c r="Q40" s="131" t="s">
        <v>2396</v>
      </c>
    </row>
    <row r="41" spans="1:17" x14ac:dyDescent="0.25">
      <c r="A41" t="s">
        <v>2117</v>
      </c>
      <c r="B41" t="s">
        <v>2397</v>
      </c>
      <c r="C41" s="102" t="s">
        <v>2398</v>
      </c>
      <c r="D41">
        <v>1990</v>
      </c>
      <c r="E41" s="130">
        <v>0.8</v>
      </c>
      <c r="F41" s="130">
        <v>1</v>
      </c>
      <c r="G41" s="134">
        <f>ROUND(IF(About!$B$2=$A41,INDEX('State GHG Summary'!$C$1:$AH$1,MATCH('State Targets'!D41,'State GHG Summary'!$C$3:$AH$3,0)),0),0)</f>
        <v>0</v>
      </c>
      <c r="H41" t="s">
        <v>2399</v>
      </c>
      <c r="I41" s="132">
        <v>2040</v>
      </c>
      <c r="J41" s="132">
        <f t="shared" si="0"/>
        <v>0</v>
      </c>
      <c r="K41" s="132">
        <f t="shared" si="1"/>
        <v>0</v>
      </c>
      <c r="L41" s="132" t="s">
        <v>2400</v>
      </c>
      <c r="M41" s="132" t="s">
        <v>2304</v>
      </c>
      <c r="N41" s="133">
        <v>2050</v>
      </c>
      <c r="O41">
        <f t="shared" si="2"/>
        <v>0</v>
      </c>
      <c r="P41">
        <f t="shared" si="3"/>
        <v>0</v>
      </c>
      <c r="Q41" s="131" t="s">
        <v>2401</v>
      </c>
    </row>
    <row r="42" spans="1:17" x14ac:dyDescent="0.25">
      <c r="A42" t="s">
        <v>2118</v>
      </c>
      <c r="B42" t="s">
        <v>2402</v>
      </c>
      <c r="J42" s="132" t="str">
        <f t="shared" si="0"/>
        <v/>
      </c>
      <c r="K42" s="132" t="str">
        <f t="shared" si="1"/>
        <v/>
      </c>
      <c r="O42" t="str">
        <f t="shared" si="2"/>
        <v/>
      </c>
      <c r="P42" t="str">
        <f t="shared" si="3"/>
        <v/>
      </c>
    </row>
    <row r="43" spans="1:17" x14ac:dyDescent="0.25">
      <c r="A43" t="s">
        <v>2119</v>
      </c>
      <c r="B43" t="s">
        <v>2403</v>
      </c>
      <c r="J43" s="132" t="str">
        <f t="shared" si="0"/>
        <v/>
      </c>
      <c r="K43" s="132" t="str">
        <f t="shared" si="1"/>
        <v/>
      </c>
      <c r="O43" t="str">
        <f t="shared" si="2"/>
        <v/>
      </c>
      <c r="P43" t="str">
        <f t="shared" si="3"/>
        <v/>
      </c>
    </row>
    <row r="44" spans="1:17" x14ac:dyDescent="0.25">
      <c r="A44" t="s">
        <v>2120</v>
      </c>
      <c r="B44" t="s">
        <v>2404</v>
      </c>
      <c r="J44" s="132" t="str">
        <f t="shared" si="0"/>
        <v/>
      </c>
      <c r="K44" s="132" t="str">
        <f t="shared" si="1"/>
        <v/>
      </c>
      <c r="O44" t="str">
        <f t="shared" si="2"/>
        <v/>
      </c>
      <c r="P44" t="str">
        <f t="shared" si="3"/>
        <v/>
      </c>
    </row>
    <row r="45" spans="1:17" x14ac:dyDescent="0.25">
      <c r="A45" t="s">
        <v>2121</v>
      </c>
      <c r="B45" t="s">
        <v>2405</v>
      </c>
      <c r="J45" s="132" t="str">
        <f t="shared" si="0"/>
        <v/>
      </c>
      <c r="K45" s="132" t="str">
        <f t="shared" si="1"/>
        <v/>
      </c>
      <c r="O45" t="str">
        <f t="shared" si="2"/>
        <v/>
      </c>
      <c r="P45" t="str">
        <f t="shared" si="3"/>
        <v/>
      </c>
    </row>
    <row r="46" spans="1:17" x14ac:dyDescent="0.25">
      <c r="A46" t="s">
        <v>2122</v>
      </c>
      <c r="B46" t="s">
        <v>2406</v>
      </c>
      <c r="J46" s="132" t="str">
        <f t="shared" si="0"/>
        <v/>
      </c>
      <c r="K46" s="132" t="str">
        <f t="shared" si="1"/>
        <v/>
      </c>
      <c r="O46" t="str">
        <f t="shared" si="2"/>
        <v/>
      </c>
      <c r="P46" t="str">
        <f t="shared" si="3"/>
        <v/>
      </c>
    </row>
    <row r="47" spans="1:17" x14ac:dyDescent="0.25">
      <c r="A47" t="s">
        <v>2123</v>
      </c>
      <c r="B47" t="s">
        <v>2407</v>
      </c>
      <c r="C47" s="102" t="s">
        <v>2408</v>
      </c>
      <c r="E47" s="130">
        <v>1</v>
      </c>
      <c r="H47" s="132" t="s">
        <v>2334</v>
      </c>
      <c r="I47" s="132">
        <v>2045</v>
      </c>
      <c r="J47" s="132">
        <f t="shared" si="0"/>
        <v>0</v>
      </c>
      <c r="K47" s="132">
        <f t="shared" si="1"/>
        <v>0</v>
      </c>
      <c r="L47" t="s">
        <v>2408</v>
      </c>
      <c r="O47" t="str">
        <f t="shared" si="2"/>
        <v/>
      </c>
      <c r="P47" t="str">
        <f t="shared" si="3"/>
        <v/>
      </c>
    </row>
    <row r="48" spans="1:17" x14ac:dyDescent="0.25">
      <c r="A48" t="s">
        <v>2124</v>
      </c>
      <c r="B48" t="s">
        <v>2409</v>
      </c>
      <c r="C48" s="102" t="s">
        <v>2410</v>
      </c>
      <c r="D48">
        <v>1990</v>
      </c>
      <c r="E48" s="130">
        <v>0.4</v>
      </c>
      <c r="F48" s="130">
        <v>0.8</v>
      </c>
      <c r="G48" s="134">
        <f>ROUND(IF(About!$B$2=$A48,INDEX('State GHG Summary'!$C$1:$AH$1,MATCH('State Targets'!D48,'State GHG Summary'!$C$3:$AH$3,0)),0),0)</f>
        <v>0</v>
      </c>
      <c r="H48" t="s">
        <v>2285</v>
      </c>
      <c r="I48" s="132">
        <v>2030</v>
      </c>
      <c r="J48" s="132">
        <f t="shared" si="0"/>
        <v>0</v>
      </c>
      <c r="K48" s="132">
        <f t="shared" si="1"/>
        <v>0</v>
      </c>
      <c r="L48" s="132" t="s">
        <v>2411</v>
      </c>
      <c r="M48" t="s">
        <v>2308</v>
      </c>
      <c r="N48" s="133">
        <v>2050</v>
      </c>
      <c r="O48">
        <f t="shared" si="2"/>
        <v>0</v>
      </c>
      <c r="P48">
        <f t="shared" si="3"/>
        <v>0</v>
      </c>
      <c r="Q48" s="138" t="s">
        <v>2412</v>
      </c>
    </row>
    <row r="49" spans="1:17" x14ac:dyDescent="0.25">
      <c r="A49" t="s">
        <v>2125</v>
      </c>
      <c r="B49" t="s">
        <v>2413</v>
      </c>
      <c r="C49" s="102" t="s">
        <v>2414</v>
      </c>
      <c r="D49">
        <v>1990</v>
      </c>
      <c r="E49" s="130">
        <v>0.45</v>
      </c>
      <c r="F49" s="130">
        <v>1</v>
      </c>
      <c r="G49" s="134">
        <f>ROUND(IF(About!$B$2=$A49,INDEX('State GHG Summary'!$C$1:$AH$1,MATCH('State Targets'!D49,'State GHG Summary'!$C$3:$AH$3,0)),0),0)</f>
        <v>0</v>
      </c>
      <c r="H49" t="s">
        <v>2338</v>
      </c>
      <c r="I49" s="132">
        <v>2030</v>
      </c>
      <c r="J49" s="132">
        <f t="shared" si="0"/>
        <v>0</v>
      </c>
      <c r="K49" s="132">
        <f t="shared" si="1"/>
        <v>0</v>
      </c>
      <c r="L49" t="s">
        <v>2415</v>
      </c>
      <c r="M49" s="132" t="s">
        <v>2345</v>
      </c>
      <c r="N49" s="133">
        <v>2050</v>
      </c>
      <c r="O49">
        <f t="shared" si="2"/>
        <v>0</v>
      </c>
      <c r="P49">
        <f t="shared" si="3"/>
        <v>0</v>
      </c>
      <c r="Q49" s="131" t="s">
        <v>2416</v>
      </c>
    </row>
    <row r="50" spans="1:17" x14ac:dyDescent="0.25">
      <c r="A50" t="s">
        <v>2126</v>
      </c>
      <c r="B50" t="s">
        <v>2417</v>
      </c>
      <c r="J50" s="132" t="str">
        <f t="shared" si="0"/>
        <v/>
      </c>
      <c r="K50" s="132" t="str">
        <f t="shared" si="1"/>
        <v/>
      </c>
      <c r="O50" t="str">
        <f t="shared" si="2"/>
        <v/>
      </c>
      <c r="P50" t="str">
        <f t="shared" si="3"/>
        <v/>
      </c>
    </row>
    <row r="51" spans="1:17" x14ac:dyDescent="0.25">
      <c r="A51" t="s">
        <v>2127</v>
      </c>
      <c r="B51" t="s">
        <v>2418</v>
      </c>
      <c r="J51" s="132" t="str">
        <f t="shared" si="0"/>
        <v/>
      </c>
      <c r="K51" s="132" t="str">
        <f t="shared" si="1"/>
        <v/>
      </c>
      <c r="O51" t="str">
        <f t="shared" si="2"/>
        <v/>
      </c>
      <c r="P51" t="str">
        <f t="shared" si="3"/>
        <v/>
      </c>
    </row>
    <row r="52" spans="1:17" x14ac:dyDescent="0.25">
      <c r="A52" t="s">
        <v>2128</v>
      </c>
      <c r="B52" t="s">
        <v>2419</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7" t="s">
        <v>11</v>
      </c>
      <c r="B1" s="267"/>
      <c r="C1" s="267"/>
      <c r="D1" s="267"/>
      <c r="E1" s="267"/>
    </row>
    <row r="2" spans="1:5" x14ac:dyDescent="0.25">
      <c r="A2" s="268" t="s">
        <v>152</v>
      </c>
      <c r="B2" s="268"/>
      <c r="C2" s="268"/>
      <c r="D2" s="268"/>
      <c r="E2" s="268"/>
    </row>
    <row r="19" spans="1:5" x14ac:dyDescent="0.25">
      <c r="A19" t="s">
        <v>153</v>
      </c>
    </row>
    <row r="20" spans="1:5" x14ac:dyDescent="0.25">
      <c r="A20">
        <v>155400</v>
      </c>
      <c r="B20" t="s">
        <v>154</v>
      </c>
    </row>
    <row r="21" spans="1:5" x14ac:dyDescent="0.25">
      <c r="A21" s="268" t="s">
        <v>155</v>
      </c>
      <c r="B21" s="268"/>
      <c r="C21" s="268"/>
      <c r="D21" s="268"/>
      <c r="E21" s="268"/>
    </row>
    <row r="38" spans="1:5" x14ac:dyDescent="0.25">
      <c r="A38" t="s">
        <v>153</v>
      </c>
    </row>
    <row r="39" spans="1:5" x14ac:dyDescent="0.25">
      <c r="A39">
        <v>100800</v>
      </c>
      <c r="B39" t="s">
        <v>154</v>
      </c>
    </row>
    <row r="40" spans="1:5" x14ac:dyDescent="0.25">
      <c r="A40" s="268" t="s">
        <v>156</v>
      </c>
      <c r="B40" s="268"/>
      <c r="C40" s="268"/>
      <c r="D40" s="268"/>
      <c r="E40" s="268"/>
    </row>
    <row r="57" spans="1:5" ht="15.75" thickBot="1" x14ac:dyDescent="0.3">
      <c r="A57" t="s">
        <v>153</v>
      </c>
    </row>
    <row r="58" spans="1:5" ht="15.75" thickBot="1" x14ac:dyDescent="0.3">
      <c r="A58" s="2">
        <v>194000</v>
      </c>
      <c r="B58" t="s">
        <v>157</v>
      </c>
    </row>
    <row r="60" spans="1:5" x14ac:dyDescent="0.25">
      <c r="A60" s="267" t="s">
        <v>158</v>
      </c>
      <c r="B60" s="267"/>
      <c r="C60" s="267"/>
      <c r="D60" s="267"/>
      <c r="E60" s="267"/>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7" t="s">
        <v>159</v>
      </c>
      <c r="B89" s="267"/>
      <c r="C89" s="267"/>
      <c r="D89" s="267"/>
      <c r="E89" s="267"/>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7" t="s">
        <v>160</v>
      </c>
      <c r="B98" s="267"/>
      <c r="C98" s="267"/>
      <c r="D98" s="267"/>
      <c r="E98" s="267"/>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7" t="s">
        <v>162</v>
      </c>
      <c r="B109" s="267"/>
      <c r="C109" s="267"/>
      <c r="D109" s="267"/>
      <c r="E109" s="267"/>
    </row>
    <row r="110" spans="1:5" ht="15.75" thickBot="1" x14ac:dyDescent="0.3"/>
    <row r="111" spans="1:5" ht="15.75" thickBot="1" x14ac:dyDescent="0.3">
      <c r="A111" s="7">
        <f>A122</f>
        <v>0.20481927710843381</v>
      </c>
      <c r="B111" t="s">
        <v>381</v>
      </c>
    </row>
    <row r="113" spans="1:12" x14ac:dyDescent="0.25">
      <c r="A113" s="267" t="s">
        <v>161</v>
      </c>
      <c r="B113" s="267"/>
      <c r="C113" s="267"/>
      <c r="D113" s="267"/>
      <c r="E113" s="267"/>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7" t="s">
        <v>382</v>
      </c>
      <c r="B124" s="267"/>
      <c r="C124" s="267"/>
      <c r="D124" s="267"/>
      <c r="E124" s="267"/>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7" t="s">
        <v>100</v>
      </c>
      <c r="B134" s="267"/>
      <c r="C134" s="267"/>
      <c r="D134" s="267"/>
      <c r="E134" s="267"/>
    </row>
    <row r="135" spans="1:12" x14ac:dyDescent="0.25">
      <c r="A135" s="14" t="s">
        <v>399</v>
      </c>
      <c r="B135" s="15"/>
      <c r="C135" s="15"/>
      <c r="D135" s="15"/>
      <c r="E135" s="15"/>
      <c r="F135" s="15"/>
      <c r="G135" s="15"/>
    </row>
    <row r="136" spans="1:12" ht="15.75" x14ac:dyDescent="0.3">
      <c r="A136" s="16"/>
      <c r="B136" s="270" t="s">
        <v>400</v>
      </c>
      <c r="C136" s="271"/>
      <c r="D136" s="271"/>
      <c r="E136" s="272"/>
      <c r="F136" s="15"/>
      <c r="G136" s="15"/>
    </row>
    <row r="137" spans="1:12" ht="15.75" x14ac:dyDescent="0.3">
      <c r="A137" s="17"/>
      <c r="B137" s="270" t="s">
        <v>401</v>
      </c>
      <c r="C137" s="272"/>
      <c r="D137" s="270" t="s">
        <v>402</v>
      </c>
      <c r="E137" s="272"/>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7" t="s">
        <v>165</v>
      </c>
      <c r="B165" s="267"/>
      <c r="C165" s="267"/>
      <c r="D165" s="267"/>
      <c r="E165" s="267"/>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7" t="s">
        <v>389</v>
      </c>
      <c r="B169" s="267"/>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7" t="s">
        <v>172</v>
      </c>
      <c r="B174" s="267"/>
      <c r="C174" s="267"/>
      <c r="D174" s="267"/>
      <c r="E174" s="267"/>
    </row>
    <row r="175" spans="1:7" ht="15.75" thickBot="1" x14ac:dyDescent="0.3">
      <c r="A175" t="s">
        <v>398</v>
      </c>
      <c r="B175" s="33">
        <v>0.1246</v>
      </c>
    </row>
    <row r="176" spans="1:7" ht="15.75" thickBot="1" x14ac:dyDescent="0.3">
      <c r="A176" t="s">
        <v>394</v>
      </c>
      <c r="B176" s="32">
        <f>1-B175</f>
        <v>0.87539999999999996</v>
      </c>
    </row>
    <row r="178" spans="1:5" x14ac:dyDescent="0.25">
      <c r="A178" s="267" t="s">
        <v>168</v>
      </c>
      <c r="B178" s="267"/>
      <c r="C178" s="267"/>
      <c r="D178" s="267"/>
      <c r="E178" s="267"/>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7" t="s">
        <v>170</v>
      </c>
      <c r="B183" s="267"/>
      <c r="C183" s="267"/>
      <c r="D183" s="267"/>
      <c r="E183" s="267"/>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7" t="s">
        <v>182</v>
      </c>
      <c r="B191" s="267"/>
      <c r="C191" s="267"/>
      <c r="D191" s="267"/>
      <c r="E191" s="267"/>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9" t="s">
        <v>1229</v>
      </c>
      <c r="C201" s="269"/>
      <c r="D201" s="269"/>
      <c r="E201" s="269"/>
      <c r="F201" s="269"/>
      <c r="G201" s="269"/>
      <c r="H201" s="269"/>
      <c r="I201" s="269"/>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9" t="s">
        <v>1229</v>
      </c>
      <c r="C209" s="269"/>
      <c r="D209" s="269"/>
      <c r="E209" s="269"/>
      <c r="F209" s="269"/>
      <c r="G209" s="269"/>
      <c r="H209" s="269"/>
      <c r="I209" s="269"/>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9" t="s">
        <v>1229</v>
      </c>
      <c r="C217" s="269"/>
      <c r="D217" s="269"/>
      <c r="E217" s="269"/>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CO</v>
      </c>
      <c r="C1" s="115">
        <f>SUM(C4:C87)</f>
        <v>66.86632993969512</v>
      </c>
      <c r="D1" s="115">
        <f t="shared" ref="D1:AG1" si="0">SUM(D4:D87)</f>
        <v>68.63010544533131</v>
      </c>
      <c r="E1" s="115">
        <f t="shared" si="0"/>
        <v>69.950760553200936</v>
      </c>
      <c r="F1" s="115">
        <f t="shared" si="0"/>
        <v>73.524105862910275</v>
      </c>
      <c r="G1" s="115">
        <f t="shared" si="0"/>
        <v>74.327828197128866</v>
      </c>
      <c r="H1" s="115">
        <f t="shared" si="0"/>
        <v>74.803331673293584</v>
      </c>
      <c r="I1" s="115">
        <f t="shared" si="0"/>
        <v>78.038764734308216</v>
      </c>
      <c r="J1" s="115">
        <f t="shared" si="0"/>
        <v>78.806818521880615</v>
      </c>
      <c r="K1" s="115">
        <f t="shared" si="0"/>
        <v>81.556624583968244</v>
      </c>
      <c r="L1" s="115">
        <f t="shared" si="0"/>
        <v>84.049408218627235</v>
      </c>
      <c r="M1" s="115">
        <f t="shared" si="0"/>
        <v>89.111331723180697</v>
      </c>
      <c r="N1" s="115">
        <f t="shared" si="0"/>
        <v>97.132783999794057</v>
      </c>
      <c r="O1" s="115">
        <f t="shared" si="0"/>
        <v>95.777306550900931</v>
      </c>
      <c r="P1" s="115">
        <f t="shared" si="0"/>
        <v>94.174368433907603</v>
      </c>
      <c r="Q1" s="115">
        <f t="shared" si="0"/>
        <v>97.329660090746543</v>
      </c>
      <c r="R1" s="115">
        <f t="shared" si="0"/>
        <v>99.924884136983493</v>
      </c>
      <c r="S1" s="115">
        <f t="shared" si="0"/>
        <v>100.99640688591046</v>
      </c>
      <c r="T1" s="115">
        <f t="shared" si="0"/>
        <v>103.26799346434647</v>
      </c>
      <c r="U1" s="115">
        <f t="shared" si="0"/>
        <v>101.84676605504706</v>
      </c>
      <c r="V1" s="115">
        <f t="shared" si="0"/>
        <v>96.823660089511549</v>
      </c>
      <c r="W1" s="115">
        <f t="shared" si="0"/>
        <v>99.923033293617806</v>
      </c>
      <c r="X1" s="115">
        <f t="shared" si="0"/>
        <v>97.266903677499002</v>
      </c>
      <c r="Y1" s="115">
        <f t="shared" si="0"/>
        <v>96.111841369076785</v>
      </c>
      <c r="Z1" s="115">
        <f t="shared" si="0"/>
        <v>96.785599222293413</v>
      </c>
      <c r="AA1" s="115">
        <f t="shared" si="0"/>
        <v>98.028710768605151</v>
      </c>
      <c r="AB1" s="115">
        <f t="shared" si="0"/>
        <v>96.834172056558685</v>
      </c>
      <c r="AC1" s="115">
        <f t="shared" si="0"/>
        <v>94.092386849536865</v>
      </c>
      <c r="AD1" s="115">
        <f t="shared" si="0"/>
        <v>94.160261492419878</v>
      </c>
      <c r="AE1" s="115">
        <f t="shared" si="0"/>
        <v>95.411905900091597</v>
      </c>
      <c r="AF1" s="115">
        <f t="shared" si="0"/>
        <v>96.948336250647174</v>
      </c>
      <c r="AG1" s="115">
        <f t="shared" si="0"/>
        <v>85.824138988151915</v>
      </c>
      <c r="AH1" s="115">
        <f>SUM(AH4:AH87)</f>
        <v>90.902933881251286</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31.190623902174899</v>
      </c>
      <c r="D4">
        <f>SUMIFS('EPA Export Aggregation'!G:G,'EPA Export Aggregation'!$A:$A,$B4,'EPA Export Aggregation'!$D:$D,$A$1)*IF($A4="CH4",About!$D$58,IF($A4="N2O",About!$D$59,1))</f>
        <v>30.596335292918301</v>
      </c>
      <c r="E4">
        <f>SUMIFS('EPA Export Aggregation'!H:H,'EPA Export Aggregation'!$A:$A,$B4,'EPA Export Aggregation'!$D:$D,$A$1)*IF($A4="CH4",About!$D$58,IF($A4="N2O",About!$D$59,1))</f>
        <v>31.560927539582899</v>
      </c>
      <c r="F4">
        <f>SUMIFS('EPA Export Aggregation'!I:I,'EPA Export Aggregation'!$A:$A,$B4,'EPA Export Aggregation'!$D:$D,$A$1)*IF($A4="CH4",About!$D$58,IF($A4="N2O",About!$D$59,1))</f>
        <v>31.9979940629472</v>
      </c>
      <c r="G4">
        <f>SUMIFS('EPA Export Aggregation'!J:J,'EPA Export Aggregation'!$A:$A,$B4,'EPA Export Aggregation'!$D:$D,$A$1)*IF($A4="CH4",About!$D$58,IF($A4="N2O",About!$D$59,1))</f>
        <v>33.359432988056803</v>
      </c>
      <c r="H4">
        <f>SUMIFS('EPA Export Aggregation'!K:K,'EPA Export Aggregation'!$A:$A,$B4,'EPA Export Aggregation'!$D:$D,$A$1)*IF($A4="CH4",About!$D$58,IF($A4="N2O",About!$D$59,1))</f>
        <v>32.421336662357803</v>
      </c>
      <c r="I4">
        <f>SUMIFS('EPA Export Aggregation'!L:L,'EPA Export Aggregation'!$A:$A,$B4,'EPA Export Aggregation'!$D:$D,$A$1)*IF($A4="CH4",About!$D$58,IF($A4="N2O",About!$D$59,1))</f>
        <v>34.076564095232499</v>
      </c>
      <c r="J4">
        <f>SUMIFS('EPA Export Aggregation'!M:M,'EPA Export Aggregation'!$A:$A,$B4,'EPA Export Aggregation'!$D:$D,$A$1)*IF($A4="CH4",About!$D$58,IF($A4="N2O",About!$D$59,1))</f>
        <v>34.287651343822702</v>
      </c>
      <c r="K4">
        <f>SUMIFS('EPA Export Aggregation'!N:N,'EPA Export Aggregation'!$A:$A,$B4,'EPA Export Aggregation'!$D:$D,$A$1)*IF($A4="CH4",About!$D$58,IF($A4="N2O",About!$D$59,1))</f>
        <v>35.7047205212588</v>
      </c>
      <c r="L4">
        <f>SUMIFS('EPA Export Aggregation'!O:O,'EPA Export Aggregation'!$A:$A,$B4,'EPA Export Aggregation'!$D:$D,$A$1)*IF($A4="CH4",About!$D$58,IF($A4="N2O",About!$D$59,1))</f>
        <v>35.865541945661597</v>
      </c>
      <c r="M4">
        <f>SUMIFS('EPA Export Aggregation'!P:P,'EPA Export Aggregation'!$A:$A,$B4,'EPA Export Aggregation'!$D:$D,$A$1)*IF($A4="CH4",About!$D$58,IF($A4="N2O",About!$D$59,1))</f>
        <v>39.4722950332145</v>
      </c>
      <c r="N4">
        <f>SUMIFS('EPA Export Aggregation'!Q:Q,'EPA Export Aggregation'!$A:$A,$B4,'EPA Export Aggregation'!$D:$D,$A$1)*IF($A4="CH4",About!$D$58,IF($A4="N2O",About!$D$59,1))</f>
        <v>41.675677118095201</v>
      </c>
      <c r="O4">
        <f>SUMIFS('EPA Export Aggregation'!R:R,'EPA Export Aggregation'!$A:$A,$B4,'EPA Export Aggregation'!$D:$D,$A$1)*IF($A4="CH4",About!$D$58,IF($A4="N2O",About!$D$59,1))</f>
        <v>40.5133505552553</v>
      </c>
      <c r="P4">
        <f>SUMIFS('EPA Export Aggregation'!S:S,'EPA Export Aggregation'!$A:$A,$B4,'EPA Export Aggregation'!$D:$D,$A$1)*IF($A4="CH4",About!$D$58,IF($A4="N2O",About!$D$59,1))</f>
        <v>40.703644720669502</v>
      </c>
      <c r="Q4">
        <f>SUMIFS('EPA Export Aggregation'!T:T,'EPA Export Aggregation'!$A:$A,$B4,'EPA Export Aggregation'!$D:$D,$A$1)*IF($A4="CH4",About!$D$58,IF($A4="N2O",About!$D$59,1))</f>
        <v>40.750870651247602</v>
      </c>
      <c r="R4">
        <f>SUMIFS('EPA Export Aggregation'!U:U,'EPA Export Aggregation'!$A:$A,$B4,'EPA Export Aggregation'!$D:$D,$A$1)*IF($A4="CH4",About!$D$58,IF($A4="N2O",About!$D$59,1))</f>
        <v>41.051413611767899</v>
      </c>
      <c r="S4">
        <f>SUMIFS('EPA Export Aggregation'!V:V,'EPA Export Aggregation'!$A:$A,$B4,'EPA Export Aggregation'!$D:$D,$A$1)*IF($A4="CH4",About!$D$58,IF($A4="N2O",About!$D$59,1))</f>
        <v>41.9337516166798</v>
      </c>
      <c r="T4">
        <f>SUMIFS('EPA Export Aggregation'!W:W,'EPA Export Aggregation'!$A:$A,$B4,'EPA Export Aggregation'!$D:$D,$A$1)*IF($A4="CH4",About!$D$58,IF($A4="N2O",About!$D$59,1))</f>
        <v>43.2755326888526</v>
      </c>
      <c r="U4">
        <f>SUMIFS('EPA Export Aggregation'!X:X,'EPA Export Aggregation'!$A:$A,$B4,'EPA Export Aggregation'!$D:$D,$A$1)*IF($A4="CH4",About!$D$58,IF($A4="N2O",About!$D$59,1))</f>
        <v>41.391228271207602</v>
      </c>
      <c r="V4">
        <f>SUMIFS('EPA Export Aggregation'!Y:Y,'EPA Export Aggregation'!$A:$A,$B4,'EPA Export Aggregation'!$D:$D,$A$1)*IF($A4="CH4",About!$D$58,IF($A4="N2O",About!$D$59,1))</f>
        <v>38.7170000317453</v>
      </c>
      <c r="W4">
        <f>SUMIFS('EPA Export Aggregation'!Z:Z,'EPA Export Aggregation'!$A:$A,$B4,'EPA Export Aggregation'!$D:$D,$A$1)*IF($A4="CH4",About!$D$58,IF($A4="N2O",About!$D$59,1))</f>
        <v>40.241021072277199</v>
      </c>
      <c r="X4">
        <f>SUMIFS('EPA Export Aggregation'!AA:AA,'EPA Export Aggregation'!$A:$A,$B4,'EPA Export Aggregation'!$D:$D,$A$1)*IF($A4="CH4",About!$D$58,IF($A4="N2O",About!$D$59,1))</f>
        <v>39.235275345796701</v>
      </c>
      <c r="Y4">
        <f>SUMIFS('EPA Export Aggregation'!AB:AB,'EPA Export Aggregation'!$A:$A,$B4,'EPA Export Aggregation'!$D:$D,$A$1)*IF($A4="CH4",About!$D$58,IF($A4="N2O",About!$D$59,1))</f>
        <v>39.456745216893601</v>
      </c>
      <c r="Z4">
        <f>SUMIFS('EPA Export Aggregation'!AC:AC,'EPA Export Aggregation'!$A:$A,$B4,'EPA Export Aggregation'!$D:$D,$A$1)*IF($A4="CH4",About!$D$58,IF($A4="N2O",About!$D$59,1))</f>
        <v>38.920768567909597</v>
      </c>
      <c r="AA4">
        <f>SUMIFS('EPA Export Aggregation'!AD:AD,'EPA Export Aggregation'!$A:$A,$B4,'EPA Export Aggregation'!$D:$D,$A$1)*IF($A4="CH4",About!$D$58,IF($A4="N2O",About!$D$59,1))</f>
        <v>37.989537534823597</v>
      </c>
      <c r="AB4">
        <f>SUMIFS('EPA Export Aggregation'!AE:AE,'EPA Export Aggregation'!$A:$A,$B4,'EPA Export Aggregation'!$D:$D,$A$1)*IF($A4="CH4",About!$D$58,IF($A4="N2O",About!$D$59,1))</f>
        <v>36.930451642320698</v>
      </c>
      <c r="AC4">
        <f>SUMIFS('EPA Export Aggregation'!AF:AF,'EPA Export Aggregation'!$A:$A,$B4,'EPA Export Aggregation'!$D:$D,$A$1)*IF($A4="CH4",About!$D$58,IF($A4="N2O",About!$D$59,1))</f>
        <v>35.584358216351603</v>
      </c>
      <c r="AD4">
        <f>SUMIFS('EPA Export Aggregation'!AG:AG,'EPA Export Aggregation'!$A:$A,$B4,'EPA Export Aggregation'!$D:$D,$A$1)*IF($A4="CH4",About!$D$58,IF($A4="N2O",About!$D$59,1))</f>
        <v>35.118921283770298</v>
      </c>
      <c r="AE4">
        <f>SUMIFS('EPA Export Aggregation'!AH:AH,'EPA Export Aggregation'!$A:$A,$B4,'EPA Export Aggregation'!$D:$D,$A$1)*IF($A4="CH4",About!$D$58,IF($A4="N2O",About!$D$59,1))</f>
        <v>34.079478454575899</v>
      </c>
      <c r="AF4">
        <f>SUMIFS('EPA Export Aggregation'!AI:AI,'EPA Export Aggregation'!$A:$A,$B4,'EPA Export Aggregation'!$D:$D,$A$1)*IF($A4="CH4",About!$D$58,IF($A4="N2O",About!$D$59,1))</f>
        <v>33.354993972975201</v>
      </c>
      <c r="AG4">
        <f>SUMIFS('EPA Export Aggregation'!AJ:AJ,'EPA Export Aggregation'!$A:$A,$B4,'EPA Export Aggregation'!$D:$D,$A$1)*IF($A4="CH4",About!$D$58,IF($A4="N2O",About!$D$59,1))</f>
        <v>28.477835511199299</v>
      </c>
      <c r="AH4">
        <f>SUMIFS('EPA Export Aggregation'!AK:AK,'EPA Export Aggregation'!$A:$A,$B4,'EPA Export Aggregation'!$D:$D,$A$1)*IF($A4="CH4",About!$D$58,IF($A4="N2O",About!$D$59,1))</f>
        <v>30.503319286172101</v>
      </c>
    </row>
    <row r="5" spans="1:34" x14ac:dyDescent="0.25">
      <c r="A5" s="119" t="s">
        <v>479</v>
      </c>
      <c r="B5" s="120" t="s">
        <v>1957</v>
      </c>
      <c r="C5">
        <f>SUMIFS('EPA Export Aggregation'!F:F,'EPA Export Aggregation'!$A:$A,$B5,'EPA Export Aggregation'!$D:$D,$A$1)*IF($A5="CH4",About!$D$58,IF($A5="N2O",About!$D$59,1))</f>
        <v>18.306981929047101</v>
      </c>
      <c r="D5">
        <f>SUMIFS('EPA Export Aggregation'!G:G,'EPA Export Aggregation'!$A:$A,$B5,'EPA Export Aggregation'!$D:$D,$A$1)*IF($A5="CH4",About!$D$58,IF($A5="N2O",About!$D$59,1))</f>
        <v>18.209766915944499</v>
      </c>
      <c r="E5">
        <f>SUMIFS('EPA Export Aggregation'!H:H,'EPA Export Aggregation'!$A:$A,$B5,'EPA Export Aggregation'!$D:$D,$A$1)*IF($A5="CH4",About!$D$58,IF($A5="N2O",About!$D$59,1))</f>
        <v>18.9328539116797</v>
      </c>
      <c r="F5">
        <f>SUMIFS('EPA Export Aggregation'!I:I,'EPA Export Aggregation'!$A:$A,$B5,'EPA Export Aggregation'!$D:$D,$A$1)*IF($A5="CH4",About!$D$58,IF($A5="N2O",About!$D$59,1))</f>
        <v>20.409526143800498</v>
      </c>
      <c r="G5">
        <f>SUMIFS('EPA Export Aggregation'!J:J,'EPA Export Aggregation'!$A:$A,$B5,'EPA Export Aggregation'!$D:$D,$A$1)*IF($A5="CH4",About!$D$58,IF($A5="N2O",About!$D$59,1))</f>
        <v>20.7636884588137</v>
      </c>
      <c r="H5">
        <f>SUMIFS('EPA Export Aggregation'!K:K,'EPA Export Aggregation'!$A:$A,$B5,'EPA Export Aggregation'!$D:$D,$A$1)*IF($A5="CH4",About!$D$58,IF($A5="N2O",About!$D$59,1))</f>
        <v>21.440583316937701</v>
      </c>
      <c r="I5">
        <f>SUMIFS('EPA Export Aggregation'!L:L,'EPA Export Aggregation'!$A:$A,$B5,'EPA Export Aggregation'!$D:$D,$A$1)*IF($A5="CH4",About!$D$58,IF($A5="N2O",About!$D$59,1))</f>
        <v>22.0973512788098</v>
      </c>
      <c r="J5">
        <f>SUMIFS('EPA Export Aggregation'!M:M,'EPA Export Aggregation'!$A:$A,$B5,'EPA Export Aggregation'!$D:$D,$A$1)*IF($A5="CH4",About!$D$58,IF($A5="N2O",About!$D$59,1))</f>
        <v>22.389796656916499</v>
      </c>
      <c r="K5">
        <f>SUMIFS('EPA Export Aggregation'!N:N,'EPA Export Aggregation'!$A:$A,$B5,'EPA Export Aggregation'!$D:$D,$A$1)*IF($A5="CH4",About!$D$58,IF($A5="N2O",About!$D$59,1))</f>
        <v>23.717035051740101</v>
      </c>
      <c r="L5">
        <f>SUMIFS('EPA Export Aggregation'!O:O,'EPA Export Aggregation'!$A:$A,$B5,'EPA Export Aggregation'!$D:$D,$A$1)*IF($A5="CH4",About!$D$58,IF($A5="N2O",About!$D$59,1))</f>
        <v>25.642862846509999</v>
      </c>
      <c r="M5">
        <f>SUMIFS('EPA Export Aggregation'!P:P,'EPA Export Aggregation'!$A:$A,$B5,'EPA Export Aggregation'!$D:$D,$A$1)*IF($A5="CH4",About!$D$58,IF($A5="N2O",About!$D$59,1))</f>
        <v>25.935489284790499</v>
      </c>
      <c r="N5">
        <f>SUMIFS('EPA Export Aggregation'!Q:Q,'EPA Export Aggregation'!$A:$A,$B5,'EPA Export Aggregation'!$D:$D,$A$1)*IF($A5="CH4",About!$D$58,IF($A5="N2O",About!$D$59,1))</f>
        <v>27.074413060617399</v>
      </c>
      <c r="O5">
        <f>SUMIFS('EPA Export Aggregation'!R:R,'EPA Export Aggregation'!$A:$A,$B5,'EPA Export Aggregation'!$D:$D,$A$1)*IF($A5="CH4",About!$D$58,IF($A5="N2O",About!$D$59,1))</f>
        <v>27.014823709942799</v>
      </c>
      <c r="P5">
        <f>SUMIFS('EPA Export Aggregation'!S:S,'EPA Export Aggregation'!$A:$A,$B5,'EPA Export Aggregation'!$D:$D,$A$1)*IF($A5="CH4",About!$D$58,IF($A5="N2O",About!$D$59,1))</f>
        <v>25.607169951377902</v>
      </c>
      <c r="Q5">
        <f>SUMIFS('EPA Export Aggregation'!T:T,'EPA Export Aggregation'!$A:$A,$B5,'EPA Export Aggregation'!$D:$D,$A$1)*IF($A5="CH4",About!$D$58,IF($A5="N2O",About!$D$59,1))</f>
        <v>28.471870860348002</v>
      </c>
      <c r="R5">
        <f>SUMIFS('EPA Export Aggregation'!U:U,'EPA Export Aggregation'!$A:$A,$B5,'EPA Export Aggregation'!$D:$D,$A$1)*IF($A5="CH4",About!$D$58,IF($A5="N2O",About!$D$59,1))</f>
        <v>28.958033051471102</v>
      </c>
      <c r="S5">
        <f>SUMIFS('EPA Export Aggregation'!V:V,'EPA Export Aggregation'!$A:$A,$B5,'EPA Export Aggregation'!$D:$D,$A$1)*IF($A5="CH4",About!$D$58,IF($A5="N2O",About!$D$59,1))</f>
        <v>29.278523225999201</v>
      </c>
      <c r="T5">
        <f>SUMIFS('EPA Export Aggregation'!W:W,'EPA Export Aggregation'!$A:$A,$B5,'EPA Export Aggregation'!$D:$D,$A$1)*IF($A5="CH4",About!$D$58,IF($A5="N2O",About!$D$59,1))</f>
        <v>29.625796612622</v>
      </c>
      <c r="U5">
        <f>SUMIFS('EPA Export Aggregation'!X:X,'EPA Export Aggregation'!$A:$A,$B5,'EPA Export Aggregation'!$D:$D,$A$1)*IF($A5="CH4",About!$D$58,IF($A5="N2O",About!$D$59,1))</f>
        <v>28.636511515092401</v>
      </c>
      <c r="V5">
        <f>SUMIFS('EPA Export Aggregation'!Y:Y,'EPA Export Aggregation'!$A:$A,$B5,'EPA Export Aggregation'!$D:$D,$A$1)*IF($A5="CH4",About!$D$58,IF($A5="N2O",About!$D$59,1))</f>
        <v>27.048101931144501</v>
      </c>
      <c r="W5">
        <f>SUMIFS('EPA Export Aggregation'!Z:Z,'EPA Export Aggregation'!$A:$A,$B5,'EPA Export Aggregation'!$D:$D,$A$1)*IF($A5="CH4",About!$D$58,IF($A5="N2O",About!$D$59,1))</f>
        <v>27.108144525402601</v>
      </c>
      <c r="X5">
        <f>SUMIFS('EPA Export Aggregation'!AA:AA,'EPA Export Aggregation'!$A:$A,$B5,'EPA Export Aggregation'!$D:$D,$A$1)*IF($A5="CH4",About!$D$58,IF($A5="N2O",About!$D$59,1))</f>
        <v>26.730972301548199</v>
      </c>
      <c r="Y5">
        <f>SUMIFS('EPA Export Aggregation'!AB:AB,'EPA Export Aggregation'!$A:$A,$B5,'EPA Export Aggregation'!$D:$D,$A$1)*IF($A5="CH4",About!$D$58,IF($A5="N2O",About!$D$59,1))</f>
        <v>26.494790587268302</v>
      </c>
      <c r="Z5">
        <f>SUMIFS('EPA Export Aggregation'!AC:AC,'EPA Export Aggregation'!$A:$A,$B5,'EPA Export Aggregation'!$D:$D,$A$1)*IF($A5="CH4",About!$D$58,IF($A5="N2O",About!$D$59,1))</f>
        <v>26.479144180018299</v>
      </c>
      <c r="AA5">
        <f>SUMIFS('EPA Export Aggregation'!AD:AD,'EPA Export Aggregation'!$A:$A,$B5,'EPA Export Aggregation'!$D:$D,$A$1)*IF($A5="CH4",About!$D$58,IF($A5="N2O",About!$D$59,1))</f>
        <v>27.960896673761798</v>
      </c>
      <c r="AB5">
        <f>SUMIFS('EPA Export Aggregation'!AE:AE,'EPA Export Aggregation'!$A:$A,$B5,'EPA Export Aggregation'!$D:$D,$A$1)*IF($A5="CH4",About!$D$58,IF($A5="N2O",About!$D$59,1))</f>
        <v>27.724511841871401</v>
      </c>
      <c r="AC5">
        <f>SUMIFS('EPA Export Aggregation'!AF:AF,'EPA Export Aggregation'!$A:$A,$B5,'EPA Export Aggregation'!$D:$D,$A$1)*IF($A5="CH4",About!$D$58,IF($A5="N2O",About!$D$59,1))</f>
        <v>28.631707448564999</v>
      </c>
      <c r="AD5">
        <f>SUMIFS('EPA Export Aggregation'!AG:AG,'EPA Export Aggregation'!$A:$A,$B5,'EPA Export Aggregation'!$D:$D,$A$1)*IF($A5="CH4",About!$D$58,IF($A5="N2O",About!$D$59,1))</f>
        <v>29.0156821903375</v>
      </c>
      <c r="AE5">
        <f>SUMIFS('EPA Export Aggregation'!AH:AH,'EPA Export Aggregation'!$A:$A,$B5,'EPA Export Aggregation'!$D:$D,$A$1)*IF($A5="CH4",About!$D$58,IF($A5="N2O",About!$D$59,1))</f>
        <v>29.8727722257929</v>
      </c>
      <c r="AF5">
        <f>SUMIFS('EPA Export Aggregation'!AI:AI,'EPA Export Aggregation'!$A:$A,$B5,'EPA Export Aggregation'!$D:$D,$A$1)*IF($A5="CH4",About!$D$58,IF($A5="N2O",About!$D$59,1))</f>
        <v>30.321239504538799</v>
      </c>
      <c r="AG5">
        <f>SUMIFS('EPA Export Aggregation'!AJ:AJ,'EPA Export Aggregation'!$A:$A,$B5,'EPA Export Aggregation'!$D:$D,$A$1)*IF($A5="CH4",About!$D$58,IF($A5="N2O",About!$D$59,1))</f>
        <v>25.517100194730901</v>
      </c>
      <c r="AH5">
        <f>SUMIFS('EPA Export Aggregation'!AK:AK,'EPA Export Aggregation'!$A:$A,$B5,'EPA Export Aggregation'!$D:$D,$A$1)*IF($A5="CH4",About!$D$58,IF($A5="N2O",About!$D$59,1))</f>
        <v>28.996258956158201</v>
      </c>
    </row>
    <row r="6" spans="1:34" x14ac:dyDescent="0.25">
      <c r="A6" s="119" t="s">
        <v>479</v>
      </c>
      <c r="B6" s="120" t="s">
        <v>1958</v>
      </c>
      <c r="C6">
        <f>SUMIFS('EPA Export Aggregation'!F:F,'EPA Export Aggregation'!$A:$A,$B6,'EPA Export Aggregation'!$D:$D,$A$1)*IF($A6="CH4",About!$D$58,IF($A6="N2O",About!$D$59,1))</f>
        <v>6.6875360546672002</v>
      </c>
      <c r="D6">
        <f>SUMIFS('EPA Export Aggregation'!G:G,'EPA Export Aggregation'!$A:$A,$B6,'EPA Export Aggregation'!$D:$D,$A$1)*IF($A6="CH4",About!$D$58,IF($A6="N2O",About!$D$59,1))</f>
        <v>7.8237257271388003</v>
      </c>
      <c r="E6">
        <f>SUMIFS('EPA Export Aggregation'!H:H,'EPA Export Aggregation'!$A:$A,$B6,'EPA Export Aggregation'!$D:$D,$A$1)*IF($A6="CH4",About!$D$58,IF($A6="N2O",About!$D$59,1))</f>
        <v>7.8427519803330998</v>
      </c>
      <c r="F6">
        <f>SUMIFS('EPA Export Aggregation'!I:I,'EPA Export Aggregation'!$A:$A,$B6,'EPA Export Aggregation'!$D:$D,$A$1)*IF($A6="CH4",About!$D$58,IF($A6="N2O",About!$D$59,1))</f>
        <v>8.4492904009418996</v>
      </c>
      <c r="G6">
        <f>SUMIFS('EPA Export Aggregation'!J:J,'EPA Export Aggregation'!$A:$A,$B6,'EPA Export Aggregation'!$D:$D,$A$1)*IF($A6="CH4",About!$D$58,IF($A6="N2O",About!$D$59,1))</f>
        <v>7.9518208160931003</v>
      </c>
      <c r="H6">
        <f>SUMIFS('EPA Export Aggregation'!K:K,'EPA Export Aggregation'!$A:$A,$B6,'EPA Export Aggregation'!$D:$D,$A$1)*IF($A6="CH4",About!$D$58,IF($A6="N2O",About!$D$59,1))</f>
        <v>7.9072678217948997</v>
      </c>
      <c r="I6">
        <f>SUMIFS('EPA Export Aggregation'!L:L,'EPA Export Aggregation'!$A:$A,$B6,'EPA Export Aggregation'!$D:$D,$A$1)*IF($A6="CH4",About!$D$58,IF($A6="N2O",About!$D$59,1))</f>
        <v>8.1232504597608006</v>
      </c>
      <c r="J6">
        <f>SUMIFS('EPA Export Aggregation'!M:M,'EPA Export Aggregation'!$A:$A,$B6,'EPA Export Aggregation'!$D:$D,$A$1)*IF($A6="CH4",About!$D$58,IF($A6="N2O",About!$D$59,1))</f>
        <v>8.3460184451791992</v>
      </c>
      <c r="K6">
        <f>SUMIFS('EPA Export Aggregation'!N:N,'EPA Export Aggregation'!$A:$A,$B6,'EPA Export Aggregation'!$D:$D,$A$1)*IF($A6="CH4",About!$D$58,IF($A6="N2O",About!$D$59,1))</f>
        <v>8.9437567366246</v>
      </c>
      <c r="L6">
        <f>SUMIFS('EPA Export Aggregation'!O:O,'EPA Export Aggregation'!$A:$A,$B6,'EPA Export Aggregation'!$D:$D,$A$1)*IF($A6="CH4",About!$D$58,IF($A6="N2O",About!$D$59,1))</f>
        <v>8.6900842702488994</v>
      </c>
      <c r="M6">
        <f>SUMIFS('EPA Export Aggregation'!P:P,'EPA Export Aggregation'!$A:$A,$B6,'EPA Export Aggregation'!$D:$D,$A$1)*IF($A6="CH4",About!$D$58,IF($A6="N2O",About!$D$59,1))</f>
        <v>9.2329415389069993</v>
      </c>
      <c r="N6">
        <f>SUMIFS('EPA Export Aggregation'!Q:Q,'EPA Export Aggregation'!$A:$A,$B6,'EPA Export Aggregation'!$D:$D,$A$1)*IF($A6="CH4",About!$D$58,IF($A6="N2O",About!$D$59,1))</f>
        <v>12.780728079048901</v>
      </c>
      <c r="O6">
        <f>SUMIFS('EPA Export Aggregation'!R:R,'EPA Export Aggregation'!$A:$A,$B6,'EPA Export Aggregation'!$D:$D,$A$1)*IF($A6="CH4",About!$D$58,IF($A6="N2O",About!$D$59,1))</f>
        <v>12.279814487629601</v>
      </c>
      <c r="P6">
        <f>SUMIFS('EPA Export Aggregation'!S:S,'EPA Export Aggregation'!$A:$A,$B6,'EPA Export Aggregation'!$D:$D,$A$1)*IF($A6="CH4",About!$D$58,IF($A6="N2O",About!$D$59,1))</f>
        <v>11.776483955856801</v>
      </c>
      <c r="Q6">
        <f>SUMIFS('EPA Export Aggregation'!T:T,'EPA Export Aggregation'!$A:$A,$B6,'EPA Export Aggregation'!$D:$D,$A$1)*IF($A6="CH4",About!$D$58,IF($A6="N2O",About!$D$59,1))</f>
        <v>12.162361806621</v>
      </c>
      <c r="R6">
        <f>SUMIFS('EPA Export Aggregation'!U:U,'EPA Export Aggregation'!$A:$A,$B6,'EPA Export Aggregation'!$D:$D,$A$1)*IF($A6="CH4",About!$D$58,IF($A6="N2O",About!$D$59,1))</f>
        <v>13.4710058381522</v>
      </c>
      <c r="S6">
        <f>SUMIFS('EPA Export Aggregation'!V:V,'EPA Export Aggregation'!$A:$A,$B6,'EPA Export Aggregation'!$D:$D,$A$1)*IF($A6="CH4",About!$D$58,IF($A6="N2O",About!$D$59,1))</f>
        <v>13.5577035258555</v>
      </c>
      <c r="T6">
        <f>SUMIFS('EPA Export Aggregation'!W:W,'EPA Export Aggregation'!$A:$A,$B6,'EPA Export Aggregation'!$D:$D,$A$1)*IF($A6="CH4",About!$D$58,IF($A6="N2O",About!$D$59,1))</f>
        <v>13.4678959048395</v>
      </c>
      <c r="U6">
        <f>SUMIFS('EPA Export Aggregation'!X:X,'EPA Export Aggregation'!$A:$A,$B6,'EPA Export Aggregation'!$D:$D,$A$1)*IF($A6="CH4",About!$D$58,IF($A6="N2O",About!$D$59,1))</f>
        <v>13.810202203366901</v>
      </c>
      <c r="V6">
        <f>SUMIFS('EPA Export Aggregation'!Y:Y,'EPA Export Aggregation'!$A:$A,$B6,'EPA Export Aggregation'!$D:$D,$A$1)*IF($A6="CH4",About!$D$58,IF($A6="N2O",About!$D$59,1))</f>
        <v>13.772026193638199</v>
      </c>
      <c r="W6">
        <f>SUMIFS('EPA Export Aggregation'!Z:Z,'EPA Export Aggregation'!$A:$A,$B6,'EPA Export Aggregation'!$D:$D,$A$1)*IF($A6="CH4",About!$D$58,IF($A6="N2O",About!$D$59,1))</f>
        <v>14.827499324164901</v>
      </c>
      <c r="X6">
        <f>SUMIFS('EPA Export Aggregation'!AA:AA,'EPA Export Aggregation'!$A:$A,$B6,'EPA Export Aggregation'!$D:$D,$A$1)*IF($A6="CH4",About!$D$58,IF($A6="N2O",About!$D$59,1))</f>
        <v>13.3463010066795</v>
      </c>
      <c r="Y6">
        <f>SUMIFS('EPA Export Aggregation'!AB:AB,'EPA Export Aggregation'!$A:$A,$B6,'EPA Export Aggregation'!$D:$D,$A$1)*IF($A6="CH4",About!$D$58,IF($A6="N2O",About!$D$59,1))</f>
        <v>13.3253379045687</v>
      </c>
      <c r="Z6">
        <f>SUMIFS('EPA Export Aggregation'!AC:AC,'EPA Export Aggregation'!$A:$A,$B6,'EPA Export Aggregation'!$D:$D,$A$1)*IF($A6="CH4",About!$D$58,IF($A6="N2O",About!$D$59,1))</f>
        <v>13.5079877691963</v>
      </c>
      <c r="AA6">
        <f>SUMIFS('EPA Export Aggregation'!AD:AD,'EPA Export Aggregation'!$A:$A,$B6,'EPA Export Aggregation'!$D:$D,$A$1)*IF($A6="CH4",About!$D$58,IF($A6="N2O",About!$D$59,1))</f>
        <v>13.898886517748799</v>
      </c>
      <c r="AB6">
        <f>SUMIFS('EPA Export Aggregation'!AE:AE,'EPA Export Aggregation'!$A:$A,$B6,'EPA Export Aggregation'!$D:$D,$A$1)*IF($A6="CH4",About!$D$58,IF($A6="N2O",About!$D$59,1))</f>
        <v>14.1992869364569</v>
      </c>
      <c r="AC6">
        <f>SUMIFS('EPA Export Aggregation'!AF:AF,'EPA Export Aggregation'!$A:$A,$B6,'EPA Export Aggregation'!$D:$D,$A$1)*IF($A6="CH4",About!$D$58,IF($A6="N2O",About!$D$59,1))</f>
        <v>12.056004653934499</v>
      </c>
      <c r="AD6">
        <f>SUMIFS('EPA Export Aggregation'!AG:AG,'EPA Export Aggregation'!$A:$A,$B6,'EPA Export Aggregation'!$D:$D,$A$1)*IF($A6="CH4",About!$D$58,IF($A6="N2O",About!$D$59,1))</f>
        <v>12.4238591168903</v>
      </c>
      <c r="AE6">
        <f>SUMIFS('EPA Export Aggregation'!AH:AH,'EPA Export Aggregation'!$A:$A,$B6,'EPA Export Aggregation'!$D:$D,$A$1)*IF($A6="CH4",About!$D$58,IF($A6="N2O",About!$D$59,1))</f>
        <v>12.8678930049199</v>
      </c>
      <c r="AF6">
        <f>SUMIFS('EPA Export Aggregation'!AI:AI,'EPA Export Aggregation'!$A:$A,$B6,'EPA Export Aggregation'!$D:$D,$A$1)*IF($A6="CH4",About!$D$58,IF($A6="N2O",About!$D$59,1))</f>
        <v>13.093134643510201</v>
      </c>
      <c r="AG6">
        <f>SUMIFS('EPA Export Aggregation'!AJ:AJ,'EPA Export Aggregation'!$A:$A,$B6,'EPA Export Aggregation'!$D:$D,$A$1)*IF($A6="CH4",About!$D$58,IF($A6="N2O",About!$D$59,1))</f>
        <v>12.7362881072935</v>
      </c>
      <c r="AH6">
        <f>SUMIFS('EPA Export Aggregation'!AK:AK,'EPA Export Aggregation'!$A:$A,$B6,'EPA Export Aggregation'!$D:$D,$A$1)*IF($A6="CH4",About!$D$58,IF($A6="N2O",About!$D$59,1))</f>
        <v>12.683935570664501</v>
      </c>
    </row>
    <row r="7" spans="1:34" x14ac:dyDescent="0.25">
      <c r="A7" s="119" t="s">
        <v>479</v>
      </c>
      <c r="B7" s="120" t="s">
        <v>1959</v>
      </c>
      <c r="C7">
        <f>SUMIFS('EPA Export Aggregation'!F:F,'EPA Export Aggregation'!$A:$A,$B7,'EPA Export Aggregation'!$D:$D,$A$1)*IF($A7="CH4",About!$D$58,IF($A7="N2O",About!$D$59,1))</f>
        <v>5.0112730173908</v>
      </c>
      <c r="D7">
        <f>SUMIFS('EPA Export Aggregation'!G:G,'EPA Export Aggregation'!$A:$A,$B7,'EPA Export Aggregation'!$D:$D,$A$1)*IF($A7="CH4",About!$D$58,IF($A7="N2O",About!$D$59,1))</f>
        <v>5.6906094487330998</v>
      </c>
      <c r="E7">
        <f>SUMIFS('EPA Export Aggregation'!H:H,'EPA Export Aggregation'!$A:$A,$B7,'EPA Export Aggregation'!$D:$D,$A$1)*IF($A7="CH4",About!$D$58,IF($A7="N2O",About!$D$59,1))</f>
        <v>5.4313208322755004</v>
      </c>
      <c r="F7">
        <f>SUMIFS('EPA Export Aggregation'!I:I,'EPA Export Aggregation'!$A:$A,$B7,'EPA Export Aggregation'!$D:$D,$A$1)*IF($A7="CH4",About!$D$58,IF($A7="N2O",About!$D$59,1))</f>
        <v>5.9667374513507996</v>
      </c>
      <c r="G7">
        <f>SUMIFS('EPA Export Aggregation'!J:J,'EPA Export Aggregation'!$A:$A,$B7,'EPA Export Aggregation'!$D:$D,$A$1)*IF($A7="CH4",About!$D$58,IF($A7="N2O",About!$D$59,1))</f>
        <v>5.5736775399520004</v>
      </c>
      <c r="H7">
        <f>SUMIFS('EPA Export Aggregation'!K:K,'EPA Export Aggregation'!$A:$A,$B7,'EPA Export Aggregation'!$D:$D,$A$1)*IF($A7="CH4",About!$D$58,IF($A7="N2O",About!$D$59,1))</f>
        <v>6.0167379498146003</v>
      </c>
      <c r="I7">
        <f>SUMIFS('EPA Export Aggregation'!L:L,'EPA Export Aggregation'!$A:$A,$B7,'EPA Export Aggregation'!$D:$D,$A$1)*IF($A7="CH4",About!$D$58,IF($A7="N2O",About!$D$59,1))</f>
        <v>6.3657480793005004</v>
      </c>
      <c r="J7">
        <f>SUMIFS('EPA Export Aggregation'!M:M,'EPA Export Aggregation'!$A:$A,$B7,'EPA Export Aggregation'!$D:$D,$A$1)*IF($A7="CH4",About!$D$58,IF($A7="N2O",About!$D$59,1))</f>
        <v>6.1690059064906002</v>
      </c>
      <c r="K7">
        <f>SUMIFS('EPA Export Aggregation'!N:N,'EPA Export Aggregation'!$A:$A,$B7,'EPA Export Aggregation'!$D:$D,$A$1)*IF($A7="CH4",About!$D$58,IF($A7="N2O",About!$D$59,1))</f>
        <v>5.8739374863308997</v>
      </c>
      <c r="L7">
        <f>SUMIFS('EPA Export Aggregation'!O:O,'EPA Export Aggregation'!$A:$A,$B7,'EPA Export Aggregation'!$D:$D,$A$1)*IF($A7="CH4",About!$D$58,IF($A7="N2O",About!$D$59,1))</f>
        <v>6.3715373077726003</v>
      </c>
      <c r="M7">
        <f>SUMIFS('EPA Export Aggregation'!P:P,'EPA Export Aggregation'!$A:$A,$B7,'EPA Export Aggregation'!$D:$D,$A$1)*IF($A7="CH4",About!$D$58,IF($A7="N2O",About!$D$59,1))</f>
        <v>6.8436746836979996</v>
      </c>
      <c r="N7">
        <f>SUMIFS('EPA Export Aggregation'!Q:Q,'EPA Export Aggregation'!$A:$A,$B7,'EPA Export Aggregation'!$D:$D,$A$1)*IF($A7="CH4",About!$D$58,IF($A7="N2O",About!$D$59,1))</f>
        <v>7.2567743196128998</v>
      </c>
      <c r="O7">
        <f>SUMIFS('EPA Export Aggregation'!R:R,'EPA Export Aggregation'!$A:$A,$B7,'EPA Export Aggregation'!$D:$D,$A$1)*IF($A7="CH4",About!$D$58,IF($A7="N2O",About!$D$59,1))</f>
        <v>7.5237674487773001</v>
      </c>
      <c r="P7">
        <f>SUMIFS('EPA Export Aggregation'!S:S,'EPA Export Aggregation'!$A:$A,$B7,'EPA Export Aggregation'!$D:$D,$A$1)*IF($A7="CH4",About!$D$58,IF($A7="N2O",About!$D$59,1))</f>
        <v>7.5766350846239998</v>
      </c>
      <c r="Q7">
        <f>SUMIFS('EPA Export Aggregation'!T:T,'EPA Export Aggregation'!$A:$A,$B7,'EPA Export Aggregation'!$D:$D,$A$1)*IF($A7="CH4",About!$D$58,IF($A7="N2O",About!$D$59,1))</f>
        <v>7.2072841583124001</v>
      </c>
      <c r="R7">
        <f>SUMIFS('EPA Export Aggregation'!U:U,'EPA Export Aggregation'!$A:$A,$B7,'EPA Export Aggregation'!$D:$D,$A$1)*IF($A7="CH4",About!$D$58,IF($A7="N2O",About!$D$59,1))</f>
        <v>7.5489204154682001</v>
      </c>
      <c r="S7">
        <f>SUMIFS('EPA Export Aggregation'!V:V,'EPA Export Aggregation'!$A:$A,$B7,'EPA Export Aggregation'!$D:$D,$A$1)*IF($A7="CH4",About!$D$58,IF($A7="N2O",About!$D$59,1))</f>
        <v>7.0984241102787999</v>
      </c>
      <c r="T7">
        <f>SUMIFS('EPA Export Aggregation'!W:W,'EPA Export Aggregation'!$A:$A,$B7,'EPA Export Aggregation'!$D:$D,$A$1)*IF($A7="CH4",About!$D$58,IF($A7="N2O",About!$D$59,1))</f>
        <v>7.7730572852039002</v>
      </c>
      <c r="U7">
        <f>SUMIFS('EPA Export Aggregation'!X:X,'EPA Export Aggregation'!$A:$A,$B7,'EPA Export Aggregation'!$D:$D,$A$1)*IF($A7="CH4",About!$D$58,IF($A7="N2O",About!$D$59,1))</f>
        <v>7.9963900584673002</v>
      </c>
      <c r="V7">
        <f>SUMIFS('EPA Export Aggregation'!Y:Y,'EPA Export Aggregation'!$A:$A,$B7,'EPA Export Aggregation'!$D:$D,$A$1)*IF($A7="CH4",About!$D$58,IF($A7="N2O",About!$D$59,1))</f>
        <v>7.6093678852837998</v>
      </c>
      <c r="W7">
        <f>SUMIFS('EPA Export Aggregation'!Z:Z,'EPA Export Aggregation'!$A:$A,$B7,'EPA Export Aggregation'!$D:$D,$A$1)*IF($A7="CH4",About!$D$58,IF($A7="N2O",About!$D$59,1))</f>
        <v>7.7883455501894998</v>
      </c>
      <c r="X7">
        <f>SUMIFS('EPA Export Aggregation'!AA:AA,'EPA Export Aggregation'!$A:$A,$B7,'EPA Export Aggregation'!$D:$D,$A$1)*IF($A7="CH4",About!$D$58,IF($A7="N2O",About!$D$59,1))</f>
        <v>7.8004307320070003</v>
      </c>
      <c r="Y7">
        <f>SUMIFS('EPA Export Aggregation'!AB:AB,'EPA Export Aggregation'!$A:$A,$B7,'EPA Export Aggregation'!$D:$D,$A$1)*IF($A7="CH4",About!$D$58,IF($A7="N2O",About!$D$59,1))</f>
        <v>6.998873193743</v>
      </c>
      <c r="Z7">
        <f>SUMIFS('EPA Export Aggregation'!AC:AC,'EPA Export Aggregation'!$A:$A,$B7,'EPA Export Aggregation'!$D:$D,$A$1)*IF($A7="CH4",About!$D$58,IF($A7="N2O",About!$D$59,1))</f>
        <v>8.1506983306408003</v>
      </c>
      <c r="AA7">
        <f>SUMIFS('EPA Export Aggregation'!AD:AD,'EPA Export Aggregation'!$A:$A,$B7,'EPA Export Aggregation'!$D:$D,$A$1)*IF($A7="CH4",About!$D$58,IF($A7="N2O",About!$D$59,1))</f>
        <v>8.0008602253797001</v>
      </c>
      <c r="AB7">
        <f>SUMIFS('EPA Export Aggregation'!AE:AE,'EPA Export Aggregation'!$A:$A,$B7,'EPA Export Aggregation'!$D:$D,$A$1)*IF($A7="CH4",About!$D$58,IF($A7="N2O",About!$D$59,1))</f>
        <v>7.4468484366147996</v>
      </c>
      <c r="AC7">
        <f>SUMIFS('EPA Export Aggregation'!AF:AF,'EPA Export Aggregation'!$A:$A,$B7,'EPA Export Aggregation'!$D:$D,$A$1)*IF($A7="CH4",About!$D$58,IF($A7="N2O",About!$D$59,1))</f>
        <v>7.4434848291567999</v>
      </c>
      <c r="AD7">
        <f>SUMIFS('EPA Export Aggregation'!AG:AG,'EPA Export Aggregation'!$A:$A,$B7,'EPA Export Aggregation'!$D:$D,$A$1)*IF($A7="CH4",About!$D$58,IF($A7="N2O",About!$D$59,1))</f>
        <v>7.2094027041573003</v>
      </c>
      <c r="AE7">
        <f>SUMIFS('EPA Export Aggregation'!AH:AH,'EPA Export Aggregation'!$A:$A,$B7,'EPA Export Aggregation'!$D:$D,$A$1)*IF($A7="CH4",About!$D$58,IF($A7="N2O",About!$D$59,1))</f>
        <v>7.8883665098993996</v>
      </c>
      <c r="AF7">
        <f>SUMIFS('EPA Export Aggregation'!AI:AI,'EPA Export Aggregation'!$A:$A,$B7,'EPA Export Aggregation'!$D:$D,$A$1)*IF($A7="CH4",About!$D$58,IF($A7="N2O",About!$D$59,1))</f>
        <v>8.8707581131350999</v>
      </c>
      <c r="AG7">
        <f>SUMIFS('EPA Export Aggregation'!AJ:AJ,'EPA Export Aggregation'!$A:$A,$B7,'EPA Export Aggregation'!$D:$D,$A$1)*IF($A7="CH4",About!$D$58,IF($A7="N2O",About!$D$59,1))</f>
        <v>8.3791585455581004</v>
      </c>
      <c r="AH7">
        <f>SUMIFS('EPA Export Aggregation'!AK:AK,'EPA Export Aggregation'!$A:$A,$B7,'EPA Export Aggregation'!$D:$D,$A$1)*IF($A7="CH4",About!$D$58,IF($A7="N2O",About!$D$59,1))</f>
        <v>8.2203179759309997</v>
      </c>
    </row>
    <row r="8" spans="1:34" x14ac:dyDescent="0.25">
      <c r="A8" s="119" t="s">
        <v>479</v>
      </c>
      <c r="B8" s="120" t="s">
        <v>1960</v>
      </c>
      <c r="C8">
        <f>SUMIFS('EPA Export Aggregation'!F:F,'EPA Export Aggregation'!$A:$A,$B8,'EPA Export Aggregation'!$D:$D,$A$1)*IF($A8="CH4",About!$D$58,IF($A8="N2O",About!$D$59,1))</f>
        <v>3.7885792500690001</v>
      </c>
      <c r="D8">
        <f>SUMIFS('EPA Export Aggregation'!G:G,'EPA Export Aggregation'!$A:$A,$B8,'EPA Export Aggregation'!$D:$D,$A$1)*IF($A8="CH4",About!$D$58,IF($A8="N2O",About!$D$59,1))</f>
        <v>4.3131206260542001</v>
      </c>
      <c r="E8">
        <f>SUMIFS('EPA Export Aggregation'!H:H,'EPA Export Aggregation'!$A:$A,$B8,'EPA Export Aggregation'!$D:$D,$A$1)*IF($A8="CH4",About!$D$58,IF($A8="N2O",About!$D$59,1))</f>
        <v>4.0278235037228001</v>
      </c>
      <c r="F8">
        <f>SUMIFS('EPA Export Aggregation'!I:I,'EPA Export Aggregation'!$A:$A,$B8,'EPA Export Aggregation'!$D:$D,$A$1)*IF($A8="CH4",About!$D$58,IF($A8="N2O",About!$D$59,1))</f>
        <v>4.1366971916238002</v>
      </c>
      <c r="G8">
        <f>SUMIFS('EPA Export Aggregation'!J:J,'EPA Export Aggregation'!$A:$A,$B8,'EPA Export Aggregation'!$D:$D,$A$1)*IF($A8="CH4",About!$D$58,IF($A8="N2O",About!$D$59,1))</f>
        <v>3.9245370154172998</v>
      </c>
      <c r="H8">
        <f>SUMIFS('EPA Export Aggregation'!K:K,'EPA Export Aggregation'!$A:$A,$B8,'EPA Export Aggregation'!$D:$D,$A$1)*IF($A8="CH4",About!$D$58,IF($A8="N2O",About!$D$59,1))</f>
        <v>3.9263800063596999</v>
      </c>
      <c r="I8">
        <f>SUMIFS('EPA Export Aggregation'!L:L,'EPA Export Aggregation'!$A:$A,$B8,'EPA Export Aggregation'!$D:$D,$A$1)*IF($A8="CH4",About!$D$58,IF($A8="N2O",About!$D$59,1))</f>
        <v>4.1780066342308002</v>
      </c>
      <c r="J8">
        <f>SUMIFS('EPA Export Aggregation'!M:M,'EPA Export Aggregation'!$A:$A,$B8,'EPA Export Aggregation'!$D:$D,$A$1)*IF($A8="CH4",About!$D$58,IF($A8="N2O",About!$D$59,1))</f>
        <v>4.0958097460629004</v>
      </c>
      <c r="K8">
        <f>SUMIFS('EPA Export Aggregation'!N:N,'EPA Export Aggregation'!$A:$A,$B8,'EPA Export Aggregation'!$D:$D,$A$1)*IF($A8="CH4",About!$D$58,IF($A8="N2O",About!$D$59,1))</f>
        <v>3.7020197353481001</v>
      </c>
      <c r="L8">
        <f>SUMIFS('EPA Export Aggregation'!O:O,'EPA Export Aggregation'!$A:$A,$B8,'EPA Export Aggregation'!$D:$D,$A$1)*IF($A8="CH4",About!$D$58,IF($A8="N2O",About!$D$59,1))</f>
        <v>3.7447077573967</v>
      </c>
      <c r="M8">
        <f>SUMIFS('EPA Export Aggregation'!P:P,'EPA Export Aggregation'!$A:$A,$B8,'EPA Export Aggregation'!$D:$D,$A$1)*IF($A8="CH4",About!$D$58,IF($A8="N2O",About!$D$59,1))</f>
        <v>3.7727097898152002</v>
      </c>
      <c r="N8">
        <f>SUMIFS('EPA Export Aggregation'!Q:Q,'EPA Export Aggregation'!$A:$A,$B8,'EPA Export Aggregation'!$D:$D,$A$1)*IF($A8="CH4",About!$D$58,IF($A8="N2O",About!$D$59,1))</f>
        <v>4.4250350964354999</v>
      </c>
      <c r="O8">
        <f>SUMIFS('EPA Export Aggregation'!R:R,'EPA Export Aggregation'!$A:$A,$B8,'EPA Export Aggregation'!$D:$D,$A$1)*IF($A8="CH4",About!$D$58,IF($A8="N2O",About!$D$59,1))</f>
        <v>4.3045991486321</v>
      </c>
      <c r="P8">
        <f>SUMIFS('EPA Export Aggregation'!S:S,'EPA Export Aggregation'!$A:$A,$B8,'EPA Export Aggregation'!$D:$D,$A$1)*IF($A8="CH4",About!$D$58,IF($A8="N2O",About!$D$59,1))</f>
        <v>4.1550990851306997</v>
      </c>
      <c r="Q8">
        <f>SUMIFS('EPA Export Aggregation'!T:T,'EPA Export Aggregation'!$A:$A,$B8,'EPA Export Aggregation'!$D:$D,$A$1)*IF($A8="CH4",About!$D$58,IF($A8="N2O",About!$D$59,1))</f>
        <v>4.0348194176043997</v>
      </c>
      <c r="R8">
        <f>SUMIFS('EPA Export Aggregation'!U:U,'EPA Export Aggregation'!$A:$A,$B8,'EPA Export Aggregation'!$D:$D,$A$1)*IF($A8="CH4",About!$D$58,IF($A8="N2O",About!$D$59,1))</f>
        <v>4.0521405009320004</v>
      </c>
      <c r="S8">
        <f>SUMIFS('EPA Export Aggregation'!V:V,'EPA Export Aggregation'!$A:$A,$B8,'EPA Export Aggregation'!$D:$D,$A$1)*IF($A8="CH4",About!$D$58,IF($A8="N2O",About!$D$59,1))</f>
        <v>3.7662955294535001</v>
      </c>
      <c r="T8">
        <f>SUMIFS('EPA Export Aggregation'!W:W,'EPA Export Aggregation'!$A:$A,$B8,'EPA Export Aggregation'!$D:$D,$A$1)*IF($A8="CH4",About!$D$58,IF($A8="N2O",About!$D$59,1))</f>
        <v>3.7544595239396998</v>
      </c>
      <c r="U8">
        <f>SUMIFS('EPA Export Aggregation'!X:X,'EPA Export Aggregation'!$A:$A,$B8,'EPA Export Aggregation'!$D:$D,$A$1)*IF($A8="CH4",About!$D$58,IF($A8="N2O",About!$D$59,1))</f>
        <v>4.5271035985381003</v>
      </c>
      <c r="V8">
        <f>SUMIFS('EPA Export Aggregation'!Y:Y,'EPA Export Aggregation'!$A:$A,$B8,'EPA Export Aggregation'!$D:$D,$A$1)*IF($A8="CH4",About!$D$58,IF($A8="N2O",About!$D$59,1))</f>
        <v>4.6540415605694996</v>
      </c>
      <c r="W8">
        <f>SUMIFS('EPA Export Aggregation'!Z:Z,'EPA Export Aggregation'!$A:$A,$B8,'EPA Export Aggregation'!$D:$D,$A$1)*IF($A8="CH4",About!$D$58,IF($A8="N2O",About!$D$59,1))</f>
        <v>4.2232426145337003</v>
      </c>
      <c r="X8">
        <f>SUMIFS('EPA Export Aggregation'!AA:AA,'EPA Export Aggregation'!$A:$A,$B8,'EPA Export Aggregation'!$D:$D,$A$1)*IF($A8="CH4",About!$D$58,IF($A8="N2O",About!$D$59,1))</f>
        <v>3.9647349380408001</v>
      </c>
      <c r="Y8">
        <f>SUMIFS('EPA Export Aggregation'!AB:AB,'EPA Export Aggregation'!$A:$A,$B8,'EPA Export Aggregation'!$D:$D,$A$1)*IF($A8="CH4",About!$D$58,IF($A8="N2O",About!$D$59,1))</f>
        <v>3.2939773099397001</v>
      </c>
      <c r="Z8">
        <f>SUMIFS('EPA Export Aggregation'!AC:AC,'EPA Export Aggregation'!$A:$A,$B8,'EPA Export Aggregation'!$D:$D,$A$1)*IF($A8="CH4",About!$D$58,IF($A8="N2O",About!$D$59,1))</f>
        <v>3.6588502361966002</v>
      </c>
      <c r="AA8">
        <f>SUMIFS('EPA Export Aggregation'!AD:AD,'EPA Export Aggregation'!$A:$A,$B8,'EPA Export Aggregation'!$D:$D,$A$1)*IF($A8="CH4",About!$D$58,IF($A8="N2O",About!$D$59,1))</f>
        <v>3.6857830446448001</v>
      </c>
      <c r="AB8">
        <f>SUMIFS('EPA Export Aggregation'!AE:AE,'EPA Export Aggregation'!$A:$A,$B8,'EPA Export Aggregation'!$D:$D,$A$1)*IF($A8="CH4",About!$D$58,IF($A8="N2O",About!$D$59,1))</f>
        <v>4.0908575481913996</v>
      </c>
      <c r="AC8">
        <f>SUMIFS('EPA Export Aggregation'!AF:AF,'EPA Export Aggregation'!$A:$A,$B8,'EPA Export Aggregation'!$D:$D,$A$1)*IF($A8="CH4",About!$D$58,IF($A8="N2O",About!$D$59,1))</f>
        <v>3.9059360861878001</v>
      </c>
      <c r="AD8">
        <f>SUMIFS('EPA Export Aggregation'!AG:AG,'EPA Export Aggregation'!$A:$A,$B8,'EPA Export Aggregation'!$D:$D,$A$1)*IF($A8="CH4",About!$D$58,IF($A8="N2O",About!$D$59,1))</f>
        <v>3.983825660301</v>
      </c>
      <c r="AE8">
        <f>SUMIFS('EPA Export Aggregation'!AH:AH,'EPA Export Aggregation'!$A:$A,$B8,'EPA Export Aggregation'!$D:$D,$A$1)*IF($A8="CH4",About!$D$58,IF($A8="N2O",About!$D$59,1))</f>
        <v>3.9503765855347002</v>
      </c>
      <c r="AF8">
        <f>SUMIFS('EPA Export Aggregation'!AI:AI,'EPA Export Aggregation'!$A:$A,$B8,'EPA Export Aggregation'!$D:$D,$A$1)*IF($A8="CH4",About!$D$58,IF($A8="N2O",About!$D$59,1))</f>
        <v>4.5768950879523</v>
      </c>
      <c r="AG8">
        <f>SUMIFS('EPA Export Aggregation'!AJ:AJ,'EPA Export Aggregation'!$A:$A,$B8,'EPA Export Aggregation'!$D:$D,$A$1)*IF($A8="CH4",About!$D$58,IF($A8="N2O",About!$D$59,1))</f>
        <v>4.1639074363819004</v>
      </c>
      <c r="AH8">
        <f>SUMIFS('EPA Export Aggregation'!AK:AK,'EPA Export Aggregation'!$A:$A,$B8,'EPA Export Aggregation'!$D:$D,$A$1)*IF($A8="CH4",About!$D$58,IF($A8="N2O",About!$D$59,1))</f>
        <v>4.173833788814</v>
      </c>
    </row>
    <row r="9" spans="1:34" x14ac:dyDescent="0.25">
      <c r="A9" s="119" t="s">
        <v>479</v>
      </c>
      <c r="B9" s="120" t="s">
        <v>1961</v>
      </c>
      <c r="C9">
        <f>SUMIFS('EPA Export Aggregation'!F:F,'EPA Export Aggregation'!$A:$A,$B9,'EPA Export Aggregation'!$D:$D,$A$1)*IF($A9="CH4",About!$D$58,IF($A9="N2O",About!$D$59,1))</f>
        <v>0.3764106801946</v>
      </c>
      <c r="D9">
        <f>SUMIFS('EPA Export Aggregation'!G:G,'EPA Export Aggregation'!$A:$A,$B9,'EPA Export Aggregation'!$D:$D,$A$1)*IF($A9="CH4",About!$D$58,IF($A9="N2O",About!$D$59,1))</f>
        <v>0.37634237383390001</v>
      </c>
      <c r="E9">
        <f>SUMIFS('EPA Export Aggregation'!H:H,'EPA Export Aggregation'!$A:$A,$B9,'EPA Export Aggregation'!$D:$D,$A$1)*IF($A9="CH4",About!$D$58,IF($A9="N2O",About!$D$59,1))</f>
        <v>0.3871857388021</v>
      </c>
      <c r="F9">
        <f>SUMIFS('EPA Export Aggregation'!I:I,'EPA Export Aggregation'!$A:$A,$B9,'EPA Export Aggregation'!$D:$D,$A$1)*IF($A9="CH4",About!$D$58,IF($A9="N2O",About!$D$59,1))</f>
        <v>0.40488490824790002</v>
      </c>
      <c r="G9">
        <f>SUMIFS('EPA Export Aggregation'!J:J,'EPA Export Aggregation'!$A:$A,$B9,'EPA Export Aggregation'!$D:$D,$A$1)*IF($A9="CH4",About!$D$58,IF($A9="N2O",About!$D$59,1))</f>
        <v>0.41811107085080002</v>
      </c>
      <c r="H9">
        <f>SUMIFS('EPA Export Aggregation'!K:K,'EPA Export Aggregation'!$A:$A,$B9,'EPA Export Aggregation'!$D:$D,$A$1)*IF($A9="CH4",About!$D$58,IF($A9="N2O",About!$D$59,1))</f>
        <v>0.41082796381600001</v>
      </c>
      <c r="I9">
        <f>SUMIFS('EPA Export Aggregation'!L:L,'EPA Export Aggregation'!$A:$A,$B9,'EPA Export Aggregation'!$D:$D,$A$1)*IF($A9="CH4",About!$D$58,IF($A9="N2O",About!$D$59,1))</f>
        <v>0.40903290515360002</v>
      </c>
      <c r="J9">
        <f>SUMIFS('EPA Export Aggregation'!M:M,'EPA Export Aggregation'!$A:$A,$B9,'EPA Export Aggregation'!$D:$D,$A$1)*IF($A9="CH4",About!$D$58,IF($A9="N2O",About!$D$59,1))</f>
        <v>0.43948737651999997</v>
      </c>
      <c r="K9">
        <f>SUMIFS('EPA Export Aggregation'!N:N,'EPA Export Aggregation'!$A:$A,$B9,'EPA Export Aggregation'!$D:$D,$A$1)*IF($A9="CH4",About!$D$58,IF($A9="N2O",About!$D$59,1))</f>
        <v>0.44651739244470001</v>
      </c>
      <c r="L9">
        <f>SUMIFS('EPA Export Aggregation'!O:O,'EPA Export Aggregation'!$A:$A,$B9,'EPA Export Aggregation'!$D:$D,$A$1)*IF($A9="CH4",About!$D$58,IF($A9="N2O",About!$D$59,1))</f>
        <v>0.4060099193749</v>
      </c>
      <c r="M9">
        <f>SUMIFS('EPA Export Aggregation'!P:P,'EPA Export Aggregation'!$A:$A,$B9,'EPA Export Aggregation'!$D:$D,$A$1)*IF($A9="CH4",About!$D$58,IF($A9="N2O",About!$D$59,1))</f>
        <v>0.52433353065650001</v>
      </c>
      <c r="N9">
        <f>SUMIFS('EPA Export Aggregation'!Q:Q,'EPA Export Aggregation'!$A:$A,$B9,'EPA Export Aggregation'!$D:$D,$A$1)*IF($A9="CH4",About!$D$58,IF($A9="N2O",About!$D$59,1))</f>
        <v>0.53767193434659999</v>
      </c>
      <c r="O9">
        <f>SUMIFS('EPA Export Aggregation'!R:R,'EPA Export Aggregation'!$A:$A,$B9,'EPA Export Aggregation'!$D:$D,$A$1)*IF($A9="CH4",About!$D$58,IF($A9="N2O",About!$D$59,1))</f>
        <v>0.45257920865919998</v>
      </c>
      <c r="P9">
        <f>SUMIFS('EPA Export Aggregation'!S:S,'EPA Export Aggregation'!$A:$A,$B9,'EPA Export Aggregation'!$D:$D,$A$1)*IF($A9="CH4",About!$D$58,IF($A9="N2O",About!$D$59,1))</f>
        <v>0.43327561592649999</v>
      </c>
      <c r="Q9">
        <f>SUMIFS('EPA Export Aggregation'!T:T,'EPA Export Aggregation'!$A:$A,$B9,'EPA Export Aggregation'!$D:$D,$A$1)*IF($A9="CH4",About!$D$58,IF($A9="N2O",About!$D$59,1))</f>
        <v>0.49112942422520001</v>
      </c>
      <c r="R9">
        <f>SUMIFS('EPA Export Aggregation'!U:U,'EPA Export Aggregation'!$A:$A,$B9,'EPA Export Aggregation'!$D:$D,$A$1)*IF($A9="CH4",About!$D$58,IF($A9="N2O",About!$D$59,1))</f>
        <v>0.40061608656789999</v>
      </c>
      <c r="S9">
        <f>SUMIFS('EPA Export Aggregation'!V:V,'EPA Export Aggregation'!$A:$A,$B9,'EPA Export Aggregation'!$D:$D,$A$1)*IF($A9="CH4",About!$D$58,IF($A9="N2O",About!$D$59,1))</f>
        <v>0.5326167015644</v>
      </c>
      <c r="T9">
        <f>SUMIFS('EPA Export Aggregation'!W:W,'EPA Export Aggregation'!$A:$A,$B9,'EPA Export Aggregation'!$D:$D,$A$1)*IF($A9="CH4",About!$D$58,IF($A9="N2O",About!$D$59,1))</f>
        <v>0.4387047469159</v>
      </c>
      <c r="U9">
        <f>SUMIFS('EPA Export Aggregation'!X:X,'EPA Export Aggregation'!$A:$A,$B9,'EPA Export Aggregation'!$D:$D,$A$1)*IF($A9="CH4",About!$D$58,IF($A9="N2O",About!$D$59,1))</f>
        <v>0.30830790123140001</v>
      </c>
      <c r="V9">
        <f>SUMIFS('EPA Export Aggregation'!Y:Y,'EPA Export Aggregation'!$A:$A,$B9,'EPA Export Aggregation'!$D:$D,$A$1)*IF($A9="CH4",About!$D$58,IF($A9="N2O",About!$D$59,1))</f>
        <v>0.27568094025700002</v>
      </c>
      <c r="W9">
        <f>SUMIFS('EPA Export Aggregation'!Z:Z,'EPA Export Aggregation'!$A:$A,$B9,'EPA Export Aggregation'!$D:$D,$A$1)*IF($A9="CH4",About!$D$58,IF($A9="N2O",About!$D$59,1))</f>
        <v>0.38260075887630002</v>
      </c>
      <c r="X9">
        <f>SUMIFS('EPA Export Aggregation'!AA:AA,'EPA Export Aggregation'!$A:$A,$B9,'EPA Export Aggregation'!$D:$D,$A$1)*IF($A9="CH4",About!$D$58,IF($A9="N2O",About!$D$59,1))</f>
        <v>0.36340574148479998</v>
      </c>
      <c r="Y9">
        <f>SUMIFS('EPA Export Aggregation'!AB:AB,'EPA Export Aggregation'!$A:$A,$B9,'EPA Export Aggregation'!$D:$D,$A$1)*IF($A9="CH4",About!$D$58,IF($A9="N2O",About!$D$59,1))</f>
        <v>0.34196713973640003</v>
      </c>
      <c r="Z9">
        <f>SUMIFS('EPA Export Aggregation'!AC:AC,'EPA Export Aggregation'!$A:$A,$B9,'EPA Export Aggregation'!$D:$D,$A$1)*IF($A9="CH4",About!$D$58,IF($A9="N2O",About!$D$59,1))</f>
        <v>0.38312457709999997</v>
      </c>
      <c r="AA9">
        <f>SUMIFS('EPA Export Aggregation'!AD:AD,'EPA Export Aggregation'!$A:$A,$B9,'EPA Export Aggregation'!$D:$D,$A$1)*IF($A9="CH4",About!$D$58,IF($A9="N2O",About!$D$59,1))</f>
        <v>0.43422345261180001</v>
      </c>
      <c r="AB9">
        <f>SUMIFS('EPA Export Aggregation'!AE:AE,'EPA Export Aggregation'!$A:$A,$B9,'EPA Export Aggregation'!$D:$D,$A$1)*IF($A9="CH4",About!$D$58,IF($A9="N2O",About!$D$59,1))</f>
        <v>0.46990370891150002</v>
      </c>
      <c r="AC9">
        <f>SUMIFS('EPA Export Aggregation'!AF:AF,'EPA Export Aggregation'!$A:$A,$B9,'EPA Export Aggregation'!$D:$D,$A$1)*IF($A9="CH4",About!$D$58,IF($A9="N2O",About!$D$59,1))</f>
        <v>0.4502035934336</v>
      </c>
      <c r="AD9">
        <f>SUMIFS('EPA Export Aggregation'!AG:AG,'EPA Export Aggregation'!$A:$A,$B9,'EPA Export Aggregation'!$D:$D,$A$1)*IF($A9="CH4",About!$D$58,IF($A9="N2O",About!$D$59,1))</f>
        <v>0.42158831465910002</v>
      </c>
      <c r="AE9">
        <f>SUMIFS('EPA Export Aggregation'!AH:AH,'EPA Export Aggregation'!$A:$A,$B9,'EPA Export Aggregation'!$D:$D,$A$1)*IF($A9="CH4",About!$D$58,IF($A9="N2O",About!$D$59,1))</f>
        <v>0.4389461594763</v>
      </c>
      <c r="AF9">
        <f>SUMIFS('EPA Export Aggregation'!AI:AI,'EPA Export Aggregation'!$A:$A,$B9,'EPA Export Aggregation'!$D:$D,$A$1)*IF($A9="CH4",About!$D$58,IF($A9="N2O",About!$D$59,1))</f>
        <v>0.43759484851649999</v>
      </c>
      <c r="AG9">
        <f>SUMIFS('EPA Export Aggregation'!AJ:AJ,'EPA Export Aggregation'!$A:$A,$B9,'EPA Export Aggregation'!$D:$D,$A$1)*IF($A9="CH4",About!$D$58,IF($A9="N2O",About!$D$59,1))</f>
        <v>0.39039175122769998</v>
      </c>
      <c r="AH9">
        <f>SUMIFS('EPA Export Aggregation'!AK:AK,'EPA Export Aggregation'!$A:$A,$B9,'EPA Export Aggregation'!$D:$D,$A$1)*IF($A9="CH4",About!$D$58,IF($A9="N2O",About!$D$59,1))</f>
        <v>0.37903351145210001</v>
      </c>
    </row>
    <row r="10" spans="1:34" x14ac:dyDescent="0.25">
      <c r="A10" s="119" t="s">
        <v>479</v>
      </c>
      <c r="B10" s="120" t="s">
        <v>1962</v>
      </c>
      <c r="C10">
        <f>SUMIFS('EPA Export Aggregation'!F:F,'EPA Export Aggregation'!$A:$A,$B10,'EPA Export Aggregation'!$D:$D,$A$1)*IF($A10="CH4",About!$D$58,IF($A10="N2O",About!$D$59,1))</f>
        <v>0.67378784321310004</v>
      </c>
      <c r="D10">
        <f>SUMIFS('EPA Export Aggregation'!G:G,'EPA Export Aggregation'!$A:$A,$B10,'EPA Export Aggregation'!$D:$D,$A$1)*IF($A10="CH4",About!$D$58,IF($A10="N2O",About!$D$59,1))</f>
        <v>0.72568065016950001</v>
      </c>
      <c r="E10">
        <f>SUMIFS('EPA Export Aggregation'!H:H,'EPA Export Aggregation'!$A:$A,$B10,'EPA Export Aggregation'!$D:$D,$A$1)*IF($A10="CH4",About!$D$58,IF($A10="N2O",About!$D$59,1))</f>
        <v>0.79263268899219996</v>
      </c>
      <c r="F10">
        <f>SUMIFS('EPA Export Aggregation'!I:I,'EPA Export Aggregation'!$A:$A,$B10,'EPA Export Aggregation'!$D:$D,$A$1)*IF($A10="CH4",About!$D$58,IF($A10="N2O",About!$D$59,1))</f>
        <v>0.9610262681474</v>
      </c>
      <c r="G10">
        <f>SUMIFS('EPA Export Aggregation'!J:J,'EPA Export Aggregation'!$A:$A,$B10,'EPA Export Aggregation'!$D:$D,$A$1)*IF($A10="CH4",About!$D$58,IF($A10="N2O",About!$D$59,1))</f>
        <v>1.0209953401481</v>
      </c>
      <c r="H10">
        <f>SUMIFS('EPA Export Aggregation'!K:K,'EPA Export Aggregation'!$A:$A,$B10,'EPA Export Aggregation'!$D:$D,$A$1)*IF($A10="CH4",About!$D$58,IF($A10="N2O",About!$D$59,1))</f>
        <v>1.1102446415224001</v>
      </c>
      <c r="I10">
        <f>SUMIFS('EPA Export Aggregation'!L:L,'EPA Export Aggregation'!$A:$A,$B10,'EPA Export Aggregation'!$D:$D,$A$1)*IF($A10="CH4",About!$D$58,IF($A10="N2O",About!$D$59,1))</f>
        <v>1.0903678741594001</v>
      </c>
      <c r="J10">
        <f>SUMIFS('EPA Export Aggregation'!M:M,'EPA Export Aggregation'!$A:$A,$B10,'EPA Export Aggregation'!$D:$D,$A$1)*IF($A10="CH4",About!$D$58,IF($A10="N2O",About!$D$59,1))</f>
        <v>1.2080542953283</v>
      </c>
      <c r="K10">
        <f>SUMIFS('EPA Export Aggregation'!N:N,'EPA Export Aggregation'!$A:$A,$B10,'EPA Export Aggregation'!$D:$D,$A$1)*IF($A10="CH4",About!$D$58,IF($A10="N2O",About!$D$59,1))</f>
        <v>1.1609060520301</v>
      </c>
      <c r="L10">
        <f>SUMIFS('EPA Export Aggregation'!O:O,'EPA Export Aggregation'!$A:$A,$B10,'EPA Export Aggregation'!$D:$D,$A$1)*IF($A10="CH4",About!$D$58,IF($A10="N2O",About!$D$59,1))</f>
        <v>1.2455991379160001</v>
      </c>
      <c r="M10">
        <f>SUMIFS('EPA Export Aggregation'!P:P,'EPA Export Aggregation'!$A:$A,$B10,'EPA Export Aggregation'!$D:$D,$A$1)*IF($A10="CH4",About!$D$58,IF($A10="N2O",About!$D$59,1))</f>
        <v>1.2181711507738</v>
      </c>
      <c r="N10">
        <f>SUMIFS('EPA Export Aggregation'!Q:Q,'EPA Export Aggregation'!$A:$A,$B10,'EPA Export Aggregation'!$D:$D,$A$1)*IF($A10="CH4",About!$D$58,IF($A10="N2O",About!$D$59,1))</f>
        <v>1.3060702668744</v>
      </c>
      <c r="O10">
        <f>SUMIFS('EPA Export Aggregation'!R:R,'EPA Export Aggregation'!$A:$A,$B10,'EPA Export Aggregation'!$D:$D,$A$1)*IF($A10="CH4",About!$D$58,IF($A10="N2O",About!$D$59,1))</f>
        <v>1.5097123779213</v>
      </c>
      <c r="P10">
        <f>SUMIFS('EPA Export Aggregation'!S:S,'EPA Export Aggregation'!$A:$A,$B10,'EPA Export Aggregation'!$D:$D,$A$1)*IF($A10="CH4",About!$D$58,IF($A10="N2O",About!$D$59,1))</f>
        <v>1.5706631852324</v>
      </c>
      <c r="Q10">
        <f>SUMIFS('EPA Export Aggregation'!T:T,'EPA Export Aggregation'!$A:$A,$B10,'EPA Export Aggregation'!$D:$D,$A$1)*IF($A10="CH4",About!$D$58,IF($A10="N2O",About!$D$59,1))</f>
        <v>1.7113521467082999</v>
      </c>
      <c r="R10">
        <f>SUMIFS('EPA Export Aggregation'!U:U,'EPA Export Aggregation'!$A:$A,$B10,'EPA Export Aggregation'!$D:$D,$A$1)*IF($A10="CH4",About!$D$58,IF($A10="N2O",About!$D$59,1))</f>
        <v>1.8919036390291</v>
      </c>
      <c r="S10">
        <f>SUMIFS('EPA Export Aggregation'!V:V,'EPA Export Aggregation'!$A:$A,$B10,'EPA Export Aggregation'!$D:$D,$A$1)*IF($A10="CH4",About!$D$58,IF($A10="N2O",About!$D$59,1))</f>
        <v>1.9726256255392001</v>
      </c>
      <c r="T10">
        <f>SUMIFS('EPA Export Aggregation'!W:W,'EPA Export Aggregation'!$A:$A,$B10,'EPA Export Aggregation'!$D:$D,$A$1)*IF($A10="CH4",About!$D$58,IF($A10="N2O",About!$D$59,1))</f>
        <v>2.0361385048309</v>
      </c>
      <c r="U10">
        <f>SUMIFS('EPA Export Aggregation'!X:X,'EPA Export Aggregation'!$A:$A,$B10,'EPA Export Aggregation'!$D:$D,$A$1)*IF($A10="CH4",About!$D$58,IF($A10="N2O",About!$D$59,1))</f>
        <v>2.1362083783207</v>
      </c>
      <c r="V10">
        <f>SUMIFS('EPA Export Aggregation'!Y:Y,'EPA Export Aggregation'!$A:$A,$B10,'EPA Export Aggregation'!$D:$D,$A$1)*IF($A10="CH4",About!$D$58,IF($A10="N2O",About!$D$59,1))</f>
        <v>1.9577037866542</v>
      </c>
      <c r="W10">
        <f>SUMIFS('EPA Export Aggregation'!Z:Z,'EPA Export Aggregation'!$A:$A,$B10,'EPA Export Aggregation'!$D:$D,$A$1)*IF($A10="CH4",About!$D$58,IF($A10="N2O",About!$D$59,1))</f>
        <v>2.0937506111653001</v>
      </c>
      <c r="X10">
        <f>SUMIFS('EPA Export Aggregation'!AA:AA,'EPA Export Aggregation'!$A:$A,$B10,'EPA Export Aggregation'!$D:$D,$A$1)*IF($A10="CH4",About!$D$58,IF($A10="N2O",About!$D$59,1))</f>
        <v>2.1901494926246001</v>
      </c>
      <c r="Y10">
        <f>SUMIFS('EPA Export Aggregation'!AB:AB,'EPA Export Aggregation'!$A:$A,$B10,'EPA Export Aggregation'!$D:$D,$A$1)*IF($A10="CH4",About!$D$58,IF($A10="N2O",About!$D$59,1))</f>
        <v>2.0245925849530999</v>
      </c>
      <c r="Z10">
        <f>SUMIFS('EPA Export Aggregation'!AC:AC,'EPA Export Aggregation'!$A:$A,$B10,'EPA Export Aggregation'!$D:$D,$A$1)*IF($A10="CH4",About!$D$58,IF($A10="N2O",About!$D$59,1))</f>
        <v>1.9412820227017999</v>
      </c>
      <c r="AA10">
        <f>SUMIFS('EPA Export Aggregation'!AD:AD,'EPA Export Aggregation'!$A:$A,$B10,'EPA Export Aggregation'!$D:$D,$A$1)*IF($A10="CH4",About!$D$58,IF($A10="N2O",About!$D$59,1))</f>
        <v>1.9195998890660999</v>
      </c>
      <c r="AB10">
        <f>SUMIFS('EPA Export Aggregation'!AE:AE,'EPA Export Aggregation'!$A:$A,$B10,'EPA Export Aggregation'!$D:$D,$A$1)*IF($A10="CH4",About!$D$58,IF($A10="N2O",About!$D$59,1))</f>
        <v>1.8629222155881</v>
      </c>
      <c r="AC10">
        <f>SUMIFS('EPA Export Aggregation'!AF:AF,'EPA Export Aggregation'!$A:$A,$B10,'EPA Export Aggregation'!$D:$D,$A$1)*IF($A10="CH4",About!$D$58,IF($A10="N2O",About!$D$59,1))</f>
        <v>2.1603587932866999</v>
      </c>
      <c r="AD10">
        <f>SUMIFS('EPA Export Aggregation'!AG:AG,'EPA Export Aggregation'!$A:$A,$B10,'EPA Export Aggregation'!$D:$D,$A$1)*IF($A10="CH4",About!$D$58,IF($A10="N2O",About!$D$59,1))</f>
        <v>2.1430981652658998</v>
      </c>
      <c r="AE10">
        <f>SUMIFS('EPA Export Aggregation'!AH:AH,'EPA Export Aggregation'!$A:$A,$B10,'EPA Export Aggregation'!$D:$D,$A$1)*IF($A10="CH4",About!$D$58,IF($A10="N2O",About!$D$59,1))</f>
        <v>2.0816514248843001</v>
      </c>
      <c r="AF10">
        <f>SUMIFS('EPA Export Aggregation'!AI:AI,'EPA Export Aggregation'!$A:$A,$B10,'EPA Export Aggregation'!$D:$D,$A$1)*IF($A10="CH4",About!$D$58,IF($A10="N2O",About!$D$59,1))</f>
        <v>2.1906695950078001</v>
      </c>
      <c r="AG10">
        <f>SUMIFS('EPA Export Aggregation'!AJ:AJ,'EPA Export Aggregation'!$A:$A,$B10,'EPA Export Aggregation'!$D:$D,$A$1)*IF($A10="CH4",About!$D$58,IF($A10="N2O",About!$D$59,1))</f>
        <v>2.1153933170050001</v>
      </c>
      <c r="AH10">
        <f>SUMIFS('EPA Export Aggregation'!AK:AK,'EPA Export Aggregation'!$A:$A,$B10,'EPA Export Aggregation'!$D:$D,$A$1)*IF($A10="CH4",About!$D$58,IF($A10="N2O",About!$D$59,1))</f>
        <v>2.1078225417779999</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0.4414908541102</v>
      </c>
      <c r="G11">
        <f>SUMIFS('EPA Export Aggregation'!J:J,'EPA Export Aggregation'!$A:$A,$B11,'EPA Export Aggregation'!$D:$D,$A$1)*IF($A11="CH4",About!$D$58,IF($A11="N2O",About!$D$59,1))</f>
        <v>0.4420106379091</v>
      </c>
      <c r="H11">
        <f>SUMIFS('EPA Export Aggregation'!K:K,'EPA Export Aggregation'!$A:$A,$B11,'EPA Export Aggregation'!$D:$D,$A$1)*IF($A11="CH4",About!$D$58,IF($A11="N2O",About!$D$59,1))</f>
        <v>0.47867266190509999</v>
      </c>
      <c r="I11">
        <f>SUMIFS('EPA Export Aggregation'!L:L,'EPA Export Aggregation'!$A:$A,$B11,'EPA Export Aggregation'!$D:$D,$A$1)*IF($A11="CH4",About!$D$58,IF($A11="N2O",About!$D$59,1))</f>
        <v>0.49136630516599999</v>
      </c>
      <c r="J11">
        <f>SUMIFS('EPA Export Aggregation'!M:M,'EPA Export Aggregation'!$A:$A,$B11,'EPA Export Aggregation'!$D:$D,$A$1)*IF($A11="CH4",About!$D$58,IF($A11="N2O",About!$D$59,1))</f>
        <v>0.51093820720399996</v>
      </c>
      <c r="K11">
        <f>SUMIFS('EPA Export Aggregation'!N:N,'EPA Export Aggregation'!$A:$A,$B11,'EPA Export Aggregation'!$D:$D,$A$1)*IF($A11="CH4",About!$D$58,IF($A11="N2O",About!$D$59,1))</f>
        <v>0.50964416783510003</v>
      </c>
      <c r="L11">
        <f>SUMIFS('EPA Export Aggregation'!O:O,'EPA Export Aggregation'!$A:$A,$B11,'EPA Export Aggregation'!$D:$D,$A$1)*IF($A11="CH4",About!$D$58,IF($A11="N2O",About!$D$59,1))</f>
        <v>0.51924292388769999</v>
      </c>
      <c r="M11">
        <f>SUMIFS('EPA Export Aggregation'!P:P,'EPA Export Aggregation'!$A:$A,$B11,'EPA Export Aggregation'!$D:$D,$A$1)*IF($A11="CH4",About!$D$58,IF($A11="N2O",About!$D$59,1))</f>
        <v>0.56763705538539999</v>
      </c>
      <c r="N11">
        <f>SUMIFS('EPA Export Aggregation'!Q:Q,'EPA Export Aggregation'!$A:$A,$B11,'EPA Export Aggregation'!$D:$D,$A$1)*IF($A11="CH4",About!$D$58,IF($A11="N2O",About!$D$59,1))</f>
        <v>0.4664405790585</v>
      </c>
      <c r="O11">
        <f>SUMIFS('EPA Export Aggregation'!R:R,'EPA Export Aggregation'!$A:$A,$B11,'EPA Export Aggregation'!$D:$D,$A$1)*IF($A11="CH4",About!$D$58,IF($A11="N2O",About!$D$59,1))</f>
        <v>0.49842688659989998</v>
      </c>
      <c r="P11">
        <f>SUMIFS('EPA Export Aggregation'!S:S,'EPA Export Aggregation'!$A:$A,$B11,'EPA Export Aggregation'!$D:$D,$A$1)*IF($A11="CH4",About!$D$58,IF($A11="N2O",About!$D$59,1))</f>
        <v>0.61135681615549997</v>
      </c>
      <c r="Q11">
        <f>SUMIFS('EPA Export Aggregation'!T:T,'EPA Export Aggregation'!$A:$A,$B11,'EPA Export Aggregation'!$D:$D,$A$1)*IF($A11="CH4",About!$D$58,IF($A11="N2O",About!$D$59,1))</f>
        <v>0.64668141044219996</v>
      </c>
      <c r="R11">
        <f>SUMIFS('EPA Export Aggregation'!U:U,'EPA Export Aggregation'!$A:$A,$B11,'EPA Export Aggregation'!$D:$D,$A$1)*IF($A11="CH4",About!$D$58,IF($A11="N2O",About!$D$59,1))</f>
        <v>0.62671283344689999</v>
      </c>
      <c r="S11">
        <f>SUMIFS('EPA Export Aggregation'!V:V,'EPA Export Aggregation'!$A:$A,$B11,'EPA Export Aggregation'!$D:$D,$A$1)*IF($A11="CH4",About!$D$58,IF($A11="N2O",About!$D$59,1))</f>
        <v>0.64866510683129996</v>
      </c>
      <c r="T11">
        <f>SUMIFS('EPA Export Aggregation'!W:W,'EPA Export Aggregation'!$A:$A,$B11,'EPA Export Aggregation'!$D:$D,$A$1)*IF($A11="CH4",About!$D$58,IF($A11="N2O",About!$D$59,1))</f>
        <v>0.57084127611769997</v>
      </c>
      <c r="U11">
        <f>SUMIFS('EPA Export Aggregation'!X:X,'EPA Export Aggregation'!$A:$A,$B11,'EPA Export Aggregation'!$D:$D,$A$1)*IF($A11="CH4",About!$D$58,IF($A11="N2O",About!$D$59,1))</f>
        <v>0.66296866614939998</v>
      </c>
      <c r="V11">
        <f>SUMIFS('EPA Export Aggregation'!Y:Y,'EPA Export Aggregation'!$A:$A,$B11,'EPA Export Aggregation'!$D:$D,$A$1)*IF($A11="CH4",About!$D$58,IF($A11="N2O",About!$D$59,1))</f>
        <v>0.50055218699869997</v>
      </c>
      <c r="W11">
        <f>SUMIFS('EPA Export Aggregation'!Z:Z,'EPA Export Aggregation'!$A:$A,$B11,'EPA Export Aggregation'!$D:$D,$A$1)*IF($A11="CH4",About!$D$58,IF($A11="N2O",About!$D$59,1))</f>
        <v>0.88505077468560001</v>
      </c>
      <c r="X11">
        <f>SUMIFS('EPA Export Aggregation'!AA:AA,'EPA Export Aggregation'!$A:$A,$B11,'EPA Export Aggregation'!$D:$D,$A$1)*IF($A11="CH4",About!$D$58,IF($A11="N2O",About!$D$59,1))</f>
        <v>0.89276119405999999</v>
      </c>
      <c r="Y11">
        <f>SUMIFS('EPA Export Aggregation'!AB:AB,'EPA Export Aggregation'!$A:$A,$B11,'EPA Export Aggregation'!$D:$D,$A$1)*IF($A11="CH4",About!$D$58,IF($A11="N2O",About!$D$59,1))</f>
        <v>0.9769283343281</v>
      </c>
      <c r="Z11">
        <f>SUMIFS('EPA Export Aggregation'!AC:AC,'EPA Export Aggregation'!$A:$A,$B11,'EPA Export Aggregation'!$D:$D,$A$1)*IF($A11="CH4",About!$D$58,IF($A11="N2O",About!$D$59,1))</f>
        <v>0.95544056933499999</v>
      </c>
      <c r="AA11">
        <f>SUMIFS('EPA Export Aggregation'!AD:AD,'EPA Export Aggregation'!$A:$A,$B11,'EPA Export Aggregation'!$D:$D,$A$1)*IF($A11="CH4",About!$D$58,IF($A11="N2O",About!$D$59,1))</f>
        <v>1.1368365705243</v>
      </c>
      <c r="AB11">
        <f>SUMIFS('EPA Export Aggregation'!AE:AE,'EPA Export Aggregation'!$A:$A,$B11,'EPA Export Aggregation'!$D:$D,$A$1)*IF($A11="CH4",About!$D$58,IF($A11="N2O",About!$D$59,1))</f>
        <v>1.1193694754617001</v>
      </c>
      <c r="AC11">
        <f>SUMIFS('EPA Export Aggregation'!AF:AF,'EPA Export Aggregation'!$A:$A,$B11,'EPA Export Aggregation'!$D:$D,$A$1)*IF($A11="CH4",About!$D$58,IF($A11="N2O",About!$D$59,1))</f>
        <v>1.1119433979197999</v>
      </c>
      <c r="AD11">
        <f>SUMIFS('EPA Export Aggregation'!AG:AG,'EPA Export Aggregation'!$A:$A,$B11,'EPA Export Aggregation'!$D:$D,$A$1)*IF($A11="CH4",About!$D$58,IF($A11="N2O",About!$D$59,1))</f>
        <v>1.1742119658253001</v>
      </c>
      <c r="AE11">
        <f>SUMIFS('EPA Export Aggregation'!AH:AH,'EPA Export Aggregation'!$A:$A,$B11,'EPA Export Aggregation'!$D:$D,$A$1)*IF($A11="CH4",About!$D$58,IF($A11="N2O",About!$D$59,1))</f>
        <v>1.1100314595480001</v>
      </c>
      <c r="AF11">
        <f>SUMIFS('EPA Export Aggregation'!AI:AI,'EPA Export Aggregation'!$A:$A,$B11,'EPA Export Aggregation'!$D:$D,$A$1)*IF($A11="CH4",About!$D$58,IF($A11="N2O",About!$D$59,1))</f>
        <v>1.2130960789653</v>
      </c>
      <c r="AG11">
        <f>SUMIFS('EPA Export Aggregation'!AJ:AJ,'EPA Export Aggregation'!$A:$A,$B11,'EPA Export Aggregation'!$D:$D,$A$1)*IF($A11="CH4",About!$D$58,IF($A11="N2O",About!$D$59,1))</f>
        <v>1.1736106611021</v>
      </c>
      <c r="AH11">
        <f>SUMIFS('EPA Export Aggregation'!AK:AK,'EPA Export Aggregation'!$A:$A,$B11,'EPA Export Aggregation'!$D:$D,$A$1)*IF($A11="CH4",About!$D$58,IF($A11="N2O",About!$D$59,1))</f>
        <v>1.0234141498822</v>
      </c>
    </row>
    <row r="12" spans="1:34" x14ac:dyDescent="0.25">
      <c r="A12" s="119" t="s">
        <v>479</v>
      </c>
      <c r="B12" s="120" t="s">
        <v>1964</v>
      </c>
      <c r="C12">
        <f>SUMIFS('EPA Export Aggregation'!F:F,'EPA Export Aggregation'!$A:$A,$B12,'EPA Export Aggregation'!$D:$D,$A$1)*IF($A12="CH4",About!$D$58,IF($A12="N2O",About!$D$59,1))</f>
        <v>9.7494633576399994E-2</v>
      </c>
      <c r="D12">
        <f>SUMIFS('EPA Export Aggregation'!G:G,'EPA Export Aggregation'!$A:$A,$B12,'EPA Export Aggregation'!$D:$D,$A$1)*IF($A12="CH4",About!$D$58,IF($A12="N2O",About!$D$59,1))</f>
        <v>9.67318583673E-2</v>
      </c>
      <c r="E12">
        <f>SUMIFS('EPA Export Aggregation'!H:H,'EPA Export Aggregation'!$A:$A,$B12,'EPA Export Aggregation'!$D:$D,$A$1)*IF($A12="CH4",About!$D$58,IF($A12="N2O",About!$D$59,1))</f>
        <v>9.9538895054699997E-2</v>
      </c>
      <c r="F12">
        <f>SUMIFS('EPA Export Aggregation'!I:I,'EPA Export Aggregation'!$A:$A,$B12,'EPA Export Aggregation'!$D:$D,$A$1)*IF($A12="CH4",About!$D$58,IF($A12="N2O",About!$D$59,1))</f>
        <v>0.1024328576831</v>
      </c>
      <c r="G12">
        <f>SUMIFS('EPA Export Aggregation'!J:J,'EPA Export Aggregation'!$A:$A,$B12,'EPA Export Aggregation'!$D:$D,$A$1)*IF($A12="CH4",About!$D$58,IF($A12="N2O",About!$D$59,1))</f>
        <v>0.1090068549369</v>
      </c>
      <c r="H12">
        <f>SUMIFS('EPA Export Aggregation'!K:K,'EPA Export Aggregation'!$A:$A,$B12,'EPA Export Aggregation'!$D:$D,$A$1)*IF($A12="CH4",About!$D$58,IF($A12="N2O",About!$D$59,1))</f>
        <v>0.1175181986074</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1.31745845623E-2</v>
      </c>
      <c r="AD12">
        <f>SUMIFS('EPA Export Aggregation'!AG:AG,'EPA Export Aggregation'!$A:$A,$B12,'EPA Export Aggregation'!$D:$D,$A$1)*IF($A12="CH4",About!$D$58,IF($A12="N2O",About!$D$59,1))</f>
        <v>1.0978521429799999E-2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8.1334732906599996E-2</v>
      </c>
      <c r="D13">
        <f>SUMIFS('EPA Export Aggregation'!G:G,'EPA Export Aggregation'!$A:$A,$B13,'EPA Export Aggregation'!$D:$D,$A$1)*IF($A13="CH4",About!$D$58,IF($A13="N2O",About!$D$59,1))</f>
        <v>7.3979997986200002E-2</v>
      </c>
      <c r="E13">
        <f>SUMIFS('EPA Export Aggregation'!H:H,'EPA Export Aggregation'!$A:$A,$B13,'EPA Export Aggregation'!$D:$D,$A$1)*IF($A13="CH4",About!$D$58,IF($A13="N2O",About!$D$59,1))</f>
        <v>7.4558483806100001E-2</v>
      </c>
      <c r="F13">
        <f>SUMIFS('EPA Export Aggregation'!I:I,'EPA Export Aggregation'!$A:$A,$B13,'EPA Export Aggregation'!$D:$D,$A$1)*IF($A13="CH4",About!$D$58,IF($A13="N2O",About!$D$59,1))</f>
        <v>7.0796376281099999E-2</v>
      </c>
      <c r="G13">
        <f>SUMIFS('EPA Export Aggregation'!J:J,'EPA Export Aggregation'!$A:$A,$B13,'EPA Export Aggregation'!$D:$D,$A$1)*IF($A13="CH4",About!$D$58,IF($A13="N2O",About!$D$59,1))</f>
        <v>7.5995129985000007E-2</v>
      </c>
      <c r="H13">
        <f>SUMIFS('EPA Export Aggregation'!K:K,'EPA Export Aggregation'!$A:$A,$B13,'EPA Export Aggregation'!$D:$D,$A$1)*IF($A13="CH4",About!$D$58,IF($A13="N2O",About!$D$59,1))</f>
        <v>0.1040283646804</v>
      </c>
      <c r="I13">
        <f>SUMIFS('EPA Export Aggregation'!L:L,'EPA Export Aggregation'!$A:$A,$B13,'EPA Export Aggregation'!$D:$D,$A$1)*IF($A13="CH4",About!$D$58,IF($A13="N2O",About!$D$59,1))</f>
        <v>0.11404595250299999</v>
      </c>
      <c r="J13">
        <f>SUMIFS('EPA Export Aggregation'!M:M,'EPA Export Aggregation'!$A:$A,$B13,'EPA Export Aggregation'!$D:$D,$A$1)*IF($A13="CH4",About!$D$58,IF($A13="N2O",About!$D$59,1))</f>
        <v>0.1116796477135</v>
      </c>
      <c r="K13">
        <f>SUMIFS('EPA Export Aggregation'!N:N,'EPA Export Aggregation'!$A:$A,$B13,'EPA Export Aggregation'!$D:$D,$A$1)*IF($A13="CH4",About!$D$58,IF($A13="N2O",About!$D$59,1))</f>
        <v>0.115395014891</v>
      </c>
      <c r="L13">
        <f>SUMIFS('EPA Export Aggregation'!O:O,'EPA Export Aggregation'!$A:$A,$B13,'EPA Export Aggregation'!$D:$D,$A$1)*IF($A13="CH4",About!$D$58,IF($A13="N2O",About!$D$59,1))</f>
        <v>0.12886258376119999</v>
      </c>
      <c r="M13">
        <f>SUMIFS('EPA Export Aggregation'!P:P,'EPA Export Aggregation'!$A:$A,$B13,'EPA Export Aggregation'!$D:$D,$A$1)*IF($A13="CH4",About!$D$58,IF($A13="N2O",About!$D$59,1))</f>
        <v>8.7072246310800003E-2</v>
      </c>
      <c r="N13">
        <f>SUMIFS('EPA Export Aggregation'!Q:Q,'EPA Export Aggregation'!$A:$A,$B13,'EPA Export Aggregation'!$D:$D,$A$1)*IF($A13="CH4",About!$D$58,IF($A13="N2O",About!$D$59,1))</f>
        <v>9.1506762105E-2</v>
      </c>
      <c r="O13">
        <f>SUMIFS('EPA Export Aggregation'!R:R,'EPA Export Aggregation'!$A:$A,$B13,'EPA Export Aggregation'!$D:$D,$A$1)*IF($A13="CH4",About!$D$58,IF($A13="N2O",About!$D$59,1))</f>
        <v>9.6626887033299996E-2</v>
      </c>
      <c r="P13">
        <f>SUMIFS('EPA Export Aggregation'!S:S,'EPA Export Aggregation'!$A:$A,$B13,'EPA Export Aggregation'!$D:$D,$A$1)*IF($A13="CH4",About!$D$58,IF($A13="N2O",About!$D$59,1))</f>
        <v>7.4898705657899994E-2</v>
      </c>
      <c r="Q13">
        <f>SUMIFS('EPA Export Aggregation'!T:T,'EPA Export Aggregation'!$A:$A,$B13,'EPA Export Aggregation'!$D:$D,$A$1)*IF($A13="CH4",About!$D$58,IF($A13="N2O",About!$D$59,1))</f>
        <v>0.1030654900521</v>
      </c>
      <c r="R13">
        <f>SUMIFS('EPA Export Aggregation'!U:U,'EPA Export Aggregation'!$A:$A,$B13,'EPA Export Aggregation'!$D:$D,$A$1)*IF($A13="CH4",About!$D$58,IF($A13="N2O",About!$D$59,1))</f>
        <v>0.1152712187642</v>
      </c>
      <c r="S13">
        <f>SUMIFS('EPA Export Aggregation'!V:V,'EPA Export Aggregation'!$A:$A,$B13,'EPA Export Aggregation'!$D:$D,$A$1)*IF($A13="CH4",About!$D$58,IF($A13="N2O",About!$D$59,1))</f>
        <v>0.13353944157479999</v>
      </c>
      <c r="T13">
        <f>SUMIFS('EPA Export Aggregation'!W:W,'EPA Export Aggregation'!$A:$A,$B13,'EPA Export Aggregation'!$D:$D,$A$1)*IF($A13="CH4",About!$D$58,IF($A13="N2O",About!$D$59,1))</f>
        <v>0.1237395225255</v>
      </c>
      <c r="U13">
        <f>SUMIFS('EPA Export Aggregation'!X:X,'EPA Export Aggregation'!$A:$A,$B13,'EPA Export Aggregation'!$D:$D,$A$1)*IF($A13="CH4",About!$D$58,IF($A13="N2O",About!$D$59,1))</f>
        <v>0.106303125055</v>
      </c>
      <c r="V13">
        <f>SUMIFS('EPA Export Aggregation'!Y:Y,'EPA Export Aggregation'!$A:$A,$B13,'EPA Export Aggregation'!$D:$D,$A$1)*IF($A13="CH4",About!$D$58,IF($A13="N2O",About!$D$59,1))</f>
        <v>0.1383745582041</v>
      </c>
      <c r="W13">
        <f>SUMIFS('EPA Export Aggregation'!Z:Z,'EPA Export Aggregation'!$A:$A,$B13,'EPA Export Aggregation'!$D:$D,$A$1)*IF($A13="CH4",About!$D$58,IF($A13="N2O",About!$D$59,1))</f>
        <v>0.17094238045820001</v>
      </c>
      <c r="X13">
        <f>SUMIFS('EPA Export Aggregation'!AA:AA,'EPA Export Aggregation'!$A:$A,$B13,'EPA Export Aggregation'!$D:$D,$A$1)*IF($A13="CH4",About!$D$58,IF($A13="N2O",About!$D$59,1))</f>
        <v>0.1577339514751</v>
      </c>
      <c r="Y13">
        <f>SUMIFS('EPA Export Aggregation'!AB:AB,'EPA Export Aggregation'!$A:$A,$B13,'EPA Export Aggregation'!$D:$D,$A$1)*IF($A13="CH4",About!$D$58,IF($A13="N2O",About!$D$59,1))</f>
        <v>0.1460238340004</v>
      </c>
      <c r="Z13">
        <f>SUMIFS('EPA Export Aggregation'!AC:AC,'EPA Export Aggregation'!$A:$A,$B13,'EPA Export Aggregation'!$D:$D,$A$1)*IF($A13="CH4",About!$D$58,IF($A13="N2O",About!$D$59,1))</f>
        <v>0.17946610103970001</v>
      </c>
      <c r="AA13">
        <f>SUMIFS('EPA Export Aggregation'!AD:AD,'EPA Export Aggregation'!$A:$A,$B13,'EPA Export Aggregation'!$D:$D,$A$1)*IF($A13="CH4",About!$D$58,IF($A13="N2O",About!$D$59,1))</f>
        <v>0.2089480250246</v>
      </c>
      <c r="AB13">
        <f>SUMIFS('EPA Export Aggregation'!AE:AE,'EPA Export Aggregation'!$A:$A,$B13,'EPA Export Aggregation'!$D:$D,$A$1)*IF($A13="CH4",About!$D$58,IF($A13="N2O",About!$D$59,1))</f>
        <v>0.20405880183380001</v>
      </c>
      <c r="AC13">
        <f>SUMIFS('EPA Export Aggregation'!AF:AF,'EPA Export Aggregation'!$A:$A,$B13,'EPA Export Aggregation'!$D:$D,$A$1)*IF($A13="CH4",About!$D$58,IF($A13="N2O",About!$D$59,1))</f>
        <v>0.1833974130978</v>
      </c>
      <c r="AD13">
        <f>SUMIFS('EPA Export Aggregation'!AG:AG,'EPA Export Aggregation'!$A:$A,$B13,'EPA Export Aggregation'!$D:$D,$A$1)*IF($A13="CH4",About!$D$58,IF($A13="N2O",About!$D$59,1))</f>
        <v>0.16859187872940001</v>
      </c>
      <c r="AE13">
        <f>SUMIFS('EPA Export Aggregation'!AH:AH,'EPA Export Aggregation'!$A:$A,$B13,'EPA Export Aggregation'!$D:$D,$A$1)*IF($A13="CH4",About!$D$58,IF($A13="N2O",About!$D$59,1))</f>
        <v>0.1267596785872</v>
      </c>
      <c r="AF13">
        <f>SUMIFS('EPA Export Aggregation'!AI:AI,'EPA Export Aggregation'!$A:$A,$B13,'EPA Export Aggregation'!$D:$D,$A$1)*IF($A13="CH4",About!$D$58,IF($A13="N2O",About!$D$59,1))</f>
        <v>0.14611716226300001</v>
      </c>
      <c r="AG13">
        <f>SUMIFS('EPA Export Aggregation'!AJ:AJ,'EPA Export Aggregation'!$A:$A,$B13,'EPA Export Aggregation'!$D:$D,$A$1)*IF($A13="CH4",About!$D$58,IF($A13="N2O",About!$D$59,1))</f>
        <v>0.14495849869720001</v>
      </c>
      <c r="AH13">
        <f>SUMIFS('EPA Export Aggregation'!AK:AK,'EPA Export Aggregation'!$A:$A,$B13,'EPA Export Aggregation'!$D:$D,$A$1)*IF($A13="CH4",About!$D$58,IF($A13="N2O",About!$D$59,1))</f>
        <v>0.13773404894419999</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7.0615972572599994E-2</v>
      </c>
      <c r="X14">
        <f>SUMIFS('EPA Export Aggregation'!AA:AA,'EPA Export Aggregation'!$A:$A,$B14,'EPA Export Aggregation'!$D:$D,$A$1)*IF($A14="CH4",About!$D$58,IF($A14="N2O",About!$D$59,1))</f>
        <v>6.7161259111500005E-2</v>
      </c>
      <c r="Y14">
        <f>SUMIFS('EPA Export Aggregation'!AB:AB,'EPA Export Aggregation'!$A:$A,$B14,'EPA Export Aggregation'!$D:$D,$A$1)*IF($A14="CH4",About!$D$58,IF($A14="N2O",About!$D$59,1))</f>
        <v>7.0189114427199994E-2</v>
      </c>
      <c r="Z14">
        <f>SUMIFS('EPA Export Aggregation'!AC:AC,'EPA Export Aggregation'!$A:$A,$B14,'EPA Export Aggregation'!$D:$D,$A$1)*IF($A14="CH4",About!$D$58,IF($A14="N2O",About!$D$59,1))</f>
        <v>7.0537052786199997E-2</v>
      </c>
      <c r="AA14">
        <f>SUMIFS('EPA Export Aggregation'!AD:AD,'EPA Export Aggregation'!$A:$A,$B14,'EPA Export Aggregation'!$D:$D,$A$1)*IF($A14="CH4",About!$D$58,IF($A14="N2O",About!$D$59,1))</f>
        <v>6.8760579491800006E-2</v>
      </c>
      <c r="AB14">
        <f>SUMIFS('EPA Export Aggregation'!AE:AE,'EPA Export Aggregation'!$A:$A,$B14,'EPA Export Aggregation'!$D:$D,$A$1)*IF($A14="CH4",About!$D$58,IF($A14="N2O",About!$D$59,1))</f>
        <v>6.3249170463599999E-2</v>
      </c>
      <c r="AC14">
        <f>SUMIFS('EPA Export Aggregation'!AF:AF,'EPA Export Aggregation'!$A:$A,$B14,'EPA Export Aggregation'!$D:$D,$A$1)*IF($A14="CH4",About!$D$58,IF($A14="N2O",About!$D$59,1))</f>
        <v>6.8605633481299999E-2</v>
      </c>
      <c r="AD14">
        <f>SUMIFS('EPA Export Aggregation'!AG:AG,'EPA Export Aggregation'!$A:$A,$B14,'EPA Export Aggregation'!$D:$D,$A$1)*IF($A14="CH4",About!$D$58,IF($A14="N2O",About!$D$59,1))</f>
        <v>6.9533663524000006E-2</v>
      </c>
      <c r="AE14">
        <f>SUMIFS('EPA Export Aggregation'!AH:AH,'EPA Export Aggregation'!$A:$A,$B14,'EPA Export Aggregation'!$D:$D,$A$1)*IF($A14="CH4",About!$D$58,IF($A14="N2O",About!$D$59,1))</f>
        <v>6.8385094661500001E-2</v>
      </c>
      <c r="AF14">
        <f>SUMIFS('EPA Export Aggregation'!AI:AI,'EPA Export Aggregation'!$A:$A,$B14,'EPA Export Aggregation'!$D:$D,$A$1)*IF($A14="CH4",About!$D$58,IF($A14="N2O",About!$D$59,1))</f>
        <v>6.1498475774900002E-2</v>
      </c>
      <c r="AG14">
        <f>SUMIFS('EPA Export Aggregation'!AJ:AJ,'EPA Export Aggregation'!$A:$A,$B14,'EPA Export Aggregation'!$D:$D,$A$1)*IF($A14="CH4",About!$D$58,IF($A14="N2O",About!$D$59,1))</f>
        <v>6.4288319125400006E-2</v>
      </c>
      <c r="AH14">
        <f>SUMIFS('EPA Export Aggregation'!AK:AK,'EPA Export Aggregation'!$A:$A,$B14,'EPA Export Aggregation'!$D:$D,$A$1)*IF($A14="CH4",About!$D$58,IF($A14="N2O",About!$D$59,1))</f>
        <v>6.7882353631099998E-2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1.9205679771999998E-2</v>
      </c>
      <c r="D16">
        <f>SUMIFS('EPA Export Aggregation'!G:G,'EPA Export Aggregation'!$A:$A,$B16,'EPA Export Aggregation'!$D:$D,$A$1)*IF($A16="CH4",About!$D$58,IF($A16="N2O",About!$D$59,1))</f>
        <v>1.93748455433E-2</v>
      </c>
      <c r="E16">
        <f>SUMIFS('EPA Export Aggregation'!H:H,'EPA Export Aggregation'!$A:$A,$B16,'EPA Export Aggregation'!$D:$D,$A$1)*IF($A16="CH4",About!$D$58,IF($A16="N2O",About!$D$59,1))</f>
        <v>1.9635832026199999E-2</v>
      </c>
      <c r="F16">
        <f>SUMIFS('EPA Export Aggregation'!I:I,'EPA Export Aggregation'!$A:$A,$B16,'EPA Export Aggregation'!$D:$D,$A$1)*IF($A16="CH4",About!$D$58,IF($A16="N2O",About!$D$59,1))</f>
        <v>2.0130412305400001E-2</v>
      </c>
      <c r="G16">
        <f>SUMIFS('EPA Export Aggregation'!J:J,'EPA Export Aggregation'!$A:$A,$B16,'EPA Export Aggregation'!$D:$D,$A$1)*IF($A16="CH4",About!$D$58,IF($A16="N2O",About!$D$59,1))</f>
        <v>2.0585105390899999E-2</v>
      </c>
      <c r="H16">
        <f>SUMIFS('EPA Export Aggregation'!K:K,'EPA Export Aggregation'!$A:$A,$B16,'EPA Export Aggregation'!$D:$D,$A$1)*IF($A16="CH4",About!$D$58,IF($A16="N2O",About!$D$59,1))</f>
        <v>2.09158576561E-2</v>
      </c>
      <c r="I16">
        <f>SUMIFS('EPA Export Aggregation'!L:L,'EPA Export Aggregation'!$A:$A,$B16,'EPA Export Aggregation'!$D:$D,$A$1)*IF($A16="CH4",About!$D$58,IF($A16="N2O",About!$D$59,1))</f>
        <v>2.1300166933499998E-2</v>
      </c>
      <c r="J16">
        <f>SUMIFS('EPA Export Aggregation'!M:M,'EPA Export Aggregation'!$A:$A,$B16,'EPA Export Aggregation'!$D:$D,$A$1)*IF($A16="CH4",About!$D$58,IF($A16="N2O",About!$D$59,1))</f>
        <v>2.15498332E-2</v>
      </c>
      <c r="K16">
        <f>SUMIFS('EPA Export Aggregation'!N:N,'EPA Export Aggregation'!$A:$A,$B16,'EPA Export Aggregation'!$D:$D,$A$1)*IF($A16="CH4",About!$D$58,IF($A16="N2O",About!$D$59,1))</f>
        <v>2.17789453386E-2</v>
      </c>
      <c r="L16">
        <f>SUMIFS('EPA Export Aggregation'!O:O,'EPA Export Aggregation'!$A:$A,$B16,'EPA Export Aggregation'!$D:$D,$A$1)*IF($A16="CH4",About!$D$58,IF($A16="N2O",About!$D$59,1))</f>
        <v>2.2072218818299998E-2</v>
      </c>
      <c r="M16">
        <f>SUMIFS('EPA Export Aggregation'!P:P,'EPA Export Aggregation'!$A:$A,$B16,'EPA Export Aggregation'!$D:$D,$A$1)*IF($A16="CH4",About!$D$58,IF($A16="N2O",About!$D$59,1))</f>
        <v>2.2330840182399999E-2</v>
      </c>
      <c r="N16">
        <f>SUMIFS('EPA Export Aggregation'!Q:Q,'EPA Export Aggregation'!$A:$A,$B16,'EPA Export Aggregation'!$D:$D,$A$1)*IF($A16="CH4",About!$D$58,IF($A16="N2O",About!$D$59,1))</f>
        <v>1.36746101035E-2</v>
      </c>
      <c r="O16">
        <f>SUMIFS('EPA Export Aggregation'!R:R,'EPA Export Aggregation'!$A:$A,$B16,'EPA Export Aggregation'!$D:$D,$A$1)*IF($A16="CH4",About!$D$58,IF($A16="N2O",About!$D$59,1))</f>
        <v>1.61132186743E-2</v>
      </c>
      <c r="P16">
        <f>SUMIFS('EPA Export Aggregation'!S:S,'EPA Export Aggregation'!$A:$A,$B16,'EPA Export Aggregation'!$D:$D,$A$1)*IF($A16="CH4",About!$D$58,IF($A16="N2O",About!$D$59,1))</f>
        <v>2.09986288306E-2</v>
      </c>
      <c r="Q16">
        <f>SUMIFS('EPA Export Aggregation'!T:T,'EPA Export Aggregation'!$A:$A,$B16,'EPA Export Aggregation'!$D:$D,$A$1)*IF($A16="CH4",About!$D$58,IF($A16="N2O",About!$D$59,1))</f>
        <v>1.9397648215799999E-2</v>
      </c>
      <c r="R16">
        <f>SUMIFS('EPA Export Aggregation'!U:U,'EPA Export Aggregation'!$A:$A,$B16,'EPA Export Aggregation'!$D:$D,$A$1)*IF($A16="CH4",About!$D$58,IF($A16="N2O",About!$D$59,1))</f>
        <v>2.1245702786099999E-2</v>
      </c>
      <c r="S16">
        <f>SUMIFS('EPA Export Aggregation'!V:V,'EPA Export Aggregation'!$A:$A,$B16,'EPA Export Aggregation'!$D:$D,$A$1)*IF($A16="CH4",About!$D$58,IF($A16="N2O",About!$D$59,1))</f>
        <v>2.7428130676100001E-2</v>
      </c>
      <c r="T16">
        <f>SUMIFS('EPA Export Aggregation'!W:W,'EPA Export Aggregation'!$A:$A,$B16,'EPA Export Aggregation'!$D:$D,$A$1)*IF($A16="CH4",About!$D$58,IF($A16="N2O",About!$D$59,1))</f>
        <v>3.0228211228800001E-2</v>
      </c>
      <c r="U16">
        <f>SUMIFS('EPA Export Aggregation'!X:X,'EPA Export Aggregation'!$A:$A,$B16,'EPA Export Aggregation'!$D:$D,$A$1)*IF($A16="CH4",About!$D$58,IF($A16="N2O",About!$D$59,1))</f>
        <v>2.9086530040499999E-2</v>
      </c>
      <c r="V16">
        <f>SUMIFS('EPA Export Aggregation'!Y:Y,'EPA Export Aggregation'!$A:$A,$B16,'EPA Export Aggregation'!$D:$D,$A$1)*IF($A16="CH4",About!$D$58,IF($A16="N2O",About!$D$59,1))</f>
        <v>2.8703970349100001E-2</v>
      </c>
      <c r="W16">
        <f>SUMIFS('EPA Export Aggregation'!Z:Z,'EPA Export Aggregation'!$A:$A,$B16,'EPA Export Aggregation'!$D:$D,$A$1)*IF($A16="CH4",About!$D$58,IF($A16="N2O",About!$D$59,1))</f>
        <v>7.1263104444299993E-2</v>
      </c>
      <c r="X16">
        <f>SUMIFS('EPA Export Aggregation'!AA:AA,'EPA Export Aggregation'!$A:$A,$B16,'EPA Export Aggregation'!$D:$D,$A$1)*IF($A16="CH4",About!$D$58,IF($A16="N2O",About!$D$59,1))</f>
        <v>6.6253159659200006E-2</v>
      </c>
      <c r="Y16">
        <f>SUMIFS('EPA Export Aggregation'!AB:AB,'EPA Export Aggregation'!$A:$A,$B16,'EPA Export Aggregation'!$D:$D,$A$1)*IF($A16="CH4",About!$D$58,IF($A16="N2O",About!$D$59,1))</f>
        <v>6.5662864136400004E-2</v>
      </c>
      <c r="Z16">
        <f>SUMIFS('EPA Export Aggregation'!AC:AC,'EPA Export Aggregation'!$A:$A,$B16,'EPA Export Aggregation'!$D:$D,$A$1)*IF($A16="CH4",About!$D$58,IF($A16="N2O",About!$D$59,1))</f>
        <v>6.8965860328599998E-2</v>
      </c>
      <c r="AA16">
        <f>SUMIFS('EPA Export Aggregation'!AD:AD,'EPA Export Aggregation'!$A:$A,$B16,'EPA Export Aggregation'!$D:$D,$A$1)*IF($A16="CH4",About!$D$58,IF($A16="N2O",About!$D$59,1))</f>
        <v>7.4256118298799995E-2</v>
      </c>
      <c r="AB16">
        <f>SUMIFS('EPA Export Aggregation'!AE:AE,'EPA Export Aggregation'!$A:$A,$B16,'EPA Export Aggregation'!$D:$D,$A$1)*IF($A16="CH4",About!$D$58,IF($A16="N2O",About!$D$59,1))</f>
        <v>8.3010129843999997E-2</v>
      </c>
      <c r="AC16">
        <f>SUMIFS('EPA Export Aggregation'!AF:AF,'EPA Export Aggregation'!$A:$A,$B16,'EPA Export Aggregation'!$D:$D,$A$1)*IF($A16="CH4",About!$D$58,IF($A16="N2O",About!$D$59,1))</f>
        <v>7.8699384797999997E-2</v>
      </c>
      <c r="AD16">
        <f>SUMIFS('EPA Export Aggregation'!AG:AG,'EPA Export Aggregation'!$A:$A,$B16,'EPA Export Aggregation'!$D:$D,$A$1)*IF($A16="CH4",About!$D$58,IF($A16="N2O",About!$D$59,1))</f>
        <v>7.8241590025699997E-2</v>
      </c>
      <c r="AE16">
        <f>SUMIFS('EPA Export Aggregation'!AH:AH,'EPA Export Aggregation'!$A:$A,$B16,'EPA Export Aggregation'!$D:$D,$A$1)*IF($A16="CH4",About!$D$58,IF($A16="N2O",About!$D$59,1))</f>
        <v>7.1212702660299998E-2</v>
      </c>
      <c r="AF16">
        <f>SUMIFS('EPA Export Aggregation'!AI:AI,'EPA Export Aggregation'!$A:$A,$B16,'EPA Export Aggregation'!$D:$D,$A$1)*IF($A16="CH4",About!$D$58,IF($A16="N2O",About!$D$59,1))</f>
        <v>8.4495106502799996E-2</v>
      </c>
      <c r="AG16">
        <f>SUMIFS('EPA Export Aggregation'!AJ:AJ,'EPA Export Aggregation'!$A:$A,$B16,'EPA Export Aggregation'!$D:$D,$A$1)*IF($A16="CH4",About!$D$58,IF($A16="N2O",About!$D$59,1))</f>
        <v>8.5774850708599998E-2</v>
      </c>
      <c r="AH16">
        <f>SUMIFS('EPA Export Aggregation'!AK:AK,'EPA Export Aggregation'!$A:$A,$B16,'EPA Export Aggregation'!$D:$D,$A$1)*IF($A16="CH4",About!$D$58,IF($A16="N2O",About!$D$59,1))</f>
        <v>8.6437046311999999E-2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1.4420442917899999E-2</v>
      </c>
      <c r="F17">
        <f>SUMIFS('EPA Export Aggregation'!I:I,'EPA Export Aggregation'!$A:$A,$B17,'EPA Export Aggregation'!$D:$D,$A$1)*IF($A17="CH4",About!$D$58,IF($A17="N2O",About!$D$59,1))</f>
        <v>1.8083040376799999E-2</v>
      </c>
      <c r="G17">
        <f>SUMIFS('EPA Export Aggregation'!J:J,'EPA Export Aggregation'!$A:$A,$B17,'EPA Export Aggregation'!$D:$D,$A$1)*IF($A17="CH4",About!$D$58,IF($A17="N2O",About!$D$59,1))</f>
        <v>1.24284689767E-2</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1.15960735078E-2</v>
      </c>
      <c r="L17">
        <f>SUMIFS('EPA Export Aggregation'!O:O,'EPA Export Aggregation'!$A:$A,$B17,'EPA Export Aggregation'!$D:$D,$A$1)*IF($A17="CH4",About!$D$58,IF($A17="N2O",About!$D$59,1))</f>
        <v>1.48846500316E-2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0.1183151946151</v>
      </c>
      <c r="D20">
        <f>SUMIFS('EPA Export Aggregation'!G:G,'EPA Export Aggregation'!$A:$A,$B20,'EPA Export Aggregation'!$D:$D,$A$1)*IF($A20="CH4",About!$D$58,IF($A20="N2O",About!$D$59,1))</f>
        <v>0.10758578743860001</v>
      </c>
      <c r="E20">
        <f>SUMIFS('EPA Export Aggregation'!H:H,'EPA Export Aggregation'!$A:$A,$B20,'EPA Export Aggregation'!$D:$D,$A$1)*IF($A20="CH4",About!$D$58,IF($A20="N2O",About!$D$59,1))</f>
        <v>0.1097889185471</v>
      </c>
      <c r="F20">
        <f>SUMIFS('EPA Export Aggregation'!I:I,'EPA Export Aggregation'!$A:$A,$B20,'EPA Export Aggregation'!$D:$D,$A$1)*IF($A20="CH4",About!$D$58,IF($A20="N2O",About!$D$59,1))</f>
        <v>0.10585915108129999</v>
      </c>
      <c r="G20">
        <f>SUMIFS('EPA Export Aggregation'!J:J,'EPA Export Aggregation'!$A:$A,$B20,'EPA Export Aggregation'!$D:$D,$A$1)*IF($A20="CH4",About!$D$58,IF($A20="N2O",About!$D$59,1))</f>
        <v>0.10665391256039999</v>
      </c>
      <c r="H20">
        <f>SUMIFS('EPA Export Aggregation'!K:K,'EPA Export Aggregation'!$A:$A,$B20,'EPA Export Aggregation'!$D:$D,$A$1)*IF($A20="CH4",About!$D$58,IF($A20="N2O",About!$D$59,1))</f>
        <v>0.11120784405179999</v>
      </c>
      <c r="I20">
        <f>SUMIFS('EPA Export Aggregation'!L:L,'EPA Export Aggregation'!$A:$A,$B20,'EPA Export Aggregation'!$D:$D,$A$1)*IF($A20="CH4",About!$D$58,IF($A20="N2O",About!$D$59,1))</f>
        <v>0.10980751674270001</v>
      </c>
      <c r="J20">
        <f>SUMIFS('EPA Export Aggregation'!M:M,'EPA Export Aggregation'!$A:$A,$B20,'EPA Export Aggregation'!$D:$D,$A$1)*IF($A20="CH4",About!$D$58,IF($A20="N2O",About!$D$59,1))</f>
        <v>0.1119704374789</v>
      </c>
      <c r="K20">
        <f>SUMIFS('EPA Export Aggregation'!N:N,'EPA Export Aggregation'!$A:$A,$B20,'EPA Export Aggregation'!$D:$D,$A$1)*IF($A20="CH4",About!$D$58,IF($A20="N2O",About!$D$59,1))</f>
        <v>0.103890697223</v>
      </c>
      <c r="L20">
        <f>SUMIFS('EPA Export Aggregation'!O:O,'EPA Export Aggregation'!$A:$A,$B20,'EPA Export Aggregation'!$D:$D,$A$1)*IF($A20="CH4",About!$D$58,IF($A20="N2O",About!$D$59,1))</f>
        <v>9.5763373732000001E-2</v>
      </c>
      <c r="M20">
        <f>SUMIFS('EPA Export Aggregation'!P:P,'EPA Export Aggregation'!$A:$A,$B20,'EPA Export Aggregation'!$D:$D,$A$1)*IF($A20="CH4",About!$D$58,IF($A20="N2O",About!$D$59,1))</f>
        <v>0.1180198863485</v>
      </c>
      <c r="N20">
        <f>SUMIFS('EPA Export Aggregation'!Q:Q,'EPA Export Aggregation'!$A:$A,$B20,'EPA Export Aggregation'!$D:$D,$A$1)*IF($A20="CH4",About!$D$58,IF($A20="N2O",About!$D$59,1))</f>
        <v>9.7257567214999993E-2</v>
      </c>
      <c r="O20">
        <f>SUMIFS('EPA Export Aggregation'!R:R,'EPA Export Aggregation'!$A:$A,$B20,'EPA Export Aggregation'!$D:$D,$A$1)*IF($A20="CH4",About!$D$58,IF($A20="N2O",About!$D$59,1))</f>
        <v>7.6396126244600002E-2</v>
      </c>
      <c r="P20">
        <f>SUMIFS('EPA Export Aggregation'!S:S,'EPA Export Aggregation'!$A:$A,$B20,'EPA Export Aggregation'!$D:$D,$A$1)*IF($A20="CH4",About!$D$58,IF($A20="N2O",About!$D$59,1))</f>
        <v>6.8177993566199996E-2</v>
      </c>
      <c r="Q20">
        <f>SUMIFS('EPA Export Aggregation'!T:T,'EPA Export Aggregation'!$A:$A,$B20,'EPA Export Aggregation'!$D:$D,$A$1)*IF($A20="CH4",About!$D$58,IF($A20="N2O",About!$D$59,1))</f>
        <v>6.3885619931599996E-2</v>
      </c>
      <c r="R20">
        <f>SUMIFS('EPA Export Aggregation'!U:U,'EPA Export Aggregation'!$A:$A,$B20,'EPA Export Aggregation'!$D:$D,$A$1)*IF($A20="CH4",About!$D$58,IF($A20="N2O",About!$D$59,1))</f>
        <v>5.2963328241000002E-2</v>
      </c>
      <c r="S20">
        <f>SUMIFS('EPA Export Aggregation'!V:V,'EPA Export Aggregation'!$A:$A,$B20,'EPA Export Aggregation'!$D:$D,$A$1)*IF($A20="CH4",About!$D$58,IF($A20="N2O",About!$D$59,1))</f>
        <v>5.8199018853899998E-2</v>
      </c>
      <c r="T20">
        <f>SUMIFS('EPA Export Aggregation'!W:W,'EPA Export Aggregation'!$A:$A,$B20,'EPA Export Aggregation'!$D:$D,$A$1)*IF($A20="CH4",About!$D$58,IF($A20="N2O",About!$D$59,1))</f>
        <v>6.0291944677300001E-2</v>
      </c>
      <c r="U20">
        <f>SUMIFS('EPA Export Aggregation'!X:X,'EPA Export Aggregation'!$A:$A,$B20,'EPA Export Aggregation'!$D:$D,$A$1)*IF($A20="CH4",About!$D$58,IF($A20="N2O",About!$D$59,1))</f>
        <v>5.8576879920300001E-2</v>
      </c>
      <c r="V20">
        <f>SUMIFS('EPA Export Aggregation'!Y:Y,'EPA Export Aggregation'!$A:$A,$B20,'EPA Export Aggregation'!$D:$D,$A$1)*IF($A20="CH4",About!$D$58,IF($A20="N2O",About!$D$59,1))</f>
        <v>4.1602474554100002E-2</v>
      </c>
      <c r="W20">
        <f>SUMIFS('EPA Export Aggregation'!Z:Z,'EPA Export Aggregation'!$A:$A,$B20,'EPA Export Aggregation'!$D:$D,$A$1)*IF($A20="CH4",About!$D$58,IF($A20="N2O",About!$D$59,1))</f>
        <v>0.1048603272402</v>
      </c>
      <c r="X20">
        <f>SUMIFS('EPA Export Aggregation'!AA:AA,'EPA Export Aggregation'!$A:$A,$B20,'EPA Export Aggregation'!$D:$D,$A$1)*IF($A20="CH4",About!$D$58,IF($A20="N2O",About!$D$59,1))</f>
        <v>7.1902146594800001E-2</v>
      </c>
      <c r="Y20">
        <f>SUMIFS('EPA Export Aggregation'!AB:AB,'EPA Export Aggregation'!$A:$A,$B20,'EPA Export Aggregation'!$D:$D,$A$1)*IF($A20="CH4",About!$D$58,IF($A20="N2O",About!$D$59,1))</f>
        <v>0.106235489063</v>
      </c>
      <c r="Z20">
        <f>SUMIFS('EPA Export Aggregation'!AC:AC,'EPA Export Aggregation'!$A:$A,$B20,'EPA Export Aggregation'!$D:$D,$A$1)*IF($A20="CH4",About!$D$58,IF($A20="N2O",About!$D$59,1))</f>
        <v>7.2862250358799993E-2</v>
      </c>
      <c r="AA20">
        <f>SUMIFS('EPA Export Aggregation'!AD:AD,'EPA Export Aggregation'!$A:$A,$B20,'EPA Export Aggregation'!$D:$D,$A$1)*IF($A20="CH4",About!$D$58,IF($A20="N2O",About!$D$59,1))</f>
        <v>5.60353415814E-2</v>
      </c>
      <c r="AB20">
        <f>SUMIFS('EPA Export Aggregation'!AE:AE,'EPA Export Aggregation'!$A:$A,$B20,'EPA Export Aggregation'!$D:$D,$A$1)*IF($A20="CH4",About!$D$58,IF($A20="N2O",About!$D$59,1))</f>
        <v>0.100751489624</v>
      </c>
      <c r="AC20">
        <f>SUMIFS('EPA Export Aggregation'!AF:AF,'EPA Export Aggregation'!$A:$A,$B20,'EPA Export Aggregation'!$D:$D,$A$1)*IF($A20="CH4",About!$D$58,IF($A20="N2O",About!$D$59,1))</f>
        <v>7.6294926564500001E-2</v>
      </c>
      <c r="AD20">
        <f>SUMIFS('EPA Export Aggregation'!AG:AG,'EPA Export Aggregation'!$A:$A,$B20,'EPA Export Aggregation'!$D:$D,$A$1)*IF($A20="CH4",About!$D$58,IF($A20="N2O",About!$D$59,1))</f>
        <v>7.5104812963599998E-2</v>
      </c>
      <c r="AE20">
        <f>SUMIFS('EPA Export Aggregation'!AH:AH,'EPA Export Aggregation'!$A:$A,$B20,'EPA Export Aggregation'!$D:$D,$A$1)*IF($A20="CH4",About!$D$58,IF($A20="N2O",About!$D$59,1))</f>
        <v>9.5686022036400004E-2</v>
      </c>
      <c r="AF20">
        <f>SUMIFS('EPA Export Aggregation'!AI:AI,'EPA Export Aggregation'!$A:$A,$B20,'EPA Export Aggregation'!$D:$D,$A$1)*IF($A20="CH4",About!$D$58,IF($A20="N2O",About!$D$59,1))</f>
        <v>7.0049103729199994E-2</v>
      </c>
      <c r="AG20">
        <f>SUMIFS('EPA Export Aggregation'!AJ:AJ,'EPA Export Aggregation'!$A:$A,$B20,'EPA Export Aggregation'!$D:$D,$A$1)*IF($A20="CH4",About!$D$58,IF($A20="N2O",About!$D$59,1))</f>
        <v>9.2916059354800004E-2</v>
      </c>
      <c r="AH20">
        <f>SUMIFS('EPA Export Aggregation'!AK:AK,'EPA Export Aggregation'!$A:$A,$B20,'EPA Export Aggregation'!$D:$D,$A$1)*IF($A20="CH4",About!$D$58,IF($A20="N2O",About!$D$59,1))</f>
        <v>9.1698420857199994E-2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4.9378107116799998E-2</v>
      </c>
      <c r="D23">
        <f>SUMIFS('EPA Export Aggregation'!G:G,'EPA Export Aggregation'!$A:$A,$B23,'EPA Export Aggregation'!$D:$D,$A$1)*IF($A23="CH4",About!$D$58,IF($A23="N2O",About!$D$59,1))</f>
        <v>4.6165447254100003E-2</v>
      </c>
      <c r="E23">
        <f>SUMIFS('EPA Export Aggregation'!H:H,'EPA Export Aggregation'!$A:$A,$B23,'EPA Export Aggregation'!$D:$D,$A$1)*IF($A23="CH4",About!$D$58,IF($A23="N2O",About!$D$59,1))</f>
        <v>5.1851787984699999E-2</v>
      </c>
      <c r="F23">
        <f>SUMIFS('EPA Export Aggregation'!I:I,'EPA Export Aggregation'!$A:$A,$B23,'EPA Export Aggregation'!$D:$D,$A$1)*IF($A23="CH4",About!$D$58,IF($A23="N2O",About!$D$59,1))</f>
        <v>6.2565214685600001E-2</v>
      </c>
      <c r="G23">
        <f>SUMIFS('EPA Export Aggregation'!J:J,'EPA Export Aggregation'!$A:$A,$B23,'EPA Export Aggregation'!$D:$D,$A$1)*IF($A23="CH4",About!$D$58,IF($A23="N2O",About!$D$59,1))</f>
        <v>5.95082214308E-2</v>
      </c>
      <c r="H23">
        <f>SUMIFS('EPA Export Aggregation'!K:K,'EPA Export Aggregation'!$A:$A,$B23,'EPA Export Aggregation'!$D:$D,$A$1)*IF($A23="CH4",About!$D$58,IF($A23="N2O",About!$D$59,1))</f>
        <v>6.0232680603900003E-2</v>
      </c>
      <c r="I23">
        <f>SUMIFS('EPA Export Aggregation'!L:L,'EPA Export Aggregation'!$A:$A,$B23,'EPA Export Aggregation'!$D:$D,$A$1)*IF($A23="CH4",About!$D$58,IF($A23="N2O",About!$D$59,1))</f>
        <v>5.5323810406199998E-2</v>
      </c>
      <c r="J23">
        <f>SUMIFS('EPA Export Aggregation'!M:M,'EPA Export Aggregation'!$A:$A,$B23,'EPA Export Aggregation'!$D:$D,$A$1)*IF($A23="CH4",About!$D$58,IF($A23="N2O",About!$D$59,1))</f>
        <v>5.7081436755599999E-2</v>
      </c>
      <c r="K23">
        <f>SUMIFS('EPA Export Aggregation'!N:N,'EPA Export Aggregation'!$A:$A,$B23,'EPA Export Aggregation'!$D:$D,$A$1)*IF($A23="CH4",About!$D$58,IF($A23="N2O",About!$D$59,1))</f>
        <v>7.1221126475300003E-2</v>
      </c>
      <c r="L23">
        <f>SUMIFS('EPA Export Aggregation'!O:O,'EPA Export Aggregation'!$A:$A,$B23,'EPA Export Aggregation'!$D:$D,$A$1)*IF($A23="CH4",About!$D$58,IF($A23="N2O",About!$D$59,1))</f>
        <v>6.9388635226100004E-2</v>
      </c>
      <c r="M23">
        <f>SUMIFS('EPA Export Aggregation'!P:P,'EPA Export Aggregation'!$A:$A,$B23,'EPA Export Aggregation'!$D:$D,$A$1)*IF($A23="CH4",About!$D$58,IF($A23="N2O",About!$D$59,1))</f>
        <v>6.39242143244E-2</v>
      </c>
      <c r="N23">
        <f>SUMIFS('EPA Export Aggregation'!Q:Q,'EPA Export Aggregation'!$A:$A,$B23,'EPA Export Aggregation'!$D:$D,$A$1)*IF($A23="CH4",About!$D$58,IF($A23="N2O",About!$D$59,1))</f>
        <v>6.2316655532399998E-2</v>
      </c>
      <c r="O23">
        <f>SUMIFS('EPA Export Aggregation'!R:R,'EPA Export Aggregation'!$A:$A,$B23,'EPA Export Aggregation'!$D:$D,$A$1)*IF($A23="CH4",About!$D$58,IF($A23="N2O",About!$D$59,1))</f>
        <v>5.6929658861299998E-2</v>
      </c>
      <c r="P23">
        <f>SUMIFS('EPA Export Aggregation'!S:S,'EPA Export Aggregation'!$A:$A,$B23,'EPA Export Aggregation'!$D:$D,$A$1)*IF($A23="CH4",About!$D$58,IF($A23="N2O",About!$D$59,1))</f>
        <v>5.4741192101200001E-2</v>
      </c>
      <c r="Q23">
        <f>SUMIFS('EPA Export Aggregation'!T:T,'EPA Export Aggregation'!$A:$A,$B23,'EPA Export Aggregation'!$D:$D,$A$1)*IF($A23="CH4",About!$D$58,IF($A23="N2O",About!$D$59,1))</f>
        <v>5.6575084569799997E-2</v>
      </c>
      <c r="R23">
        <f>SUMIFS('EPA Export Aggregation'!U:U,'EPA Export Aggregation'!$A:$A,$B23,'EPA Export Aggregation'!$D:$D,$A$1)*IF($A23="CH4",About!$D$58,IF($A23="N2O",About!$D$59,1))</f>
        <v>5.6450725767500001E-2</v>
      </c>
      <c r="S23">
        <f>SUMIFS('EPA Export Aggregation'!V:V,'EPA Export Aggregation'!$A:$A,$B23,'EPA Export Aggregation'!$D:$D,$A$1)*IF($A23="CH4",About!$D$58,IF($A23="N2O",About!$D$59,1))</f>
        <v>5.4900851922100001E-2</v>
      </c>
      <c r="T23">
        <f>SUMIFS('EPA Export Aggregation'!W:W,'EPA Export Aggregation'!$A:$A,$B23,'EPA Export Aggregation'!$D:$D,$A$1)*IF($A23="CH4",About!$D$58,IF($A23="N2O",About!$D$59,1))</f>
        <v>7.7760691834000001E-2</v>
      </c>
      <c r="U23">
        <f>SUMIFS('EPA Export Aggregation'!X:X,'EPA Export Aggregation'!$A:$A,$B23,'EPA Export Aggregation'!$D:$D,$A$1)*IF($A23="CH4",About!$D$58,IF($A23="N2O",About!$D$59,1))</f>
        <v>6.4481277390700004E-2</v>
      </c>
      <c r="V23">
        <f>SUMIFS('EPA Export Aggregation'!Y:Y,'EPA Export Aggregation'!$A:$A,$B23,'EPA Export Aggregation'!$D:$D,$A$1)*IF($A23="CH4",About!$D$58,IF($A23="N2O",About!$D$59,1))</f>
        <v>5.4808873752399997E-2</v>
      </c>
      <c r="W23">
        <f>SUMIFS('EPA Export Aggregation'!Z:Z,'EPA Export Aggregation'!$A:$A,$B23,'EPA Export Aggregation'!$D:$D,$A$1)*IF($A23="CH4",About!$D$58,IF($A23="N2O",About!$D$59,1))</f>
        <v>7.6173121781200004E-2</v>
      </c>
      <c r="X23">
        <f>SUMIFS('EPA Export Aggregation'!AA:AA,'EPA Export Aggregation'!$A:$A,$B23,'EPA Export Aggregation'!$D:$D,$A$1)*IF($A23="CH4",About!$D$58,IF($A23="N2O",About!$D$59,1))</f>
        <v>8.2646128691999998E-2</v>
      </c>
      <c r="Y23">
        <f>SUMIFS('EPA Export Aggregation'!AB:AB,'EPA Export Aggregation'!$A:$A,$B23,'EPA Export Aggregation'!$D:$D,$A$1)*IF($A23="CH4",About!$D$58,IF($A23="N2O",About!$D$59,1))</f>
        <v>7.8742892326900002E-2</v>
      </c>
      <c r="Z23">
        <f>SUMIFS('EPA Export Aggregation'!AC:AC,'EPA Export Aggregation'!$A:$A,$B23,'EPA Export Aggregation'!$D:$D,$A$1)*IF($A23="CH4",About!$D$58,IF($A23="N2O",About!$D$59,1))</f>
        <v>7.5041500173600006E-2</v>
      </c>
      <c r="AA23">
        <f>SUMIFS('EPA Export Aggregation'!AD:AD,'EPA Export Aggregation'!$A:$A,$B23,'EPA Export Aggregation'!$D:$D,$A$1)*IF($A23="CH4",About!$D$58,IF($A23="N2O",About!$D$59,1))</f>
        <v>3.0039777833700002E-2</v>
      </c>
      <c r="AB23">
        <f>SUMIFS('EPA Export Aggregation'!AE:AE,'EPA Export Aggregation'!$A:$A,$B23,'EPA Export Aggregation'!$D:$D,$A$1)*IF($A23="CH4",About!$D$58,IF($A23="N2O",About!$D$59,1))</f>
        <v>7.7742659963499994E-2</v>
      </c>
      <c r="AC23">
        <f>SUMIFS('EPA Export Aggregation'!AF:AF,'EPA Export Aggregation'!$A:$A,$B23,'EPA Export Aggregation'!$D:$D,$A$1)*IF($A23="CH4",About!$D$58,IF($A23="N2O",About!$D$59,1))</f>
        <v>8.9710355418500004E-2</v>
      </c>
      <c r="AD23">
        <f>SUMIFS('EPA Export Aggregation'!AG:AG,'EPA Export Aggregation'!$A:$A,$B23,'EPA Export Aggregation'!$D:$D,$A$1)*IF($A23="CH4",About!$D$58,IF($A23="N2O",About!$D$59,1))</f>
        <v>8.8166209696999995E-2</v>
      </c>
      <c r="AE23">
        <f>SUMIFS('EPA Export Aggregation'!AH:AH,'EPA Export Aggregation'!$A:$A,$B23,'EPA Export Aggregation'!$D:$D,$A$1)*IF($A23="CH4",About!$D$58,IF($A23="N2O",About!$D$59,1))</f>
        <v>0.1053636535549</v>
      </c>
      <c r="AF23">
        <f>SUMIFS('EPA Export Aggregation'!AI:AI,'EPA Export Aggregation'!$A:$A,$B23,'EPA Export Aggregation'!$D:$D,$A$1)*IF($A23="CH4",About!$D$58,IF($A23="N2O",About!$D$59,1))</f>
        <v>0.106769780412</v>
      </c>
      <c r="AG23">
        <f>SUMIFS('EPA Export Aggregation'!AJ:AJ,'EPA Export Aggregation'!$A:$A,$B23,'EPA Export Aggregation'!$D:$D,$A$1)*IF($A23="CH4",About!$D$58,IF($A23="N2O",About!$D$59,1))</f>
        <v>0.1003457956226</v>
      </c>
      <c r="AH23">
        <f>SUMIFS('EPA Export Aggregation'!AK:AK,'EPA Export Aggregation'!$A:$A,$B23,'EPA Export Aggregation'!$D:$D,$A$1)*IF($A23="CH4",About!$D$58,IF($A23="N2O",About!$D$59,1))</f>
        <v>8.6424101232199999E-2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4.88157492355E-2</v>
      </c>
      <c r="G25">
        <f>SUMIFS('EPA Export Aggregation'!J:J,'EPA Export Aggregation'!$A:$A,$B25,'EPA Export Aggregation'!$D:$D,$A$1)*IF($A25="CH4",About!$D$58,IF($A25="N2O",About!$D$59,1))</f>
        <v>5.0250000000000003E-2</v>
      </c>
      <c r="H25">
        <f>SUMIFS('EPA Export Aggregation'!K:K,'EPA Export Aggregation'!$A:$A,$B25,'EPA Export Aggregation'!$D:$D,$A$1)*IF($A25="CH4",About!$D$58,IF($A25="N2O",About!$D$59,1))</f>
        <v>4.2158212560399998E-2</v>
      </c>
      <c r="I25">
        <f>SUMIFS('EPA Export Aggregation'!L:L,'EPA Export Aggregation'!$A:$A,$B25,'EPA Export Aggregation'!$D:$D,$A$1)*IF($A25="CH4",About!$D$58,IF($A25="N2O",About!$D$59,1))</f>
        <v>3.9986170212800001E-2</v>
      </c>
      <c r="J25">
        <f>SUMIFS('EPA Export Aggregation'!M:M,'EPA Export Aggregation'!$A:$A,$B25,'EPA Export Aggregation'!$D:$D,$A$1)*IF($A25="CH4",About!$D$58,IF($A25="N2O",About!$D$59,1))</f>
        <v>4.2478795589499997E-2</v>
      </c>
      <c r="K25">
        <f>SUMIFS('EPA Export Aggregation'!N:N,'EPA Export Aggregation'!$A:$A,$B25,'EPA Export Aggregation'!$D:$D,$A$1)*IF($A25="CH4",About!$D$58,IF($A25="N2O",About!$D$59,1))</f>
        <v>4.0618577887399997E-2</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9.5048677140000004E-4</v>
      </c>
      <c r="D26">
        <f>SUMIFS('EPA Export Aggregation'!G:G,'EPA Export Aggregation'!$A:$A,$B26,'EPA Export Aggregation'!$D:$D,$A$1)*IF($A26="CH4",About!$D$58,IF($A26="N2O",About!$D$59,1))</f>
        <v>7.1604664089999998E-4</v>
      </c>
      <c r="E26">
        <f>SUMIFS('EPA Export Aggregation'!H:H,'EPA Export Aggregation'!$A:$A,$B26,'EPA Export Aggregation'!$D:$D,$A$1)*IF($A26="CH4",About!$D$58,IF($A26="N2O",About!$D$59,1))</f>
        <v>8.9023956629999997E-4</v>
      </c>
      <c r="F26">
        <f>SUMIFS('EPA Export Aggregation'!I:I,'EPA Export Aggregation'!$A:$A,$B26,'EPA Export Aggregation'!$D:$D,$A$1)*IF($A26="CH4",About!$D$58,IF($A26="N2O",About!$D$59,1))</f>
        <v>1.0062016E-3</v>
      </c>
      <c r="G26">
        <f>SUMIFS('EPA Export Aggregation'!J:J,'EPA Export Aggregation'!$A:$A,$B26,'EPA Export Aggregation'!$D:$D,$A$1)*IF($A26="CH4",About!$D$58,IF($A26="N2O",About!$D$59,1))</f>
        <v>1.0684412586E-3</v>
      </c>
      <c r="H26">
        <f>SUMIFS('EPA Export Aggregation'!K:K,'EPA Export Aggregation'!$A:$A,$B26,'EPA Export Aggregation'!$D:$D,$A$1)*IF($A26="CH4",About!$D$58,IF($A26="N2O",About!$D$59,1))</f>
        <v>1.4635849074E-3</v>
      </c>
      <c r="I26">
        <f>SUMIFS('EPA Export Aggregation'!L:L,'EPA Export Aggregation'!$A:$A,$B26,'EPA Export Aggregation'!$D:$D,$A$1)*IF($A26="CH4",About!$D$58,IF($A26="N2O",About!$D$59,1))</f>
        <v>1.6528741910999999E-3</v>
      </c>
      <c r="J26">
        <f>SUMIFS('EPA Export Aggregation'!M:M,'EPA Export Aggregation'!$A:$A,$B26,'EPA Export Aggregation'!$D:$D,$A$1)*IF($A26="CH4",About!$D$58,IF($A26="N2O",About!$D$59,1))</f>
        <v>2.0829848772000001E-3</v>
      </c>
      <c r="K26">
        <f>SUMIFS('EPA Export Aggregation'!N:N,'EPA Export Aggregation'!$A:$A,$B26,'EPA Export Aggregation'!$D:$D,$A$1)*IF($A26="CH4",About!$D$58,IF($A26="N2O",About!$D$59,1))</f>
        <v>2.4037241352999998E-3</v>
      </c>
      <c r="L26">
        <f>SUMIFS('EPA Export Aggregation'!O:O,'EPA Export Aggregation'!$A:$A,$B26,'EPA Export Aggregation'!$D:$D,$A$1)*IF($A26="CH4",About!$D$58,IF($A26="N2O",About!$D$59,1))</f>
        <v>1.5879575980999999E-3</v>
      </c>
      <c r="M26">
        <f>SUMIFS('EPA Export Aggregation'!P:P,'EPA Export Aggregation'!$A:$A,$B26,'EPA Export Aggregation'!$D:$D,$A$1)*IF($A26="CH4",About!$D$58,IF($A26="N2O",About!$D$59,1))</f>
        <v>1.7621467392000001E-3</v>
      </c>
      <c r="N26">
        <f>SUMIFS('EPA Export Aggregation'!Q:Q,'EPA Export Aggregation'!$A:$A,$B26,'EPA Export Aggregation'!$D:$D,$A$1)*IF($A26="CH4",About!$D$58,IF($A26="N2O",About!$D$59,1))</f>
        <v>1.3009617802000001E-3</v>
      </c>
      <c r="O26">
        <f>SUMIFS('EPA Export Aggregation'!R:R,'EPA Export Aggregation'!$A:$A,$B26,'EPA Export Aggregation'!$D:$D,$A$1)*IF($A26="CH4",About!$D$58,IF($A26="N2O",About!$D$59,1))</f>
        <v>1.5330745446E-3</v>
      </c>
      <c r="P26">
        <f>SUMIFS('EPA Export Aggregation'!S:S,'EPA Export Aggregation'!$A:$A,$B26,'EPA Export Aggregation'!$D:$D,$A$1)*IF($A26="CH4",About!$D$58,IF($A26="N2O",About!$D$59,1))</f>
        <v>1.6147629127999999E-3</v>
      </c>
      <c r="Q26">
        <f>SUMIFS('EPA Export Aggregation'!T:T,'EPA Export Aggregation'!$A:$A,$B26,'EPA Export Aggregation'!$D:$D,$A$1)*IF($A26="CH4",About!$D$58,IF($A26="N2O",About!$D$59,1))</f>
        <v>1.9454808057999999E-3</v>
      </c>
      <c r="R26">
        <f>SUMIFS('EPA Export Aggregation'!U:U,'EPA Export Aggregation'!$A:$A,$B26,'EPA Export Aggregation'!$D:$D,$A$1)*IF($A26="CH4",About!$D$58,IF($A26="N2O",About!$D$59,1))</f>
        <v>1.8707792239E-3</v>
      </c>
      <c r="S26">
        <f>SUMIFS('EPA Export Aggregation'!V:V,'EPA Export Aggregation'!$A:$A,$B26,'EPA Export Aggregation'!$D:$D,$A$1)*IF($A26="CH4",About!$D$58,IF($A26="N2O",About!$D$59,1))</f>
        <v>1.7151775575E-3</v>
      </c>
      <c r="T26">
        <f>SUMIFS('EPA Export Aggregation'!W:W,'EPA Export Aggregation'!$A:$A,$B26,'EPA Export Aggregation'!$D:$D,$A$1)*IF($A26="CH4",About!$D$58,IF($A26="N2O",About!$D$59,1))</f>
        <v>1.5546265197E-3</v>
      </c>
      <c r="U26">
        <f>SUMIFS('EPA Export Aggregation'!X:X,'EPA Export Aggregation'!$A:$A,$B26,'EPA Export Aggregation'!$D:$D,$A$1)*IF($A26="CH4",About!$D$58,IF($A26="N2O",About!$D$59,1))</f>
        <v>1.2641514658E-3</v>
      </c>
      <c r="V26">
        <f>SUMIFS('EPA Export Aggregation'!Y:Y,'EPA Export Aggregation'!$A:$A,$B26,'EPA Export Aggregation'!$D:$D,$A$1)*IF($A26="CH4",About!$D$58,IF($A26="N2O",About!$D$59,1))</f>
        <v>8.114942654E-4</v>
      </c>
      <c r="W26">
        <f>SUMIFS('EPA Export Aggregation'!Z:Z,'EPA Export Aggregation'!$A:$A,$B26,'EPA Export Aggregation'!$D:$D,$A$1)*IF($A26="CH4",About!$D$58,IF($A26="N2O",About!$D$59,1))</f>
        <v>1.3684138214999999E-3</v>
      </c>
      <c r="X26">
        <f>SUMIFS('EPA Export Aggregation'!AA:AA,'EPA Export Aggregation'!$A:$A,$B26,'EPA Export Aggregation'!$D:$D,$A$1)*IF($A26="CH4",About!$D$58,IF($A26="N2O",About!$D$59,1))</f>
        <v>1.2153885727999999E-3</v>
      </c>
      <c r="Y26">
        <f>SUMIFS('EPA Export Aggregation'!AB:AB,'EPA Export Aggregation'!$A:$A,$B26,'EPA Export Aggregation'!$D:$D,$A$1)*IF($A26="CH4",About!$D$58,IF($A26="N2O",About!$D$59,1))</f>
        <v>1.0264452027E-3</v>
      </c>
      <c r="Z26">
        <f>SUMIFS('EPA Export Aggregation'!AC:AC,'EPA Export Aggregation'!$A:$A,$B26,'EPA Export Aggregation'!$D:$D,$A$1)*IF($A26="CH4",About!$D$58,IF($A26="N2O",About!$D$59,1))</f>
        <v>1.2139123108999999E-3</v>
      </c>
      <c r="AA26">
        <f>SUMIFS('EPA Export Aggregation'!AD:AD,'EPA Export Aggregation'!$A:$A,$B26,'EPA Export Aggregation'!$D:$D,$A$1)*IF($A26="CH4",About!$D$58,IF($A26="N2O",About!$D$59,1))</f>
        <v>1.2850584349999999E-3</v>
      </c>
      <c r="AB26">
        <f>SUMIFS('EPA Export Aggregation'!AE:AE,'EPA Export Aggregation'!$A:$A,$B26,'EPA Export Aggregation'!$D:$D,$A$1)*IF($A26="CH4",About!$D$58,IF($A26="N2O",About!$D$59,1))</f>
        <v>1.4179319761E-3</v>
      </c>
      <c r="AC26">
        <f>SUMIFS('EPA Export Aggregation'!AF:AF,'EPA Export Aggregation'!$A:$A,$B26,'EPA Export Aggregation'!$D:$D,$A$1)*IF($A26="CH4",About!$D$58,IF($A26="N2O",About!$D$59,1))</f>
        <v>1.3251698174999999E-3</v>
      </c>
      <c r="AD26">
        <f>SUMIFS('EPA Export Aggregation'!AG:AG,'EPA Export Aggregation'!$A:$A,$B26,'EPA Export Aggregation'!$D:$D,$A$1)*IF($A26="CH4",About!$D$58,IF($A26="N2O",About!$D$59,1))</f>
        <v>1.5355975256999999E-3</v>
      </c>
      <c r="AE26">
        <f>SUMIFS('EPA Export Aggregation'!AH:AH,'EPA Export Aggregation'!$A:$A,$B26,'EPA Export Aggregation'!$D:$D,$A$1)*IF($A26="CH4",About!$D$58,IF($A26="N2O",About!$D$59,1))</f>
        <v>1.5976353647999999E-3</v>
      </c>
      <c r="AF26">
        <f>SUMIFS('EPA Export Aggregation'!AI:AI,'EPA Export Aggregation'!$A:$A,$B26,'EPA Export Aggregation'!$D:$D,$A$1)*IF($A26="CH4",About!$D$58,IF($A26="N2O",About!$D$59,1))</f>
        <v>1.4538618193000001E-3</v>
      </c>
      <c r="AG26">
        <f>SUMIFS('EPA Export Aggregation'!AJ:AJ,'EPA Export Aggregation'!$A:$A,$B26,'EPA Export Aggregation'!$D:$D,$A$1)*IF($A26="CH4",About!$D$58,IF($A26="N2O",About!$D$59,1))</f>
        <v>1.0793743947999999E-3</v>
      </c>
      <c r="AH26">
        <f>SUMIFS('EPA Export Aggregation'!AK:AK,'EPA Export Aggregation'!$A:$A,$B26,'EPA Export Aggregation'!$D:$D,$A$1)*IF($A26="CH4",About!$D$58,IF($A26="N2O",About!$D$59,1))</f>
        <v>1.3933849219999999E-3</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4.9357709795899998E-2</v>
      </c>
      <c r="D29">
        <f>SUMIFS('EPA Export Aggregation'!G:G,'EPA Export Aggregation'!$A:$A,$B29,'EPA Export Aggregation'!$D:$D,$A$1)*IF($A29="CH4",About!$D$58,IF($A29="N2O",About!$D$59,1))</f>
        <v>5.35620580602E-2</v>
      </c>
      <c r="E29">
        <f>SUMIFS('EPA Export Aggregation'!H:H,'EPA Export Aggregation'!$A:$A,$B29,'EPA Export Aggregation'!$D:$D,$A$1)*IF($A29="CH4",About!$D$58,IF($A29="N2O",About!$D$59,1))</f>
        <v>6.7422712250800002E-2</v>
      </c>
      <c r="F29">
        <f>SUMIFS('EPA Export Aggregation'!I:I,'EPA Export Aggregation'!$A:$A,$B29,'EPA Export Aggregation'!$D:$D,$A$1)*IF($A29="CH4",About!$D$58,IF($A29="N2O",About!$D$59,1))</f>
        <v>7.5291065338099997E-2</v>
      </c>
      <c r="G29">
        <f>SUMIFS('EPA Export Aggregation'!J:J,'EPA Export Aggregation'!$A:$A,$B29,'EPA Export Aggregation'!$D:$D,$A$1)*IF($A29="CH4",About!$D$58,IF($A29="N2O",About!$D$59,1))</f>
        <v>7.4540149466999994E-2</v>
      </c>
      <c r="H29">
        <f>SUMIFS('EPA Export Aggregation'!K:K,'EPA Export Aggregation'!$A:$A,$B29,'EPA Export Aggregation'!$D:$D,$A$1)*IF($A29="CH4",About!$D$58,IF($A29="N2O",About!$D$59,1))</f>
        <v>6.1881150566500003E-2</v>
      </c>
      <c r="I29">
        <f>SUMIFS('EPA Export Aggregation'!L:L,'EPA Export Aggregation'!$A:$A,$B29,'EPA Export Aggregation'!$D:$D,$A$1)*IF($A29="CH4",About!$D$58,IF($A29="N2O",About!$D$59,1))</f>
        <v>5.9757159960300003E-2</v>
      </c>
      <c r="J29">
        <f>SUMIFS('EPA Export Aggregation'!M:M,'EPA Export Aggregation'!$A:$A,$B29,'EPA Export Aggregation'!$D:$D,$A$1)*IF($A29="CH4",About!$D$58,IF($A29="N2O",About!$D$59,1))</f>
        <v>5.9914042735500002E-2</v>
      </c>
      <c r="K29">
        <f>SUMIFS('EPA Export Aggregation'!N:N,'EPA Export Aggregation'!$A:$A,$B29,'EPA Export Aggregation'!$D:$D,$A$1)*IF($A29="CH4",About!$D$58,IF($A29="N2O",About!$D$59,1))</f>
        <v>5.6964815183700002E-2</v>
      </c>
      <c r="L29">
        <f>SUMIFS('EPA Export Aggregation'!O:O,'EPA Export Aggregation'!$A:$A,$B29,'EPA Export Aggregation'!$D:$D,$A$1)*IF($A29="CH4",About!$D$58,IF($A29="N2O",About!$D$59,1))</f>
        <v>6.5208226167400005E-2</v>
      </c>
      <c r="M29">
        <f>SUMIFS('EPA Export Aggregation'!P:P,'EPA Export Aggregation'!$A:$A,$B29,'EPA Export Aggregation'!$D:$D,$A$1)*IF($A29="CH4",About!$D$58,IF($A29="N2O",About!$D$59,1))</f>
        <v>5.2267438065399997E-2</v>
      </c>
      <c r="N29">
        <f>SUMIFS('EPA Export Aggregation'!Q:Q,'EPA Export Aggregation'!$A:$A,$B29,'EPA Export Aggregation'!$D:$D,$A$1)*IF($A29="CH4",About!$D$58,IF($A29="N2O",About!$D$59,1))</f>
        <v>5.3342507104999999E-2</v>
      </c>
      <c r="O29">
        <f>SUMIFS('EPA Export Aggregation'!R:R,'EPA Export Aggregation'!$A:$A,$B29,'EPA Export Aggregation'!$D:$D,$A$1)*IF($A29="CH4",About!$D$58,IF($A29="N2O",About!$D$59,1))</f>
        <v>5.53379014451E-2</v>
      </c>
      <c r="P29">
        <f>SUMIFS('EPA Export Aggregation'!S:S,'EPA Export Aggregation'!$A:$A,$B29,'EPA Export Aggregation'!$D:$D,$A$1)*IF($A29="CH4",About!$D$58,IF($A29="N2O",About!$D$59,1))</f>
        <v>6.1645906107799998E-2</v>
      </c>
      <c r="Q29">
        <f>SUMIFS('EPA Export Aggregation'!T:T,'EPA Export Aggregation'!$A:$A,$B29,'EPA Export Aggregation'!$D:$D,$A$1)*IF($A29="CH4",About!$D$58,IF($A29="N2O",About!$D$59,1))</f>
        <v>6.7088062638400003E-2</v>
      </c>
      <c r="R29">
        <f>SUMIFS('EPA Export Aggregation'!U:U,'EPA Export Aggregation'!$A:$A,$B29,'EPA Export Aggregation'!$D:$D,$A$1)*IF($A29="CH4",About!$D$58,IF($A29="N2O",About!$D$59,1))</f>
        <v>6.8730161750800003E-2</v>
      </c>
      <c r="S29">
        <f>SUMIFS('EPA Export Aggregation'!V:V,'EPA Export Aggregation'!$A:$A,$B29,'EPA Export Aggregation'!$D:$D,$A$1)*IF($A29="CH4",About!$D$58,IF($A29="N2O",About!$D$59,1))</f>
        <v>7.8178599413799996E-2</v>
      </c>
      <c r="T29">
        <f>SUMIFS('EPA Export Aggregation'!W:W,'EPA Export Aggregation'!$A:$A,$B29,'EPA Export Aggregation'!$D:$D,$A$1)*IF($A29="CH4",About!$D$58,IF($A29="N2O",About!$D$59,1))</f>
        <v>8.4066084405599997E-2</v>
      </c>
      <c r="U29">
        <f>SUMIFS('EPA Export Aggregation'!X:X,'EPA Export Aggregation'!$A:$A,$B29,'EPA Export Aggregation'!$D:$D,$A$1)*IF($A29="CH4",About!$D$58,IF($A29="N2O",About!$D$59,1))</f>
        <v>0.10573023338949999</v>
      </c>
      <c r="V29">
        <f>SUMIFS('EPA Export Aggregation'!Y:Y,'EPA Export Aggregation'!$A:$A,$B29,'EPA Export Aggregation'!$D:$D,$A$1)*IF($A29="CH4",About!$D$58,IF($A29="N2O",About!$D$59,1))</f>
        <v>0.1185129307293</v>
      </c>
      <c r="W29">
        <f>SUMIFS('EPA Export Aggregation'!Z:Z,'EPA Export Aggregation'!$A:$A,$B29,'EPA Export Aggregation'!$D:$D,$A$1)*IF($A29="CH4",About!$D$58,IF($A29="N2O",About!$D$59,1))</f>
        <v>0.1532970572391</v>
      </c>
      <c r="X29">
        <f>SUMIFS('EPA Export Aggregation'!AA:AA,'EPA Export Aggregation'!$A:$A,$B29,'EPA Export Aggregation'!$D:$D,$A$1)*IF($A29="CH4",About!$D$58,IF($A29="N2O",About!$D$59,1))</f>
        <v>0.24881724655840001</v>
      </c>
      <c r="Y29">
        <f>SUMIFS('EPA Export Aggregation'!AB:AB,'EPA Export Aggregation'!$A:$A,$B29,'EPA Export Aggregation'!$D:$D,$A$1)*IF($A29="CH4",About!$D$58,IF($A29="N2O",About!$D$59,1))</f>
        <v>0.30009147867660002</v>
      </c>
      <c r="Z29">
        <f>SUMIFS('EPA Export Aggregation'!AC:AC,'EPA Export Aggregation'!$A:$A,$B29,'EPA Export Aggregation'!$D:$D,$A$1)*IF($A29="CH4",About!$D$58,IF($A29="N2O",About!$D$59,1))</f>
        <v>0.31643190343549998</v>
      </c>
      <c r="AA29">
        <f>SUMIFS('EPA Export Aggregation'!AD:AD,'EPA Export Aggregation'!$A:$A,$B29,'EPA Export Aggregation'!$D:$D,$A$1)*IF($A29="CH4",About!$D$58,IF($A29="N2O",About!$D$59,1))</f>
        <v>0.42476496229900002</v>
      </c>
      <c r="AB29">
        <f>SUMIFS('EPA Export Aggregation'!AE:AE,'EPA Export Aggregation'!$A:$A,$B29,'EPA Export Aggregation'!$D:$D,$A$1)*IF($A29="CH4",About!$D$58,IF($A29="N2O",About!$D$59,1))</f>
        <v>0.46992514462090001</v>
      </c>
      <c r="AC29">
        <f>SUMIFS('EPA Export Aggregation'!AF:AF,'EPA Export Aggregation'!$A:$A,$B29,'EPA Export Aggregation'!$D:$D,$A$1)*IF($A29="CH4",About!$D$58,IF($A29="N2O",About!$D$59,1))</f>
        <v>0.41278769285349998</v>
      </c>
      <c r="AD29">
        <f>SUMIFS('EPA Export Aggregation'!AG:AG,'EPA Export Aggregation'!$A:$A,$B29,'EPA Export Aggregation'!$D:$D,$A$1)*IF($A29="CH4",About!$D$58,IF($A29="N2O",About!$D$59,1))</f>
        <v>0.46131722276640003</v>
      </c>
      <c r="AE29">
        <f>SUMIFS('EPA Export Aggregation'!AH:AH,'EPA Export Aggregation'!$A:$A,$B29,'EPA Export Aggregation'!$D:$D,$A$1)*IF($A29="CH4",About!$D$58,IF($A29="N2O",About!$D$59,1))</f>
        <v>0.65828149401699998</v>
      </c>
      <c r="AF29">
        <f>SUMIFS('EPA Export Aggregation'!AI:AI,'EPA Export Aggregation'!$A:$A,$B29,'EPA Export Aggregation'!$D:$D,$A$1)*IF($A29="CH4",About!$D$58,IF($A29="N2O",About!$D$59,1))</f>
        <v>0.65644581289040005</v>
      </c>
      <c r="AG29">
        <f>SUMIFS('EPA Export Aggregation'!AJ:AJ,'EPA Export Aggregation'!$A:$A,$B29,'EPA Export Aggregation'!$D:$D,$A$1)*IF($A29="CH4",About!$D$58,IF($A29="N2O",About!$D$59,1))</f>
        <v>0.37013311109570002</v>
      </c>
      <c r="AH29">
        <f>SUMIFS('EPA Export Aggregation'!AK:AK,'EPA Export Aggregation'!$A:$A,$B29,'EPA Export Aggregation'!$D:$D,$A$1)*IF($A29="CH4",About!$D$58,IF($A29="N2O",About!$D$59,1))</f>
        <v>0.29056435389759999</v>
      </c>
    </row>
    <row r="30" spans="1:34" x14ac:dyDescent="0.25">
      <c r="A30" s="119" t="s">
        <v>479</v>
      </c>
      <c r="B30" s="120" t="s">
        <v>1982</v>
      </c>
      <c r="C30">
        <f>SUMIFS('EPA Export Aggregation'!F:F,'EPA Export Aggregation'!$A:$A,$B30,'EPA Export Aggregation'!$D:$D,$A$1)*IF($A30="CH4",About!$D$58,IF($A30="N2O",About!$D$59,1))</f>
        <v>4.0037814500000001E-5</v>
      </c>
      <c r="D30">
        <f>SUMIFS('EPA Export Aggregation'!G:G,'EPA Export Aggregation'!$A:$A,$B30,'EPA Export Aggregation'!$D:$D,$A$1)*IF($A30="CH4",About!$D$58,IF($A30="N2O",About!$D$59,1))</f>
        <v>4.0494732200000001E-5</v>
      </c>
      <c r="E30">
        <f>SUMIFS('EPA Export Aggregation'!H:H,'EPA Export Aggregation'!$A:$A,$B30,'EPA Export Aggregation'!$D:$D,$A$1)*IF($A30="CH4",About!$D$58,IF($A30="N2O",About!$D$59,1))</f>
        <v>4.0784557100000003E-5</v>
      </c>
      <c r="F30">
        <f>SUMIFS('EPA Export Aggregation'!I:I,'EPA Export Aggregation'!$A:$A,$B30,'EPA Export Aggregation'!$D:$D,$A$1)*IF($A30="CH4",About!$D$58,IF($A30="N2O",About!$D$59,1))</f>
        <v>4.1064726299999999E-5</v>
      </c>
      <c r="G30">
        <f>SUMIFS('EPA Export Aggregation'!J:J,'EPA Export Aggregation'!$A:$A,$B30,'EPA Export Aggregation'!$D:$D,$A$1)*IF($A30="CH4",About!$D$58,IF($A30="N2O",About!$D$59,1))</f>
        <v>4.1258578600000001E-5</v>
      </c>
      <c r="H30">
        <f>SUMIFS('EPA Export Aggregation'!K:K,'EPA Export Aggregation'!$A:$A,$B30,'EPA Export Aggregation'!$D:$D,$A$1)*IF($A30="CH4",About!$D$58,IF($A30="N2O",About!$D$59,1))</f>
        <v>4.1415798900000003E-5</v>
      </c>
      <c r="I30">
        <f>SUMIFS('EPA Export Aggregation'!L:L,'EPA Export Aggregation'!$A:$A,$B30,'EPA Export Aggregation'!$D:$D,$A$1)*IF($A30="CH4",About!$D$58,IF($A30="N2O",About!$D$59,1))</f>
        <v>4.1841954500000002E-5</v>
      </c>
      <c r="J30">
        <f>SUMIFS('EPA Export Aggregation'!M:M,'EPA Export Aggregation'!$A:$A,$B30,'EPA Export Aggregation'!$D:$D,$A$1)*IF($A30="CH4",About!$D$58,IF($A30="N2O",About!$D$59,1))</f>
        <v>4.23099081E-5</v>
      </c>
      <c r="K30">
        <f>SUMIFS('EPA Export Aggregation'!N:N,'EPA Export Aggregation'!$A:$A,$B30,'EPA Export Aggregation'!$D:$D,$A$1)*IF($A30="CH4",About!$D$58,IF($A30="N2O",About!$D$59,1))</f>
        <v>4.2351304600000003E-5</v>
      </c>
      <c r="L30">
        <f>SUMIFS('EPA Export Aggregation'!O:O,'EPA Export Aggregation'!$A:$A,$B30,'EPA Export Aggregation'!$D:$D,$A$1)*IF($A30="CH4",About!$D$58,IF($A30="N2O",About!$D$59,1))</f>
        <v>4.2995289700000003E-5</v>
      </c>
      <c r="M30">
        <f>SUMIFS('EPA Export Aggregation'!P:P,'EPA Export Aggregation'!$A:$A,$B30,'EPA Export Aggregation'!$D:$D,$A$1)*IF($A30="CH4",About!$D$58,IF($A30="N2O",About!$D$59,1))</f>
        <v>4.2748779800000002E-5</v>
      </c>
      <c r="N30">
        <f>SUMIFS('EPA Export Aggregation'!Q:Q,'EPA Export Aggregation'!$A:$A,$B30,'EPA Export Aggregation'!$D:$D,$A$1)*IF($A30="CH4",About!$D$58,IF($A30="N2O",About!$D$59,1))</f>
        <v>4.2511010700000002E-5</v>
      </c>
      <c r="O30">
        <f>SUMIFS('EPA Export Aggregation'!R:R,'EPA Export Aggregation'!$A:$A,$B30,'EPA Export Aggregation'!$D:$D,$A$1)*IF($A30="CH4",About!$D$58,IF($A30="N2O",About!$D$59,1))</f>
        <v>4.2720319800000003E-5</v>
      </c>
      <c r="P30">
        <f>SUMIFS('EPA Export Aggregation'!S:S,'EPA Export Aggregation'!$A:$A,$B30,'EPA Export Aggregation'!$D:$D,$A$1)*IF($A30="CH4",About!$D$58,IF($A30="N2O",About!$D$59,1))</f>
        <v>4.2693490300000001E-5</v>
      </c>
      <c r="Q30">
        <f>SUMIFS('EPA Export Aggregation'!T:T,'EPA Export Aggregation'!$A:$A,$B30,'EPA Export Aggregation'!$D:$D,$A$1)*IF($A30="CH4",About!$D$58,IF($A30="N2O",About!$D$59,1))</f>
        <v>4.27871577E-5</v>
      </c>
      <c r="R30">
        <f>SUMIFS('EPA Export Aggregation'!U:U,'EPA Export Aggregation'!$A:$A,$B30,'EPA Export Aggregation'!$D:$D,$A$1)*IF($A30="CH4",About!$D$58,IF($A30="N2O",About!$D$59,1))</f>
        <v>4.2708157899999999E-5</v>
      </c>
      <c r="S30">
        <f>SUMIFS('EPA Export Aggregation'!V:V,'EPA Export Aggregation'!$A:$A,$B30,'EPA Export Aggregation'!$D:$D,$A$1)*IF($A30="CH4",About!$D$58,IF($A30="N2O",About!$D$59,1))</f>
        <v>4.2532462800000002E-5</v>
      </c>
      <c r="T30">
        <f>SUMIFS('EPA Export Aggregation'!W:W,'EPA Export Aggregation'!$A:$A,$B30,'EPA Export Aggregation'!$D:$D,$A$1)*IF($A30="CH4",About!$D$58,IF($A30="N2O",About!$D$59,1))</f>
        <v>4.25446382E-5</v>
      </c>
      <c r="U30">
        <f>SUMIFS('EPA Export Aggregation'!X:X,'EPA Export Aggregation'!$A:$A,$B30,'EPA Export Aggregation'!$D:$D,$A$1)*IF($A30="CH4",About!$D$58,IF($A30="N2O",About!$D$59,1))</f>
        <v>4.2643944499999998E-5</v>
      </c>
      <c r="V30">
        <f>SUMIFS('EPA Export Aggregation'!Y:Y,'EPA Export Aggregation'!$A:$A,$B30,'EPA Export Aggregation'!$D:$D,$A$1)*IF($A30="CH4",About!$D$58,IF($A30="N2O",About!$D$59,1))</f>
        <v>4.2692785100000003E-5</v>
      </c>
      <c r="W30">
        <f>SUMIFS('EPA Export Aggregation'!Z:Z,'EPA Export Aggregation'!$A:$A,$B30,'EPA Export Aggregation'!$D:$D,$A$1)*IF($A30="CH4",About!$D$58,IF($A30="N2O",About!$D$59,1))</f>
        <v>4.26212242E-5</v>
      </c>
      <c r="X30">
        <f>SUMIFS('EPA Export Aggregation'!AA:AA,'EPA Export Aggregation'!$A:$A,$B30,'EPA Export Aggregation'!$D:$D,$A$1)*IF($A30="CH4",About!$D$58,IF($A30="N2O",About!$D$59,1))</f>
        <v>4.2294977500000003E-5</v>
      </c>
      <c r="Y30">
        <f>SUMIFS('EPA Export Aggregation'!AB:AB,'EPA Export Aggregation'!$A:$A,$B30,'EPA Export Aggregation'!$D:$D,$A$1)*IF($A30="CH4",About!$D$58,IF($A30="N2O",About!$D$59,1))</f>
        <v>4.1956230500000003E-5</v>
      </c>
      <c r="Z30">
        <f>SUMIFS('EPA Export Aggregation'!AC:AC,'EPA Export Aggregation'!$A:$A,$B30,'EPA Export Aggregation'!$D:$D,$A$1)*IF($A30="CH4",About!$D$58,IF($A30="N2O",About!$D$59,1))</f>
        <v>4.1783595900000002E-5</v>
      </c>
      <c r="AA30">
        <f>SUMIFS('EPA Export Aggregation'!AD:AD,'EPA Export Aggregation'!$A:$A,$B30,'EPA Export Aggregation'!$D:$D,$A$1)*IF($A30="CH4",About!$D$58,IF($A30="N2O",About!$D$59,1))</f>
        <v>4.1938538699999997E-5</v>
      </c>
      <c r="AB30">
        <f>SUMIFS('EPA Export Aggregation'!AE:AE,'EPA Export Aggregation'!$A:$A,$B30,'EPA Export Aggregation'!$D:$D,$A$1)*IF($A30="CH4",About!$D$58,IF($A30="N2O",About!$D$59,1))</f>
        <v>4.2155579500000001E-5</v>
      </c>
      <c r="AC30">
        <f>SUMIFS('EPA Export Aggregation'!AF:AF,'EPA Export Aggregation'!$A:$A,$B30,'EPA Export Aggregation'!$D:$D,$A$1)*IF($A30="CH4",About!$D$58,IF($A30="N2O",About!$D$59,1))</f>
        <v>4.2531199499999999E-5</v>
      </c>
      <c r="AD30">
        <f>SUMIFS('EPA Export Aggregation'!AG:AG,'EPA Export Aggregation'!$A:$A,$B30,'EPA Export Aggregation'!$D:$D,$A$1)*IF($A30="CH4",About!$D$58,IF($A30="N2O",About!$D$59,1))</f>
        <v>4.3472095600000003E-5</v>
      </c>
      <c r="AE30">
        <f>SUMIFS('EPA Export Aggregation'!AH:AH,'EPA Export Aggregation'!$A:$A,$B30,'EPA Export Aggregation'!$D:$D,$A$1)*IF($A30="CH4",About!$D$58,IF($A30="N2O",About!$D$59,1))</f>
        <v>4.5226433999999997E-5</v>
      </c>
      <c r="AF30">
        <f>SUMIFS('EPA Export Aggregation'!AI:AI,'EPA Export Aggregation'!$A:$A,$B30,'EPA Export Aggregation'!$D:$D,$A$1)*IF($A30="CH4",About!$D$58,IF($A30="N2O",About!$D$59,1))</f>
        <v>4.6271303899999998E-5</v>
      </c>
      <c r="AG30">
        <f>SUMIFS('EPA Export Aggregation'!AJ:AJ,'EPA Export Aggregation'!$A:$A,$B30,'EPA Export Aggregation'!$D:$D,$A$1)*IF($A30="CH4",About!$D$58,IF($A30="N2O",About!$D$59,1))</f>
        <v>4.4763889999999999E-5</v>
      </c>
      <c r="AH30">
        <f>SUMIFS('EPA Export Aggregation'!AK:AK,'EPA Export Aggregation'!$A:$A,$B30,'EPA Export Aggregation'!$D:$D,$A$1)*IF($A30="CH4",About!$D$58,IF($A30="N2O",About!$D$59,1))</f>
        <v>4.4763889999999999E-5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0.1106818667203</v>
      </c>
      <c r="D32">
        <f>SUMIFS('EPA Export Aggregation'!G:G,'EPA Export Aggregation'!$A:$A,$B32,'EPA Export Aggregation'!$D:$D,$A$1)*IF($A32="CH4",About!$D$58,IF($A32="N2O",About!$D$59,1))</f>
        <v>0.1005717021147</v>
      </c>
      <c r="E32">
        <f>SUMIFS('EPA Export Aggregation'!H:H,'EPA Export Aggregation'!$A:$A,$B32,'EPA Export Aggregation'!$D:$D,$A$1)*IF($A32="CH4",About!$D$58,IF($A32="N2O",About!$D$59,1))</f>
        <v>0.1074240501993</v>
      </c>
      <c r="F32">
        <f>SUMIFS('EPA Export Aggregation'!I:I,'EPA Export Aggregation'!$A:$A,$B32,'EPA Export Aggregation'!$D:$D,$A$1)*IF($A32="CH4",About!$D$58,IF($A32="N2O",About!$D$59,1))</f>
        <v>0.1331246621038</v>
      </c>
      <c r="G32">
        <f>SUMIFS('EPA Export Aggregation'!J:J,'EPA Export Aggregation'!$A:$A,$B32,'EPA Export Aggregation'!$D:$D,$A$1)*IF($A32="CH4",About!$D$58,IF($A32="N2O",About!$D$59,1))</f>
        <v>0.1674335746816</v>
      </c>
      <c r="H32">
        <f>SUMIFS('EPA Export Aggregation'!K:K,'EPA Export Aggregation'!$A:$A,$B32,'EPA Export Aggregation'!$D:$D,$A$1)*IF($A32="CH4",About!$D$58,IF($A32="N2O",About!$D$59,1))</f>
        <v>0.17552418348839999</v>
      </c>
      <c r="I32">
        <f>SUMIFS('EPA Export Aggregation'!L:L,'EPA Export Aggregation'!$A:$A,$B32,'EPA Export Aggregation'!$D:$D,$A$1)*IF($A32="CH4",About!$D$58,IF($A32="N2O",About!$D$59,1))</f>
        <v>0.16028200223389999</v>
      </c>
      <c r="J32">
        <f>SUMIFS('EPA Export Aggregation'!M:M,'EPA Export Aggregation'!$A:$A,$B32,'EPA Export Aggregation'!$D:$D,$A$1)*IF($A32="CH4",About!$D$58,IF($A32="N2O",About!$D$59,1))</f>
        <v>0.18256832494190001</v>
      </c>
      <c r="K32">
        <f>SUMIFS('EPA Export Aggregation'!N:N,'EPA Export Aggregation'!$A:$A,$B32,'EPA Export Aggregation'!$D:$D,$A$1)*IF($A32="CH4",About!$D$58,IF($A32="N2O",About!$D$59,1))</f>
        <v>0.2013528913297</v>
      </c>
      <c r="L32">
        <f>SUMIFS('EPA Export Aggregation'!O:O,'EPA Export Aggregation'!$A:$A,$B32,'EPA Export Aggregation'!$D:$D,$A$1)*IF($A32="CH4",About!$D$58,IF($A32="N2O",About!$D$59,1))</f>
        <v>0.20866090306839999</v>
      </c>
      <c r="M32">
        <f>SUMIFS('EPA Export Aggregation'!P:P,'EPA Export Aggregation'!$A:$A,$B32,'EPA Export Aggregation'!$D:$D,$A$1)*IF($A32="CH4",About!$D$58,IF($A32="N2O",About!$D$59,1))</f>
        <v>0.1926821284469</v>
      </c>
      <c r="N32">
        <f>SUMIFS('EPA Export Aggregation'!Q:Q,'EPA Export Aggregation'!$A:$A,$B32,'EPA Export Aggregation'!$D:$D,$A$1)*IF($A32="CH4",About!$D$58,IF($A32="N2O",About!$D$59,1))</f>
        <v>0.23911307583970001</v>
      </c>
      <c r="O32">
        <f>SUMIFS('EPA Export Aggregation'!R:R,'EPA Export Aggregation'!$A:$A,$B32,'EPA Export Aggregation'!$D:$D,$A$1)*IF($A32="CH4",About!$D$58,IF($A32="N2O",About!$D$59,1))</f>
        <v>0.25665707564469997</v>
      </c>
      <c r="P32">
        <f>SUMIFS('EPA Export Aggregation'!S:S,'EPA Export Aggregation'!$A:$A,$B32,'EPA Export Aggregation'!$D:$D,$A$1)*IF($A32="CH4",About!$D$58,IF($A32="N2O",About!$D$59,1))</f>
        <v>0.27401029903649998</v>
      </c>
      <c r="Q32">
        <f>SUMIFS('EPA Export Aggregation'!T:T,'EPA Export Aggregation'!$A:$A,$B32,'EPA Export Aggregation'!$D:$D,$A$1)*IF($A32="CH4",About!$D$58,IF($A32="N2O",About!$D$59,1))</f>
        <v>0.29913263149910002</v>
      </c>
      <c r="R32">
        <f>SUMIFS('EPA Export Aggregation'!U:U,'EPA Export Aggregation'!$A:$A,$B32,'EPA Export Aggregation'!$D:$D,$A$1)*IF($A32="CH4",About!$D$58,IF($A32="N2O",About!$D$59,1))</f>
        <v>0.28747709240710001</v>
      </c>
      <c r="S32">
        <f>SUMIFS('EPA Export Aggregation'!V:V,'EPA Export Aggregation'!$A:$A,$B32,'EPA Export Aggregation'!$D:$D,$A$1)*IF($A32="CH4",About!$D$58,IF($A32="N2O",About!$D$59,1))</f>
        <v>0.26964675718719999</v>
      </c>
      <c r="T32">
        <f>SUMIFS('EPA Export Aggregation'!W:W,'EPA Export Aggregation'!$A:$A,$B32,'EPA Export Aggregation'!$D:$D,$A$1)*IF($A32="CH4",About!$D$58,IF($A32="N2O",About!$D$59,1))</f>
        <v>0.27835545576350001</v>
      </c>
      <c r="U32">
        <f>SUMIFS('EPA Export Aggregation'!X:X,'EPA Export Aggregation'!$A:$A,$B32,'EPA Export Aggregation'!$D:$D,$A$1)*IF($A32="CH4",About!$D$58,IF($A32="N2O",About!$D$59,1))</f>
        <v>0.24562672865269999</v>
      </c>
      <c r="V32">
        <f>SUMIFS('EPA Export Aggregation'!Y:Y,'EPA Export Aggregation'!$A:$A,$B32,'EPA Export Aggregation'!$D:$D,$A$1)*IF($A32="CH4",About!$D$58,IF($A32="N2O",About!$D$59,1))</f>
        <v>0.22308537718349999</v>
      </c>
      <c r="W32">
        <f>SUMIFS('EPA Export Aggregation'!Z:Z,'EPA Export Aggregation'!$A:$A,$B32,'EPA Export Aggregation'!$D:$D,$A$1)*IF($A32="CH4",About!$D$58,IF($A32="N2O",About!$D$59,1))</f>
        <v>0.20153141697089999</v>
      </c>
      <c r="X32">
        <f>SUMIFS('EPA Export Aggregation'!AA:AA,'EPA Export Aggregation'!$A:$A,$B32,'EPA Export Aggregation'!$D:$D,$A$1)*IF($A32="CH4",About!$D$58,IF($A32="N2O",About!$D$59,1))</f>
        <v>0.21576838317200001</v>
      </c>
      <c r="Y32">
        <f>SUMIFS('EPA Export Aggregation'!AB:AB,'EPA Export Aggregation'!$A:$A,$B32,'EPA Export Aggregation'!$D:$D,$A$1)*IF($A32="CH4",About!$D$58,IF($A32="N2O",About!$D$59,1))</f>
        <v>0.2364896885478</v>
      </c>
      <c r="Z32">
        <f>SUMIFS('EPA Export Aggregation'!AC:AC,'EPA Export Aggregation'!$A:$A,$B32,'EPA Export Aggregation'!$D:$D,$A$1)*IF($A32="CH4",About!$D$58,IF($A32="N2O",About!$D$59,1))</f>
        <v>0.19475667799800001</v>
      </c>
      <c r="AA32">
        <f>SUMIFS('EPA Export Aggregation'!AD:AD,'EPA Export Aggregation'!$A:$A,$B32,'EPA Export Aggregation'!$D:$D,$A$1)*IF($A32="CH4",About!$D$58,IF($A32="N2O",About!$D$59,1))</f>
        <v>0.1828051904203</v>
      </c>
      <c r="AB32">
        <f>SUMIFS('EPA Export Aggregation'!AE:AE,'EPA Export Aggregation'!$A:$A,$B32,'EPA Export Aggregation'!$D:$D,$A$1)*IF($A32="CH4",About!$D$58,IF($A32="N2O",About!$D$59,1))</f>
        <v>0.1336330359506</v>
      </c>
      <c r="AC32">
        <f>SUMIFS('EPA Export Aggregation'!AF:AF,'EPA Export Aggregation'!$A:$A,$B32,'EPA Export Aggregation'!$D:$D,$A$1)*IF($A32="CH4",About!$D$58,IF($A32="N2O",About!$D$59,1))</f>
        <v>8.9347174068099999E-2</v>
      </c>
      <c r="AD32">
        <f>SUMIFS('EPA Export Aggregation'!AG:AG,'EPA Export Aggregation'!$A:$A,$B32,'EPA Export Aggregation'!$D:$D,$A$1)*IF($A32="CH4",About!$D$58,IF($A32="N2O",About!$D$59,1))</f>
        <v>0.1123760587395</v>
      </c>
      <c r="AE32">
        <f>SUMIFS('EPA Export Aggregation'!AH:AH,'EPA Export Aggregation'!$A:$A,$B32,'EPA Export Aggregation'!$D:$D,$A$1)*IF($A32="CH4",About!$D$58,IF($A32="N2O",About!$D$59,1))</f>
        <v>0.1052150846442</v>
      </c>
      <c r="AF32">
        <f>SUMIFS('EPA Export Aggregation'!AI:AI,'EPA Export Aggregation'!$A:$A,$B32,'EPA Export Aggregation'!$D:$D,$A$1)*IF($A32="CH4",About!$D$58,IF($A32="N2O",About!$D$59,1))</f>
        <v>9.4355394023100003E-2</v>
      </c>
      <c r="AG32">
        <f>SUMIFS('EPA Export Aggregation'!AJ:AJ,'EPA Export Aggregation'!$A:$A,$B32,'EPA Export Aggregation'!$D:$D,$A$1)*IF($A32="CH4",About!$D$58,IF($A32="N2O",About!$D$59,1))</f>
        <v>6.39748899437E-2</v>
      </c>
      <c r="AH32">
        <f>SUMIFS('EPA Export Aggregation'!AK:AK,'EPA Export Aggregation'!$A:$A,$B32,'EPA Export Aggregation'!$D:$D,$A$1)*IF($A32="CH4",About!$D$58,IF($A32="N2O",About!$D$59,1))</f>
        <v>7.3704071794199993E-2</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2.37274147994E-2</v>
      </c>
      <c r="D34">
        <f>SUMIFS('EPA Export Aggregation'!G:G,'EPA Export Aggregation'!$A:$A,$B34,'EPA Export Aggregation'!$D:$D,$A$1)*IF($A34="CH4",About!$D$58,IF($A34="N2O",About!$D$59,1))</f>
        <v>2.0735651637500001E-2</v>
      </c>
      <c r="E34">
        <f>SUMIFS('EPA Export Aggregation'!H:H,'EPA Export Aggregation'!$A:$A,$B34,'EPA Export Aggregation'!$D:$D,$A$1)*IF($A34="CH4",About!$D$58,IF($A34="N2O",About!$D$59,1))</f>
        <v>1.9884263812000001E-2</v>
      </c>
      <c r="F34">
        <f>SUMIFS('EPA Export Aggregation'!I:I,'EPA Export Aggregation'!$A:$A,$B34,'EPA Export Aggregation'!$D:$D,$A$1)*IF($A34="CH4",About!$D$58,IF($A34="N2O",About!$D$59,1))</f>
        <v>2.44389031419E-2</v>
      </c>
      <c r="G34">
        <f>SUMIFS('EPA Export Aggregation'!J:J,'EPA Export Aggregation'!$A:$A,$B34,'EPA Export Aggregation'!$D:$D,$A$1)*IF($A34="CH4",About!$D$58,IF($A34="N2O",About!$D$59,1))</f>
        <v>2.2186168072800001E-2</v>
      </c>
      <c r="H34">
        <f>SUMIFS('EPA Export Aggregation'!K:K,'EPA Export Aggregation'!$A:$A,$B34,'EPA Export Aggregation'!$D:$D,$A$1)*IF($A34="CH4",About!$D$58,IF($A34="N2O",About!$D$59,1))</f>
        <v>2.0419931778999999E-2</v>
      </c>
      <c r="I34">
        <f>SUMIFS('EPA Export Aggregation'!L:L,'EPA Export Aggregation'!$A:$A,$B34,'EPA Export Aggregation'!$D:$D,$A$1)*IF($A34="CH4",About!$D$58,IF($A34="N2O",About!$D$59,1))</f>
        <v>1.9725909582999999E-2</v>
      </c>
      <c r="J34">
        <f>SUMIFS('EPA Export Aggregation'!M:M,'EPA Export Aggregation'!$A:$A,$B34,'EPA Export Aggregation'!$D:$D,$A$1)*IF($A34="CH4",About!$D$58,IF($A34="N2O",About!$D$59,1))</f>
        <v>2.35277469533E-2</v>
      </c>
      <c r="K34">
        <f>SUMIFS('EPA Export Aggregation'!N:N,'EPA Export Aggregation'!$A:$A,$B34,'EPA Export Aggregation'!$D:$D,$A$1)*IF($A34="CH4",About!$D$58,IF($A34="N2O",About!$D$59,1))</f>
        <v>2.60738951888E-2</v>
      </c>
      <c r="L34">
        <f>SUMIFS('EPA Export Aggregation'!O:O,'EPA Export Aggregation'!$A:$A,$B34,'EPA Export Aggregation'!$D:$D,$A$1)*IF($A34="CH4",About!$D$58,IF($A34="N2O",About!$D$59,1))</f>
        <v>2.5439578819999999E-2</v>
      </c>
      <c r="M34">
        <f>SUMIFS('EPA Export Aggregation'!P:P,'EPA Export Aggregation'!$A:$A,$B34,'EPA Export Aggregation'!$D:$D,$A$1)*IF($A34="CH4",About!$D$58,IF($A34="N2O",About!$D$59,1))</f>
        <v>1.7453350630499999E-2</v>
      </c>
      <c r="N34">
        <f>SUMIFS('EPA Export Aggregation'!Q:Q,'EPA Export Aggregation'!$A:$A,$B34,'EPA Export Aggregation'!$D:$D,$A$1)*IF($A34="CH4",About!$D$58,IF($A34="N2O",About!$D$59,1))</f>
        <v>7.2681030571999997E-3</v>
      </c>
      <c r="O34">
        <f>SUMIFS('EPA Export Aggregation'!R:R,'EPA Export Aggregation'!$A:$A,$B34,'EPA Export Aggregation'!$D:$D,$A$1)*IF($A34="CH4",About!$D$58,IF($A34="N2O",About!$D$59,1))</f>
        <v>1.9459244488800001E-2</v>
      </c>
      <c r="P34">
        <f>SUMIFS('EPA Export Aggregation'!S:S,'EPA Export Aggregation'!$A:$A,$B34,'EPA Export Aggregation'!$D:$D,$A$1)*IF($A34="CH4",About!$D$58,IF($A34="N2O",About!$D$59,1))</f>
        <v>2.2653686534199999E-2</v>
      </c>
      <c r="Q34">
        <f>SUMIFS('EPA Export Aggregation'!T:T,'EPA Export Aggregation'!$A:$A,$B34,'EPA Export Aggregation'!$D:$D,$A$1)*IF($A34="CH4",About!$D$58,IF($A34="N2O",About!$D$59,1))</f>
        <v>2.67766165291E-2</v>
      </c>
      <c r="R34">
        <f>SUMIFS('EPA Export Aggregation'!U:U,'EPA Export Aggregation'!$A:$A,$B34,'EPA Export Aggregation'!$D:$D,$A$1)*IF($A34="CH4",About!$D$58,IF($A34="N2O",About!$D$59,1))</f>
        <v>3.2816391907800002E-2</v>
      </c>
      <c r="S34">
        <f>SUMIFS('EPA Export Aggregation'!V:V,'EPA Export Aggregation'!$A:$A,$B34,'EPA Export Aggregation'!$D:$D,$A$1)*IF($A34="CH4",About!$D$58,IF($A34="N2O",About!$D$59,1))</f>
        <v>3.02194245971E-2</v>
      </c>
      <c r="T34">
        <f>SUMIFS('EPA Export Aggregation'!W:W,'EPA Export Aggregation'!$A:$A,$B34,'EPA Export Aggregation'!$D:$D,$A$1)*IF($A34="CH4",About!$D$58,IF($A34="N2O",About!$D$59,1))</f>
        <v>2.8188189059200001E-2</v>
      </c>
      <c r="U34">
        <f>SUMIFS('EPA Export Aggregation'!X:X,'EPA Export Aggregation'!$A:$A,$B34,'EPA Export Aggregation'!$D:$D,$A$1)*IF($A34="CH4",About!$D$58,IF($A34="N2O",About!$D$59,1))</f>
        <v>3.0498212343899999E-2</v>
      </c>
      <c r="V34">
        <f>SUMIFS('EPA Export Aggregation'!Y:Y,'EPA Export Aggregation'!$A:$A,$B34,'EPA Export Aggregation'!$D:$D,$A$1)*IF($A34="CH4",About!$D$58,IF($A34="N2O",About!$D$59,1))</f>
        <v>3.05984560767E-2</v>
      </c>
      <c r="W34">
        <f>SUMIFS('EPA Export Aggregation'!Z:Z,'EPA Export Aggregation'!$A:$A,$B34,'EPA Export Aggregation'!$D:$D,$A$1)*IF($A34="CH4",About!$D$58,IF($A34="N2O",About!$D$59,1))</f>
        <v>3.1925695606199997E-2</v>
      </c>
      <c r="X34">
        <f>SUMIFS('EPA Export Aggregation'!AA:AA,'EPA Export Aggregation'!$A:$A,$B34,'EPA Export Aggregation'!$D:$D,$A$1)*IF($A34="CH4",About!$D$58,IF($A34="N2O",About!$D$59,1))</f>
        <v>3.5690513048500003E-2</v>
      </c>
      <c r="Y34">
        <f>SUMIFS('EPA Export Aggregation'!AB:AB,'EPA Export Aggregation'!$A:$A,$B34,'EPA Export Aggregation'!$D:$D,$A$1)*IF($A34="CH4",About!$D$58,IF($A34="N2O",About!$D$59,1))</f>
        <v>4.0527217273000002E-2</v>
      </c>
      <c r="Z34">
        <f>SUMIFS('EPA Export Aggregation'!AC:AC,'EPA Export Aggregation'!$A:$A,$B34,'EPA Export Aggregation'!$D:$D,$A$1)*IF($A34="CH4",About!$D$58,IF($A34="N2O",About!$D$59,1))</f>
        <v>4.6263307629499997E-2</v>
      </c>
      <c r="AA34">
        <f>SUMIFS('EPA Export Aggregation'!AD:AD,'EPA Export Aggregation'!$A:$A,$B34,'EPA Export Aggregation'!$D:$D,$A$1)*IF($A34="CH4",About!$D$58,IF($A34="N2O",About!$D$59,1))</f>
        <v>3.9108071245000001E-2</v>
      </c>
      <c r="AB34">
        <f>SUMIFS('EPA Export Aggregation'!AE:AE,'EPA Export Aggregation'!$A:$A,$B34,'EPA Export Aggregation'!$D:$D,$A$1)*IF($A34="CH4",About!$D$58,IF($A34="N2O",About!$D$59,1))</f>
        <v>3.9341005533899999E-2</v>
      </c>
      <c r="AC34">
        <f>SUMIFS('EPA Export Aggregation'!AF:AF,'EPA Export Aggregation'!$A:$A,$B34,'EPA Export Aggregation'!$D:$D,$A$1)*IF($A34="CH4",About!$D$58,IF($A34="N2O",About!$D$59,1))</f>
        <v>3.8547780096200003E-2</v>
      </c>
      <c r="AD34">
        <f>SUMIFS('EPA Export Aggregation'!AG:AG,'EPA Export Aggregation'!$A:$A,$B34,'EPA Export Aggregation'!$D:$D,$A$1)*IF($A34="CH4",About!$D$58,IF($A34="N2O",About!$D$59,1))</f>
        <v>4.10697119931E-2</v>
      </c>
      <c r="AE34">
        <f>SUMIFS('EPA Export Aggregation'!AH:AH,'EPA Export Aggregation'!$A:$A,$B34,'EPA Export Aggregation'!$D:$D,$A$1)*IF($A34="CH4",About!$D$58,IF($A34="N2O",About!$D$59,1))</f>
        <v>3.5750307569800001E-2</v>
      </c>
      <c r="AF34">
        <f>SUMIFS('EPA Export Aggregation'!AI:AI,'EPA Export Aggregation'!$A:$A,$B34,'EPA Export Aggregation'!$D:$D,$A$1)*IF($A34="CH4",About!$D$58,IF($A34="N2O",About!$D$59,1))</f>
        <v>3.3542170707800002E-2</v>
      </c>
      <c r="AG34">
        <f>SUMIFS('EPA Export Aggregation'!AJ:AJ,'EPA Export Aggregation'!$A:$A,$B34,'EPA Export Aggregation'!$D:$D,$A$1)*IF($A34="CH4",About!$D$58,IF($A34="N2O",About!$D$59,1))</f>
        <v>3.1334033845799997E-2</v>
      </c>
      <c r="AH34">
        <f>SUMIFS('EPA Export Aggregation'!AK:AK,'EPA Export Aggregation'!$A:$A,$B34,'EPA Export Aggregation'!$D:$D,$A$1)*IF($A34="CH4",About!$D$58,IF($A34="N2O",About!$D$59,1))</f>
        <v>2.9125896983800002E-2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3.2997361965999999E-3</v>
      </c>
      <c r="D74">
        <f>SUMIFS('EPA Export Aggregation'!G:G,'EPA Export Aggregation'!$A:$A,$B74,'EPA Export Aggregation'!$D:$D,$A$1)*IF($A74="CH4",About!$D$58,IF($A74="N2O",About!$D$59,1))</f>
        <v>7.0164617649999999E-3</v>
      </c>
      <c r="E74">
        <f>SUMIFS('EPA Export Aggregation'!H:H,'EPA Export Aggregation'!$A:$A,$B74,'EPA Export Aggregation'!$D:$D,$A$1)*IF($A74="CH4",About!$D$58,IF($A74="N2O",About!$D$59,1))</f>
        <v>1.7340118209800002E-2</v>
      </c>
      <c r="F74">
        <f>SUMIFS('EPA Export Aggregation'!I:I,'EPA Export Aggregation'!$A:$A,$B74,'EPA Export Aggregation'!$D:$D,$A$1)*IF($A74="CH4",About!$D$58,IF($A74="N2O",About!$D$59,1))</f>
        <v>5.5049527417599997E-2</v>
      </c>
      <c r="G74">
        <f>SUMIFS('EPA Export Aggregation'!J:J,'EPA Export Aggregation'!$A:$A,$B74,'EPA Export Aggregation'!$D:$D,$A$1)*IF($A74="CH4",About!$D$58,IF($A74="N2O",About!$D$59,1))</f>
        <v>0.13119287604959998</v>
      </c>
      <c r="H74">
        <f>SUMIFS('EPA Export Aggregation'!K:K,'EPA Export Aggregation'!$A:$A,$B74,'EPA Export Aggregation'!$D:$D,$A$1)*IF($A74="CH4",About!$D$58,IF($A74="N2O",About!$D$59,1))</f>
        <v>0.28807141363279992</v>
      </c>
      <c r="I74">
        <f>SUMIFS('EPA Export Aggregation'!L:L,'EPA Export Aggregation'!$A:$A,$B74,'EPA Export Aggregation'!$D:$D,$A$1)*IF($A74="CH4",About!$D$58,IF($A74="N2O",About!$D$59,1))</f>
        <v>0.40826299314139997</v>
      </c>
      <c r="J74">
        <f>SUMIFS('EPA Export Aggregation'!M:M,'EPA Export Aggregation'!$A:$A,$B74,'EPA Export Aggregation'!$D:$D,$A$1)*IF($A74="CH4",About!$D$58,IF($A74="N2O",About!$D$59,1))</f>
        <v>0.52158697817379995</v>
      </c>
      <c r="K74">
        <f>SUMIFS('EPA Export Aggregation'!N:N,'EPA Export Aggregation'!$A:$A,$B74,'EPA Export Aggregation'!$D:$D,$A$1)*IF($A74="CH4",About!$D$58,IF($A74="N2O",About!$D$59,1))</f>
        <v>0.60701281006980012</v>
      </c>
      <c r="L74">
        <f>SUMIFS('EPA Export Aggregation'!O:O,'EPA Export Aggregation'!$A:$A,$B74,'EPA Export Aggregation'!$D:$D,$A$1)*IF($A74="CH4",About!$D$58,IF($A74="N2O",About!$D$59,1))</f>
        <v>0.69800844746309987</v>
      </c>
      <c r="M74">
        <f>SUMIFS('EPA Export Aggregation'!P:P,'EPA Export Aggregation'!$A:$A,$B74,'EPA Export Aggregation'!$D:$D,$A$1)*IF($A74="CH4",About!$D$58,IF($A74="N2O",About!$D$59,1))</f>
        <v>0.77201461682729999</v>
      </c>
      <c r="N74">
        <f>SUMIFS('EPA Export Aggregation'!Q:Q,'EPA Export Aggregation'!$A:$A,$B74,'EPA Export Aggregation'!$D:$D,$A$1)*IF($A74="CH4",About!$D$58,IF($A74="N2O",About!$D$59,1))</f>
        <v>0.84810240978849993</v>
      </c>
      <c r="O74">
        <f>SUMIFS('EPA Export Aggregation'!R:R,'EPA Export Aggregation'!$A:$A,$B74,'EPA Export Aggregation'!$D:$D,$A$1)*IF($A74="CH4",About!$D$58,IF($A74="N2O",About!$D$59,1))</f>
        <v>0.90697534250210021</v>
      </c>
      <c r="P74">
        <f>SUMIFS('EPA Export Aggregation'!S:S,'EPA Export Aggregation'!$A:$A,$B74,'EPA Export Aggregation'!$D:$D,$A$1)*IF($A74="CH4",About!$D$58,IF($A74="N2O",About!$D$59,1))</f>
        <v>0.95967602477570013</v>
      </c>
      <c r="Q74">
        <f>SUMIFS('EPA Export Aggregation'!T:T,'EPA Export Aggregation'!$A:$A,$B74,'EPA Export Aggregation'!$D:$D,$A$1)*IF($A74="CH4",About!$D$58,IF($A74="N2O",About!$D$59,1))</f>
        <v>1.0018223512965998</v>
      </c>
      <c r="R74">
        <f>SUMIFS('EPA Export Aggregation'!U:U,'EPA Export Aggregation'!$A:$A,$B74,'EPA Export Aggregation'!$D:$D,$A$1)*IF($A74="CH4",About!$D$58,IF($A74="N2O",About!$D$59,1))</f>
        <v>1.0582369783842001</v>
      </c>
      <c r="S74">
        <f>SUMIFS('EPA Export Aggregation'!V:V,'EPA Export Aggregation'!$A:$A,$B74,'EPA Export Aggregation'!$D:$D,$A$1)*IF($A74="CH4",About!$D$58,IF($A74="N2O",About!$D$59,1))</f>
        <v>1.1384814952426003</v>
      </c>
      <c r="T74">
        <f>SUMIFS('EPA Export Aggregation'!W:W,'EPA Export Aggregation'!$A:$A,$B74,'EPA Export Aggregation'!$D:$D,$A$1)*IF($A74="CH4",About!$D$58,IF($A74="N2O",About!$D$59,1))</f>
        <v>1.2342437433706002</v>
      </c>
      <c r="U74">
        <f>SUMIFS('EPA Export Aggregation'!X:X,'EPA Export Aggregation'!$A:$A,$B74,'EPA Export Aggregation'!$D:$D,$A$1)*IF($A74="CH4",About!$D$58,IF($A74="N2O",About!$D$59,1))</f>
        <v>1.3438509375272001</v>
      </c>
      <c r="V74">
        <f>SUMIFS('EPA Export Aggregation'!Y:Y,'EPA Export Aggregation'!$A:$A,$B74,'EPA Export Aggregation'!$D:$D,$A$1)*IF($A74="CH4",About!$D$58,IF($A74="N2O",About!$D$59,1))</f>
        <v>1.4638890813461001</v>
      </c>
      <c r="W74">
        <f>SUMIFS('EPA Export Aggregation'!Z:Z,'EPA Export Aggregation'!$A:$A,$B74,'EPA Export Aggregation'!$D:$D,$A$1)*IF($A74="CH4",About!$D$58,IF($A74="N2O",About!$D$59,1))</f>
        <v>1.4596864314494997</v>
      </c>
      <c r="X74">
        <f>SUMIFS('EPA Export Aggregation'!AA:AA,'EPA Export Aggregation'!$A:$A,$B74,'EPA Export Aggregation'!$D:$D,$A$1)*IF($A74="CH4",About!$D$58,IF($A74="N2O",About!$D$59,1))</f>
        <v>1.352340538465</v>
      </c>
      <c r="Y74">
        <f>SUMIFS('EPA Export Aggregation'!AB:AB,'EPA Export Aggregation'!$A:$A,$B74,'EPA Export Aggregation'!$D:$D,$A$1)*IF($A74="CH4",About!$D$58,IF($A74="N2O",About!$D$59,1))</f>
        <v>1.8113400966658</v>
      </c>
      <c r="Z74">
        <f>SUMIFS('EPA Export Aggregation'!AC:AC,'EPA Export Aggregation'!$A:$A,$B74,'EPA Export Aggregation'!$D:$D,$A$1)*IF($A74="CH4",About!$D$58,IF($A74="N2O",About!$D$59,1))</f>
        <v>1.3853190253353</v>
      </c>
      <c r="AA74">
        <f>SUMIFS('EPA Export Aggregation'!AD:AD,'EPA Export Aggregation'!$A:$A,$B74,'EPA Export Aggregation'!$D:$D,$A$1)*IF($A74="CH4",About!$D$58,IF($A74="N2O",About!$D$59,1))</f>
        <v>1.4371490774299998</v>
      </c>
      <c r="AB74">
        <f>SUMIFS('EPA Export Aggregation'!AE:AE,'EPA Export Aggregation'!$A:$A,$B74,'EPA Export Aggregation'!$D:$D,$A$1)*IF($A74="CH4",About!$D$58,IF($A74="N2O",About!$D$59,1))</f>
        <v>1.3250583554122999</v>
      </c>
      <c r="AC74">
        <f>SUMIFS('EPA Export Aggregation'!AF:AF,'EPA Export Aggregation'!$A:$A,$B74,'EPA Export Aggregation'!$D:$D,$A$1)*IF($A74="CH4",About!$D$58,IF($A74="N2O",About!$D$59,1))</f>
        <v>1.2230261338829</v>
      </c>
      <c r="AD74">
        <f>SUMIFS('EPA Export Aggregation'!AG:AG,'EPA Export Aggregation'!$A:$A,$B74,'EPA Export Aggregation'!$D:$D,$A$1)*IF($A74="CH4",About!$D$58,IF($A74="N2O",About!$D$59,1))</f>
        <v>1.1361447489234</v>
      </c>
      <c r="AE74">
        <f>SUMIFS('EPA Export Aggregation'!AH:AH,'EPA Export Aggregation'!$A:$A,$B74,'EPA Export Aggregation'!$D:$D,$A$1)*IF($A74="CH4",About!$D$58,IF($A74="N2O",About!$D$59,1))</f>
        <v>1.4475172737301001</v>
      </c>
      <c r="AF74">
        <f>SUMIFS('EPA Export Aggregation'!AI:AI,'EPA Export Aggregation'!$A:$A,$B74,'EPA Export Aggregation'!$D:$D,$A$1)*IF($A74="CH4",About!$D$58,IF($A74="N2O",About!$D$59,1))</f>
        <v>1.3073734633215999</v>
      </c>
      <c r="AG74">
        <f>SUMIFS('EPA Export Aggregation'!AJ:AJ,'EPA Export Aggregation'!$A:$A,$B74,'EPA Export Aggregation'!$D:$D,$A$1)*IF($A74="CH4",About!$D$58,IF($A74="N2O",About!$D$59,1))</f>
        <v>1.6927026978548001</v>
      </c>
      <c r="AH74">
        <f>SUMIFS('EPA Export Aggregation'!AK:AK,'EPA Export Aggregation'!$A:$A,$B74,'EPA Export Aggregation'!$D:$D,$A$1)*IF($A74="CH4",About!$D$58,IF($A74="N2O",About!$D$59,1))</f>
        <v>1.7302443200548998</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1.7222755336E-3</v>
      </c>
      <c r="D76" s="121">
        <f>SUMIFS('EPA Export Aggregation'!G:G,'EPA Export Aggregation'!$A:$A,$B76,'EPA Export Aggregation'!$D:$D,$A$1)*IF($A76="CH4",About!$D$58,IF($A76="N2O",About!$D$59,1))</f>
        <v>1.7222755336E-3</v>
      </c>
      <c r="E76" s="121">
        <f>SUMIFS('EPA Export Aggregation'!H:H,'EPA Export Aggregation'!$A:$A,$B76,'EPA Export Aggregation'!$D:$D,$A$1)*IF($A76="CH4",About!$D$58,IF($A76="N2O",About!$D$59,1))</f>
        <v>1.7222755336E-3</v>
      </c>
      <c r="F76" s="121">
        <f>SUMIFS('EPA Export Aggregation'!I:I,'EPA Export Aggregation'!$A:$A,$B76,'EPA Export Aggregation'!$D:$D,$A$1)*IF($A76="CH4",About!$D$58,IF($A76="N2O",About!$D$59,1))</f>
        <v>2.1528446533000001E-3</v>
      </c>
      <c r="G76" s="121">
        <f>SUMIFS('EPA Export Aggregation'!J:J,'EPA Export Aggregation'!$A:$A,$B76,'EPA Export Aggregation'!$D:$D,$A$1)*IF($A76="CH4",About!$D$58,IF($A76="N2O",About!$D$59,1))</f>
        <v>2.3681286269999998E-3</v>
      </c>
      <c r="H76" s="121">
        <f>SUMIFS('EPA Export Aggregation'!K:K,'EPA Export Aggregation'!$A:$A,$B76,'EPA Export Aggregation'!$D:$D,$A$1)*IF($A76="CH4",About!$D$58,IF($A76="N2O",About!$D$59,1))</f>
        <v>2.9759339869000001E-3</v>
      </c>
      <c r="I76" s="121">
        <f>SUMIFS('EPA Export Aggregation'!L:L,'EPA Export Aggregation'!$A:$A,$B76,'EPA Export Aggregation'!$D:$D,$A$1)*IF($A76="CH4",About!$D$58,IF($A76="N2O",About!$D$59,1))</f>
        <v>3.3046647431999999E-3</v>
      </c>
      <c r="J76" s="121">
        <f>SUMIFS('EPA Export Aggregation'!M:M,'EPA Export Aggregation'!$A:$A,$B76,'EPA Export Aggregation'!$D:$D,$A$1)*IF($A76="CH4",About!$D$58,IF($A76="N2O",About!$D$59,1))</f>
        <v>3.4923696805999999E-3</v>
      </c>
      <c r="K76" s="121">
        <f>SUMIFS('EPA Export Aggregation'!N:N,'EPA Export Aggregation'!$A:$A,$B76,'EPA Export Aggregation'!$D:$D,$A$1)*IF($A76="CH4",About!$D$58,IF($A76="N2O",About!$D$59,1))</f>
        <v>4.2822597918999996E-3</v>
      </c>
      <c r="L76" s="121">
        <f>SUMIFS('EPA Export Aggregation'!O:O,'EPA Export Aggregation'!$A:$A,$B76,'EPA Export Aggregation'!$D:$D,$A$1)*IF($A76="CH4",About!$D$58,IF($A76="N2O",About!$D$59,1))</f>
        <v>4.3454643134999997E-3</v>
      </c>
      <c r="M76" s="121">
        <f>SUMIFS('EPA Export Aggregation'!P:P,'EPA Export Aggregation'!$A:$A,$B76,'EPA Export Aggregation'!$D:$D,$A$1)*IF($A76="CH4",About!$D$58,IF($A76="N2O",About!$D$59,1))</f>
        <v>2.6463257747999999E-3</v>
      </c>
      <c r="N76" s="121">
        <f>SUMIFS('EPA Export Aggregation'!Q:Q,'EPA Export Aggregation'!$A:$A,$B76,'EPA Export Aggregation'!$D:$D,$A$1)*IF($A76="CH4",About!$D$58,IF($A76="N2O",About!$D$59,1))</f>
        <v>1.7585100911E-3</v>
      </c>
      <c r="O76" s="121">
        <f>SUMIFS('EPA Export Aggregation'!R:R,'EPA Export Aggregation'!$A:$A,$B76,'EPA Export Aggregation'!$D:$D,$A$1)*IF($A76="CH4",About!$D$58,IF($A76="N2O",About!$D$59,1))</f>
        <v>1.6811587657E-3</v>
      </c>
      <c r="P76" s="121">
        <f>SUMIFS('EPA Export Aggregation'!S:S,'EPA Export Aggregation'!$A:$A,$B76,'EPA Export Aggregation'!$D:$D,$A$1)*IF($A76="CH4",About!$D$58,IF($A76="N2O",About!$D$59,1))</f>
        <v>1.7579476280999999E-3</v>
      </c>
      <c r="Q76" s="121">
        <f>SUMIFS('EPA Export Aggregation'!T:T,'EPA Export Aggregation'!$A:$A,$B76,'EPA Export Aggregation'!$D:$D,$A$1)*IF($A76="CH4",About!$D$58,IF($A76="N2O",About!$D$59,1))</f>
        <v>1.7503057339E-3</v>
      </c>
      <c r="R76" s="121">
        <f>SUMIFS('EPA Export Aggregation'!U:U,'EPA Export Aggregation'!$A:$A,$B76,'EPA Export Aggregation'!$D:$D,$A$1)*IF($A76="CH4",About!$D$58,IF($A76="N2O",About!$D$59,1))</f>
        <v>1.6802121792999999E-3</v>
      </c>
      <c r="S76" s="121">
        <f>SUMIFS('EPA Export Aggregation'!V:V,'EPA Export Aggregation'!$A:$A,$B76,'EPA Export Aggregation'!$D:$D,$A$1)*IF($A76="CH4",About!$D$58,IF($A76="N2O",About!$D$59,1))</f>
        <v>2.0004325801000001E-3</v>
      </c>
      <c r="T76" s="121">
        <f>SUMIFS('EPA Export Aggregation'!W:W,'EPA Export Aggregation'!$A:$A,$B76,'EPA Export Aggregation'!$D:$D,$A$1)*IF($A76="CH4",About!$D$58,IF($A76="N2O",About!$D$59,1))</f>
        <v>1.9466491717000001E-3</v>
      </c>
      <c r="U76" s="121">
        <f>SUMIFS('EPA Export Aggregation'!X:X,'EPA Export Aggregation'!$A:$A,$B76,'EPA Export Aggregation'!$D:$D,$A$1)*IF($A76="CH4",About!$D$58,IF($A76="N2O",About!$D$59,1))</f>
        <v>1.8398931706999999E-3</v>
      </c>
      <c r="V76" s="121">
        <f>SUMIFS('EPA Export Aggregation'!Y:Y,'EPA Export Aggregation'!$A:$A,$B76,'EPA Export Aggregation'!$D:$D,$A$1)*IF($A76="CH4",About!$D$58,IF($A76="N2O",About!$D$59,1))</f>
        <v>1.4120474237999999E-3</v>
      </c>
      <c r="W76" s="121">
        <f>SUMIFS('EPA Export Aggregation'!Z:Z,'EPA Export Aggregation'!$A:$A,$B76,'EPA Export Aggregation'!$D:$D,$A$1)*IF($A76="CH4",About!$D$58,IF($A76="N2O",About!$D$59,1))</f>
        <v>1.8864671272999999E-3</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1.0528200160000001E-2</v>
      </c>
      <c r="AA76" s="121">
        <f>SUMIFS('EPA Export Aggregation'!AD:AD,'EPA Export Aggregation'!$A:$A,$B76,'EPA Export Aggregation'!$D:$D,$A$1)*IF($A76="CH4",About!$D$58,IF($A76="N2O",About!$D$59,1))</f>
        <v>1.1895319999999999E-2</v>
      </c>
      <c r="AB76" s="121">
        <f>SUMIFS('EPA Export Aggregation'!AE:AE,'EPA Export Aggregation'!$A:$A,$B76,'EPA Export Aggregation'!$D:$D,$A$1)*IF($A76="CH4",About!$D$58,IF($A76="N2O",About!$D$59,1))</f>
        <v>1.028637E-2</v>
      </c>
      <c r="AC76" s="121">
        <f>SUMIFS('EPA Export Aggregation'!AF:AF,'EPA Export Aggregation'!$A:$A,$B76,'EPA Export Aggregation'!$D:$D,$A$1)*IF($A76="CH4",About!$D$58,IF($A76="N2O",About!$D$59,1))</f>
        <v>9.1460527600000004E-3</v>
      </c>
      <c r="AD76" s="121">
        <f>SUMIFS('EPA Export Aggregation'!AG:AG,'EPA Export Aggregation'!$A:$A,$B76,'EPA Export Aggregation'!$D:$D,$A$1)*IF($A76="CH4",About!$D$58,IF($A76="N2O",About!$D$59,1))</f>
        <v>1.1130703E-2</v>
      </c>
      <c r="AE76" s="121">
        <f>SUMIFS('EPA Export Aggregation'!AH:AH,'EPA Export Aggregation'!$A:$A,$B76,'EPA Export Aggregation'!$D:$D,$A$1)*IF($A76="CH4",About!$D$58,IF($A76="N2O",About!$D$59,1))</f>
        <v>1.1115139E-2</v>
      </c>
      <c r="AF76" s="121">
        <f>SUMIFS('EPA Export Aggregation'!AI:AI,'EPA Export Aggregation'!$A:$A,$B76,'EPA Export Aggregation'!$D:$D,$A$1)*IF($A76="CH4",About!$D$58,IF($A76="N2O",About!$D$59,1))</f>
        <v>7.4672799999999998E-3</v>
      </c>
      <c r="AG76" s="121">
        <f>SUMIFS('EPA Export Aggregation'!AJ:AJ,'EPA Export Aggregation'!$A:$A,$B76,'EPA Export Aggregation'!$D:$D,$A$1)*IF($A76="CH4",About!$D$58,IF($A76="N2O",About!$D$59,1))</f>
        <v>4.4905398000000003E-3</v>
      </c>
      <c r="AH76" s="121">
        <f>SUMIFS('EPA Export Aggregation'!AK:AK,'EPA Export Aggregation'!$A:$A,$B76,'EPA Export Aggregation'!$D:$D,$A$1)*IF($A76="CH4",About!$D$58,IF($A76="N2O",About!$D$59,1))</f>
        <v>6.4328720000000001E-3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2.4143099205426101E-2</v>
      </c>
      <c r="D80" s="121">
        <f>SUMIFS('EPA Export Aggregation'!G:G,'EPA Export Aggregation'!$A:$A,$B80,'EPA Export Aggregation'!$D:$D,$A$1)*IF($A80="CH4",About!$D$58,IF($A80="N2O",About!$D$59,1))</f>
        <v>2.4143099205426101E-2</v>
      </c>
      <c r="E80" s="121">
        <f>SUMIFS('EPA Export Aggregation'!H:H,'EPA Export Aggregation'!$A:$A,$B80,'EPA Export Aggregation'!$D:$D,$A$1)*IF($A80="CH4",About!$D$58,IF($A80="N2O",About!$D$59,1))</f>
        <v>2.4143099205426101E-2</v>
      </c>
      <c r="F80" s="121">
        <f>SUMIFS('EPA Export Aggregation'!I:I,'EPA Export Aggregation'!$A:$A,$B80,'EPA Export Aggregation'!$D:$D,$A$1)*IF($A80="CH4",About!$D$58,IF($A80="N2O",About!$D$59,1))</f>
        <v>3.0178874560782401E-2</v>
      </c>
      <c r="G80" s="121">
        <f>SUMIFS('EPA Export Aggregation'!J:J,'EPA Export Aggregation'!$A:$A,$B80,'EPA Export Aggregation'!$D:$D,$A$1)*IF($A80="CH4",About!$D$58,IF($A80="N2O",About!$D$59,1))</f>
        <v>3.3196762572060702E-2</v>
      </c>
      <c r="H80" s="121">
        <f>SUMIFS('EPA Export Aggregation'!K:K,'EPA Export Aggregation'!$A:$A,$B80,'EPA Export Aggregation'!$D:$D,$A$1)*IF($A80="CH4",About!$D$58,IF($A80="N2O",About!$D$59,1))</f>
        <v>4.1717070270257298E-2</v>
      </c>
      <c r="I80" s="121">
        <f>SUMIFS('EPA Export Aggregation'!L:L,'EPA Export Aggregation'!$A:$A,$B80,'EPA Export Aggregation'!$D:$D,$A$1)*IF($A80="CH4",About!$D$58,IF($A80="N2O",About!$D$59,1))</f>
        <v>4.6325257609241499E-2</v>
      </c>
      <c r="J80" s="121">
        <f>SUMIFS('EPA Export Aggregation'!M:M,'EPA Export Aggregation'!$A:$A,$B80,'EPA Export Aggregation'!$D:$D,$A$1)*IF($A80="CH4",About!$D$58,IF($A80="N2O",About!$D$59,1))</f>
        <v>4.8956534416602401E-2</v>
      </c>
      <c r="K80" s="121">
        <f>SUMIFS('EPA Export Aggregation'!N:N,'EPA Export Aggregation'!$A:$A,$B80,'EPA Export Aggregation'!$D:$D,$A$1)*IF($A80="CH4",About!$D$58,IF($A80="N2O",About!$D$59,1))</f>
        <v>6.0029329339695098E-2</v>
      </c>
      <c r="L80" s="121">
        <f>SUMIFS('EPA Export Aggregation'!O:O,'EPA Export Aggregation'!$A:$A,$B80,'EPA Export Aggregation'!$D:$D,$A$1)*IF($A80="CH4",About!$D$58,IF($A80="N2O",About!$D$59,1))</f>
        <v>6.0915330408822903E-2</v>
      </c>
      <c r="M80" s="121">
        <f>SUMIFS('EPA Export Aggregation'!P:P,'EPA Export Aggregation'!$A:$A,$B80,'EPA Export Aggregation'!$D:$D,$A$1)*IF($A80="CH4",About!$D$58,IF($A80="N2O",About!$D$59,1))</f>
        <v>5.1956597643167401E-2</v>
      </c>
      <c r="N80" s="121">
        <f>SUMIFS('EPA Export Aggregation'!Q:Q,'EPA Export Aggregation'!$A:$A,$B80,'EPA Export Aggregation'!$D:$D,$A$1)*IF($A80="CH4",About!$D$58,IF($A80="N2O",About!$D$59,1))</f>
        <v>3.6565711712991097E-2</v>
      </c>
      <c r="O80" s="121">
        <f>SUMIFS('EPA Export Aggregation'!R:R,'EPA Export Aggregation'!$A:$A,$B80,'EPA Export Aggregation'!$D:$D,$A$1)*IF($A80="CH4",About!$D$58,IF($A80="N2O",About!$D$59,1))</f>
        <v>3.58203208380206E-2</v>
      </c>
      <c r="P80" s="121">
        <f>SUMIFS('EPA Export Aggregation'!S:S,'EPA Export Aggregation'!$A:$A,$B80,'EPA Export Aggregation'!$D:$D,$A$1)*IF($A80="CH4",About!$D$58,IF($A80="N2O",About!$D$59,1))</f>
        <v>3.2749704702890702E-2</v>
      </c>
      <c r="Q80" s="121">
        <f>SUMIFS('EPA Export Aggregation'!T:T,'EPA Export Aggregation'!$A:$A,$B80,'EPA Export Aggregation'!$D:$D,$A$1)*IF($A80="CH4",About!$D$58,IF($A80="N2O",About!$D$59,1))</f>
        <v>3.0419271711441001E-2</v>
      </c>
      <c r="R80" s="121">
        <f>SUMIFS('EPA Export Aggregation'!U:U,'EPA Export Aggregation'!$A:$A,$B80,'EPA Export Aggregation'!$D:$D,$A$1)*IF($A80="CH4",About!$D$58,IF($A80="N2O",About!$D$59,1))</f>
        <v>2.8027289944177702E-2</v>
      </c>
      <c r="S80" s="121">
        <f>SUMIFS('EPA Export Aggregation'!V:V,'EPA Export Aggregation'!$A:$A,$B80,'EPA Export Aggregation'!$D:$D,$A$1)*IF($A80="CH4",About!$D$58,IF($A80="N2O",About!$D$59,1))</f>
        <v>2.9944846118966299E-2</v>
      </c>
      <c r="T80" s="121">
        <f>SUMIFS('EPA Export Aggregation'!W:W,'EPA Export Aggregation'!$A:$A,$B80,'EPA Export Aggregation'!$D:$D,$A$1)*IF($A80="CH4",About!$D$58,IF($A80="N2O",About!$D$59,1))</f>
        <v>2.8614265279852402E-2</v>
      </c>
      <c r="U80" s="121">
        <f>SUMIFS('EPA Export Aggregation'!X:X,'EPA Export Aggregation'!$A:$A,$B80,'EPA Export Aggregation'!$D:$D,$A$1)*IF($A80="CH4",About!$D$58,IF($A80="N2O",About!$D$59,1))</f>
        <v>2.60037211667772E-2</v>
      </c>
      <c r="V80" s="121">
        <f>SUMIFS('EPA Export Aggregation'!Y:Y,'EPA Export Aggregation'!$A:$A,$B80,'EPA Export Aggregation'!$D:$D,$A$1)*IF($A80="CH4",About!$D$58,IF($A80="N2O",About!$D$59,1))</f>
        <v>1.7837181908757702E-2</v>
      </c>
      <c r="W80" s="121">
        <f>SUMIFS('EPA Export Aggregation'!Z:Z,'EPA Export Aggregation'!$A:$A,$B80,'EPA Export Aggregation'!$D:$D,$A$1)*IF($A80="CH4",About!$D$58,IF($A80="N2O",About!$D$59,1))</f>
        <v>2.3975302337498498E-2</v>
      </c>
      <c r="X80" s="121">
        <f>SUMIFS('EPA Export Aggregation'!AA:AA,'EPA Export Aggregation'!$A:$A,$B80,'EPA Export Aggregation'!$D:$D,$A$1)*IF($A80="CH4",About!$D$58,IF($A80="N2O",About!$D$59,1))</f>
        <v>0.35516487103060002</v>
      </c>
      <c r="Y80" s="121">
        <f>SUMIFS('EPA Export Aggregation'!AB:AB,'EPA Export Aggregation'!$A:$A,$B80,'EPA Export Aggregation'!$D:$D,$A$1)*IF($A80="CH4",About!$D$58,IF($A80="N2O",About!$D$59,1))</f>
        <v>0.23483570219559999</v>
      </c>
      <c r="Z80" s="121">
        <f>SUMIFS('EPA Export Aggregation'!AC:AC,'EPA Export Aggregation'!$A:$A,$B80,'EPA Export Aggregation'!$D:$D,$A$1)*IF($A80="CH4",About!$D$58,IF($A80="N2O",About!$D$59,1))</f>
        <v>0.22061638764300001</v>
      </c>
      <c r="AA80" s="121">
        <f>SUMIFS('EPA Export Aggregation'!AD:AD,'EPA Export Aggregation'!$A:$A,$B80,'EPA Export Aggregation'!$D:$D,$A$1)*IF($A80="CH4",About!$D$58,IF($A80="N2O",About!$D$59,1))</f>
        <v>0.25639656804599997</v>
      </c>
      <c r="AB80" s="121">
        <f>SUMIFS('EPA Export Aggregation'!AE:AE,'EPA Export Aggregation'!$A:$A,$B80,'EPA Export Aggregation'!$D:$D,$A$1)*IF($A80="CH4",About!$D$58,IF($A80="N2O",About!$D$59,1))</f>
        <v>0.21783546894</v>
      </c>
      <c r="AC80" s="121">
        <f>SUMIFS('EPA Export Aggregation'!AF:AF,'EPA Export Aggregation'!$A:$A,$B80,'EPA Export Aggregation'!$D:$D,$A$1)*IF($A80="CH4",About!$D$58,IF($A80="N2O",About!$D$59,1))</f>
        <v>0.20407712840100001</v>
      </c>
      <c r="AD80" s="121">
        <f>SUMIFS('EPA Export Aggregation'!AG:AG,'EPA Export Aggregation'!$A:$A,$B80,'EPA Export Aggregation'!$D:$D,$A$1)*IF($A80="CH4",About!$D$58,IF($A80="N2O",About!$D$59,1))</f>
        <v>0.2161593684</v>
      </c>
      <c r="AE80" s="121">
        <f>SUMIFS('EPA Export Aggregation'!AH:AH,'EPA Export Aggregation'!$A:$A,$B80,'EPA Export Aggregation'!$D:$D,$A$1)*IF($A80="CH4",About!$D$58,IF($A80="N2O",About!$D$59,1))</f>
        <v>0.2205117818</v>
      </c>
      <c r="AF80" s="121">
        <f>SUMIFS('EPA Export Aggregation'!AI:AI,'EPA Export Aggregation'!$A:$A,$B80,'EPA Export Aggregation'!$D:$D,$A$1)*IF($A80="CH4",About!$D$58,IF($A80="N2O",About!$D$59,1))</f>
        <v>0.15343324189800001</v>
      </c>
      <c r="AG80" s="121">
        <f>SUMIFS('EPA Export Aggregation'!AJ:AJ,'EPA Export Aggregation'!$A:$A,$B80,'EPA Export Aggregation'!$D:$D,$A$1)*IF($A80="CH4",About!$D$58,IF($A80="N2O",About!$D$59,1))</f>
        <v>0.10358159792</v>
      </c>
      <c r="AH80" s="121">
        <f>SUMIFS('EPA Export Aggregation'!AK:AK,'EPA Export Aggregation'!$A:$A,$B80,'EPA Export Aggregation'!$D:$D,$A$1)*IF($A80="CH4",About!$D$58,IF($A80="N2O",About!$D$59,1))</f>
        <v>0.10111952948</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4.85312365E-3</v>
      </c>
      <c r="D84" s="121">
        <f>SUMIFS('EPA Export Aggregation'!G:G,'EPA Export Aggregation'!$A:$A,$B84,'EPA Export Aggregation'!$D:$D,$A$1)*IF($A84="CH4",About!$D$58,IF($A84="N2O",About!$D$59,1))</f>
        <v>4.85312365E-3</v>
      </c>
      <c r="E84" s="121">
        <f>SUMIFS('EPA Export Aggregation'!H:H,'EPA Export Aggregation'!$A:$A,$B84,'EPA Export Aggregation'!$D:$D,$A$1)*IF($A84="CH4",About!$D$58,IF($A84="N2O",About!$D$59,1))</f>
        <v>4.85312365E-3</v>
      </c>
      <c r="F84" s="121">
        <f>SUMIFS('EPA Export Aggregation'!I:I,'EPA Export Aggregation'!$A:$A,$B84,'EPA Export Aggregation'!$D:$D,$A$1)*IF($A84="CH4",About!$D$58,IF($A84="N2O",About!$D$59,1))</f>
        <v>6.0664051499999998E-3</v>
      </c>
      <c r="G84" s="121">
        <f>SUMIFS('EPA Export Aggregation'!J:J,'EPA Export Aggregation'!$A:$A,$B84,'EPA Export Aggregation'!$D:$D,$A$1)*IF($A84="CH4",About!$D$58,IF($A84="N2O",About!$D$59,1))</f>
        <v>6.6730458999999997E-3</v>
      </c>
      <c r="H84" s="121">
        <f>SUMIFS('EPA Export Aggregation'!K:K,'EPA Export Aggregation'!$A:$A,$B84,'EPA Export Aggregation'!$D:$D,$A$1)*IF($A84="CH4",About!$D$58,IF($A84="N2O",About!$D$59,1))</f>
        <v>8.3857564500000002E-3</v>
      </c>
      <c r="I84" s="121">
        <f>SUMIFS('EPA Export Aggregation'!L:L,'EPA Export Aggregation'!$A:$A,$B84,'EPA Export Aggregation'!$D:$D,$A$1)*IF($A84="CH4",About!$D$58,IF($A84="N2O",About!$D$59,1))</f>
        <v>9.3120700499999993E-3</v>
      </c>
      <c r="J84" s="121">
        <f>SUMIFS('EPA Export Aggregation'!M:M,'EPA Export Aggregation'!$A:$A,$B84,'EPA Export Aggregation'!$D:$D,$A$1)*IF($A84="CH4",About!$D$58,IF($A84="N2O",About!$D$59,1))</f>
        <v>9.8409963E-3</v>
      </c>
      <c r="K84" s="121">
        <f>SUMIFS('EPA Export Aggregation'!N:N,'EPA Export Aggregation'!$A:$A,$B84,'EPA Export Aggregation'!$D:$D,$A$1)*IF($A84="CH4",About!$D$58,IF($A84="N2O",About!$D$59,1))</f>
        <v>1.20667941E-2</v>
      </c>
      <c r="L84" s="121">
        <f>SUMIFS('EPA Export Aggregation'!O:O,'EPA Export Aggregation'!$A:$A,$B84,'EPA Export Aggregation'!$D:$D,$A$1)*IF($A84="CH4",About!$D$58,IF($A84="N2O",About!$D$59,1))</f>
        <v>1.224489355E-2</v>
      </c>
      <c r="M84" s="121">
        <f>SUMIFS('EPA Export Aggregation'!P:P,'EPA Export Aggregation'!$A:$A,$B84,'EPA Export Aggregation'!$D:$D,$A$1)*IF($A84="CH4",About!$D$58,IF($A84="N2O",About!$D$59,1))</f>
        <v>9.8969474500000005E-3</v>
      </c>
      <c r="N84" s="121">
        <f>SUMIFS('EPA Export Aggregation'!Q:Q,'EPA Export Aggregation'!$A:$A,$B84,'EPA Export Aggregation'!$D:$D,$A$1)*IF($A84="CH4",About!$D$58,IF($A84="N2O",About!$D$59,1))</f>
        <v>6.7290839999999998E-3</v>
      </c>
      <c r="O84" s="121">
        <f>SUMIFS('EPA Export Aggregation'!R:R,'EPA Export Aggregation'!$A:$A,$B84,'EPA Export Aggregation'!$D:$D,$A$1)*IF($A84="CH4",About!$D$58,IF($A84="N2O",About!$D$59,1))</f>
        <v>5.9728304999999999E-3</v>
      </c>
      <c r="P84" s="121">
        <f>SUMIFS('EPA Export Aggregation'!S:S,'EPA Export Aggregation'!$A:$A,$B84,'EPA Export Aggregation'!$D:$D,$A$1)*IF($A84="CH4",About!$D$58,IF($A84="N2O",About!$D$59,1))</f>
        <v>7.1955284499999996E-3</v>
      </c>
      <c r="Q84" s="121">
        <f>SUMIFS('EPA Export Aggregation'!T:T,'EPA Export Aggregation'!$A:$A,$B84,'EPA Export Aggregation'!$D:$D,$A$1)*IF($A84="CH4",About!$D$58,IF($A84="N2O",About!$D$59,1))</f>
        <v>6.90723985E-3</v>
      </c>
      <c r="R84" s="121">
        <f>SUMIFS('EPA Export Aggregation'!U:U,'EPA Export Aggregation'!$A:$A,$B84,'EPA Export Aggregation'!$D:$D,$A$1)*IF($A84="CH4",About!$D$58,IF($A84="N2O",About!$D$59,1))</f>
        <v>7.5110394499999997E-3</v>
      </c>
      <c r="S84" s="121">
        <f>SUMIFS('EPA Export Aggregation'!V:V,'EPA Export Aggregation'!$A:$A,$B84,'EPA Export Aggregation'!$D:$D,$A$1)*IF($A84="CH4",About!$D$58,IF($A84="N2O",About!$D$59,1))</f>
        <v>7.2940052000000002E-3</v>
      </c>
      <c r="T84" s="121">
        <f>SUMIFS('EPA Export Aggregation'!W:W,'EPA Export Aggregation'!$A:$A,$B84,'EPA Export Aggregation'!$D:$D,$A$1)*IF($A84="CH4",About!$D$58,IF($A84="N2O",About!$D$59,1))</f>
        <v>5.86855395E-3</v>
      </c>
      <c r="U84" s="121">
        <f>SUMIFS('EPA Export Aggregation'!X:X,'EPA Export Aggregation'!$A:$A,$B84,'EPA Export Aggregation'!$D:$D,$A$1)*IF($A84="CH4",About!$D$58,IF($A84="N2O",About!$D$59,1))</f>
        <v>5.3889659499999996E-3</v>
      </c>
      <c r="V84" s="121">
        <f>SUMIFS('EPA Export Aggregation'!Y:Y,'EPA Export Aggregation'!$A:$A,$B84,'EPA Export Aggregation'!$D:$D,$A$1)*IF($A84="CH4",About!$D$58,IF($A84="N2O",About!$D$59,1))</f>
        <v>4.1177122999999996E-3</v>
      </c>
      <c r="W84" s="121">
        <f>SUMIFS('EPA Export Aggregation'!Z:Z,'EPA Export Aggregation'!$A:$A,$B84,'EPA Export Aggregation'!$D:$D,$A$1)*IF($A84="CH4",About!$D$58,IF($A84="N2O",About!$D$59,1))</f>
        <v>5.3835186500000003E-3</v>
      </c>
      <c r="X84" s="121">
        <f>SUMIFS('EPA Export Aggregation'!AA:AA,'EPA Export Aggregation'!$A:$A,$B84,'EPA Export Aggregation'!$D:$D,$A$1)*IF($A84="CH4",About!$D$58,IF($A84="N2O",About!$D$59,1))</f>
        <v>8.7710812499999999E-2</v>
      </c>
      <c r="Y84" s="121">
        <f>SUMIFS('EPA Export Aggregation'!AB:AB,'EPA Export Aggregation'!$A:$A,$B84,'EPA Export Aggregation'!$D:$D,$A$1)*IF($A84="CH4",About!$D$58,IF($A84="N2O",About!$D$59,1))</f>
        <v>0.1069960875</v>
      </c>
      <c r="Z84" s="121">
        <f>SUMIFS('EPA Export Aggregation'!AC:AC,'EPA Export Aggregation'!$A:$A,$B84,'EPA Export Aggregation'!$D:$D,$A$1)*IF($A84="CH4",About!$D$58,IF($A84="N2O",About!$D$59,1))</f>
        <v>0.145832775</v>
      </c>
      <c r="AA84" s="121">
        <f>SUMIFS('EPA Export Aggregation'!AD:AD,'EPA Export Aggregation'!$A:$A,$B84,'EPA Export Aggregation'!$D:$D,$A$1)*IF($A84="CH4",About!$D$58,IF($A84="N2O",About!$D$59,1))</f>
        <v>0.21017459999999999</v>
      </c>
      <c r="AB84" s="121">
        <f>SUMIFS('EPA Export Aggregation'!AE:AE,'EPA Export Aggregation'!$A:$A,$B84,'EPA Export Aggregation'!$D:$D,$A$1)*IF($A84="CH4",About!$D$58,IF($A84="N2O",About!$D$59,1))</f>
        <v>0.26324229999999998</v>
      </c>
      <c r="AC84" s="121">
        <f>SUMIFS('EPA Export Aggregation'!AF:AF,'EPA Export Aggregation'!$A:$A,$B84,'EPA Export Aggregation'!$D:$D,$A$1)*IF($A84="CH4",About!$D$58,IF($A84="N2O",About!$D$59,1))</f>
        <v>0.25978163830000001</v>
      </c>
      <c r="AD84" s="121">
        <f>SUMIFS('EPA Export Aggregation'!AG:AG,'EPA Export Aggregation'!$A:$A,$B84,'EPA Export Aggregation'!$D:$D,$A$1)*IF($A84="CH4",About!$D$58,IF($A84="N2O",About!$D$59,1))</f>
        <v>0.19885230000000001</v>
      </c>
      <c r="AE84" s="121">
        <f>SUMIFS('EPA Export Aggregation'!AH:AH,'EPA Export Aggregation'!$A:$A,$B84,'EPA Export Aggregation'!$D:$D,$A$1)*IF($A84="CH4",About!$D$58,IF($A84="N2O",About!$D$59,1))</f>
        <v>0.17452275</v>
      </c>
      <c r="AF84" s="121">
        <f>SUMIFS('EPA Export Aggregation'!AI:AI,'EPA Export Aggregation'!$A:$A,$B84,'EPA Export Aggregation'!$D:$D,$A$1)*IF($A84="CH4",About!$D$58,IF($A84="N2O",About!$D$59,1))</f>
        <v>0.16648104999999999</v>
      </c>
      <c r="AG84" s="121">
        <f>SUMIFS('EPA Export Aggregation'!AJ:AJ,'EPA Export Aggregation'!$A:$A,$B84,'EPA Export Aggregation'!$D:$D,$A$1)*IF($A84="CH4",About!$D$58,IF($A84="N2O",About!$D$59,1))</f>
        <v>0.1144027</v>
      </c>
      <c r="AH84" s="121">
        <f>SUMIFS('EPA Export Aggregation'!AK:AK,'EPA Export Aggregation'!$A:$A,$B84,'EPA Export Aggregation'!$D:$D,$A$1)*IF($A84="CH4",About!$D$58,IF($A84="N2O",About!$D$59,1))</f>
        <v>0.11176670499999999</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4.2623139999999998E-4</v>
      </c>
      <c r="D87" s="121">
        <f>SUMIFS('EPA Export Aggregation'!$F:$F,'EPA Export Aggregation'!$A:$A,$B87,'EPA Export Aggregation'!$D:$D,$A$1)*IF($A87="CH4",About!$D$58,IF($A87="N2O",About!$D$59,1))</f>
        <v>4.2623139999999998E-4</v>
      </c>
      <c r="E87" s="121">
        <f>SUMIFS('EPA Export Aggregation'!$F:$F,'EPA Export Aggregation'!$A:$A,$B87,'EPA Export Aggregation'!$D:$D,$A$1)*IF($A87="CH4",About!$D$58,IF($A87="N2O",About!$D$59,1))</f>
        <v>4.2623139999999998E-4</v>
      </c>
      <c r="F87" s="121">
        <f>SUMIFS('EPA Export Aggregation'!$F:$F,'EPA Export Aggregation'!$A:$A,$B87,'EPA Export Aggregation'!$D:$D,$A$1)*IF($A87="CH4",About!$D$58,IF($A87="N2O",About!$D$59,1))</f>
        <v>4.2623139999999998E-4</v>
      </c>
      <c r="G87" s="121">
        <f>SUMIFS('EPA Export Aggregation'!$F:$F,'EPA Export Aggregation'!$A:$A,$B87,'EPA Export Aggregation'!$D:$D,$A$1)*IF($A87="CH4",About!$D$58,IF($A87="N2O",About!$D$59,1))</f>
        <v>4.2623139999999998E-4</v>
      </c>
      <c r="H87" s="121">
        <f>SUMIFS('EPA Export Aggregation'!$F:$F,'EPA Export Aggregation'!$A:$A,$B87,'EPA Export Aggregation'!$D:$D,$A$1)*IF($A87="CH4",About!$D$58,IF($A87="N2O",About!$D$59,1))</f>
        <v>4.2623139999999998E-4</v>
      </c>
      <c r="I87" s="121">
        <f>SUMIFS('EPA Export Aggregation'!$F:$F,'EPA Export Aggregation'!$A:$A,$B87,'EPA Export Aggregation'!$D:$D,$A$1)*IF($A87="CH4",About!$D$58,IF($A87="N2O",About!$D$59,1))</f>
        <v>4.2623139999999998E-4</v>
      </c>
      <c r="J87" s="121">
        <f>SUMIFS('EPA Export Aggregation'!$F:$F,'EPA Export Aggregation'!$A:$A,$B87,'EPA Export Aggregation'!$D:$D,$A$1)*IF($A87="CH4",About!$D$58,IF($A87="N2O",About!$D$59,1))</f>
        <v>4.2623139999999998E-4</v>
      </c>
      <c r="K87" s="121">
        <f>SUMIFS('EPA Export Aggregation'!$F:$F,'EPA Export Aggregation'!$A:$A,$B87,'EPA Export Aggregation'!$D:$D,$A$1)*IF($A87="CH4",About!$D$58,IF($A87="N2O",About!$D$59,1))</f>
        <v>4.2623139999999998E-4</v>
      </c>
      <c r="L87" s="121">
        <f>SUMIFS('EPA Export Aggregation'!$F:$F,'EPA Export Aggregation'!$A:$A,$B87,'EPA Export Aggregation'!$D:$D,$A$1)*IF($A87="CH4",About!$D$58,IF($A87="N2O",About!$D$59,1))</f>
        <v>4.2623139999999998E-4</v>
      </c>
      <c r="M87" s="121">
        <f>SUMIFS('EPA Export Aggregation'!$F:$F,'EPA Export Aggregation'!$A:$A,$B87,'EPA Export Aggregation'!$D:$D,$A$1)*IF($A87="CH4",About!$D$58,IF($A87="N2O",About!$D$59,1))</f>
        <v>4.2623139999999998E-4</v>
      </c>
      <c r="N87" s="121">
        <f>SUMIFS('EPA Export Aggregation'!$F:$F,'EPA Export Aggregation'!$A:$A,$B87,'EPA Export Aggregation'!$D:$D,$A$1)*IF($A87="CH4",About!$D$58,IF($A87="N2O",About!$D$59,1))</f>
        <v>4.2623139999999998E-4</v>
      </c>
      <c r="O87" s="121">
        <f>SUMIFS('EPA Export Aggregation'!$F:$F,'EPA Export Aggregation'!$A:$A,$B87,'EPA Export Aggregation'!$D:$D,$A$1)*IF($A87="CH4",About!$D$58,IF($A87="N2O",About!$D$59,1))</f>
        <v>4.2623139999999998E-4</v>
      </c>
      <c r="P87" s="121">
        <f>SUMIFS('EPA Export Aggregation'!$F:$F,'EPA Export Aggregation'!$A:$A,$B87,'EPA Export Aggregation'!$D:$D,$A$1)*IF($A87="CH4",About!$D$58,IF($A87="N2O",About!$D$59,1))</f>
        <v>4.2623139999999998E-4</v>
      </c>
      <c r="Q87" s="121">
        <f>SUMIFS('EPA Export Aggregation'!$F:$F,'EPA Export Aggregation'!$A:$A,$B87,'EPA Export Aggregation'!$D:$D,$A$1)*IF($A87="CH4",About!$D$58,IF($A87="N2O",About!$D$59,1))</f>
        <v>4.2623139999999998E-4</v>
      </c>
      <c r="R87" s="121">
        <f>SUMIFS('EPA Export Aggregation'!$F:$F,'EPA Export Aggregation'!$A:$A,$B87,'EPA Export Aggregation'!$D:$D,$A$1)*IF($A87="CH4",About!$D$58,IF($A87="N2O",About!$D$59,1))</f>
        <v>4.2623139999999998E-4</v>
      </c>
      <c r="S87" s="121">
        <f>SUMIFS('EPA Export Aggregation'!$F:$F,'EPA Export Aggregation'!$A:$A,$B87,'EPA Export Aggregation'!$D:$D,$A$1)*IF($A87="CH4",About!$D$58,IF($A87="N2O",About!$D$59,1))</f>
        <v>4.2623139999999998E-4</v>
      </c>
      <c r="T87" s="121">
        <f>SUMIFS('EPA Export Aggregation'!$F:$F,'EPA Export Aggregation'!$A:$A,$B87,'EPA Export Aggregation'!$D:$D,$A$1)*IF($A87="CH4",About!$D$58,IF($A87="N2O",About!$D$59,1))</f>
        <v>4.2623139999999998E-4</v>
      </c>
      <c r="U87" s="121">
        <f>SUMIFS('EPA Export Aggregation'!$F:$F,'EPA Export Aggregation'!$A:$A,$B87,'EPA Export Aggregation'!$D:$D,$A$1)*IF($A87="CH4",About!$D$58,IF($A87="N2O",About!$D$59,1))</f>
        <v>4.2623139999999998E-4</v>
      </c>
      <c r="V87" s="121">
        <f>SUMIFS('EPA Export Aggregation'!$F:$F,'EPA Export Aggregation'!$A:$A,$B87,'EPA Export Aggregation'!$D:$D,$A$1)*IF($A87="CH4",About!$D$58,IF($A87="N2O",About!$D$59,1))</f>
        <v>4.2623139999999998E-4</v>
      </c>
      <c r="W87" s="121">
        <f>SUMIFS('EPA Export Aggregation'!$F:$F,'EPA Export Aggregation'!$A:$A,$B87,'EPA Export Aggregation'!$D:$D,$A$1)*IF($A87="CH4",About!$D$58,IF($A87="N2O",About!$D$59,1))</f>
        <v>4.2623139999999998E-4</v>
      </c>
      <c r="X87" s="121">
        <f>SUMIFS('EPA Export Aggregation'!$F:$F,'EPA Export Aggregation'!$A:$A,$B87,'EPA Export Aggregation'!$D:$D,$A$1)*IF($A87="CH4",About!$D$58,IF($A87="N2O",About!$D$59,1))</f>
        <v>4.2623139999999998E-4</v>
      </c>
      <c r="Y87" s="121">
        <f>SUMIFS('EPA Export Aggregation'!$F:$F,'EPA Export Aggregation'!$A:$A,$B87,'EPA Export Aggregation'!$D:$D,$A$1)*IF($A87="CH4",About!$D$58,IF($A87="N2O",About!$D$59,1))</f>
        <v>4.2623139999999998E-4</v>
      </c>
      <c r="Z87" s="121">
        <f>SUMIFS('EPA Export Aggregation'!$F:$F,'EPA Export Aggregation'!$A:$A,$B87,'EPA Export Aggregation'!$D:$D,$A$1)*IF($A87="CH4",About!$D$58,IF($A87="N2O",About!$D$59,1))</f>
        <v>4.2623139999999998E-4</v>
      </c>
      <c r="AA87" s="121">
        <f>SUMIFS('EPA Export Aggregation'!$F:$F,'EPA Export Aggregation'!$A:$A,$B87,'EPA Export Aggregation'!$D:$D,$A$1)*IF($A87="CH4",About!$D$58,IF($A87="N2O",About!$D$59,1))</f>
        <v>4.2623139999999998E-4</v>
      </c>
      <c r="AB87" s="121">
        <f>SUMIFS('EPA Export Aggregation'!$F:$F,'EPA Export Aggregation'!$A:$A,$B87,'EPA Export Aggregation'!$D:$D,$A$1)*IF($A87="CH4",About!$D$58,IF($A87="N2O",About!$D$59,1))</f>
        <v>4.2623139999999998E-4</v>
      </c>
      <c r="AC87" s="121">
        <f>SUMIFS('EPA Export Aggregation'!$F:$F,'EPA Export Aggregation'!$A:$A,$B87,'EPA Export Aggregation'!$D:$D,$A$1)*IF($A87="CH4",About!$D$58,IF($A87="N2O",About!$D$59,1))</f>
        <v>4.2623139999999998E-4</v>
      </c>
      <c r="AD87" s="121">
        <f>SUMIFS('EPA Export Aggregation'!$F:$F,'EPA Export Aggregation'!$A:$A,$B87,'EPA Export Aggregation'!$D:$D,$A$1)*IF($A87="CH4",About!$D$58,IF($A87="N2O",About!$D$59,1))</f>
        <v>4.2623139999999998E-4</v>
      </c>
      <c r="AE87" s="121">
        <f>SUMIFS('EPA Export Aggregation'!$F:$F,'EPA Export Aggregation'!$A:$A,$B87,'EPA Export Aggregation'!$D:$D,$A$1)*IF($A87="CH4",About!$D$58,IF($A87="N2O",About!$D$59,1))</f>
        <v>4.2623139999999998E-4</v>
      </c>
      <c r="AF87" s="121">
        <f>SUMIFS('EPA Export Aggregation'!$F:$F,'EPA Export Aggregation'!$A:$A,$B87,'EPA Export Aggregation'!$D:$D,$A$1)*IF($A87="CH4",About!$D$58,IF($A87="N2O",About!$D$59,1))</f>
        <v>4.2623139999999998E-4</v>
      </c>
      <c r="AG87" s="121">
        <f>SUMIFS('EPA Export Aggregation'!$F:$F,'EPA Export Aggregation'!$A:$A,$B87,'EPA Export Aggregation'!$D:$D,$A$1)*IF($A87="CH4",About!$D$58,IF($A87="N2O",About!$D$59,1))</f>
        <v>4.2623139999999998E-4</v>
      </c>
      <c r="AH87" s="121">
        <f>SUMIFS('EPA Export Aggregation'!$F:$F,'EPA Export Aggregation'!$A:$A,$B87,'EPA Export Aggregation'!$D:$D,$A$1)*IF($A87="CH4",About!$D$58,IF($A87="N2O",About!$D$59,1))</f>
        <v>4.2623139999999998E-4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2025-11-03T22:49:18Z</dcterms:modified>
</cp:coreProperties>
</file>