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Olivia Ashmoore\Documents\EPS_Models by Region\RMI\state-eps-repos\eps-colorado\"/>
    </mc:Choice>
  </mc:AlternateContent>
  <xr:revisionPtr revIDLastSave="0" documentId="13_ncr:1_{160CE0E4-9064-4B63-B292-3627A36FC698}" xr6:coauthVersionLast="47" xr6:coauthVersionMax="47" xr10:uidLastSave="{00000000-0000-0000-0000-000000000000}"/>
  <bookViews>
    <workbookView xWindow="-90" yWindow="-90" windowWidth="19380" windowHeight="10260" firstSheet="7" activeTab="10"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A3" i="28"/>
  <c r="K9" i="29" s="1"/>
  <c r="O8" i="27"/>
  <c r="P8" i="27" s="1"/>
  <c r="J8" i="27"/>
  <c r="K8" i="27" s="1"/>
  <c r="O20" i="27"/>
  <c r="P20" i="27" s="1"/>
  <c r="J20" i="27"/>
  <c r="K20" i="27" s="1"/>
  <c r="J22" i="27"/>
  <c r="K22" i="27" s="1"/>
  <c r="O22" i="27"/>
  <c r="P22"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X1" i="23"/>
  <c r="L1" i="23" l="1"/>
  <c r="H1" i="23"/>
  <c r="Y1" i="23"/>
  <c r="C1" i="23"/>
  <c r="P1" i="23"/>
  <c r="U1" i="23"/>
  <c r="I1" i="23"/>
  <c r="T1" i="23"/>
  <c r="AB1" i="23"/>
  <c r="E1" i="23"/>
  <c r="AG1" i="23"/>
  <c r="AC1" i="23"/>
  <c r="Q1" i="23"/>
  <c r="R1" i="23"/>
  <c r="G7"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7" i="27" l="1"/>
  <c r="P7" i="27" s="1"/>
  <c r="J7" i="27"/>
  <c r="K7" i="27" s="1"/>
  <c r="J21" i="27"/>
  <c r="K16" i="29" a="1"/>
  <c r="K16" i="29" s="1"/>
  <c r="L16" i="29" s="1"/>
  <c r="J14" i="19"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P21" i="27"/>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<sst xmlns="http://schemas.openxmlformats.org/spreadsheetml/2006/main" count="30720" uniqueCount="2649">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</sst>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7"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
      <sz val="11"/>
      <color rgb="FF161616"/>
      <name val="Arial"/>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3">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6" fillId="0" borderId="0" xfId="0" applyFont="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2289</v>
      </c>
      <c r="C1" s="194">
        <v>45764</v>
      </c>
      <c r="G1" s="123" t="s">
        <v>2262</v>
      </c>
      <c r="H1" s="123" t="s">
        <v>2263</v>
      </c>
    </row>
    <row r="2" spans="1:8" x14ac:dyDescent="0.25">
      <c r="B2" t="str">
        <f>_xlfn.XLOOKUP(B1,H:H,G:G,0,0,1)</f>
        <v>CO</v>
      </c>
      <c r="C2" t="str">
        <f>_xlfn.XLOOKUP(B2,G:G, H:H, 0,0,1)</f>
        <v>Colorado</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2596</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4" t="s">
        <v>1428</v>
      </c>
    </row>
    <row r="14" spans="1:14" ht="15.75" x14ac:dyDescent="0.25">
      <c r="A14" s="143" t="s">
        <v>4</v>
      </c>
      <c r="B14" s="143" t="s">
        <v>1601</v>
      </c>
      <c r="C14" s="235"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2644</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2591</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2592</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2645</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Colorado.</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2636</v>
      </c>
    </row>
    <row r="40" spans="1:14" x14ac:dyDescent="0.25">
      <c r="A40" t="s">
        <v>8</v>
      </c>
      <c r="B40" t="s">
        <v>59</v>
      </c>
      <c r="C40" t="s">
        <v>129</v>
      </c>
      <c r="D40" t="s">
        <v>59</v>
      </c>
      <c r="E40" s="58"/>
      <c r="F40">
        <v>0</v>
      </c>
      <c r="G40">
        <v>1</v>
      </c>
      <c r="H40">
        <v>1</v>
      </c>
      <c r="I40" s="88" t="s">
        <v>29</v>
      </c>
      <c r="J40" s="225" t="s">
        <v>2624</v>
      </c>
    </row>
    <row r="41" spans="1:14" x14ac:dyDescent="0.25">
      <c r="A41" t="s">
        <v>8</v>
      </c>
      <c r="B41" t="s">
        <v>1857</v>
      </c>
      <c r="C41" t="s">
        <v>1858</v>
      </c>
      <c r="D41" t="s">
        <v>1857</v>
      </c>
      <c r="E41" s="58"/>
      <c r="F41">
        <v>0</v>
      </c>
      <c r="G41">
        <v>1</v>
      </c>
      <c r="H41">
        <v>1</v>
      </c>
      <c r="I41" s="88" t="s">
        <v>29</v>
      </c>
      <c r="J41" s="225" t="s">
        <v>2637</v>
      </c>
    </row>
    <row r="42" spans="1:14" s="244" customFormat="1" x14ac:dyDescent="0.25">
      <c r="A42" s="244" t="s">
        <v>8</v>
      </c>
      <c r="B42" s="244" t="s">
        <v>355</v>
      </c>
      <c r="C42" s="244" t="s">
        <v>356</v>
      </c>
      <c r="D42" s="244" t="s">
        <v>355</v>
      </c>
      <c r="E42" s="244" t="s">
        <v>529</v>
      </c>
      <c r="F42" s="245">
        <v>0</v>
      </c>
      <c r="G42" s="245">
        <v>1</v>
      </c>
      <c r="H42" s="245">
        <v>1</v>
      </c>
      <c r="I42" s="246" t="s">
        <v>29</v>
      </c>
      <c r="J42" s="232" t="s">
        <v>2545</v>
      </c>
      <c r="K42" s="246"/>
      <c r="L42" s="247" t="s">
        <v>2546</v>
      </c>
      <c r="M42" s="248"/>
      <c r="N42" s="246"/>
    </row>
    <row r="43" spans="1:14" x14ac:dyDescent="0.25">
      <c r="A43" s="143" t="s">
        <v>8</v>
      </c>
      <c r="B43" s="143" t="s">
        <v>2628</v>
      </c>
      <c r="C43" t="s">
        <v>253</v>
      </c>
      <c r="D43" s="143" t="s">
        <v>252</v>
      </c>
      <c r="E43" t="s">
        <v>528</v>
      </c>
      <c r="F43" s="223">
        <v>-0.3</v>
      </c>
      <c r="G43" s="223">
        <v>0.6</v>
      </c>
      <c r="H43" s="223">
        <v>0.01</v>
      </c>
      <c r="I43" s="78" t="s">
        <v>254</v>
      </c>
      <c r="J43" s="88" t="s">
        <v>2629</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2641</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2585</v>
      </c>
      <c r="C49" t="s">
        <v>2587</v>
      </c>
      <c r="D49" t="s">
        <v>1795</v>
      </c>
      <c r="E49" t="s">
        <v>2588</v>
      </c>
      <c r="F49" s="217">
        <v>-100</v>
      </c>
      <c r="G49">
        <v>100</v>
      </c>
      <c r="H49">
        <v>1</v>
      </c>
      <c r="I49" s="88" t="s">
        <v>1833</v>
      </c>
      <c r="J49" s="88" t="s">
        <v>2620</v>
      </c>
      <c r="K49" s="88"/>
      <c r="L49" s="78"/>
      <c r="M49" s="228"/>
    </row>
    <row r="50" spans="1:14" x14ac:dyDescent="0.25">
      <c r="A50" t="s">
        <v>8</v>
      </c>
      <c r="B50" t="s">
        <v>1796</v>
      </c>
      <c r="C50" t="s">
        <v>1794</v>
      </c>
      <c r="D50" t="s">
        <v>1795</v>
      </c>
      <c r="E50" t="s">
        <v>1799</v>
      </c>
      <c r="F50" s="217">
        <v>-100</v>
      </c>
      <c r="G50">
        <v>100</v>
      </c>
      <c r="H50">
        <v>1</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2626</v>
      </c>
      <c r="K51" s="88"/>
      <c r="L51" s="78"/>
      <c r="M51" s="228"/>
    </row>
    <row r="52" spans="1:14" x14ac:dyDescent="0.25">
      <c r="A52" t="s">
        <v>8</v>
      </c>
      <c r="B52" t="s">
        <v>1803</v>
      </c>
      <c r="C52" t="s">
        <v>1804</v>
      </c>
      <c r="D52" t="s">
        <v>1803</v>
      </c>
      <c r="E52" t="s">
        <v>1805</v>
      </c>
      <c r="F52">
        <v>-100</v>
      </c>
      <c r="G52">
        <v>100</v>
      </c>
      <c r="H52">
        <v>1</v>
      </c>
      <c r="I52" s="143" t="s">
        <v>1806</v>
      </c>
      <c r="J52" s="88" t="s">
        <v>2598</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2621</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2581</v>
      </c>
      <c r="C72" s="112" t="s">
        <v>1941</v>
      </c>
      <c r="D72" s="112" t="s">
        <v>2582</v>
      </c>
      <c r="E72" s="112" t="s">
        <v>2583</v>
      </c>
      <c r="F72" s="251">
        <v>0</v>
      </c>
      <c r="G72" s="251">
        <v>1</v>
      </c>
      <c r="H72" s="251">
        <v>1</v>
      </c>
      <c r="I72" s="237" t="s">
        <v>29</v>
      </c>
      <c r="J72" s="237" t="s">
        <v>2619</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2646</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2647</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2638</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1">
        <v>0</v>
      </c>
      <c r="G2" s="221">
        <v>1</v>
      </c>
      <c r="H2" s="221">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Colorado, the share of electricity among fuels used for heating in urban, residential buildings will rise from 9%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Colorado, the share of electricity among fuels used for appliances in urban, residential buildings will rise from 34%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Colorado, the share of electricity among fuels used for heating in rural, residential buildings will rise from 9%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Colorado, the share of electricity among fuels used for appliances in rural, residential buildings will rise from 34%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Colorado,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Colorado, the share of electricity among fuels used for appliances in commercial buildings will fall from 43% to 41%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Colorado, the share of electricity among fuels used for other components in commercial buildings will rise from 64% to 74% through 2050.</v>
      </c>
    </row>
    <row r="3" spans="1:20" x14ac:dyDescent="0.25">
      <c r="A3" t="s">
        <v>8</v>
      </c>
      <c r="B3" s="88" t="s">
        <v>1360</v>
      </c>
      <c r="C3" s="222" t="s">
        <v>2526</v>
      </c>
      <c r="D3" s="88" t="s">
        <v>1360</v>
      </c>
      <c r="E3" t="s">
        <v>526</v>
      </c>
      <c r="F3" s="221">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2529</v>
      </c>
      <c r="K5" t="str">
        <f>_xlfn.CONCAT("From 2008 to 2021, electricity imports grew by ",'Supporting Data'!F3,"%.")</f>
        <v>From 2008 to 2021, electricity imports grew by -1%.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row>
    <row r="6" spans="1:20" x14ac:dyDescent="0.25">
      <c r="A6" t="s">
        <v>8</v>
      </c>
      <c r="B6" t="s">
        <v>17</v>
      </c>
      <c r="C6" t="s">
        <v>27</v>
      </c>
      <c r="D6" t="s">
        <v>17</v>
      </c>
      <c r="E6" t="s">
        <v>531</v>
      </c>
      <c r="F6" s="221">
        <v>0</v>
      </c>
      <c r="G6" s="8">
        <v>1</v>
      </c>
      <c r="H6" s="8">
        <v>0.01</v>
      </c>
      <c r="I6" s="88" t="s">
        <v>33</v>
      </c>
      <c r="J6" s="88" t="s">
        <v>2530</v>
      </c>
      <c r="K6" t="str">
        <f>_xlfn.CONCAT("For ", About!$C$2, ", a 100% setting provides for an additional  ",'Supporting Data'!J3," MW of demand response capacity in 2050 (on top of a BAU quantity of ", 'Supporting Data'!L3, " MW).")</f>
        <v>For Colorado, a 100% setting provides for an additional  2693 MW of demand response capacity in 2050 (on top of a BAU quantity of 1288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row>
    <row r="7" spans="1:20" x14ac:dyDescent="0.25">
      <c r="A7" s="143" t="s">
        <v>8</v>
      </c>
      <c r="B7" t="s">
        <v>1026</v>
      </c>
      <c r="C7" t="s">
        <v>1028</v>
      </c>
      <c r="D7" t="s">
        <v>1026</v>
      </c>
      <c r="E7" t="s">
        <v>1029</v>
      </c>
      <c r="F7" s="223">
        <v>0</v>
      </c>
      <c r="G7" s="223">
        <v>0.95</v>
      </c>
      <c r="H7" s="223">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Colorado does not have a capacity construction subsidy. However, the Investment Tax Credit, a similar program for solar power, covers 30% of system costs through 2019, with declining amounts thereafter.//**Solar PV: **Colorado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**Colorado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Colorado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**Colorado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**Colorado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219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Colorado.</v>
      </c>
      <c r="L9" s="143" t="str">
        <f>J9&amp;K9</f>
        <v>**Description:** This policy prevents new capacity of the selected type(s) from being built or deployed.  // **Guidance for setting values:** No new coal is planned in Colorado.</v>
      </c>
      <c r="M9" s="102"/>
    </row>
    <row r="10" spans="1:20" ht="180" x14ac:dyDescent="0.25">
      <c r="A10" s="143" t="s">
        <v>4</v>
      </c>
      <c r="B10" s="143" t="s">
        <v>1609</v>
      </c>
      <c r="C10" t="s">
        <v>1611</v>
      </c>
      <c r="D10" s="143" t="s">
        <v>1613</v>
      </c>
      <c r="E10" t="s">
        <v>1614</v>
      </c>
      <c r="F10" s="224">
        <v>0</v>
      </c>
      <c r="G10" s="224">
        <v>50000</v>
      </c>
      <c r="H10" s="224">
        <v>100</v>
      </c>
      <c r="I10" s="224" t="s">
        <v>1616</v>
      </c>
      <c r="J10" s="225" t="s">
        <v>2642</v>
      </c>
      <c r="K10" s="220" t="str">
        <f>_xlfn.CONCAT(IF('Supporting Data'!$AN$3=0," This state has no additional state subsidies. ",_xlfn.CONCAT(" As of late 2020, there is an additional state subsidy of $",'Supporting Data'!$AN$3,".")))</f>
        <v xml:space="preserve"> As of late 2020, there is an additional state subsidy of $2400.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2643</v>
      </c>
      <c r="K11" s="220" t="str">
        <f>_xlfn.CONCAT(IF('Supporting Data'!$AO$3=0," This state has no additional state subsidies. ",_xlfn.CONCAT(" As of late 2020, there is an additional state subsidy of $",'Supporting Data'!$AO$3,".")))</f>
        <v xml:space="preserve"> As of late 2020, there is an additional state subsidy of $4000.</v>
      </c>
      <c r="L11" s="220" t="str">
        <f>J11&amp;K11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M11" s="226"/>
      <c r="N11" s="227"/>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Colorado will retire 3300 MW of coal by 2050. Colorado currently has 4337 MW of coal capacity.</v>
      </c>
      <c r="L12" s="78" t="str">
        <f>J12&amp;K12&amp;M12&amp;N12&amp;O12&amp;P12</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CO will retire 300 MW of natural gas by 2050. CO currently has 3219 MW of natural gas non-peaker capacity.</v>
      </c>
      <c r="N12" t="str">
        <f>_xlfn.CONCAT("//**Nuclear:** The EIA projects that ", About!B2, " will retire ", 'Supporting Data'!$O$3, " MW of nuclear by 2050. ", About!B2, " currently has ",'Supporting Data'!$V$3, " MW of nuclear capacity." )</f>
        <v>//**Nuclear:** The EIA projects that CO will retire 0 MW of nuclear by 2050. CO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CO will retire 150 MW of natural gas by 2050. CO currently has 3172 MW of natural gas peaker capacity.</v>
      </c>
      <c r="P12" t="str">
        <f>_xlfn.CONCAT("//**Lignite:** The EIA projects that ", About!B2, " will retire ", 'Supporting Data'!$S$3, " MW of lignite by 2050. ", About!B2, " currently has ",'Supporting Data'!$AE$3, " MW of lignite capacity." )</f>
        <v>//**Lignite:** The EIA projects that CO will retire 0 MW of lignite by 2050. CO currently has 0 MW of lignite capacity.</v>
      </c>
    </row>
    <row r="13" spans="1:20" x14ac:dyDescent="0.25">
      <c r="A13" t="s">
        <v>9</v>
      </c>
      <c r="B13" t="s">
        <v>731</v>
      </c>
      <c r="C13" t="s">
        <v>732</v>
      </c>
      <c r="D13" t="s">
        <v>732</v>
      </c>
      <c r="E13" t="s">
        <v>733</v>
      </c>
      <c r="F13" s="221">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35.92%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93.67%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61.77%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1">
        <v>0</v>
      </c>
      <c r="G14" s="221">
        <v>0.75</v>
      </c>
      <c r="H14" s="221">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2538</v>
      </c>
      <c r="N14" s="88"/>
    </row>
    <row r="15" spans="1:20" x14ac:dyDescent="0.25">
      <c r="K15" s="58" t="s">
        <v>2539</v>
      </c>
      <c r="M15" s="58" t="s">
        <v>2540</v>
      </c>
    </row>
    <row r="16" spans="1:20" x14ac:dyDescent="0.25">
      <c r="A16" s="143" t="s">
        <v>4</v>
      </c>
      <c r="B16" s="143" t="s">
        <v>1601</v>
      </c>
      <c r="C16" t="s">
        <v>2584</v>
      </c>
      <c r="D16" s="143" t="s">
        <v>1602</v>
      </c>
      <c r="E16" t="s">
        <v>1603</v>
      </c>
      <c r="F16" s="221">
        <v>0</v>
      </c>
      <c r="G16" s="221">
        <v>1</v>
      </c>
      <c r="H16" s="221">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9">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4" t="s">
        <v>2434</v>
      </c>
      <c r="C1" s="264"/>
      <c r="D1" s="162"/>
      <c r="E1" s="163" t="s">
        <v>2435</v>
      </c>
      <c r="F1" s="164"/>
      <c r="H1" s="163" t="s">
        <v>2436</v>
      </c>
      <c r="J1" s="165" t="s">
        <v>2437</v>
      </c>
      <c r="K1" s="264" t="s">
        <v>2438</v>
      </c>
      <c r="L1" s="264"/>
      <c r="M1" s="264" t="s">
        <v>2439</v>
      </c>
      <c r="N1" s="264"/>
      <c r="O1" s="264"/>
      <c r="P1" s="264"/>
      <c r="Q1" s="264"/>
      <c r="R1" s="264"/>
      <c r="S1" s="264"/>
      <c r="T1" s="264" t="s">
        <v>2440</v>
      </c>
      <c r="U1" s="264"/>
      <c r="V1" s="264"/>
      <c r="W1" s="264"/>
      <c r="X1" s="264"/>
      <c r="Y1" s="264"/>
      <c r="Z1" s="264"/>
      <c r="AA1" s="264"/>
      <c r="AB1" s="264"/>
      <c r="AC1" s="264"/>
      <c r="AD1" s="264"/>
      <c r="AE1" s="264"/>
      <c r="AF1" s="264"/>
      <c r="AG1" s="264"/>
      <c r="AH1" s="264"/>
      <c r="AI1" s="265"/>
      <c r="AJ1" s="259" t="s">
        <v>2441</v>
      </c>
      <c r="AK1" s="259"/>
      <c r="AL1" s="259"/>
      <c r="AM1"/>
      <c r="AN1" s="263" t="s">
        <v>2442</v>
      </c>
      <c r="AO1" s="263"/>
      <c r="AQ1" t="s">
        <v>2443</v>
      </c>
      <c r="AS1" s="255" t="s">
        <v>2444</v>
      </c>
      <c r="AT1" s="256"/>
      <c r="AU1" s="256"/>
      <c r="AV1" s="256"/>
      <c r="AW1" s="256"/>
      <c r="AX1" s="256"/>
      <c r="AY1" s="256"/>
      <c r="AZ1" s="256"/>
      <c r="BA1" s="255" t="s">
        <v>2445</v>
      </c>
      <c r="BB1" s="256"/>
      <c r="BC1" s="256"/>
      <c r="BD1" s="256"/>
      <c r="BE1" s="256"/>
      <c r="BF1" s="256"/>
      <c r="BG1" s="256"/>
      <c r="BH1" s="256"/>
      <c r="BI1" s="257" t="s">
        <v>2446</v>
      </c>
      <c r="BJ1" s="258"/>
      <c r="BK1" s="258"/>
      <c r="BL1" s="258"/>
      <c r="BM1" s="258"/>
      <c r="BN1" s="258"/>
      <c r="BO1" s="258"/>
      <c r="BP1" s="258"/>
      <c r="BQ1" s="259" t="s">
        <v>2447</v>
      </c>
      <c r="BR1" s="259"/>
      <c r="BS1" s="259"/>
      <c r="BT1" s="259"/>
      <c r="BU1" s="259"/>
      <c r="BV1" s="259"/>
      <c r="BW1" s="259"/>
      <c r="BX1" s="259"/>
      <c r="BY1" s="259"/>
      <c r="BZ1" s="259"/>
      <c r="CA1" s="259"/>
      <c r="CB1" s="259"/>
      <c r="CC1" s="259"/>
      <c r="CD1" s="259"/>
      <c r="CE1" s="259"/>
      <c r="CF1" s="259"/>
      <c r="CG1" s="259"/>
      <c r="CH1" s="259"/>
      <c r="CI1" s="260" t="s">
        <v>2448</v>
      </c>
      <c r="CJ1" s="261"/>
      <c r="CK1" s="262"/>
      <c r="CL1" s="38" t="s">
        <v>2449</v>
      </c>
    </row>
    <row r="2" spans="1:91" s="146" customFormat="1" ht="59.1" customHeight="1" thickBot="1" x14ac:dyDescent="0.3">
      <c r="A2" s="65"/>
      <c r="B2" s="166" t="s">
        <v>2450</v>
      </c>
      <c r="C2" s="167" t="s">
        <v>2451</v>
      </c>
      <c r="D2" s="65" t="s">
        <v>2452</v>
      </c>
      <c r="E2" s="65" t="s">
        <v>2453</v>
      </c>
      <c r="F2" s="167" t="s">
        <v>2454</v>
      </c>
      <c r="G2" s="65" t="s">
        <v>2455</v>
      </c>
      <c r="H2" s="65" t="s">
        <v>2456</v>
      </c>
      <c r="I2" s="167" t="s">
        <v>2457</v>
      </c>
      <c r="J2" s="167" t="s">
        <v>2458</v>
      </c>
      <c r="K2" s="168" t="s">
        <v>2459</v>
      </c>
      <c r="L2" s="169" t="s">
        <v>2460</v>
      </c>
      <c r="M2" s="170" t="s">
        <v>2461</v>
      </c>
      <c r="N2" s="170" t="s">
        <v>2462</v>
      </c>
      <c r="O2" s="170" t="s">
        <v>2463</v>
      </c>
      <c r="P2" s="170" t="s">
        <v>2464</v>
      </c>
      <c r="Q2" s="170" t="s">
        <v>2465</v>
      </c>
      <c r="R2" s="170" t="s">
        <v>2466</v>
      </c>
      <c r="S2" s="171" t="s">
        <v>2467</v>
      </c>
      <c r="T2" s="172" t="s">
        <v>2468</v>
      </c>
      <c r="U2" s="172" t="s">
        <v>2469</v>
      </c>
      <c r="V2" s="172" t="s">
        <v>2470</v>
      </c>
      <c r="W2" s="172" t="s">
        <v>2471</v>
      </c>
      <c r="X2" s="172" t="s">
        <v>2472</v>
      </c>
      <c r="Y2" s="172" t="s">
        <v>2473</v>
      </c>
      <c r="Z2" s="172" t="s">
        <v>2474</v>
      </c>
      <c r="AA2" s="172" t="s">
        <v>2475</v>
      </c>
      <c r="AB2" s="172" t="s">
        <v>2476</v>
      </c>
      <c r="AC2" s="172" t="s">
        <v>2477</v>
      </c>
      <c r="AD2" s="172" t="s">
        <v>2478</v>
      </c>
      <c r="AE2" s="172" t="s">
        <v>2479</v>
      </c>
      <c r="AF2" s="172" t="s">
        <v>2480</v>
      </c>
      <c r="AG2" s="172" t="s">
        <v>2481</v>
      </c>
      <c r="AH2" s="172" t="s">
        <v>2482</v>
      </c>
      <c r="AI2" s="173" t="s">
        <v>2483</v>
      </c>
      <c r="AJ2" s="146">
        <v>2021</v>
      </c>
      <c r="AK2" s="146">
        <v>2030</v>
      </c>
      <c r="AL2" s="146">
        <v>2050</v>
      </c>
      <c r="AM2" s="174" t="s">
        <v>2484</v>
      </c>
      <c r="AN2" s="175" t="s">
        <v>2485</v>
      </c>
      <c r="AO2" s="167" t="s">
        <v>2486</v>
      </c>
      <c r="AP2" s="176" t="s">
        <v>2487</v>
      </c>
      <c r="AQ2" s="176" t="s">
        <v>2488</v>
      </c>
      <c r="AR2" s="174" t="s">
        <v>2489</v>
      </c>
      <c r="AS2" s="177" t="s">
        <v>708</v>
      </c>
      <c r="AT2" s="177" t="s">
        <v>447</v>
      </c>
      <c r="AU2" s="177" t="s">
        <v>2490</v>
      </c>
      <c r="AV2" s="177" t="s">
        <v>716</v>
      </c>
      <c r="AW2" s="177" t="s">
        <v>709</v>
      </c>
      <c r="AX2" s="177" t="s">
        <v>46</v>
      </c>
      <c r="AY2" s="177" t="s">
        <v>54</v>
      </c>
      <c r="AZ2" s="178" t="s">
        <v>53</v>
      </c>
      <c r="BA2" s="177" t="s">
        <v>708</v>
      </c>
      <c r="BB2" s="177" t="s">
        <v>447</v>
      </c>
      <c r="BC2" s="177" t="s">
        <v>2490</v>
      </c>
      <c r="BD2" s="177" t="s">
        <v>716</v>
      </c>
      <c r="BE2" s="177" t="s">
        <v>709</v>
      </c>
      <c r="BF2" s="177" t="s">
        <v>46</v>
      </c>
      <c r="BG2" s="177" t="s">
        <v>54</v>
      </c>
      <c r="BH2" s="178" t="s">
        <v>53</v>
      </c>
      <c r="BI2" s="177" t="s">
        <v>708</v>
      </c>
      <c r="BJ2" s="177" t="s">
        <v>447</v>
      </c>
      <c r="BK2" s="177" t="s">
        <v>2490</v>
      </c>
      <c r="BL2" s="177" t="s">
        <v>716</v>
      </c>
      <c r="BM2" s="177" t="s">
        <v>709</v>
      </c>
      <c r="BN2" s="177" t="s">
        <v>46</v>
      </c>
      <c r="BO2" s="177" t="s">
        <v>54</v>
      </c>
      <c r="BP2" s="178"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7" t="s">
        <v>2508</v>
      </c>
      <c r="CI2" s="179" t="s">
        <v>2509</v>
      </c>
      <c r="CJ2" s="180" t="s">
        <v>2510</v>
      </c>
      <c r="CK2" s="181" t="s">
        <v>2511</v>
      </c>
      <c r="CL2" s="146" t="s">
        <v>2512</v>
      </c>
      <c r="CM2" s="65" t="s">
        <v>2513</v>
      </c>
    </row>
    <row r="3" spans="1:91" s="58" customFormat="1" x14ac:dyDescent="0.25">
      <c r="A3" s="182" t="str">
        <f>About!$C$2</f>
        <v>Colorado</v>
      </c>
      <c r="B3" s="183">
        <f>ROUND(SUMIFS(B$4:B$54, $A$4:$A$54, $A$3),0)</f>
        <v>219495</v>
      </c>
      <c r="C3" s="184">
        <f t="shared" ref="C3" si="0">ROUND(SUMIFS(C$4:C$54, $A$4:$A$54, $A$3),0)</f>
        <v>219</v>
      </c>
      <c r="D3" s="183">
        <f>SUMIFS(D$4:D$54, $A$4:$A$54, $A$3)</f>
        <v>2807326</v>
      </c>
      <c r="E3" s="183">
        <f>SUMIFS(E$4:E$54, $A$4:$A$54, $A$3)</f>
        <v>2791383.9999999963</v>
      </c>
      <c r="F3" s="134">
        <f>ROUND(SUMIFS(F$4:F$54,$A$4:$A$54,$A$3)*100,0)</f>
        <v>-1</v>
      </c>
      <c r="G3" s="58">
        <f>SUMIFS(G$4:G$54, $A$4:$A$54, $A$3)</f>
        <v>3200</v>
      </c>
      <c r="H3" s="58">
        <f>SUMIFS(H$4:H$54, $A$4:$A$54, $A$3)</f>
        <v>0</v>
      </c>
      <c r="I3" s="134">
        <f>ROUND(SUMIFS(I$4:I$54,$A$4:$A$54,$A$3)*100,0)</f>
        <v>-100</v>
      </c>
      <c r="J3" s="134">
        <f>ROUND(SUMIFS(J$4:J$54, $A$4:$A$54, $A$3),0)</f>
        <v>2693</v>
      </c>
      <c r="K3" s="58">
        <f t="shared" ref="K3:AI3" si="1">ROUND(SUMIFS(K$4:K$54, $A$4:$A$54, $A$3),0)</f>
        <v>980</v>
      </c>
      <c r="L3" s="134">
        <f t="shared" si="1"/>
        <v>1288</v>
      </c>
      <c r="M3" s="58">
        <f t="shared" si="1"/>
        <v>3300</v>
      </c>
      <c r="N3" s="58">
        <f t="shared" si="1"/>
        <v>300</v>
      </c>
      <c r="O3" s="58">
        <f t="shared" si="1"/>
        <v>0</v>
      </c>
      <c r="P3" s="58">
        <f t="shared" si="1"/>
        <v>0</v>
      </c>
      <c r="Q3" s="58">
        <f t="shared" si="1"/>
        <v>0</v>
      </c>
      <c r="R3" s="58">
        <f t="shared" si="1"/>
        <v>150</v>
      </c>
      <c r="S3" s="134">
        <f t="shared" si="1"/>
        <v>0</v>
      </c>
      <c r="T3" s="58">
        <f t="shared" si="1"/>
        <v>4337</v>
      </c>
      <c r="U3" s="58">
        <f t="shared" si="1"/>
        <v>3219</v>
      </c>
      <c r="V3" s="58">
        <f t="shared" si="1"/>
        <v>0</v>
      </c>
      <c r="W3" s="58">
        <f t="shared" si="1"/>
        <v>680</v>
      </c>
      <c r="X3" s="58">
        <f t="shared" si="1"/>
        <v>3750</v>
      </c>
      <c r="Y3" s="58">
        <f t="shared" si="1"/>
        <v>591</v>
      </c>
      <c r="Z3" s="58">
        <f t="shared" si="1"/>
        <v>0</v>
      </c>
      <c r="AA3" s="58">
        <f t="shared" si="1"/>
        <v>29</v>
      </c>
      <c r="AB3" s="58">
        <f t="shared" si="1"/>
        <v>0</v>
      </c>
      <c r="AC3" s="58">
        <f t="shared" si="1"/>
        <v>164</v>
      </c>
      <c r="AD3" s="58">
        <f t="shared" si="1"/>
        <v>3172</v>
      </c>
      <c r="AE3" s="58">
        <f t="shared" si="1"/>
        <v>0</v>
      </c>
      <c r="AF3" s="58">
        <f t="shared" si="1"/>
        <v>0</v>
      </c>
      <c r="AG3" s="58">
        <f t="shared" si="1"/>
        <v>0</v>
      </c>
      <c r="AH3" s="58">
        <f t="shared" si="1"/>
        <v>0</v>
      </c>
      <c r="AI3" s="134">
        <f t="shared" si="1"/>
        <v>0</v>
      </c>
      <c r="AJ3" s="58">
        <f>ROUND(SUMIFS(AJ$4:AJ$54,$A$4:$A$54,$A$3)*100,0)</f>
        <v>27</v>
      </c>
      <c r="AK3" s="58">
        <f t="shared" ref="AK3:AL3" si="2">ROUND(SUMIFS(AK$4:AK$54,$A$4:$A$54,$A$3)*100,0)</f>
        <v>36</v>
      </c>
      <c r="AL3" s="58">
        <f t="shared" si="2"/>
        <v>55</v>
      </c>
      <c r="AM3" s="58">
        <f>SUMIFS(AM$4:AM$54, $A$4:$A$54, $A$3)</f>
        <v>1</v>
      </c>
      <c r="AN3" s="58">
        <f t="shared" ref="AN3:AQ3" si="3">SUMIFS(AN$4:AN$54, $A$4:$A$54, $A$3)</f>
        <v>2400</v>
      </c>
      <c r="AO3" s="134">
        <f t="shared" si="3"/>
        <v>4000</v>
      </c>
      <c r="AP3" s="134">
        <f t="shared" si="3"/>
        <v>3355</v>
      </c>
      <c r="AQ3" s="134">
        <f t="shared" si="3"/>
        <v>5914181</v>
      </c>
      <c r="AR3" s="134">
        <f>ROUND(SUMIFS(AR$4:AR$54,$A$4:$A$54,$A$3),2)</f>
        <v>56.73</v>
      </c>
      <c r="AS3" s="58">
        <f>SUMIFS(AS$4:AS$54, $A$4:$A$54, $A$3)</f>
        <v>1086225400000000</v>
      </c>
      <c r="AT3" s="58">
        <f t="shared" ref="AT3:BH3" si="4">SUMIFS(AT$4:AT$54, $A$4:$A$54, $A$3)</f>
        <v>95209854964974</v>
      </c>
      <c r="AU3" s="58">
        <f t="shared" si="4"/>
        <v>0</v>
      </c>
      <c r="AV3" s="58">
        <f t="shared" si="4"/>
        <v>0</v>
      </c>
      <c r="AW3" s="58">
        <f t="shared" si="4"/>
        <v>142219417683423</v>
      </c>
      <c r="AX3" s="58">
        <f t="shared" si="4"/>
        <v>1252778960000000</v>
      </c>
      <c r="AY3" s="58">
        <f t="shared" si="4"/>
        <v>0</v>
      </c>
      <c r="AZ3" s="58">
        <f t="shared" si="4"/>
        <v>0</v>
      </c>
      <c r="BA3" s="58">
        <f t="shared" si="4"/>
        <v>1151082461318380</v>
      </c>
      <c r="BB3" s="58">
        <f t="shared" si="4"/>
        <v>265058383448991</v>
      </c>
      <c r="BC3" s="58">
        <f t="shared" si="4"/>
        <v>4538324965609.2998</v>
      </c>
      <c r="BD3" s="58">
        <f t="shared" si="4"/>
        <v>11064715337262.6</v>
      </c>
      <c r="BE3" s="58">
        <f t="shared" si="4"/>
        <v>151828806635462</v>
      </c>
      <c r="BF3" s="58">
        <f t="shared" si="4"/>
        <v>2028127671606050</v>
      </c>
      <c r="BG3" s="58">
        <f t="shared" si="4"/>
        <v>71994376337266.094</v>
      </c>
      <c r="BH3" s="58">
        <f t="shared" si="4"/>
        <v>91827852515001</v>
      </c>
      <c r="BI3" s="58">
        <f>ROUND(SUMIFS(BI$4:BI$54,$A$4:$A$54,$A$3),2)</f>
        <v>94.37</v>
      </c>
      <c r="BJ3" s="58">
        <f t="shared" ref="BJ3:BP3" si="5">ROUND(SUMIFS(BJ$4:BJ$54,$A$4:$A$54,$A$3),2)</f>
        <v>35.92</v>
      </c>
      <c r="BK3" s="58">
        <f t="shared" si="5"/>
        <v>0</v>
      </c>
      <c r="BL3" s="58">
        <f t="shared" si="5"/>
        <v>0</v>
      </c>
      <c r="BM3" s="58">
        <f t="shared" si="5"/>
        <v>93.67</v>
      </c>
      <c r="BN3" s="58">
        <f t="shared" si="5"/>
        <v>61.77</v>
      </c>
      <c r="BO3" s="58">
        <f t="shared" si="5"/>
        <v>0</v>
      </c>
      <c r="BP3" s="134">
        <f t="shared" si="5"/>
        <v>0</v>
      </c>
      <c r="BQ3" s="134">
        <f t="shared" ref="BQ3:BR3" si="6">ROUND(SUMIFS(BQ$4:BQ$54,$A$4:$A$54,$A$3)*100,0)</f>
        <v>5</v>
      </c>
      <c r="BR3" s="134">
        <f t="shared" si="6"/>
        <v>5</v>
      </c>
      <c r="BS3" s="134">
        <f>ROUND(SUMIFS(BS$4:BS$54,$A$4:$A$54,$A$3)*100,0)</f>
        <v>43</v>
      </c>
      <c r="BT3" s="134">
        <f>ROUND(SUMIFS(BT$4:BT$54,$A$4:$A$54,$A$3)*100,0)</f>
        <v>41</v>
      </c>
      <c r="BU3" s="134">
        <f t="shared" ref="BU3:CH3" si="7">ROUND(SUMIFS(BU$4:BU$54,$A$4:$A$54,$A$3)*100,0)</f>
        <v>64</v>
      </c>
      <c r="BV3" s="134">
        <f t="shared" si="7"/>
        <v>74</v>
      </c>
      <c r="BW3" s="134">
        <f t="shared" si="7"/>
        <v>9</v>
      </c>
      <c r="BX3" s="134">
        <f t="shared" si="7"/>
        <v>13</v>
      </c>
      <c r="BY3" s="134">
        <f t="shared" si="7"/>
        <v>34</v>
      </c>
      <c r="BZ3" s="134">
        <f>ROUND(SUMIFS(BZ$4:BZ$54,$A$4:$A$54,$A$3)*100,0)</f>
        <v>35</v>
      </c>
      <c r="CA3" s="134">
        <f>ROUND(SUMIFS(CA$4:CA$54,$A$4:$A$54,$A$3)*100,0)</f>
        <v>100</v>
      </c>
      <c r="CB3" s="134">
        <f>ROUND(SUMIFS(CB$4:CB$54,$A$4:$A$54,$A$3)*100,0)</f>
        <v>100</v>
      </c>
      <c r="CC3" s="134">
        <f t="shared" si="7"/>
        <v>9</v>
      </c>
      <c r="CD3" s="134">
        <f t="shared" si="7"/>
        <v>13</v>
      </c>
      <c r="CE3" s="134">
        <f t="shared" si="7"/>
        <v>34</v>
      </c>
      <c r="CF3" s="134">
        <f t="shared" si="7"/>
        <v>35</v>
      </c>
      <c r="CG3" s="134">
        <f t="shared" si="7"/>
        <v>100</v>
      </c>
      <c r="CH3" s="134">
        <f t="shared" si="7"/>
        <v>100</v>
      </c>
      <c r="CI3" s="58">
        <f>SUMIFS(CI$4:CI$54, $A$4:$A$54, $A$3)</f>
        <v>1</v>
      </c>
      <c r="CJ3" s="58">
        <f t="shared" ref="CJ3:CK3" si="8">SUMIFS(CJ$4:CJ$54, $A$4:$A$54, $A$3)</f>
        <v>0.82</v>
      </c>
      <c r="CK3" s="58">
        <f t="shared" si="8"/>
        <v>1</v>
      </c>
      <c r="CL3" s="58" t="str">
        <f>_xlfn.XLOOKUP($A$3,A4:A54,CL4:CL54,0,0,1)</f>
        <v>FALSE</v>
      </c>
      <c r="CM3" s="58">
        <f>SUMIFS(CM$4:CM$54, $A$4:$A$54, $A$3)</f>
        <v>0</v>
      </c>
    </row>
    <row r="4" spans="1:91" x14ac:dyDescent="0.25">
      <c r="A4" t="s">
        <v>2279</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2280</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2281</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2282</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2283</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2289</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2295</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2514</v>
      </c>
    </row>
    <row r="12" spans="1:91" x14ac:dyDescent="0.25">
      <c r="A12" t="s">
        <v>2301</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2306</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2310</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2311</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2312</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2313</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2314</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2315</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2316</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2317</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2320</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2325</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2330</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2336</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2341</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2347</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2353</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2354</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2355</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2357</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2361</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2362</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2363</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2368</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2374</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2377</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2381</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2385</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2386</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2387</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2392</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2397</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2402</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2403</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2404</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2405</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2406</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2407</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2409</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2413</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2417</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2418</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2419</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40625" defaultRowHeight="15" x14ac:dyDescent="0.25"/>
  <cols>
    <col min="1" max="1" width="11.7109375" customWidth="1"/>
    <col min="2" max="2" width="11.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Colorado.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Colorado.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Colorado.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Colorado.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Colorado.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Colorado.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Colorado.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Colorado.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Colorado.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Colorado.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Colorado.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Colorado.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Colorado.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Colorado.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Colorado.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Colorado.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Colorado.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Colorado.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Colorado.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Colorado.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Colorado.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Colorado.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Colorado.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Colorado.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2432</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2433</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2433</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2433</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2433</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2433</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2433</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2433</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2433</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2433</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2433</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2433</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2433</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2433</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2433</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2433</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2433</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2433</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2433</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2433</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2433</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2433</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2433</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2433</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2433</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2433</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2589</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6" t="s">
        <v>1054</v>
      </c>
      <c r="B1" s="266"/>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6" t="s">
        <v>1058</v>
      </c>
      <c r="B48" s="266"/>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3" sqref="A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s="254" t="s">
        <v>2648</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tabSelected="1"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c r="B2" s="1"/>
      <c r="C2" s="1"/>
      <c r="D2" s="1"/>
      <c r="E2" s="1"/>
      <c r="F2" s="1"/>
    </row>
    <row r="3" spans="1:6" x14ac:dyDescent="0.25">
      <c r="A3" s="1"/>
      <c r="B3" s="1"/>
      <c r="C3" s="1"/>
      <c r="D3" s="1"/>
      <c r="E3" s="1"/>
      <c r="F3" s="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100</v>
      </c>
      <c r="H7" t="s">
        <v>2291</v>
      </c>
      <c r="I7" s="136">
        <v>2030</v>
      </c>
      <c r="J7" s="132">
        <f t="shared" ref="J7:J52" si="0">IF($E7="","",(1-$E7)*$G7)</f>
        <v>50</v>
      </c>
      <c r="K7" s="132">
        <f t="shared" ref="K7:K52" si="1">J7</f>
        <v>50</v>
      </c>
      <c r="L7" s="136" t="s">
        <v>2292</v>
      </c>
      <c r="M7" t="s">
        <v>2293</v>
      </c>
      <c r="N7" s="137">
        <v>2050</v>
      </c>
      <c r="O7">
        <f t="shared" ref="O7:O52" si="2">IF($F7="","",(1-$F7)*$G7)</f>
        <v>9.9999999999999982</v>
      </c>
      <c r="P7">
        <f t="shared" ref="P7:P52" si="3">O7</f>
        <v>9.9999999999999982</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1" t="s">
        <v>11</v>
      </c>
      <c r="B1" s="271"/>
      <c r="C1" s="271"/>
      <c r="D1" s="271"/>
      <c r="E1" s="271"/>
    </row>
    <row r="2" spans="1:5" x14ac:dyDescent="0.25">
      <c r="A2" s="272" t="s">
        <v>152</v>
      </c>
      <c r="B2" s="272"/>
      <c r="C2" s="272"/>
      <c r="D2" s="272"/>
      <c r="E2" s="272"/>
    </row>
    <row r="19" spans="1:5" x14ac:dyDescent="0.25">
      <c r="A19" t="s">
        <v>153</v>
      </c>
    </row>
    <row r="20" spans="1:5" x14ac:dyDescent="0.25">
      <c r="A20">
        <v>155400</v>
      </c>
      <c r="B20" t="s">
        <v>154</v>
      </c>
    </row>
    <row r="21" spans="1:5" x14ac:dyDescent="0.25">
      <c r="A21" s="272" t="s">
        <v>155</v>
      </c>
      <c r="B21" s="272"/>
      <c r="C21" s="272"/>
      <c r="D21" s="272"/>
      <c r="E21" s="272"/>
    </row>
    <row r="38" spans="1:5" x14ac:dyDescent="0.25">
      <c r="A38" t="s">
        <v>153</v>
      </c>
    </row>
    <row r="39" spans="1:5" x14ac:dyDescent="0.25">
      <c r="A39">
        <v>100800</v>
      </c>
      <c r="B39" t="s">
        <v>154</v>
      </c>
    </row>
    <row r="40" spans="1:5" x14ac:dyDescent="0.25">
      <c r="A40" s="272" t="s">
        <v>156</v>
      </c>
      <c r="B40" s="272"/>
      <c r="C40" s="272"/>
      <c r="D40" s="272"/>
      <c r="E40" s="272"/>
    </row>
    <row r="57" spans="1:5" ht="15.75" thickBot="1" x14ac:dyDescent="0.3">
      <c r="A57" t="s">
        <v>153</v>
      </c>
    </row>
    <row r="58" spans="1:5" ht="15.75" thickBot="1" x14ac:dyDescent="0.3">
      <c r="A58" s="2">
        <v>194000</v>
      </c>
      <c r="B58" t="s">
        <v>157</v>
      </c>
    </row>
    <row r="60" spans="1:5" x14ac:dyDescent="0.25">
      <c r="A60" s="271" t="s">
        <v>158</v>
      </c>
      <c r="B60" s="271"/>
      <c r="C60" s="271"/>
      <c r="D60" s="271"/>
      <c r="E60" s="271"/>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1" t="s">
        <v>159</v>
      </c>
      <c r="B89" s="271"/>
      <c r="C89" s="271"/>
      <c r="D89" s="271"/>
      <c r="E89" s="271"/>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1" t="s">
        <v>160</v>
      </c>
      <c r="B98" s="271"/>
      <c r="C98" s="271"/>
      <c r="D98" s="271"/>
      <c r="E98" s="271"/>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1" t="s">
        <v>162</v>
      </c>
      <c r="B109" s="271"/>
      <c r="C109" s="271"/>
      <c r="D109" s="271"/>
      <c r="E109" s="271"/>
    </row>
    <row r="110" spans="1:5" ht="15.75" thickBot="1" x14ac:dyDescent="0.3"/>
    <row r="111" spans="1:5" ht="15.75" thickBot="1" x14ac:dyDescent="0.3">
      <c r="A111" s="7">
        <f>A122</f>
        <v>0.20481927710843381</v>
      </c>
      <c r="B111" t="s">
        <v>381</v>
      </c>
    </row>
    <row r="113" spans="1:12" x14ac:dyDescent="0.25">
      <c r="A113" s="271" t="s">
        <v>161</v>
      </c>
      <c r="B113" s="271"/>
      <c r="C113" s="271"/>
      <c r="D113" s="271"/>
      <c r="E113" s="271"/>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1" t="s">
        <v>382</v>
      </c>
      <c r="B124" s="271"/>
      <c r="C124" s="271"/>
      <c r="D124" s="271"/>
      <c r="E124" s="271"/>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1" t="s">
        <v>100</v>
      </c>
      <c r="B134" s="271"/>
      <c r="C134" s="271"/>
      <c r="D134" s="271"/>
      <c r="E134" s="271"/>
    </row>
    <row r="135" spans="1:12" x14ac:dyDescent="0.25">
      <c r="A135" s="14" t="s">
        <v>399</v>
      </c>
      <c r="B135" s="15"/>
      <c r="C135" s="15"/>
      <c r="D135" s="15"/>
      <c r="E135" s="15"/>
      <c r="F135" s="15"/>
      <c r="G135" s="15"/>
    </row>
    <row r="136" spans="1:12" ht="15.75" x14ac:dyDescent="0.3">
      <c r="A136" s="16"/>
      <c r="B136" s="268" t="s">
        <v>400</v>
      </c>
      <c r="C136" s="269"/>
      <c r="D136" s="269"/>
      <c r="E136" s="270"/>
      <c r="F136" s="15"/>
      <c r="G136" s="15"/>
    </row>
    <row r="137" spans="1:12" ht="15.75" x14ac:dyDescent="0.3">
      <c r="A137" s="17"/>
      <c r="B137" s="268" t="s">
        <v>401</v>
      </c>
      <c r="C137" s="270"/>
      <c r="D137" s="268" t="s">
        <v>402</v>
      </c>
      <c r="E137" s="270"/>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1" t="s">
        <v>165</v>
      </c>
      <c r="B165" s="271"/>
      <c r="C165" s="271"/>
      <c r="D165" s="271"/>
      <c r="E165" s="271"/>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1" t="s">
        <v>389</v>
      </c>
      <c r="B169" s="271"/>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1" t="s">
        <v>172</v>
      </c>
      <c r="B174" s="271"/>
      <c r="C174" s="271"/>
      <c r="D174" s="271"/>
      <c r="E174" s="271"/>
    </row>
    <row r="175" spans="1:7" ht="15.75" thickBot="1" x14ac:dyDescent="0.3">
      <c r="A175" t="s">
        <v>398</v>
      </c>
      <c r="B175" s="33">
        <v>0.1246</v>
      </c>
    </row>
    <row r="176" spans="1:7" ht="15.75" thickBot="1" x14ac:dyDescent="0.3">
      <c r="A176" t="s">
        <v>394</v>
      </c>
      <c r="B176" s="32">
        <f>1-B175</f>
        <v>0.87539999999999996</v>
      </c>
    </row>
    <row r="178" spans="1:5" x14ac:dyDescent="0.25">
      <c r="A178" s="271" t="s">
        <v>168</v>
      </c>
      <c r="B178" s="271"/>
      <c r="C178" s="271"/>
      <c r="D178" s="271"/>
      <c r="E178" s="271"/>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1" t="s">
        <v>170</v>
      </c>
      <c r="B183" s="271"/>
      <c r="C183" s="271"/>
      <c r="D183" s="271"/>
      <c r="E183" s="271"/>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1" t="s">
        <v>182</v>
      </c>
      <c r="B191" s="271"/>
      <c r="C191" s="271"/>
      <c r="D191" s="271"/>
      <c r="E191" s="271"/>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7" t="s">
        <v>1229</v>
      </c>
      <c r="C201" s="267"/>
      <c r="D201" s="267"/>
      <c r="E201" s="267"/>
      <c r="F201" s="267"/>
      <c r="G201" s="267"/>
      <c r="H201" s="267"/>
      <c r="I201" s="267"/>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7" t="s">
        <v>1229</v>
      </c>
      <c r="C209" s="267"/>
      <c r="D209" s="267"/>
      <c r="E209" s="267"/>
      <c r="F209" s="267"/>
      <c r="G209" s="267"/>
      <c r="H209" s="267"/>
      <c r="I209" s="267"/>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7" t="s">
        <v>1229</v>
      </c>
      <c r="C217" s="267"/>
      <c r="D217" s="267"/>
      <c r="E217" s="267"/>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CO</v>
      </c>
      <c r="C1" s="115">
        <f>SUM(C4:C87)</f>
        <v>66.86632993969512</v>
      </c>
      <c r="D1" s="115">
        <f t="shared" ref="D1:AG1" si="0">SUM(D4:D87)</f>
        <v>68.63010544533131</v>
      </c>
      <c r="E1" s="115">
        <f t="shared" si="0"/>
        <v>69.950760553200936</v>
      </c>
      <c r="F1" s="115">
        <f t="shared" si="0"/>
        <v>73.524105862910275</v>
      </c>
      <c r="G1" s="115">
        <f t="shared" si="0"/>
        <v>74.327828197128866</v>
      </c>
      <c r="H1" s="115">
        <f t="shared" si="0"/>
        <v>74.803331673293584</v>
      </c>
      <c r="I1" s="115">
        <f t="shared" si="0"/>
        <v>78.038764734308216</v>
      </c>
      <c r="J1" s="115">
        <f t="shared" si="0"/>
        <v>78.806818521880615</v>
      </c>
      <c r="K1" s="115">
        <f t="shared" si="0"/>
        <v>81.556624583968244</v>
      </c>
      <c r="L1" s="115">
        <f t="shared" si="0"/>
        <v>84.049408218627235</v>
      </c>
      <c r="M1" s="115">
        <f t="shared" si="0"/>
        <v>89.111331723180697</v>
      </c>
      <c r="N1" s="115">
        <f t="shared" si="0"/>
        <v>97.132783999794057</v>
      </c>
      <c r="O1" s="115">
        <f t="shared" si="0"/>
        <v>95.777306550900931</v>
      </c>
      <c r="P1" s="115">
        <f t="shared" si="0"/>
        <v>94.174368433907603</v>
      </c>
      <c r="Q1" s="115">
        <f t="shared" si="0"/>
        <v>97.329660090746543</v>
      </c>
      <c r="R1" s="115">
        <f t="shared" si="0"/>
        <v>99.924884136983493</v>
      </c>
      <c r="S1" s="115">
        <f t="shared" si="0"/>
        <v>100.99640688591046</v>
      </c>
      <c r="T1" s="115">
        <f t="shared" si="0"/>
        <v>103.26799346434647</v>
      </c>
      <c r="U1" s="115">
        <f t="shared" si="0"/>
        <v>101.84676605504706</v>
      </c>
      <c r="V1" s="115">
        <f t="shared" si="0"/>
        <v>96.823660089511549</v>
      </c>
      <c r="W1" s="115">
        <f t="shared" si="0"/>
        <v>99.923033293617806</v>
      </c>
      <c r="X1" s="115">
        <f t="shared" si="0"/>
        <v>97.266903677499002</v>
      </c>
      <c r="Y1" s="115">
        <f t="shared" si="0"/>
        <v>96.111841369076785</v>
      </c>
      <c r="Z1" s="115">
        <f t="shared" si="0"/>
        <v>96.785599222293413</v>
      </c>
      <c r="AA1" s="115">
        <f t="shared" si="0"/>
        <v>98.028710768605151</v>
      </c>
      <c r="AB1" s="115">
        <f t="shared" si="0"/>
        <v>96.834172056558685</v>
      </c>
      <c r="AC1" s="115">
        <f t="shared" si="0"/>
        <v>94.092386849536865</v>
      </c>
      <c r="AD1" s="115">
        <f t="shared" si="0"/>
        <v>94.160261492419878</v>
      </c>
      <c r="AE1" s="115">
        <f t="shared" si="0"/>
        <v>95.411905900091597</v>
      </c>
      <c r="AF1" s="115">
        <f t="shared" si="0"/>
        <v>96.948336250647174</v>
      </c>
      <c r="AG1" s="115">
        <f t="shared" si="0"/>
        <v>85.824138988151915</v>
      </c>
      <c r="AH1" s="115">
        <f>SUM(AH4:AH87)</f>
        <v>90.902933881251286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119" t="s">
        <v>479</v>
      </c>
      <c r="B5" s="120" t="s">
        <v>1957</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119" t="s">
        <v>479</v>
      </c>
      <c r="B6" s="120" t="s">
        <v>1958</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119" t="s">
        <v>479</v>
      </c>
      <c r="B7" s="120" t="s">
        <v>1959</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119" t="s">
        <v>479</v>
      </c>
      <c r="B8" s="120" t="s">
        <v>1960</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119" t="s">
        <v>479</v>
      </c>
      <c r="B9" s="120" t="s">
        <v>1961</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119" t="s">
        <v>479</v>
      </c>
      <c r="B10" s="120" t="s">
        <v>1962</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119" t="s">
        <v>479</v>
      </c>
      <c r="B12" s="120" t="s">
        <v>1964</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119" t="s">
        <v>479</v>
      </c>
      <c r="B30" s="120" t="s">
        <v>1982</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1.7222755336E-3</v>
      </c>
      <c r="D76" s="121">
        <f>SUMIFS('EPA Export Aggregation'!G:G,'EPA Export Aggregation'!$A:$A,$B76,'EPA Export Aggregation'!$D:$D,$A$1)*IF($A76="CH4",About!$D$58,IF($A76="N2O",About!$D$59,1))</f>
        <v>1.7222755336E-3</v>
      </c>
      <c r="E76" s="121">
        <f>SUMIFS('EPA Export Aggregation'!H:H,'EPA Export Aggregation'!$A:$A,$B76,'EPA Export Aggregation'!$D:$D,$A$1)*IF($A76="CH4",About!$D$58,IF($A76="N2O",About!$D$59,1))</f>
        <v>1.7222755336E-3</v>
      </c>
      <c r="F76" s="121">
        <f>SUMIFS('EPA Export Aggregation'!I:I,'EPA Export Aggregation'!$A:$A,$B76,'EPA Export Aggregation'!$D:$D,$A$1)*IF($A76="CH4",About!$D$58,IF($A76="N2O",About!$D$59,1))</f>
        <v>2.1528446533000001E-3</v>
      </c>
      <c r="G76" s="121">
        <f>SUMIFS('EPA Export Aggregation'!J:J,'EPA Export Aggregation'!$A:$A,$B76,'EPA Export Aggregation'!$D:$D,$A$1)*IF($A76="CH4",About!$D$58,IF($A76="N2O",About!$D$59,1))</f>
        <v>2.3681286269999998E-3</v>
      </c>
      <c r="H76" s="121">
        <f>SUMIFS('EPA Export Aggregation'!K:K,'EPA Export Aggregation'!$A:$A,$B76,'EPA Export Aggregation'!$D:$D,$A$1)*IF($A76="CH4",About!$D$58,IF($A76="N2O",About!$D$59,1))</f>
        <v>2.9759339869000001E-3</v>
      </c>
      <c r="I76" s="121">
        <f>SUMIFS('EPA Export Aggregation'!L:L,'EPA Export Aggregation'!$A:$A,$B76,'EPA Export Aggregation'!$D:$D,$A$1)*IF($A76="CH4",About!$D$58,IF($A76="N2O",About!$D$59,1))</f>
        <v>3.3046647431999999E-3</v>
      </c>
      <c r="J76" s="121">
        <f>SUMIFS('EPA Export Aggregation'!M:M,'EPA Export Aggregation'!$A:$A,$B76,'EPA Export Aggregation'!$D:$D,$A$1)*IF($A76="CH4",About!$D$58,IF($A76="N2O",About!$D$59,1))</f>
        <v>3.4923696805999999E-3</v>
      </c>
      <c r="K76" s="121">
        <f>SUMIFS('EPA Export Aggregation'!N:N,'EPA Export Aggregation'!$A:$A,$B76,'EPA Export Aggregation'!$D:$D,$A$1)*IF($A76="CH4",About!$D$58,IF($A76="N2O",About!$D$59,1))</f>
        <v>4.2822597918999996E-3</v>
      </c>
      <c r="L76" s="121">
        <f>SUMIFS('EPA Export Aggregation'!O:O,'EPA Export Aggregation'!$A:$A,$B76,'EPA Export Aggregation'!$D:$D,$A$1)*IF($A76="CH4",About!$D$58,IF($A76="N2O",About!$D$59,1))</f>
        <v>4.3454643134999997E-3</v>
      </c>
      <c r="M76" s="121">
        <f>SUMIFS('EPA Export Aggregation'!P:P,'EPA Export Aggregation'!$A:$A,$B76,'EPA Export Aggregation'!$D:$D,$A$1)*IF($A76="CH4",About!$D$58,IF($A76="N2O",About!$D$59,1))</f>
        <v>2.6463257747999999E-3</v>
      </c>
      <c r="N76" s="121">
        <f>SUMIFS('EPA Export Aggregation'!Q:Q,'EPA Export Aggregation'!$A:$A,$B76,'EPA Export Aggregation'!$D:$D,$A$1)*IF($A76="CH4",About!$D$58,IF($A76="N2O",About!$D$59,1))</f>
        <v>1.7585100911E-3</v>
      </c>
      <c r="O76" s="121">
        <f>SUMIFS('EPA Export Aggregation'!R:R,'EPA Export Aggregation'!$A:$A,$B76,'EPA Export Aggregation'!$D:$D,$A$1)*IF($A76="CH4",About!$D$58,IF($A76="N2O",About!$D$59,1))</f>
        <v>1.6811587657E-3</v>
      </c>
      <c r="P76" s="121">
        <f>SUMIFS('EPA Export Aggregation'!S:S,'EPA Export Aggregation'!$A:$A,$B76,'EPA Export Aggregation'!$D:$D,$A$1)*IF($A76="CH4",About!$D$58,IF($A76="N2O",About!$D$59,1))</f>
        <v>1.7579476280999999E-3</v>
      </c>
      <c r="Q76" s="121">
        <f>SUMIFS('EPA Export Aggregation'!T:T,'EPA Export Aggregation'!$A:$A,$B76,'EPA Export Aggregation'!$D:$D,$A$1)*IF($A76="CH4",About!$D$58,IF($A76="N2O",About!$D$59,1))</f>
        <v>1.7503057339E-3</v>
      </c>
      <c r="R76" s="121">
        <f>SUMIFS('EPA Export Aggregation'!U:U,'EPA Export Aggregation'!$A:$A,$B76,'EPA Export Aggregation'!$D:$D,$A$1)*IF($A76="CH4",About!$D$58,IF($A76="N2O",About!$D$59,1))</f>
        <v>1.6802121792999999E-3</v>
      </c>
      <c r="S76" s="121">
        <f>SUMIFS('EPA Export Aggregation'!V:V,'EPA Export Aggregation'!$A:$A,$B76,'EPA Export Aggregation'!$D:$D,$A$1)*IF($A76="CH4",About!$D$58,IF($A76="N2O",About!$D$59,1))</f>
        <v>2.0004325801000001E-3</v>
      </c>
      <c r="T76" s="121">
        <f>SUMIFS('EPA Export Aggregation'!W:W,'EPA Export Aggregation'!$A:$A,$B76,'EPA Export Aggregation'!$D:$D,$A$1)*IF($A76="CH4",About!$D$58,IF($A76="N2O",About!$D$59,1))</f>
        <v>1.9466491717000001E-3</v>
      </c>
      <c r="U76" s="121">
        <f>SUMIFS('EPA Export Aggregation'!X:X,'EPA Export Aggregation'!$A:$A,$B76,'EPA Export Aggregation'!$D:$D,$A$1)*IF($A76="CH4",About!$D$58,IF($A76="N2O",About!$D$59,1))</f>
        <v>1.8398931706999999E-3</v>
      </c>
      <c r="V76" s="121">
        <f>SUMIFS('EPA Export Aggregation'!Y:Y,'EPA Export Aggregation'!$A:$A,$B76,'EPA Export Aggregation'!$D:$D,$A$1)*IF($A76="CH4",About!$D$58,IF($A76="N2O",About!$D$59,1))</f>
        <v>1.4120474237999999E-3</v>
      </c>
      <c r="W76" s="121">
        <f>SUMIFS('EPA Export Aggregation'!Z:Z,'EPA Export Aggregation'!$A:$A,$B76,'EPA Export Aggregation'!$D:$D,$A$1)*IF($A76="CH4",About!$D$58,IF($A76="N2O",About!$D$59,1))</f>
        <v>1.8864671272999999E-3</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1.0528200160000001E-2</v>
      </c>
      <c r="AA76" s="121">
        <f>SUMIFS('EPA Export Aggregation'!AD:AD,'EPA Export Aggregation'!$A:$A,$B76,'EPA Export Aggregation'!$D:$D,$A$1)*IF($A76="CH4",About!$D$58,IF($A76="N2O",About!$D$59,1))</f>
        <v>1.1895319999999999E-2</v>
      </c>
      <c r="AB76" s="121">
        <f>SUMIFS('EPA Export Aggregation'!AE:AE,'EPA Export Aggregation'!$A:$A,$B76,'EPA Export Aggregation'!$D:$D,$A$1)*IF($A76="CH4",About!$D$58,IF($A76="N2O",About!$D$59,1))</f>
        <v>1.028637E-2</v>
      </c>
      <c r="AC76" s="121">
        <f>SUMIFS('EPA Export Aggregation'!AF:AF,'EPA Export Aggregation'!$A:$A,$B76,'EPA Export Aggregation'!$D:$D,$A$1)*IF($A76="CH4",About!$D$58,IF($A76="N2O",About!$D$59,1))</f>
        <v>9.1460527600000004E-3</v>
      </c>
      <c r="AD76" s="121">
        <f>SUMIFS('EPA Export Aggregation'!AG:AG,'EPA Export Aggregation'!$A:$A,$B76,'EPA Export Aggregation'!$D:$D,$A$1)*IF($A76="CH4",About!$D$58,IF($A76="N2O",About!$D$59,1))</f>
        <v>1.1130703E-2</v>
      </c>
      <c r="AE76" s="121">
        <f>SUMIFS('EPA Export Aggregation'!AH:AH,'EPA Export Aggregation'!$A:$A,$B76,'EPA Export Aggregation'!$D:$D,$A$1)*IF($A76="CH4",About!$D$58,IF($A76="N2O",About!$D$59,1))</f>
        <v>1.1115139E-2</v>
      </c>
      <c r="AF76" s="121">
        <f>SUMIFS('EPA Export Aggregation'!AI:AI,'EPA Export Aggregation'!$A:$A,$B76,'EPA Export Aggregation'!$D:$D,$A$1)*IF($A76="CH4",About!$D$58,IF($A76="N2O",About!$D$59,1))</f>
        <v>7.4672799999999998E-3</v>
      </c>
      <c r="AG76" s="121">
        <f>SUMIFS('EPA Export Aggregation'!AJ:AJ,'EPA Export Aggregation'!$A:$A,$B76,'EPA Export Aggregation'!$D:$D,$A$1)*IF($A76="CH4",About!$D$58,IF($A76="N2O",About!$D$59,1))</f>
        <v>4.4905398000000003E-3</v>
      </c>
      <c r="AH76" s="121">
        <f>SUMIFS('EPA Export Aggregation'!AK:AK,'EPA Export Aggregation'!$A:$A,$B76,'EPA Export Aggregation'!$D:$D,$A$1)*IF($A76="CH4",About!$D$58,IF($A76="N2O",About!$D$59,1))</f>
        <v>6.4328720000000001E-3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2.4143099205426101E-2</v>
      </c>
      <c r="D80" s="121">
        <f>SUMIFS('EPA Export Aggregation'!G:G,'EPA Export Aggregation'!$A:$A,$B80,'EPA Export Aggregation'!$D:$D,$A$1)*IF($A80="CH4",About!$D$58,IF($A80="N2O",About!$D$59,1))</f>
        <v>2.4143099205426101E-2</v>
      </c>
      <c r="E80" s="121">
        <f>SUMIFS('EPA Export Aggregation'!H:H,'EPA Export Aggregation'!$A:$A,$B80,'EPA Export Aggregation'!$D:$D,$A$1)*IF($A80="CH4",About!$D$58,IF($A80="N2O",About!$D$59,1))</f>
        <v>2.4143099205426101E-2</v>
      </c>
      <c r="F80" s="121">
        <f>SUMIFS('EPA Export Aggregation'!I:I,'EPA Export Aggregation'!$A:$A,$B80,'EPA Export Aggregation'!$D:$D,$A$1)*IF($A80="CH4",About!$D$58,IF($A80="N2O",About!$D$59,1))</f>
        <v>3.0178874560782401E-2</v>
      </c>
      <c r="G80" s="121">
        <f>SUMIFS('EPA Export Aggregation'!J:J,'EPA Export Aggregation'!$A:$A,$B80,'EPA Export Aggregation'!$D:$D,$A$1)*IF($A80="CH4",About!$D$58,IF($A80="N2O",About!$D$59,1))</f>
        <v>3.3196762572060702E-2</v>
      </c>
      <c r="H80" s="121">
        <f>SUMIFS('EPA Export Aggregation'!K:K,'EPA Export Aggregation'!$A:$A,$B80,'EPA Export Aggregation'!$D:$D,$A$1)*IF($A80="CH4",About!$D$58,IF($A80="N2O",About!$D$59,1))</f>
        <v>4.1717070270257298E-2</v>
      </c>
      <c r="I80" s="121">
        <f>SUMIFS('EPA Export Aggregation'!L:L,'EPA Export Aggregation'!$A:$A,$B80,'EPA Export Aggregation'!$D:$D,$A$1)*IF($A80="CH4",About!$D$58,IF($A80="N2O",About!$D$59,1))</f>
        <v>4.6325257609241499E-2</v>
      </c>
      <c r="J80" s="121">
        <f>SUMIFS('EPA Export Aggregation'!M:M,'EPA Export Aggregation'!$A:$A,$B80,'EPA Export Aggregation'!$D:$D,$A$1)*IF($A80="CH4",About!$D$58,IF($A80="N2O",About!$D$59,1))</f>
        <v>4.8956534416602401E-2</v>
      </c>
      <c r="K80" s="121">
        <f>SUMIFS('EPA Export Aggregation'!N:N,'EPA Export Aggregation'!$A:$A,$B80,'EPA Export Aggregation'!$D:$D,$A$1)*IF($A80="CH4",About!$D$58,IF($A80="N2O",About!$D$59,1))</f>
        <v>6.0029329339695098E-2</v>
      </c>
      <c r="L80" s="121">
        <f>SUMIFS('EPA Export Aggregation'!O:O,'EPA Export Aggregation'!$A:$A,$B80,'EPA Export Aggregation'!$D:$D,$A$1)*IF($A80="CH4",About!$D$58,IF($A80="N2O",About!$D$59,1))</f>
        <v>6.0915330408822903E-2</v>
      </c>
      <c r="M80" s="121">
        <f>SUMIFS('EPA Export Aggregation'!P:P,'EPA Export Aggregation'!$A:$A,$B80,'EPA Export Aggregation'!$D:$D,$A$1)*IF($A80="CH4",About!$D$58,IF($A80="N2O",About!$D$59,1))</f>
        <v>5.1956597643167401E-2</v>
      </c>
      <c r="N80" s="121">
        <f>SUMIFS('EPA Export Aggregation'!Q:Q,'EPA Export Aggregation'!$A:$A,$B80,'EPA Export Aggregation'!$D:$D,$A$1)*IF($A80="CH4",About!$D$58,IF($A80="N2O",About!$D$59,1))</f>
        <v>3.6565711712991097E-2</v>
      </c>
      <c r="O80" s="121">
        <f>SUMIFS('EPA Export Aggregation'!R:R,'EPA Export Aggregation'!$A:$A,$B80,'EPA Export Aggregation'!$D:$D,$A$1)*IF($A80="CH4",About!$D$58,IF($A80="N2O",About!$D$59,1))</f>
        <v>3.58203208380206E-2</v>
      </c>
      <c r="P80" s="121">
        <f>SUMIFS('EPA Export Aggregation'!S:S,'EPA Export Aggregation'!$A:$A,$B80,'EPA Export Aggregation'!$D:$D,$A$1)*IF($A80="CH4",About!$D$58,IF($A80="N2O",About!$D$59,1))</f>
        <v>3.2749704702890702E-2</v>
      </c>
      <c r="Q80" s="121">
        <f>SUMIFS('EPA Export Aggregation'!T:T,'EPA Export Aggregation'!$A:$A,$B80,'EPA Export Aggregation'!$D:$D,$A$1)*IF($A80="CH4",About!$D$58,IF($A80="N2O",About!$D$59,1))</f>
        <v>3.0419271711441001E-2</v>
      </c>
      <c r="R80" s="121">
        <f>SUMIFS('EPA Export Aggregation'!U:U,'EPA Export Aggregation'!$A:$A,$B80,'EPA Export Aggregation'!$D:$D,$A$1)*IF($A80="CH4",About!$D$58,IF($A80="N2O",About!$D$59,1))</f>
        <v>2.8027289944177702E-2</v>
      </c>
      <c r="S80" s="121">
        <f>SUMIFS('EPA Export Aggregation'!V:V,'EPA Export Aggregation'!$A:$A,$B80,'EPA Export Aggregation'!$D:$D,$A$1)*IF($A80="CH4",About!$D$58,IF($A80="N2O",About!$D$59,1))</f>
        <v>2.9944846118966299E-2</v>
      </c>
      <c r="T80" s="121">
        <f>SUMIFS('EPA Export Aggregation'!W:W,'EPA Export Aggregation'!$A:$A,$B80,'EPA Export Aggregation'!$D:$D,$A$1)*IF($A80="CH4",About!$D$58,IF($A80="N2O",About!$D$59,1))</f>
        <v>2.8614265279852402E-2</v>
      </c>
      <c r="U80" s="121">
        <f>SUMIFS('EPA Export Aggregation'!X:X,'EPA Export Aggregation'!$A:$A,$B80,'EPA Export Aggregation'!$D:$D,$A$1)*IF($A80="CH4",About!$D$58,IF($A80="N2O",About!$D$59,1))</f>
        <v>2.60037211667772E-2</v>
      </c>
      <c r="V80" s="121">
        <f>SUMIFS('EPA Export Aggregation'!Y:Y,'EPA Export Aggregation'!$A:$A,$B80,'EPA Export Aggregation'!$D:$D,$A$1)*IF($A80="CH4",About!$D$58,IF($A80="N2O",About!$D$59,1))</f>
        <v>1.7837181908757702E-2</v>
      </c>
      <c r="W80" s="121">
        <f>SUMIFS('EPA Export Aggregation'!Z:Z,'EPA Export Aggregation'!$A:$A,$B80,'EPA Export Aggregation'!$D:$D,$A$1)*IF($A80="CH4",About!$D$58,IF($A80="N2O",About!$D$59,1))</f>
        <v>2.3975302337498498E-2</v>
      </c>
      <c r="X80" s="121">
        <f>SUMIFS('EPA Export Aggregation'!AA:AA,'EPA Export Aggregation'!$A:$A,$B80,'EPA Export Aggregation'!$D:$D,$A$1)*IF($A80="CH4",About!$D$58,IF($A80="N2O",About!$D$59,1))</f>
        <v>0.35516487103060002</v>
      </c>
      <c r="Y80" s="121">
        <f>SUMIFS('EPA Export Aggregation'!AB:AB,'EPA Export Aggregation'!$A:$A,$B80,'EPA Export Aggregation'!$D:$D,$A$1)*IF($A80="CH4",About!$D$58,IF($A80="N2O",About!$D$59,1))</f>
        <v>0.23483570219559999</v>
      </c>
      <c r="Z80" s="121">
        <f>SUMIFS('EPA Export Aggregation'!AC:AC,'EPA Export Aggregation'!$A:$A,$B80,'EPA Export Aggregation'!$D:$D,$A$1)*IF($A80="CH4",About!$D$58,IF($A80="N2O",About!$D$59,1))</f>
        <v>0.22061638764300001</v>
      </c>
      <c r="AA80" s="121">
        <f>SUMIFS('EPA Export Aggregation'!AD:AD,'EPA Export Aggregation'!$A:$A,$B80,'EPA Export Aggregation'!$D:$D,$A$1)*IF($A80="CH4",About!$D$58,IF($A80="N2O",About!$D$59,1))</f>
        <v>0.25639656804599997</v>
      </c>
      <c r="AB80" s="121">
        <f>SUMIFS('EPA Export Aggregation'!AE:AE,'EPA Export Aggregation'!$A:$A,$B80,'EPA Export Aggregation'!$D:$D,$A$1)*IF($A80="CH4",About!$D$58,IF($A80="N2O",About!$D$59,1))</f>
        <v>0.21783546894</v>
      </c>
      <c r="AC80" s="121">
        <f>SUMIFS('EPA Export Aggregation'!AF:AF,'EPA Export Aggregation'!$A:$A,$B80,'EPA Export Aggregation'!$D:$D,$A$1)*IF($A80="CH4",About!$D$58,IF($A80="N2O",About!$D$59,1))</f>
        <v>0.20407712840100001</v>
      </c>
      <c r="AD80" s="121">
        <f>SUMIFS('EPA Export Aggregation'!AG:AG,'EPA Export Aggregation'!$A:$A,$B80,'EPA Export Aggregation'!$D:$D,$A$1)*IF($A80="CH4",About!$D$58,IF($A80="N2O",About!$D$59,1))</f>
        <v>0.2161593684</v>
      </c>
      <c r="AE80" s="121">
        <f>SUMIFS('EPA Export Aggregation'!AH:AH,'EPA Export Aggregation'!$A:$A,$B80,'EPA Export Aggregation'!$D:$D,$A$1)*IF($A80="CH4",About!$D$58,IF($A80="N2O",About!$D$59,1))</f>
        <v>0.2205117818</v>
      </c>
      <c r="AF80" s="121">
        <f>SUMIFS('EPA Export Aggregation'!AI:AI,'EPA Export Aggregation'!$A:$A,$B80,'EPA Export Aggregation'!$D:$D,$A$1)*IF($A80="CH4",About!$D$58,IF($A80="N2O",About!$D$59,1))</f>
        <v>0.15343324189800001</v>
      </c>
      <c r="AG80" s="121">
        <f>SUMIFS('EPA Export Aggregation'!AJ:AJ,'EPA Export Aggregation'!$A:$A,$B80,'EPA Export Aggregation'!$D:$D,$A$1)*IF($A80="CH4",About!$D$58,IF($A80="N2O",About!$D$59,1))</f>
        <v>0.10358159792</v>
      </c>
      <c r="AH80" s="121">
        <f>SUMIFS('EPA Export Aggregation'!AK:AK,'EPA Export Aggregation'!$A:$A,$B80,'EPA Export Aggregation'!$D:$D,$A$1)*IF($A80="CH4",About!$D$58,IF($A80="N2O",About!$D$59,1))</f>
        <v>0.10111952948</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4.85312365E-3</v>
      </c>
      <c r="D84" s="121">
        <f>SUMIFS('EPA Export Aggregation'!G:G,'EPA Export Aggregation'!$A:$A,$B84,'EPA Export Aggregation'!$D:$D,$A$1)*IF($A84="CH4",About!$D$58,IF($A84="N2O",About!$D$59,1))</f>
        <v>4.85312365E-3</v>
      </c>
      <c r="E84" s="121">
        <f>SUMIFS('EPA Export Aggregation'!H:H,'EPA Export Aggregation'!$A:$A,$B84,'EPA Export Aggregation'!$D:$D,$A$1)*IF($A84="CH4",About!$D$58,IF($A84="N2O",About!$D$59,1))</f>
        <v>4.85312365E-3</v>
      </c>
      <c r="F84" s="121">
        <f>SUMIFS('EPA Export Aggregation'!I:I,'EPA Export Aggregation'!$A:$A,$B84,'EPA Export Aggregation'!$D:$D,$A$1)*IF($A84="CH4",About!$D$58,IF($A84="N2O",About!$D$59,1))</f>
        <v>6.0664051499999998E-3</v>
      </c>
      <c r="G84" s="121">
        <f>SUMIFS('EPA Export Aggregation'!J:J,'EPA Export Aggregation'!$A:$A,$B84,'EPA Export Aggregation'!$D:$D,$A$1)*IF($A84="CH4",About!$D$58,IF($A84="N2O",About!$D$59,1))</f>
        <v>6.6730458999999997E-3</v>
      </c>
      <c r="H84" s="121">
        <f>SUMIFS('EPA Export Aggregation'!K:K,'EPA Export Aggregation'!$A:$A,$B84,'EPA Export Aggregation'!$D:$D,$A$1)*IF($A84="CH4",About!$D$58,IF($A84="N2O",About!$D$59,1))</f>
        <v>8.3857564500000002E-3</v>
      </c>
      <c r="I84" s="121">
        <f>SUMIFS('EPA Export Aggregation'!L:L,'EPA Export Aggregation'!$A:$A,$B84,'EPA Export Aggregation'!$D:$D,$A$1)*IF($A84="CH4",About!$D$58,IF($A84="N2O",About!$D$59,1))</f>
        <v>9.3120700499999993E-3</v>
      </c>
      <c r="J84" s="121">
        <f>SUMIFS('EPA Export Aggregation'!M:M,'EPA Export Aggregation'!$A:$A,$B84,'EPA Export Aggregation'!$D:$D,$A$1)*IF($A84="CH4",About!$D$58,IF($A84="N2O",About!$D$59,1))</f>
        <v>9.8409963E-3</v>
      </c>
      <c r="K84" s="121">
        <f>SUMIFS('EPA Export Aggregation'!N:N,'EPA Export Aggregation'!$A:$A,$B84,'EPA Export Aggregation'!$D:$D,$A$1)*IF($A84="CH4",About!$D$58,IF($A84="N2O",About!$D$59,1))</f>
        <v>1.20667941E-2</v>
      </c>
      <c r="L84" s="121">
        <f>SUMIFS('EPA Export Aggregation'!O:O,'EPA Export Aggregation'!$A:$A,$B84,'EPA Export Aggregation'!$D:$D,$A$1)*IF($A84="CH4",About!$D$58,IF($A84="N2O",About!$D$59,1))</f>
        <v>1.224489355E-2</v>
      </c>
      <c r="M84" s="121">
        <f>SUMIFS('EPA Export Aggregation'!P:P,'EPA Export Aggregation'!$A:$A,$B84,'EPA Export Aggregation'!$D:$D,$A$1)*IF($A84="CH4",About!$D$58,IF($A84="N2O",About!$D$59,1))</f>
        <v>9.8969474500000005E-3</v>
      </c>
      <c r="N84" s="121">
        <f>SUMIFS('EPA Export Aggregation'!Q:Q,'EPA Export Aggregation'!$A:$A,$B84,'EPA Export Aggregation'!$D:$D,$A$1)*IF($A84="CH4",About!$D$58,IF($A84="N2O",About!$D$59,1))</f>
        <v>6.7290839999999998E-3</v>
      </c>
      <c r="O84" s="121">
        <f>SUMIFS('EPA Export Aggregation'!R:R,'EPA Export Aggregation'!$A:$A,$B84,'EPA Export Aggregation'!$D:$D,$A$1)*IF($A84="CH4",About!$D$58,IF($A84="N2O",About!$D$59,1))</f>
        <v>5.9728304999999999E-3</v>
      </c>
      <c r="P84" s="121">
        <f>SUMIFS('EPA Export Aggregation'!S:S,'EPA Export Aggregation'!$A:$A,$B84,'EPA Export Aggregation'!$D:$D,$A$1)*IF($A84="CH4",About!$D$58,IF($A84="N2O",About!$D$59,1))</f>
        <v>7.1955284499999996E-3</v>
      </c>
      <c r="Q84" s="121">
        <f>SUMIFS('EPA Export Aggregation'!T:T,'EPA Export Aggregation'!$A:$A,$B84,'EPA Export Aggregation'!$D:$D,$A$1)*IF($A84="CH4",About!$D$58,IF($A84="N2O",About!$D$59,1))</f>
        <v>6.90723985E-3</v>
      </c>
      <c r="R84" s="121">
        <f>SUMIFS('EPA Export Aggregation'!U:U,'EPA Export Aggregation'!$A:$A,$B84,'EPA Export Aggregation'!$D:$D,$A$1)*IF($A84="CH4",About!$D$58,IF($A84="N2O",About!$D$59,1))</f>
        <v>7.5110394499999997E-3</v>
      </c>
      <c r="S84" s="121">
        <f>SUMIFS('EPA Export Aggregation'!V:V,'EPA Export Aggregation'!$A:$A,$B84,'EPA Export Aggregation'!$D:$D,$A$1)*IF($A84="CH4",About!$D$58,IF($A84="N2O",About!$D$59,1))</f>
        <v>7.2940052000000002E-3</v>
      </c>
      <c r="T84" s="121">
        <f>SUMIFS('EPA Export Aggregation'!W:W,'EPA Export Aggregation'!$A:$A,$B84,'EPA Export Aggregation'!$D:$D,$A$1)*IF($A84="CH4",About!$D$58,IF($A84="N2O",About!$D$59,1))</f>
        <v>5.86855395E-3</v>
      </c>
      <c r="U84" s="121">
        <f>SUMIFS('EPA Export Aggregation'!X:X,'EPA Export Aggregation'!$A:$A,$B84,'EPA Export Aggregation'!$D:$D,$A$1)*IF($A84="CH4",About!$D$58,IF($A84="N2O",About!$D$59,1))</f>
        <v>5.3889659499999996E-3</v>
      </c>
      <c r="V84" s="121">
        <f>SUMIFS('EPA Export Aggregation'!Y:Y,'EPA Export Aggregation'!$A:$A,$B84,'EPA Export Aggregation'!$D:$D,$A$1)*IF($A84="CH4",About!$D$58,IF($A84="N2O",About!$D$59,1))</f>
        <v>4.1177122999999996E-3</v>
      </c>
      <c r="W84" s="121">
        <f>SUMIFS('EPA Export Aggregation'!Z:Z,'EPA Export Aggregation'!$A:$A,$B84,'EPA Export Aggregation'!$D:$D,$A$1)*IF($A84="CH4",About!$D$58,IF($A84="N2O",About!$D$59,1))</f>
        <v>5.3835186500000003E-3</v>
      </c>
      <c r="X84" s="121">
        <f>SUMIFS('EPA Export Aggregation'!AA:AA,'EPA Export Aggregation'!$A:$A,$B84,'EPA Export Aggregation'!$D:$D,$A$1)*IF($A84="CH4",About!$D$58,IF($A84="N2O",About!$D$59,1))</f>
        <v>8.7710812499999999E-2</v>
      </c>
      <c r="Y84" s="121">
        <f>SUMIFS('EPA Export Aggregation'!AB:AB,'EPA Export Aggregation'!$A:$A,$B84,'EPA Export Aggregation'!$D:$D,$A$1)*IF($A84="CH4",About!$D$58,IF($A84="N2O",About!$D$59,1))</f>
        <v>0.1069960875</v>
      </c>
      <c r="Z84" s="121">
        <f>SUMIFS('EPA Export Aggregation'!AC:AC,'EPA Export Aggregation'!$A:$A,$B84,'EPA Export Aggregation'!$D:$D,$A$1)*IF($A84="CH4",About!$D$58,IF($A84="N2O",About!$D$59,1))</f>
        <v>0.145832775</v>
      </c>
      <c r="AA84" s="121">
        <f>SUMIFS('EPA Export Aggregation'!AD:AD,'EPA Export Aggregation'!$A:$A,$B84,'EPA Export Aggregation'!$D:$D,$A$1)*IF($A84="CH4",About!$D$58,IF($A84="N2O",About!$D$59,1))</f>
        <v>0.21017459999999999</v>
      </c>
      <c r="AB84" s="121">
        <f>SUMIFS('EPA Export Aggregation'!AE:AE,'EPA Export Aggregation'!$A:$A,$B84,'EPA Export Aggregation'!$D:$D,$A$1)*IF($A84="CH4",About!$D$58,IF($A84="N2O",About!$D$59,1))</f>
        <v>0.26324229999999998</v>
      </c>
      <c r="AC84" s="121">
        <f>SUMIFS('EPA Export Aggregation'!AF:AF,'EPA Export Aggregation'!$A:$A,$B84,'EPA Export Aggregation'!$D:$D,$A$1)*IF($A84="CH4",About!$D$58,IF($A84="N2O",About!$D$59,1))</f>
        <v>0.25978163830000001</v>
      </c>
      <c r="AD84" s="121">
        <f>SUMIFS('EPA Export Aggregation'!AG:AG,'EPA Export Aggregation'!$A:$A,$B84,'EPA Export Aggregation'!$D:$D,$A$1)*IF($A84="CH4",About!$D$58,IF($A84="N2O",About!$D$59,1))</f>
        <v>0.19885230000000001</v>
      </c>
      <c r="AE84" s="121">
        <f>SUMIFS('EPA Export Aggregation'!AH:AH,'EPA Export Aggregation'!$A:$A,$B84,'EPA Export Aggregation'!$D:$D,$A$1)*IF($A84="CH4",About!$D$58,IF($A84="N2O",About!$D$59,1))</f>
        <v>0.17452275</v>
      </c>
      <c r="AF84" s="121">
        <f>SUMIFS('EPA Export Aggregation'!AI:AI,'EPA Export Aggregation'!$A:$A,$B84,'EPA Export Aggregation'!$D:$D,$A$1)*IF($A84="CH4",About!$D$58,IF($A84="N2O",About!$D$59,1))</f>
        <v>0.16648104999999999</v>
      </c>
      <c r="AG84" s="121">
        <f>SUMIFS('EPA Export Aggregation'!AJ:AJ,'EPA Export Aggregation'!$A:$A,$B84,'EPA Export Aggregation'!$D:$D,$A$1)*IF($A84="CH4",About!$D$58,IF($A84="N2O",About!$D$59,1))</f>
        <v>0.1144027</v>
      </c>
      <c r="AH84" s="121">
        <f>SUMIFS('EPA Export Aggregation'!AK:AK,'EPA Export Aggregation'!$A:$A,$B84,'EPA Export Aggregation'!$D:$D,$A$1)*IF($A84="CH4",About!$D$58,IF($A84="N2O",About!$D$59,1))</f>
        <v>0.11176670499999999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4.2623139999999998E-4</v>
      </c>
      <c r="D87" s="121">
        <f>SUMIFS('EPA Export Aggregation'!$F:$F,'EPA Export Aggregation'!$A:$A,$B87,'EPA Export Aggregation'!$D:$D,$A$1)*IF($A87="CH4",About!$D$58,IF($A87="N2O",About!$D$59,1))</f>
        <v>4.2623139999999998E-4</v>
      </c>
      <c r="E87" s="121">
        <f>SUMIFS('EPA Export Aggregation'!$F:$F,'EPA Export Aggregation'!$A:$A,$B87,'EPA Export Aggregation'!$D:$D,$A$1)*IF($A87="CH4",About!$D$58,IF($A87="N2O",About!$D$59,1))</f>
        <v>4.2623139999999998E-4</v>
      </c>
      <c r="F87" s="121">
        <f>SUMIFS('EPA Export Aggregation'!$F:$F,'EPA Export Aggregation'!$A:$A,$B87,'EPA Export Aggregation'!$D:$D,$A$1)*IF($A87="CH4",About!$D$58,IF($A87="N2O",About!$D$59,1))</f>
        <v>4.2623139999999998E-4</v>
      </c>
      <c r="G87" s="121">
        <f>SUMIFS('EPA Export Aggregation'!$F:$F,'EPA Export Aggregation'!$A:$A,$B87,'EPA Export Aggregation'!$D:$D,$A$1)*IF($A87="CH4",About!$D$58,IF($A87="N2O",About!$D$59,1))</f>
        <v>4.2623139999999998E-4</v>
      </c>
      <c r="H87" s="121">
        <f>SUMIFS('EPA Export Aggregation'!$F:$F,'EPA Export Aggregation'!$A:$A,$B87,'EPA Export Aggregation'!$D:$D,$A$1)*IF($A87="CH4",About!$D$58,IF($A87="N2O",About!$D$59,1))</f>
        <v>4.2623139999999998E-4</v>
      </c>
      <c r="I87" s="121">
        <f>SUMIFS('EPA Export Aggregation'!$F:$F,'EPA Export Aggregation'!$A:$A,$B87,'EPA Export Aggregation'!$D:$D,$A$1)*IF($A87="CH4",About!$D$58,IF($A87="N2O",About!$D$59,1))</f>
        <v>4.2623139999999998E-4</v>
      </c>
      <c r="J87" s="121">
        <f>SUMIFS('EPA Export Aggregation'!$F:$F,'EPA Export Aggregation'!$A:$A,$B87,'EPA Export Aggregation'!$D:$D,$A$1)*IF($A87="CH4",About!$D$58,IF($A87="N2O",About!$D$59,1))</f>
        <v>4.2623139999999998E-4</v>
      </c>
      <c r="K87" s="121">
        <f>SUMIFS('EPA Export Aggregation'!$F:$F,'EPA Export Aggregation'!$A:$A,$B87,'EPA Export Aggregation'!$D:$D,$A$1)*IF($A87="CH4",About!$D$58,IF($A87="N2O",About!$D$59,1))</f>
        <v>4.2623139999999998E-4</v>
      </c>
      <c r="L87" s="121">
        <f>SUMIFS('EPA Export Aggregation'!$F:$F,'EPA Export Aggregation'!$A:$A,$B87,'EPA Export Aggregation'!$D:$D,$A$1)*IF($A87="CH4",About!$D$58,IF($A87="N2O",About!$D$59,1))</f>
        <v>4.2623139999999998E-4</v>
      </c>
      <c r="M87" s="121">
        <f>SUMIFS('EPA Export Aggregation'!$F:$F,'EPA Export Aggregation'!$A:$A,$B87,'EPA Export Aggregation'!$D:$D,$A$1)*IF($A87="CH4",About!$D$58,IF($A87="N2O",About!$D$59,1))</f>
        <v>4.2623139999999998E-4</v>
      </c>
      <c r="N87" s="121">
        <f>SUMIFS('EPA Export Aggregation'!$F:$F,'EPA Export Aggregation'!$A:$A,$B87,'EPA Export Aggregation'!$D:$D,$A$1)*IF($A87="CH4",About!$D$58,IF($A87="N2O",About!$D$59,1))</f>
        <v>4.2623139999999998E-4</v>
      </c>
      <c r="O87" s="121">
        <f>SUMIFS('EPA Export Aggregation'!$F:$F,'EPA Export Aggregation'!$A:$A,$B87,'EPA Export Aggregation'!$D:$D,$A$1)*IF($A87="CH4",About!$D$58,IF($A87="N2O",About!$D$59,1))</f>
        <v>4.2623139999999998E-4</v>
      </c>
      <c r="P87" s="121">
        <f>SUMIFS('EPA Export Aggregation'!$F:$F,'EPA Export Aggregation'!$A:$A,$B87,'EPA Export Aggregation'!$D:$D,$A$1)*IF($A87="CH4",About!$D$58,IF($A87="N2O",About!$D$59,1))</f>
        <v>4.2623139999999998E-4</v>
      </c>
      <c r="Q87" s="121">
        <f>SUMIFS('EPA Export Aggregation'!$F:$F,'EPA Export Aggregation'!$A:$A,$B87,'EPA Export Aggregation'!$D:$D,$A$1)*IF($A87="CH4",About!$D$58,IF($A87="N2O",About!$D$59,1))</f>
        <v>4.2623139999999998E-4</v>
      </c>
      <c r="R87" s="121">
        <f>SUMIFS('EPA Export Aggregation'!$F:$F,'EPA Export Aggregation'!$A:$A,$B87,'EPA Export Aggregation'!$D:$D,$A$1)*IF($A87="CH4",About!$D$58,IF($A87="N2O",About!$D$59,1))</f>
        <v>4.2623139999999998E-4</v>
      </c>
      <c r="S87" s="121">
        <f>SUMIFS('EPA Export Aggregation'!$F:$F,'EPA Export Aggregation'!$A:$A,$B87,'EPA Export Aggregation'!$D:$D,$A$1)*IF($A87="CH4",About!$D$58,IF($A87="N2O",About!$D$59,1))</f>
        <v>4.2623139999999998E-4</v>
      </c>
      <c r="T87" s="121">
        <f>SUMIFS('EPA Export Aggregation'!$F:$F,'EPA Export Aggregation'!$A:$A,$B87,'EPA Export Aggregation'!$D:$D,$A$1)*IF($A87="CH4",About!$D$58,IF($A87="N2O",About!$D$59,1))</f>
        <v>4.2623139999999998E-4</v>
      </c>
      <c r="U87" s="121">
        <f>SUMIFS('EPA Export Aggregation'!$F:$F,'EPA Export Aggregation'!$A:$A,$B87,'EPA Export Aggregation'!$D:$D,$A$1)*IF($A87="CH4",About!$D$58,IF($A87="N2O",About!$D$59,1))</f>
        <v>4.2623139999999998E-4</v>
      </c>
      <c r="V87" s="121">
        <f>SUMIFS('EPA Export Aggregation'!$F:$F,'EPA Export Aggregation'!$A:$A,$B87,'EPA Export Aggregation'!$D:$D,$A$1)*IF($A87="CH4",About!$D$58,IF($A87="N2O",About!$D$59,1))</f>
        <v>4.2623139999999998E-4</v>
      </c>
      <c r="W87" s="121">
        <f>SUMIFS('EPA Export Aggregation'!$F:$F,'EPA Export Aggregation'!$A:$A,$B87,'EPA Export Aggregation'!$D:$D,$A$1)*IF($A87="CH4",About!$D$58,IF($A87="N2O",About!$D$59,1))</f>
        <v>4.2623139999999998E-4</v>
      </c>
      <c r="X87" s="121">
        <f>SUMIFS('EPA Export Aggregation'!$F:$F,'EPA Export Aggregation'!$A:$A,$B87,'EPA Export Aggregation'!$D:$D,$A$1)*IF($A87="CH4",About!$D$58,IF($A87="N2O",About!$D$59,1))</f>
        <v>4.2623139999999998E-4</v>
      </c>
      <c r="Y87" s="121">
        <f>SUMIFS('EPA Export Aggregation'!$F:$F,'EPA Export Aggregation'!$A:$A,$B87,'EPA Export Aggregation'!$D:$D,$A$1)*IF($A87="CH4",About!$D$58,IF($A87="N2O",About!$D$59,1))</f>
        <v>4.2623139999999998E-4</v>
      </c>
      <c r="Z87" s="121">
        <f>SUMIFS('EPA Export Aggregation'!$F:$F,'EPA Export Aggregation'!$A:$A,$B87,'EPA Export Aggregation'!$D:$D,$A$1)*IF($A87="CH4",About!$D$58,IF($A87="N2O",About!$D$59,1))</f>
        <v>4.2623139999999998E-4</v>
      </c>
      <c r="AA87" s="121">
        <f>SUMIFS('EPA Export Aggregation'!$F:$F,'EPA Export Aggregation'!$A:$A,$B87,'EPA Export Aggregation'!$D:$D,$A$1)*IF($A87="CH4",About!$D$58,IF($A87="N2O",About!$D$59,1))</f>
        <v>4.2623139999999998E-4</v>
      </c>
      <c r="AB87" s="121">
        <f>SUMIFS('EPA Export Aggregation'!$F:$F,'EPA Export Aggregation'!$A:$A,$B87,'EPA Export Aggregation'!$D:$D,$A$1)*IF($A87="CH4",About!$D$58,IF($A87="N2O",About!$D$59,1))</f>
        <v>4.2623139999999998E-4</v>
      </c>
      <c r="AC87" s="121">
        <f>SUMIFS('EPA Export Aggregation'!$F:$F,'EPA Export Aggregation'!$A:$A,$B87,'EPA Export Aggregation'!$D:$D,$A$1)*IF($A87="CH4",About!$D$58,IF($A87="N2O",About!$D$59,1))</f>
        <v>4.2623139999999998E-4</v>
      </c>
      <c r="AD87" s="121">
        <f>SUMIFS('EPA Export Aggregation'!$F:$F,'EPA Export Aggregation'!$A:$A,$B87,'EPA Export Aggregation'!$D:$D,$A$1)*IF($A87="CH4",About!$D$58,IF($A87="N2O",About!$D$59,1))</f>
        <v>4.2623139999999998E-4</v>
      </c>
      <c r="AE87" s="121">
        <f>SUMIFS('EPA Export Aggregation'!$F:$F,'EPA Export Aggregation'!$A:$A,$B87,'EPA Export Aggregation'!$D:$D,$A$1)*IF($A87="CH4",About!$D$58,IF($A87="N2O",About!$D$59,1))</f>
        <v>4.2623139999999998E-4</v>
      </c>
      <c r="AF87" s="121">
        <f>SUMIFS('EPA Export Aggregation'!$F:$F,'EPA Export Aggregation'!$A:$A,$B87,'EPA Export Aggregation'!$D:$D,$A$1)*IF($A87="CH4",About!$D$58,IF($A87="N2O",About!$D$59,1))</f>
        <v>4.2623139999999998E-4</v>
      </c>
      <c r="AG87" s="121">
        <f>SUMIFS('EPA Export Aggregation'!$F:$F,'EPA Export Aggregation'!$A:$A,$B87,'EPA Export Aggregation'!$D:$D,$A$1)*IF($A87="CH4",About!$D$58,IF($A87="N2O",About!$D$59,1))</f>
        <v>4.2623139999999998E-4</v>
      </c>
      <c r="AH87" s="121">
        <f>SUMIFS('EPA Export Aggregation'!$F:$F,'EPA Export Aggregation'!$A:$A,$B87,'EPA Export Aggregation'!$D:$D,$A$1)*IF($A87="CH4",About!$D$58,IF($A87="N2O",About!$D$59,1))</f>
        <v>4.2623139999999998E-4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2025-11-24T22:39:06Z</dcterms:modified>
</cp:coreProperties>
</file>