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8B2BC0CF-187D-4CF7-A1AC-B46479D22A22}"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2" i="28" l="1"/>
  <c r="AB32" i="28"/>
  <c r="AB1" i="28" s="1"/>
  <c r="L29" i="28"/>
  <c r="L1" i="28" s="1"/>
  <c r="J23" i="26"/>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N1" i="28"/>
  <c r="G8" i="26" s="1"/>
  <c r="O8" i="26" s="1"/>
  <c r="P8" i="26" s="1"/>
  <c r="J10" i="26"/>
  <c r="K10" i="26" s="1"/>
  <c r="O10" i="26"/>
  <c r="P10"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7" i="24" l="1"/>
  <c r="L17" i="24" s="1"/>
  <c r="J28" i="19" s="1"/>
  <c r="P263" i="1" s="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<sst xmlns="http://schemas.openxmlformats.org/spreadsheetml/2006/main" count="35896" uniqueCount="4367">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</sst>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3773</v>
      </c>
      <c r="C1" s="347">
        <v>45532</v>
      </c>
      <c r="G1" s="348" t="s">
        <v>3759</v>
      </c>
      <c r="H1" s="348" t="s">
        <v>3760</v>
      </c>
    </row>
    <row r="2" spans="1:8" x14ac:dyDescent="0.25">
      <c r="B2" t="str">
        <f>_xlfn.XLOOKUP(B1,H:H,G:G,0,0,1)</f>
        <v>CT</v>
      </c>
      <c r="C2" t="str">
        <f>_xlfn.XLOOKUP(B2,G:G, H:H, 0,0,1)</f>
        <v>Connecticut</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Connecticut.</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8057%.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Connecticut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PV:**Connecticut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Wind:**Connecticut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Connecticut.</v>
      </c>
      <c r="L9" s="290" t="str">
        <f>J9&amp;K9</f>
        <v>**Description:** This policy prevents new capacity of the selected type(s) from being built or deployed.  // **Guidance for setting values:**No new coal is planned in Connecticut.</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289"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Connecticut</v>
      </c>
      <c r="B3" s="386">
        <f>ROUND(SUMIFS(B$4:B$54, $A$4:$A$54, $A$3),0)</f>
        <v>3467</v>
      </c>
      <c r="C3" s="387">
        <f t="shared" ref="C3" si="0">ROUND(SUMIFS(C$4:C$54, $A$4:$A$54, $A$3),0)</f>
        <v>3</v>
      </c>
      <c r="D3" s="386">
        <f>SUMIFS(D$4:D$54, $A$4:$A$54, $A$3)</f>
        <v>3587296</v>
      </c>
      <c r="E3" s="386">
        <f>SUMIFS(E$4:E$54, $A$4:$A$54, $A$3)</f>
        <v>73555</v>
      </c>
      <c r="F3" s="388">
        <f>ROUND(SUMIFS(F$4:F$54,$A$4:$A$54,$A$3)*100,0)</f>
        <v>-98</v>
      </c>
      <c r="G3" s="173">
        <f>SUMIFS(G$4:G$54, $A$4:$A$54, $A$3)</f>
        <v>171332</v>
      </c>
      <c r="H3" s="173">
        <f>SUMIFS(H$4:H$54, $A$4:$A$54, $A$3)</f>
        <v>13974993</v>
      </c>
      <c r="I3" s="388">
        <f>ROUND(SUMIFS(I$4:I$54,$A$4:$A$54,$A$3)*100,0)</f>
        <v>8057</v>
      </c>
      <c r="J3" s="388">
        <f>ROUND(SUMIFS(J$4:J$54, $A$4:$A$54, $A$3),0)</f>
        <v>1855</v>
      </c>
      <c r="K3" s="173">
        <f t="shared" ref="K3:AI3" si="1">ROUND(SUMIFS(K$4:K$54, $A$4:$A$54, $A$3),0)</f>
        <v>675</v>
      </c>
      <c r="L3" s="388">
        <f t="shared" si="1"/>
        <v>887</v>
      </c>
      <c r="M3" s="173">
        <f t="shared" si="1"/>
        <v>0</v>
      </c>
      <c r="N3" s="173">
        <f t="shared" si="1"/>
        <v>0</v>
      </c>
      <c r="O3" s="173">
        <f t="shared" si="1"/>
        <v>0</v>
      </c>
      <c r="P3" s="173">
        <f t="shared" si="1"/>
        <v>0</v>
      </c>
      <c r="Q3" s="173">
        <f t="shared" si="1"/>
        <v>0</v>
      </c>
      <c r="R3" s="173">
        <f t="shared" si="1"/>
        <v>50</v>
      </c>
      <c r="S3" s="388">
        <f t="shared" si="1"/>
        <v>0</v>
      </c>
      <c r="T3" s="173">
        <f t="shared" si="1"/>
        <v>383</v>
      </c>
      <c r="U3" s="173">
        <f t="shared" si="1"/>
        <v>3918</v>
      </c>
      <c r="V3" s="173">
        <f t="shared" si="1"/>
        <v>2073</v>
      </c>
      <c r="W3" s="173">
        <f t="shared" si="1"/>
        <v>119</v>
      </c>
      <c r="X3" s="173">
        <f t="shared" si="1"/>
        <v>1</v>
      </c>
      <c r="Y3" s="173">
        <f t="shared" si="1"/>
        <v>132</v>
      </c>
      <c r="Z3" s="173">
        <f t="shared" si="1"/>
        <v>0</v>
      </c>
      <c r="AA3" s="173">
        <f t="shared" si="1"/>
        <v>40</v>
      </c>
      <c r="AB3" s="173">
        <f t="shared" si="1"/>
        <v>0</v>
      </c>
      <c r="AC3" s="173">
        <f t="shared" si="1"/>
        <v>1052</v>
      </c>
      <c r="AD3" s="173">
        <f t="shared" si="1"/>
        <v>1288</v>
      </c>
      <c r="AE3" s="173">
        <f t="shared" si="1"/>
        <v>0</v>
      </c>
      <c r="AF3" s="173">
        <f t="shared" si="1"/>
        <v>0</v>
      </c>
      <c r="AG3" s="173">
        <f t="shared" si="1"/>
        <v>0</v>
      </c>
      <c r="AH3" s="173">
        <f t="shared" si="1"/>
        <v>0</v>
      </c>
      <c r="AI3" s="388">
        <f t="shared" si="1"/>
        <v>160</v>
      </c>
      <c r="AJ3" s="173">
        <f>ROUND(SUMIFS(AJ$4:AJ$54,$A$4:$A$54,$A$3)*100,0)</f>
        <v>71</v>
      </c>
      <c r="AK3" s="173">
        <f t="shared" ref="AK3:AL3" si="2">ROUND(SUMIFS(AK$4:AK$54,$A$4:$A$54,$A$3)*100,0)</f>
        <v>88</v>
      </c>
      <c r="AL3" s="173">
        <f t="shared" si="2"/>
        <v>69</v>
      </c>
      <c r="AM3" s="173">
        <f>SUMIFS(AM$4:AM$54, $A$4:$A$54, $A$3)</f>
        <v>0</v>
      </c>
      <c r="AN3" s="173">
        <f t="shared" ref="AN3:AQ3" si="3">SUMIFS(AN$4:AN$54, $A$4:$A$54, $A$3)</f>
        <v>2250</v>
      </c>
      <c r="AO3" s="388">
        <f t="shared" si="3"/>
        <v>0</v>
      </c>
      <c r="AP3" s="388">
        <f t="shared" si="3"/>
        <v>1216</v>
      </c>
      <c r="AQ3" s="388">
        <f t="shared" si="3"/>
        <v>3625646</v>
      </c>
      <c r="AR3" s="388">
        <f>ROUND(SUMIFS(AR$4:AR$54,$A$4:$A$54,$A$3),2)</f>
        <v>33.54</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2</v>
      </c>
      <c r="BR3" s="388">
        <f t="shared" si="6"/>
        <v>2</v>
      </c>
      <c r="BS3" s="388">
        <f>ROUND(SUMIFS(BS$4:BS$54,$A$4:$A$54,$A$3)*100,0)</f>
        <v>45</v>
      </c>
      <c r="BT3" s="388">
        <f>ROUND(SUMIFS(BT$4:BT$54,$A$4:$A$54,$A$3)*100,0)</f>
        <v>40</v>
      </c>
      <c r="BU3" s="388">
        <f t="shared" ref="BU3:CH3" si="7">ROUND(SUMIFS(BU$4:BU$54,$A$4:$A$54,$A$3)*100,0)</f>
        <v>50</v>
      </c>
      <c r="BV3" s="388">
        <f t="shared" si="7"/>
        <v>63</v>
      </c>
      <c r="BW3" s="388">
        <f t="shared" si="7"/>
        <v>6</v>
      </c>
      <c r="BX3" s="388">
        <f t="shared" si="7"/>
        <v>13</v>
      </c>
      <c r="BY3" s="388">
        <f t="shared" si="7"/>
        <v>42</v>
      </c>
      <c r="BZ3" s="388">
        <f>ROUND(SUMIFS(BZ$4:BZ$54,$A$4:$A$54,$A$3)*100,0)</f>
        <v>43</v>
      </c>
      <c r="CA3" s="388">
        <f>ROUND(SUMIFS(CA$4:CA$54,$A$4:$A$54,$A$3)*100,0)</f>
        <v>100</v>
      </c>
      <c r="CB3" s="388">
        <f>ROUND(SUMIFS(CB$4:CB$54,$A$4:$A$54,$A$3)*100,0)</f>
        <v>100</v>
      </c>
      <c r="CC3" s="388">
        <f t="shared" si="7"/>
        <v>6</v>
      </c>
      <c r="CD3" s="388">
        <f t="shared" si="7"/>
        <v>12</v>
      </c>
      <c r="CE3" s="388">
        <f t="shared" si="7"/>
        <v>42</v>
      </c>
      <c r="CF3" s="388">
        <f t="shared" si="7"/>
        <v>42</v>
      </c>
      <c r="CG3" s="388">
        <f t="shared" si="7"/>
        <v>100</v>
      </c>
      <c r="CH3" s="388">
        <f t="shared" si="7"/>
        <v>100</v>
      </c>
      <c r="CI3" s="173">
        <f>SUMIFS(CI$4:CI$54, $A$4:$A$54, $A$3)</f>
        <v>1</v>
      </c>
      <c r="CJ3" s="173">
        <f t="shared" ref="CJ3:CK3" si="8">SUMIFS(CJ$4:CJ$54, $A$4:$A$54, $A$3)</f>
        <v>0</v>
      </c>
      <c r="CK3" s="173">
        <f t="shared" si="8"/>
        <v>0</v>
      </c>
      <c r="CL3" s="173" t="str">
        <f>_xlfn.XLOOKUP($A$3,A4:A54,CL4:CL54,0,0,1)</f>
        <v>TRUE</v>
      </c>
      <c r="CM3" s="173">
        <f>SUMIFS(CM$4:CM$54, $A$4:$A$54, $A$3)</f>
        <v>55.15</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44</v>
      </c>
      <c r="H8" t="s">
        <v>4002</v>
      </c>
      <c r="I8" s="406">
        <v>2030</v>
      </c>
      <c r="J8" s="406">
        <f t="shared" si="0"/>
        <v>24.200000000000003</v>
      </c>
      <c r="K8" s="406">
        <f t="shared" si="1"/>
        <v>24.200000000000003</v>
      </c>
      <c r="L8" s="406" t="s">
        <v>4003</v>
      </c>
      <c r="M8" t="s">
        <v>4004</v>
      </c>
      <c r="N8" s="407">
        <v>2050</v>
      </c>
      <c r="O8">
        <f t="shared" si="2"/>
        <v>8.7999999999999972</v>
      </c>
      <c r="P8">
        <f t="shared" si="3"/>
        <v>8.7999999999999972</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5" x14ac:dyDescent="0.25">
      <c r="A3" s="1" t="s">
        <v>3571</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CT</v>
      </c>
      <c r="C1" s="413">
        <f>SUM(C4:C87)</f>
        <v>42.712065073150598</v>
      </c>
      <c r="D1" s="413">
        <f t="shared" ref="D1:AG1" si="0">SUM(D4:D87)</f>
        <v>41.969091373574102</v>
      </c>
      <c r="E1" s="413">
        <f t="shared" si="0"/>
        <v>41.959235902576594</v>
      </c>
      <c r="F1" s="413">
        <f t="shared" si="0"/>
        <v>39.626965847428501</v>
      </c>
      <c r="G1" s="413">
        <f t="shared" si="0"/>
        <v>39.140327380092494</v>
      </c>
      <c r="H1" s="413">
        <f t="shared" si="0"/>
        <v>38.525058046885192</v>
      </c>
      <c r="I1" s="413">
        <f t="shared" si="0"/>
        <v>41.281732013579301</v>
      </c>
      <c r="J1" s="413">
        <f t="shared" si="0"/>
        <v>44.9604505128043</v>
      </c>
      <c r="K1" s="413">
        <f t="shared" si="0"/>
        <v>42.220366991181002</v>
      </c>
      <c r="L1" s="413">
        <f t="shared" si="0"/>
        <v>43.078059295413809</v>
      </c>
      <c r="M1" s="413">
        <f t="shared" si="0"/>
        <v>45.454231750999995</v>
      </c>
      <c r="N1" s="413">
        <f t="shared" si="0"/>
        <v>43.926706863542094</v>
      </c>
      <c r="O1" s="413">
        <f t="shared" si="0"/>
        <v>42.130327204062894</v>
      </c>
      <c r="P1" s="413">
        <f t="shared" si="0"/>
        <v>45.714860714065004</v>
      </c>
      <c r="Q1" s="413">
        <f t="shared" si="0"/>
        <v>47.797774092176496</v>
      </c>
      <c r="R1" s="413">
        <f t="shared" si="0"/>
        <v>46.029345381320496</v>
      </c>
      <c r="S1" s="413">
        <f t="shared" si="0"/>
        <v>44.060493896550696</v>
      </c>
      <c r="T1" s="413">
        <f t="shared" si="0"/>
        <v>43.210628934538001</v>
      </c>
      <c r="U1" s="413">
        <f t="shared" si="0"/>
        <v>39.974384453328817</v>
      </c>
      <c r="V1" s="413">
        <f t="shared" si="0"/>
        <v>38.723755776145005</v>
      </c>
      <c r="W1" s="413">
        <f t="shared" si="0"/>
        <v>38.874570350485016</v>
      </c>
      <c r="X1" s="413">
        <f t="shared" si="0"/>
        <v>37.657609162117282</v>
      </c>
      <c r="Y1" s="413">
        <f t="shared" si="0"/>
        <v>36.530763942555694</v>
      </c>
      <c r="Z1" s="413">
        <f t="shared" si="0"/>
        <v>37.2356082535645</v>
      </c>
      <c r="AA1" s="413">
        <f t="shared" si="0"/>
        <v>37.870397343649699</v>
      </c>
      <c r="AB1" s="413">
        <f t="shared" si="0"/>
        <v>38.9876930789517</v>
      </c>
      <c r="AC1" s="413">
        <f t="shared" si="0"/>
        <v>36.632816945684702</v>
      </c>
      <c r="AD1" s="413">
        <f t="shared" si="0"/>
        <v>35.737676755936</v>
      </c>
      <c r="AE1" s="413">
        <f t="shared" si="0"/>
        <v>39.562125700730498</v>
      </c>
      <c r="AF1" s="413">
        <f t="shared" si="0"/>
        <v>38.821499565367489</v>
      </c>
      <c r="AG1" s="413">
        <f t="shared" si="0"/>
        <v>36.204760284000905</v>
      </c>
      <c r="AH1" s="413">
        <f>SUM(AH4:AH87)</f>
        <v>38.149881906066092</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417" t="s">
        <v>2220</v>
      </c>
      <c r="B5" s="390" t="s">
        <v>4120</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417" t="s">
        <v>2220</v>
      </c>
      <c r="B6" s="390" t="s">
        <v>4124</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417" t="s">
        <v>2220</v>
      </c>
      <c r="B7" s="390" t="s">
        <v>4126</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417" t="s">
        <v>2220</v>
      </c>
      <c r="B8" s="390" t="s">
        <v>4128</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417" t="s">
        <v>2220</v>
      </c>
      <c r="B9" s="390" t="s">
        <v>4138</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417" t="s">
        <v>2220</v>
      </c>
      <c r="B10" s="390" t="s">
        <v>4147</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417" t="s">
        <v>2220</v>
      </c>
      <c r="B17" s="390" t="s">
        <v>4155</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1.6651466420599999E-2</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6.9759745406999998E-3</v>
      </c>
      <c r="T33" s="418">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418">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4.2294281306999998E-3</v>
      </c>
      <c r="AD33" s="418">
        <f>SUMIFS('EPA Export Aggregation'!AG:AG,'EPA Export Aggregation'!$A:$A,$B33,'EPA Export Aggregation'!$D:$D,$A$1)*IF($A33="CH4",About!$D$58,IF($A33="N2O",About!$D$59,1))</f>
        <v>1.2971156924200001E-2</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3.2978302505699997E-2</v>
      </c>
      <c r="AH33" s="418">
        <f>SUMIFS('EPA Export Aggregation'!AK:AK,'EPA Export Aggregation'!$A:$A,$B33,'EPA Export Aggregation'!$D:$D,$A$1)*IF($A33="CH4",About!$D$58,IF($A33="N2O",About!$D$59,1))</f>
        <v>3.4466479090099998E-2</v>
      </c>
    </row>
    <row r="34" spans="1:34" x14ac:dyDescent="0.25">
      <c r="A34" s="417" t="s">
        <v>2220</v>
      </c>
      <c r="B34" s="390" t="s">
        <v>4159</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2024-08-28T22:08:42Z</dcterms:modified>
</cp:coreProperties>
</file>