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2F858C2F-1E90-4D75-8A55-EBC11D38FB71}"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H38" i="28"/>
  <c r="AA35" i="28"/>
  <c r="Q34" i="28"/>
  <c r="AG32" i="28"/>
  <c r="H32" i="28"/>
  <c r="L31" i="28"/>
  <c r="X30" i="28"/>
  <c r="K30" i="28"/>
  <c r="S29" i="28"/>
  <c r="AB28" i="28"/>
  <c r="X28" i="28"/>
  <c r="T27" i="28"/>
  <c r="AF26" i="28"/>
  <c r="AB26" i="28"/>
  <c r="C26" i="28"/>
  <c r="L25" i="28"/>
  <c r="AF24" i="28"/>
  <c r="H24" i="28"/>
  <c r="S23" i="28"/>
  <c r="L23" i="28"/>
  <c r="K22" i="28"/>
  <c r="T21" i="28"/>
  <c r="S21" i="28"/>
  <c r="X20" i="28"/>
  <c r="C20" i="28"/>
  <c r="T19" i="28"/>
  <c r="AB18" i="28"/>
  <c r="H18" i="28"/>
  <c r="C18" i="28"/>
  <c r="AF16" i="28"/>
  <c r="P16" i="28"/>
  <c r="O16" i="28"/>
  <c r="AD15" i="28"/>
  <c r="P15" i="28"/>
  <c r="H15" i="28"/>
  <c r="AA14" i="28"/>
  <c r="O14" i="28"/>
  <c r="M14" i="28"/>
  <c r="AD13" i="28"/>
  <c r="U13" i="28"/>
  <c r="T13" i="28"/>
  <c r="I13" i="28"/>
  <c r="AG12" i="28"/>
  <c r="AB12" i="28"/>
  <c r="S12" i="28"/>
  <c r="K12" i="28"/>
  <c r="I12" i="28"/>
  <c r="AB11" i="28"/>
  <c r="T11" i="28"/>
  <c r="S11" i="28"/>
  <c r="I11" i="28"/>
  <c r="AG10" i="28"/>
  <c r="AB10" i="28"/>
  <c r="S10" i="28"/>
  <c r="K10" i="28"/>
  <c r="I10" i="28"/>
  <c r="AB9" i="28"/>
  <c r="T9" i="28"/>
  <c r="S9" i="28"/>
  <c r="I9" i="28"/>
  <c r="AG8" i="28"/>
  <c r="AB8" i="28"/>
  <c r="S8" i="28"/>
  <c r="K8" i="28"/>
  <c r="I8" i="28"/>
  <c r="AB7" i="28"/>
  <c r="T7" i="28"/>
  <c r="S7" i="28"/>
  <c r="I7" i="28"/>
  <c r="AG6" i="28"/>
  <c r="AB6" i="28"/>
  <c r="S6" i="28"/>
  <c r="K6" i="28"/>
  <c r="I6" i="28"/>
  <c r="AB5" i="28"/>
  <c r="T5" i="28"/>
  <c r="S5" i="28"/>
  <c r="I5" i="28"/>
  <c r="AG4" i="28"/>
  <c r="AB4" i="28"/>
  <c r="S4" i="28"/>
  <c r="K4" i="28"/>
  <c r="I4" i="28"/>
  <c r="A1" i="28"/>
  <c r="H56" i="28" s="1"/>
  <c r="G49" i="26"/>
  <c r="O49" i="26" s="1"/>
  <c r="P49" i="26" s="1"/>
  <c r="G40" i="26"/>
  <c r="G39" i="26"/>
  <c r="O39" i="26" s="1"/>
  <c r="P39" i="26" s="1"/>
  <c r="G34" i="26"/>
  <c r="J34" i="26" s="1"/>
  <c r="K34" i="26" s="1"/>
  <c r="G33" i="26"/>
  <c r="J33" i="26" s="1"/>
  <c r="K33" i="26" s="1"/>
  <c r="G28" i="26"/>
  <c r="J28" i="26" s="1"/>
  <c r="K28" i="26" s="1"/>
  <c r="G25" i="26"/>
  <c r="O25" i="26" s="1"/>
  <c r="P25" i="26" s="1"/>
  <c r="G22" i="26"/>
  <c r="O22" i="26" s="1"/>
  <c r="P22" i="26" s="1"/>
  <c r="G21" i="26"/>
  <c r="O21" i="26" s="1"/>
  <c r="P21" i="26" s="1"/>
  <c r="G11" i="26"/>
  <c r="J11" i="26" s="1"/>
  <c r="K11" i="26" s="1"/>
  <c r="G10" i="26"/>
  <c r="J10" i="26" s="1"/>
  <c r="K10" i="26" s="1"/>
  <c r="A3" i="25"/>
  <c r="K9" i="24" s="1"/>
  <c r="L9" i="24" s="1"/>
  <c r="J25" i="19" s="1"/>
  <c r="L14" i="24" a="1"/>
  <c r="L14" i="24" s="1"/>
  <c r="J18" i="19" s="1"/>
  <c r="M7" i="24"/>
  <c r="F3" i="20"/>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40" i="26"/>
  <c r="P40" i="26" s="1"/>
  <c r="O38" i="26"/>
  <c r="P38" i="26" s="1"/>
  <c r="K38" i="26"/>
  <c r="J38" i="26"/>
  <c r="O37" i="26"/>
  <c r="P37" i="26" s="1"/>
  <c r="J37" i="26"/>
  <c r="K37" i="26" s="1"/>
  <c r="O34" i="26"/>
  <c r="P34" i="26" s="1"/>
  <c r="O33" i="26"/>
  <c r="P33"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10" i="26" l="1"/>
  <c r="P10" i="26" s="1"/>
  <c r="K5" i="28"/>
  <c r="T6" i="28"/>
  <c r="AG7" i="28"/>
  <c r="K9" i="28"/>
  <c r="T10" i="28"/>
  <c r="AG11" i="28"/>
  <c r="K13" i="28"/>
  <c r="AB14" i="28"/>
  <c r="L17" i="28"/>
  <c r="AB20" i="28"/>
  <c r="K24" i="28"/>
  <c r="C28" i="28"/>
  <c r="H36" i="28"/>
  <c r="J22" i="26"/>
  <c r="K22" i="26" s="1"/>
  <c r="J39" i="26"/>
  <c r="K39"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AG5" i="28"/>
  <c r="K7" i="28"/>
  <c r="T8" i="28"/>
  <c r="AG9" i="28"/>
  <c r="K11" i="28"/>
  <c r="T12" i="28"/>
  <c r="D14" i="28"/>
  <c r="AF15" i="28"/>
  <c r="AF18" i="28"/>
  <c r="X22" i="28"/>
  <c r="H26" i="28"/>
  <c r="T29" i="28"/>
  <c r="S31" i="28"/>
  <c r="Q33" i="28"/>
  <c r="H48"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32" i="28"/>
  <c r="Y34" i="28"/>
  <c r="AF41" i="28"/>
  <c r="CE3" i="25"/>
  <c r="O7" i="24"/>
  <c r="L7" i="24" s="1"/>
  <c r="J42" i="19" s="1"/>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G8" i="26"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V1" i="28"/>
  <c r="O36" i="26"/>
  <c r="P36" i="26" s="1"/>
  <c r="J36" i="26"/>
  <c r="K36" i="26" s="1"/>
  <c r="K6" i="24"/>
  <c r="L6" i="24" s="1"/>
  <c r="J33" i="19" s="1"/>
  <c r="J24" i="26"/>
  <c r="K24" i="26" s="1"/>
  <c r="O24" i="26"/>
  <c r="P24" i="26" s="1"/>
  <c r="S2" i="24"/>
  <c r="J41" i="26"/>
  <c r="K41" i="26" s="1"/>
  <c r="O41" i="26"/>
  <c r="P41" i="26" s="1"/>
  <c r="AB1" i="28"/>
  <c r="J29" i="26"/>
  <c r="K29" i="26" s="1"/>
  <c r="O29" i="26"/>
  <c r="P29" i="26" s="1"/>
  <c r="N12" i="24"/>
  <c r="M2" i="24"/>
  <c r="K12" i="24"/>
  <c r="D1" i="28"/>
  <c r="K2" i="24"/>
  <c r="K3" i="24"/>
  <c r="L3" i="24" s="1"/>
  <c r="J26" i="19" s="1"/>
  <c r="T2" i="24"/>
  <c r="K13" i="24"/>
  <c r="L13" i="24" s="1"/>
  <c r="J65" i="19" s="1"/>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<sst xmlns="http://schemas.openxmlformats.org/spreadsheetml/2006/main" count="35255" uniqueCount="4358">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</sst>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3777</v>
      </c>
      <c r="C1" s="353">
        <v>45503</v>
      </c>
      <c r="G1" s="354" t="s">
        <v>3763</v>
      </c>
      <c r="H1" s="354" t="s">
        <v>3764</v>
      </c>
    </row>
    <row r="2" spans="1:8" x14ac:dyDescent="0.75">
      <c r="B2" t="str">
        <f>_xlfn.XLOOKUP(B1,H:H,G:G,0,0,1)</f>
        <v>CT</v>
      </c>
      <c r="C2" t="str">
        <f>_xlfn.XLOOKUP(B2,G:G, H:H, 0,0,1)</f>
        <v>Connecticut</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Connecticut.</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6"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Connecticut</v>
      </c>
      <c r="B3" s="404">
        <f>ROUND(SUMIFS(B$4:B$54, $A$4:$A$54, $A$3),0)</f>
        <v>3467</v>
      </c>
      <c r="C3" s="405">
        <f t="shared" ref="C3" si="0">ROUND(SUMIFS(C$4:C$54, $A$4:$A$54, $A$3),0)</f>
        <v>3</v>
      </c>
      <c r="D3" s="404">
        <f>SUMIFS(D$4:D$54, $A$4:$A$54, $A$3)</f>
        <v>3587296</v>
      </c>
      <c r="E3" s="404">
        <f>SUMIFS(E$4:E$54, $A$4:$A$54, $A$3)</f>
        <v>73555</v>
      </c>
      <c r="F3" s="406">
        <f>ROUND(SUMIFS(F$4:F$54,$A$4:$A$54,$A$3)*100,0)</f>
        <v>-98</v>
      </c>
      <c r="G3" s="178">
        <f>SUMIFS(G$4:G$54, $A$4:$A$54, $A$3)</f>
        <v>171332</v>
      </c>
      <c r="H3" s="178">
        <f>SUMIFS(H$4:H$54, $A$4:$A$54, $A$3)</f>
        <v>13974993</v>
      </c>
      <c r="I3" s="406">
        <f>ROUND(SUMIFS(I$4:I$54,$A$4:$A$54,$A$3)*100,0)</f>
        <v>8057</v>
      </c>
      <c r="J3" s="406">
        <f>ROUND(SUMIFS(J$4:J$54, $A$4:$A$54, $A$3),0)</f>
        <v>1855</v>
      </c>
      <c r="K3" s="178">
        <f t="shared" ref="K3:AI3" si="1">ROUND(SUMIFS(K$4:K$54, $A$4:$A$54, $A$3),0)</f>
        <v>675</v>
      </c>
      <c r="L3" s="406">
        <f t="shared" si="1"/>
        <v>887</v>
      </c>
      <c r="M3" s="178">
        <f t="shared" si="1"/>
        <v>0</v>
      </c>
      <c r="N3" s="178">
        <f t="shared" si="1"/>
        <v>0</v>
      </c>
      <c r="O3" s="178">
        <f t="shared" si="1"/>
        <v>0</v>
      </c>
      <c r="P3" s="178">
        <f t="shared" si="1"/>
        <v>0</v>
      </c>
      <c r="Q3" s="178">
        <f t="shared" si="1"/>
        <v>0</v>
      </c>
      <c r="R3" s="178">
        <f t="shared" si="1"/>
        <v>50</v>
      </c>
      <c r="S3" s="406">
        <f t="shared" si="1"/>
        <v>0</v>
      </c>
      <c r="T3" s="178">
        <f t="shared" si="1"/>
        <v>383</v>
      </c>
      <c r="U3" s="178">
        <f t="shared" si="1"/>
        <v>3918</v>
      </c>
      <c r="V3" s="178">
        <f t="shared" si="1"/>
        <v>2073</v>
      </c>
      <c r="W3" s="178">
        <f t="shared" si="1"/>
        <v>119</v>
      </c>
      <c r="X3" s="178">
        <f t="shared" si="1"/>
        <v>1</v>
      </c>
      <c r="Y3" s="178">
        <f t="shared" si="1"/>
        <v>132</v>
      </c>
      <c r="Z3" s="178">
        <f t="shared" si="1"/>
        <v>0</v>
      </c>
      <c r="AA3" s="178">
        <f t="shared" si="1"/>
        <v>40</v>
      </c>
      <c r="AB3" s="178">
        <f t="shared" si="1"/>
        <v>0</v>
      </c>
      <c r="AC3" s="178">
        <f t="shared" si="1"/>
        <v>1052</v>
      </c>
      <c r="AD3" s="178">
        <f t="shared" si="1"/>
        <v>1288</v>
      </c>
      <c r="AE3" s="178">
        <f t="shared" si="1"/>
        <v>0</v>
      </c>
      <c r="AF3" s="178">
        <f t="shared" si="1"/>
        <v>0</v>
      </c>
      <c r="AG3" s="178">
        <f t="shared" si="1"/>
        <v>0</v>
      </c>
      <c r="AH3" s="178">
        <f t="shared" si="1"/>
        <v>0</v>
      </c>
      <c r="AI3" s="406">
        <f t="shared" si="1"/>
        <v>160</v>
      </c>
      <c r="AJ3" s="178">
        <f>ROUND(SUMIFS(AJ$4:AJ$54,$A$4:$A$54,$A$3)*100,0)</f>
        <v>71</v>
      </c>
      <c r="AK3" s="178">
        <f t="shared" ref="AK3:AL3" si="2">ROUND(SUMIFS(AK$4:AK$54,$A$4:$A$54,$A$3)*100,0)</f>
        <v>88</v>
      </c>
      <c r="AL3" s="178">
        <f t="shared" si="2"/>
        <v>69</v>
      </c>
      <c r="AM3" s="178">
        <f>SUMIFS(AM$4:AM$54, $A$4:$A$54, $A$3)</f>
        <v>0</v>
      </c>
      <c r="AN3" s="178">
        <f t="shared" ref="AN3:AQ3" si="3">SUMIFS(AN$4:AN$54, $A$4:$A$54, $A$3)</f>
        <v>2250</v>
      </c>
      <c r="AO3" s="406">
        <f t="shared" si="3"/>
        <v>0</v>
      </c>
      <c r="AP3" s="406">
        <f t="shared" si="3"/>
        <v>1216</v>
      </c>
      <c r="AQ3" s="406">
        <f t="shared" si="3"/>
        <v>3625646</v>
      </c>
      <c r="AR3" s="406">
        <f>ROUND(SUMIFS(AR$4:AR$54,$A$4:$A$54,$A$3),2)</f>
        <v>33.54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45</v>
      </c>
      <c r="BT3" s="406">
        <f>ROUND(SUMIFS(BT$4:BT$54,$A$4:$A$54,$A$3)*100,0)</f>
        <v>40</v>
      </c>
      <c r="BU3" s="406">
        <f t="shared" ref="BU3:CH3" si="7">ROUND(SUMIFS(BU$4:BU$54,$A$4:$A$54,$A$3)*100,0)</f>
        <v>50</v>
      </c>
      <c r="BV3" s="406">
        <f t="shared" si="7"/>
        <v>63</v>
      </c>
      <c r="BW3" s="406">
        <f t="shared" si="7"/>
        <v>6</v>
      </c>
      <c r="BX3" s="406">
        <f t="shared" si="7"/>
        <v>13</v>
      </c>
      <c r="BY3" s="406">
        <f t="shared" si="7"/>
        <v>42</v>
      </c>
      <c r="BZ3" s="406">
        <f>ROUND(SUMIFS(BZ$4:BZ$54,$A$4:$A$54,$A$3)*100,0)</f>
        <v>43</v>
      </c>
      <c r="CA3" s="406">
        <f>ROUND(SUMIFS(CA$4:CA$54,$A$4:$A$54,$A$3)*100,0)</f>
        <v>100</v>
      </c>
      <c r="CB3" s="406">
        <f>ROUND(SUMIFS(CB$4:CB$54,$A$4:$A$54,$A$3)*100,0)</f>
        <v>100</v>
      </c>
      <c r="CC3" s="406">
        <f t="shared" si="7"/>
        <v>6</v>
      </c>
      <c r="CD3" s="406">
        <f t="shared" si="7"/>
        <v>12</v>
      </c>
      <c r="CE3" s="406">
        <f t="shared" si="7"/>
        <v>42</v>
      </c>
      <c r="CF3" s="406">
        <f t="shared" si="7"/>
        <v>42</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44</v>
      </c>
      <c r="H8" t="s">
        <v>4006</v>
      </c>
      <c r="I8" s="424">
        <v>2030</v>
      </c>
      <c r="J8" s="424">
        <f t="shared" si="0"/>
        <v>24.200000000000003</v>
      </c>
      <c r="K8" s="424">
        <f t="shared" si="1"/>
        <v>24.200000000000003</v>
      </c>
      <c r="L8" s="424" t="s">
        <v>4007</v>
      </c>
      <c r="M8" t="s">
        <v>4008</v>
      </c>
      <c r="N8" s="425">
        <v>2050</v>
      </c>
      <c r="O8">
        <f t="shared" si="2"/>
        <v>8.7999999999999972</v>
      </c>
      <c r="P8">
        <f t="shared" si="3"/>
        <v>8.7999999999999972</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CT</v>
      </c>
      <c r="C1" s="431">
        <f>SUM(C4:C87)</f>
        <v>42.712065073150598</v>
      </c>
      <c r="D1" s="431">
        <f t="shared" ref="D1:AG1" si="0">SUM(D4:D87)</f>
        <v>41.969091373574102</v>
      </c>
      <c r="E1" s="431">
        <f t="shared" si="0"/>
        <v>41.959235902576594</v>
      </c>
      <c r="F1" s="431">
        <f t="shared" si="0"/>
        <v>39.626965847428501</v>
      </c>
      <c r="G1" s="431">
        <f t="shared" si="0"/>
        <v>39.140327380092494</v>
      </c>
      <c r="H1" s="431">
        <f t="shared" si="0"/>
        <v>38.525058046885192</v>
      </c>
      <c r="I1" s="431">
        <f t="shared" si="0"/>
        <v>41.281732013579301</v>
      </c>
      <c r="J1" s="431">
        <f t="shared" si="0"/>
        <v>44.9604505128043</v>
      </c>
      <c r="K1" s="431">
        <f t="shared" si="0"/>
        <v>42.220366991181002</v>
      </c>
      <c r="L1" s="431">
        <f t="shared" si="0"/>
        <v>43.078059295413809</v>
      </c>
      <c r="M1" s="431">
        <f t="shared" si="0"/>
        <v>45.454231750999995</v>
      </c>
      <c r="N1" s="431">
        <f t="shared" si="0"/>
        <v>43.926706863542094</v>
      </c>
      <c r="O1" s="431">
        <f t="shared" si="0"/>
        <v>42.130327204062894</v>
      </c>
      <c r="P1" s="431">
        <f t="shared" si="0"/>
        <v>45.714860714065004</v>
      </c>
      <c r="Q1" s="431">
        <f t="shared" si="0"/>
        <v>47.797774092176496</v>
      </c>
      <c r="R1" s="431">
        <f t="shared" si="0"/>
        <v>46.029345381320496</v>
      </c>
      <c r="S1" s="431">
        <f t="shared" si="0"/>
        <v>44.060493896550696</v>
      </c>
      <c r="T1" s="431">
        <f t="shared" si="0"/>
        <v>43.210628934538001</v>
      </c>
      <c r="U1" s="431">
        <f t="shared" si="0"/>
        <v>39.974384453328817</v>
      </c>
      <c r="V1" s="431">
        <f t="shared" si="0"/>
        <v>38.723755776145005</v>
      </c>
      <c r="W1" s="431">
        <f t="shared" si="0"/>
        <v>38.874570350485016</v>
      </c>
      <c r="X1" s="431">
        <f t="shared" si="0"/>
        <v>37.657609162117282</v>
      </c>
      <c r="Y1" s="431">
        <f t="shared" si="0"/>
        <v>36.530763942555694</v>
      </c>
      <c r="Z1" s="431">
        <f t="shared" si="0"/>
        <v>37.2356082535645</v>
      </c>
      <c r="AA1" s="431">
        <f t="shared" si="0"/>
        <v>37.870397343649699</v>
      </c>
      <c r="AB1" s="431">
        <f t="shared" si="0"/>
        <v>38.9876930789517</v>
      </c>
      <c r="AC1" s="431">
        <f t="shared" si="0"/>
        <v>36.632816945684702</v>
      </c>
      <c r="AD1" s="431">
        <f t="shared" si="0"/>
        <v>35.737676755936</v>
      </c>
      <c r="AE1" s="431">
        <f t="shared" si="0"/>
        <v>39.562125700730498</v>
      </c>
      <c r="AF1" s="431">
        <f t="shared" si="0"/>
        <v>38.821499565367489</v>
      </c>
      <c r="AG1" s="431">
        <f t="shared" si="0"/>
        <v>36.204760284000905</v>
      </c>
      <c r="AH1" s="431">
        <f>SUM(AH4:AH87)</f>
        <v>38.149881906066092</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35" t="s">
        <v>2220</v>
      </c>
      <c r="B5" s="408" t="s">
        <v>4124</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35" t="s">
        <v>2220</v>
      </c>
      <c r="B6" s="408" t="s">
        <v>4128</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35" t="s">
        <v>2220</v>
      </c>
      <c r="B7" s="408" t="s">
        <v>4130</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35" t="s">
        <v>2220</v>
      </c>
      <c r="B8" s="408" t="s">
        <v>4132</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35" t="s">
        <v>2220</v>
      </c>
      <c r="B9" s="408" t="s">
        <v>4142</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35" t="s">
        <v>2220</v>
      </c>
      <c r="B10" s="408" t="s">
        <v>4151</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35" t="s">
        <v>2220</v>
      </c>
      <c r="B17" s="408" t="s">
        <v>4159</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1.6651466420599999E-2</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6.9759745406999998E-3</v>
      </c>
      <c r="T33" s="436">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36">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4.2294281306999998E-3</v>
      </c>
      <c r="AD33" s="436">
        <f>SUMIFS('EPA Export Aggregation'!AG:AG,'EPA Export Aggregation'!$A:$A,$B33,'EPA Export Aggregation'!$D:$D,$A$1)*IF($A33="CH4",About!$D$58,IF($A33="N2O",About!$D$59,1))</f>
        <v>1.2971156924200001E-2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3.2978302505699997E-2</v>
      </c>
      <c r="AH33" s="436">
        <f>SUMIFS('EPA Export Aggregation'!AK:AK,'EPA Export Aggregation'!$A:$A,$B33,'EPA Export Aggregation'!$D:$D,$A$1)*IF($A33="CH4",About!$D$58,IF($A33="N2O",About!$D$59,1))</f>
        <v>3.4466479090099998E-2</v>
      </c>
    </row>
    <row r="34" spans="1:34" x14ac:dyDescent="0.75">
      <c r="A34" s="435" t="s">
        <v>2220</v>
      </c>
      <c r="B34" s="408" t="s">
        <v>4163</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2024-07-30T21:42:17Z</dcterms:modified>
</cp:coreProperties>
</file>