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VTStCT\"/>
    </mc:Choice>
  </mc:AlternateContent>
  <xr:revisionPtr revIDLastSave="0" documentId="13_ncr:1_{126FD5F5-8B5F-4218-8AED-61E3D8B1F267}" xr6:coauthVersionLast="47" xr6:coauthVersionMax="47" xr10:uidLastSave="{00000000-0000-0000-0000-000000000000}"/>
  <bookViews>
    <workbookView xWindow="29865" yWindow="3840" windowWidth="25020" windowHeight="13230" activeTab="4" xr2:uid="{9AA6BDF2-7B91-4567-88A2-0D83F9E3E450}"/>
  </bookViews>
  <sheets>
    <sheet name="About" sheetId="1" r:id="rId1"/>
    <sheet name="Data" sheetId="4" r:id="rId2"/>
    <sheet name="fuels-FoICStCT Projections" sheetId="5" r:id="rId3"/>
    <sheet name="calcs" sheetId="6" r:id="rId4"/>
    <sheet name="FoVTStCT" sheetId="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8" i="6" l="1"/>
  <c r="AD8" i="6"/>
  <c r="AC8" i="6"/>
  <c r="AB8" i="6"/>
  <c r="AB7" i="3" s="1"/>
  <c r="AA8" i="6"/>
  <c r="AA7" i="3" s="1"/>
  <c r="Z8" i="6"/>
  <c r="Z7" i="3" s="1"/>
  <c r="Y8" i="6"/>
  <c r="Y7" i="3" s="1"/>
  <c r="X8" i="6"/>
  <c r="X7" i="3" s="1"/>
  <c r="W8" i="6"/>
  <c r="V8" i="6"/>
  <c r="U8" i="6"/>
  <c r="T8" i="6"/>
  <c r="T7" i="3" s="1"/>
  <c r="S8" i="6"/>
  <c r="S7" i="3" s="1"/>
  <c r="R8" i="6"/>
  <c r="R7" i="3" s="1"/>
  <c r="Q8" i="6"/>
  <c r="Q7" i="3" s="1"/>
  <c r="P8" i="6"/>
  <c r="P7" i="3" s="1"/>
  <c r="O8" i="6"/>
  <c r="N8" i="6"/>
  <c r="M8" i="6"/>
  <c r="L8" i="6"/>
  <c r="L7" i="3" s="1"/>
  <c r="K8" i="6"/>
  <c r="K7" i="3" s="1"/>
  <c r="J8" i="6"/>
  <c r="J7" i="3" s="1"/>
  <c r="I8" i="6"/>
  <c r="I7" i="3" s="1"/>
  <c r="H8" i="6"/>
  <c r="H7" i="3" s="1"/>
  <c r="G8" i="6"/>
  <c r="F8" i="6"/>
  <c r="E8" i="6"/>
  <c r="D8" i="6"/>
  <c r="D7" i="3" s="1"/>
  <c r="C8" i="6"/>
  <c r="C7" i="3" s="1"/>
  <c r="B8" i="6"/>
  <c r="AE7" i="3"/>
  <c r="AD7" i="3"/>
  <c r="AC7" i="3"/>
  <c r="W7" i="3"/>
  <c r="V7" i="3"/>
  <c r="U7" i="3"/>
  <c r="O7" i="3"/>
  <c r="N7" i="3"/>
  <c r="M7" i="3"/>
  <c r="G7" i="3"/>
  <c r="F7" i="3"/>
  <c r="E7" i="3"/>
  <c r="B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5" i="6"/>
  <c r="AD112" i="5"/>
  <c r="AA112" i="5" s="1"/>
  <c r="AC112" i="5"/>
  <c r="AB112" i="5"/>
  <c r="Y112" i="5"/>
  <c r="Z112" i="5" s="1"/>
  <c r="T112" i="5"/>
  <c r="S112" i="5" s="1"/>
  <c r="O112" i="5"/>
  <c r="R112" i="5" s="1"/>
  <c r="N112" i="5"/>
  <c r="M112" i="5"/>
  <c r="L112" i="5"/>
  <c r="K112" i="5"/>
  <c r="J112" i="5"/>
  <c r="I112" i="5"/>
  <c r="H112" i="5"/>
  <c r="G112" i="5"/>
  <c r="F91" i="5"/>
  <c r="E91" i="5"/>
  <c r="D91" i="5"/>
  <c r="C91" i="5"/>
  <c r="B91" i="5"/>
  <c r="J90" i="5"/>
  <c r="J91" i="5" s="1"/>
  <c r="I90" i="5"/>
  <c r="I91" i="5" s="1"/>
  <c r="H90" i="5"/>
  <c r="H91" i="5" s="1"/>
  <c r="G90" i="5"/>
  <c r="G91" i="5" s="1"/>
  <c r="G77" i="5"/>
  <c r="AD90" i="5" s="1"/>
  <c r="F77" i="5"/>
  <c r="F76" i="5"/>
  <c r="G76" i="5" s="1"/>
  <c r="Y90" i="5" s="1"/>
  <c r="F75" i="5"/>
  <c r="G75" i="5" s="1"/>
  <c r="T90" i="5" s="1"/>
  <c r="G74" i="5"/>
  <c r="O90" i="5" s="1"/>
  <c r="F74" i="5"/>
  <c r="G73" i="5"/>
  <c r="F73" i="5"/>
  <c r="D39" i="5"/>
  <c r="G39" i="5" s="1"/>
  <c r="D38" i="5"/>
  <c r="D37" i="5"/>
  <c r="G37" i="5" s="1"/>
  <c r="F36" i="5" a="1"/>
  <c r="G38" i="5" s="1"/>
  <c r="C36" i="5"/>
  <c r="D36" i="5" s="1"/>
  <c r="D35" i="5"/>
  <c r="C35" i="5"/>
  <c r="R23" i="5"/>
  <c r="T23" i="5" s="1"/>
  <c r="U23" i="5" s="1"/>
  <c r="R22" i="5"/>
  <c r="N22" i="5"/>
  <c r="T22" i="5" s="1"/>
  <c r="R21" i="5"/>
  <c r="N21" i="5"/>
  <c r="T21" i="5" s="1"/>
  <c r="R20" i="5"/>
  <c r="N20" i="5"/>
  <c r="T20" i="5" s="1"/>
  <c r="U20" i="5" s="1"/>
  <c r="R19" i="5"/>
  <c r="N19" i="5"/>
  <c r="T19" i="5" s="1"/>
  <c r="U19" i="5" s="1"/>
  <c r="R18" i="5"/>
  <c r="T18" i="5" s="1"/>
  <c r="Q6" i="5"/>
  <c r="M5" i="5"/>
  <c r="M6" i="5" s="1"/>
  <c r="C48" i="5" l="1"/>
  <c r="C49" i="5" s="1"/>
  <c r="AD91" i="5"/>
  <c r="U21" i="5"/>
  <c r="P90" i="5"/>
  <c r="R90" i="5"/>
  <c r="Q90" i="5"/>
  <c r="O91" i="5"/>
  <c r="S90" i="5"/>
  <c r="M7" i="5"/>
  <c r="D41" i="5" s="1"/>
  <c r="D40" i="5"/>
  <c r="X90" i="5"/>
  <c r="W90" i="5"/>
  <c r="V90" i="5"/>
  <c r="U90" i="5"/>
  <c r="T91" i="5"/>
  <c r="U22" i="5"/>
  <c r="Y91" i="5"/>
  <c r="AC90" i="5"/>
  <c r="AB90" i="5"/>
  <c r="AA90" i="5"/>
  <c r="Z90" i="5"/>
  <c r="B48" i="5"/>
  <c r="B49" i="5" s="1"/>
  <c r="A55" i="5"/>
  <c r="U112" i="5"/>
  <c r="K90" i="5"/>
  <c r="V112" i="5"/>
  <c r="L90" i="5"/>
  <c r="W112" i="5"/>
  <c r="M90" i="5"/>
  <c r="P112" i="5"/>
  <c r="X112" i="5"/>
  <c r="F36" i="5"/>
  <c r="G36" i="5" s="1"/>
  <c r="N90" i="5"/>
  <c r="Q112" i="5"/>
  <c r="D42" i="5" l="1"/>
  <c r="G41" i="5"/>
  <c r="M91" i="5"/>
  <c r="V91" i="5"/>
  <c r="U91" i="5"/>
  <c r="AC91" i="5"/>
  <c r="S91" i="5"/>
  <c r="AA91" i="5"/>
  <c r="K91" i="5"/>
  <c r="AB91" i="5"/>
  <c r="N91" i="5"/>
  <c r="X91" i="5"/>
  <c r="L91" i="5"/>
  <c r="Q91" i="5"/>
  <c r="W91" i="5"/>
  <c r="Z91" i="5"/>
  <c r="R91" i="5"/>
  <c r="G40" i="5"/>
  <c r="P91" i="5"/>
  <c r="G42" i="5" l="1"/>
  <c r="D43" i="5"/>
  <c r="D44" i="5" l="1"/>
  <c r="G43" i="5"/>
  <c r="G44" i="5" l="1"/>
  <c r="E44" i="5"/>
  <c r="D45" i="5"/>
  <c r="D48" i="5" a="1"/>
  <c r="E43" i="5"/>
  <c r="H41" i="5" l="1"/>
  <c r="H39" i="5"/>
  <c r="H37" i="5"/>
  <c r="H43" i="5"/>
  <c r="I114" i="5"/>
  <c r="F113" i="5"/>
  <c r="F115" i="5" s="1"/>
  <c r="E49" i="5"/>
  <c r="D48" i="5"/>
  <c r="H114" i="5"/>
  <c r="E113" i="5"/>
  <c r="E115" i="5" s="1"/>
  <c r="L49" i="5"/>
  <c r="G114" i="5"/>
  <c r="D113" i="5"/>
  <c r="D115" i="5" s="1"/>
  <c r="K49" i="5"/>
  <c r="F114" i="5"/>
  <c r="C113" i="5"/>
  <c r="C115" i="5" s="1"/>
  <c r="J49" i="5"/>
  <c r="I49" i="5"/>
  <c r="D114" i="5"/>
  <c r="H49" i="5"/>
  <c r="H113" i="5"/>
  <c r="H115" i="5" s="1"/>
  <c r="G49" i="5"/>
  <c r="G113" i="5"/>
  <c r="G115" i="5" s="1"/>
  <c r="F49" i="5"/>
  <c r="I113" i="5"/>
  <c r="I115" i="5" s="1"/>
  <c r="J113" i="5"/>
  <c r="J115" i="5" s="1"/>
  <c r="E45" i="5"/>
  <c r="G45" i="5"/>
  <c r="H36" i="5" s="1"/>
  <c r="E38" i="5"/>
  <c r="E39" i="5"/>
  <c r="E42" i="5"/>
  <c r="E37" i="5"/>
  <c r="E40" i="5"/>
  <c r="E41" i="5"/>
  <c r="E36" i="5"/>
  <c r="H42" i="5"/>
  <c r="C114" i="5" l="1"/>
  <c r="E114" i="5"/>
  <c r="D49" i="5"/>
  <c r="B113" i="5"/>
  <c r="B115" i="5" s="1"/>
  <c r="AB48" i="5"/>
  <c r="T48" i="5"/>
  <c r="V48" i="5"/>
  <c r="M48" i="5"/>
  <c r="AA48" i="5"/>
  <c r="S48" i="5"/>
  <c r="U48" i="5"/>
  <c r="Z48" i="5"/>
  <c r="R48" i="5"/>
  <c r="AD48" i="5"/>
  <c r="AC48" i="5"/>
  <c r="Y48" i="5"/>
  <c r="Q48" i="5"/>
  <c r="AF48" i="5"/>
  <c r="X48" i="5"/>
  <c r="P48" i="5"/>
  <c r="H45" i="5"/>
  <c r="AE48" i="5"/>
  <c r="W48" i="5"/>
  <c r="O48" i="5"/>
  <c r="N48" i="5"/>
  <c r="H44" i="5"/>
  <c r="J114" i="5"/>
  <c r="H40" i="5"/>
  <c r="H38" i="5"/>
  <c r="W49" i="5" l="1"/>
  <c r="U113" i="5"/>
  <c r="U115" i="5" s="1"/>
  <c r="R49" i="5"/>
  <c r="P113" i="5"/>
  <c r="P115" i="5" s="1"/>
  <c r="AB49" i="5"/>
  <c r="Z114" i="5"/>
  <c r="Z113" i="5"/>
  <c r="Z115" i="5" s="1"/>
  <c r="Z49" i="5"/>
  <c r="X113" i="5"/>
  <c r="X115" i="5" s="1"/>
  <c r="T49" i="5"/>
  <c r="R113" i="5"/>
  <c r="R115" i="5" s="1"/>
  <c r="AC49" i="5"/>
  <c r="AA113" i="5"/>
  <c r="AA115" i="5" s="1"/>
  <c r="AE49" i="5"/>
  <c r="AC113" i="5"/>
  <c r="AC115" i="5" s="1"/>
  <c r="AD49" i="5"/>
  <c r="AB113" i="5"/>
  <c r="AB115" i="5" s="1"/>
  <c r="P49" i="5"/>
  <c r="N113" i="5"/>
  <c r="N115" i="5" s="1"/>
  <c r="U49" i="5"/>
  <c r="S113" i="5"/>
  <c r="S115" i="5" s="1"/>
  <c r="AD114" i="5"/>
  <c r="AF49" i="5"/>
  <c r="AD113" i="5"/>
  <c r="AD115" i="5" s="1"/>
  <c r="S49" i="5"/>
  <c r="Q113" i="5"/>
  <c r="Q115" i="5" s="1"/>
  <c r="AA49" i="5"/>
  <c r="Y113" i="5"/>
  <c r="Y115" i="5" s="1"/>
  <c r="V49" i="5"/>
  <c r="T113" i="5"/>
  <c r="T115" i="5" s="1"/>
  <c r="X49" i="5"/>
  <c r="V113" i="5"/>
  <c r="V115" i="5" s="1"/>
  <c r="B114" i="5"/>
  <c r="N49" i="5"/>
  <c r="L114" i="5"/>
  <c r="L113" i="5"/>
  <c r="L115" i="5" s="1"/>
  <c r="Q49" i="5"/>
  <c r="O113" i="5"/>
  <c r="O115" i="5" s="1"/>
  <c r="O49" i="5"/>
  <c r="M113" i="5"/>
  <c r="M115" i="5" s="1"/>
  <c r="W114" i="5"/>
  <c r="Y49" i="5"/>
  <c r="W113" i="5"/>
  <c r="W115" i="5" s="1"/>
  <c r="M49" i="5"/>
  <c r="K113" i="5"/>
  <c r="K115" i="5" s="1"/>
  <c r="K114" i="5" l="1"/>
  <c r="AC114" i="5"/>
  <c r="P114" i="5"/>
  <c r="AB114" i="5"/>
  <c r="S114" i="5"/>
  <c r="Y114" i="5"/>
  <c r="O114" i="5"/>
  <c r="Q114" i="5"/>
  <c r="X114" i="5"/>
  <c r="M114" i="5"/>
  <c r="R114" i="5"/>
  <c r="V114" i="5"/>
  <c r="T114" i="5"/>
  <c r="N114" i="5"/>
  <c r="AA114" i="5"/>
  <c r="U1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<sst xmlns="http://schemas.openxmlformats.org/spreadsheetml/2006/main" count="154" uniqueCount="112">
  <si>
    <t>Unit: dimensionless</t>
  </si>
  <si>
    <t>Sources:</t>
  </si>
  <si>
    <t>Notes</t>
  </si>
  <si>
    <t>FoVTStCT Fraction of Vehicle Types Subject to Carbon Tax</t>
  </si>
  <si>
    <t>This file controls which vehicle types are subject to carbon prices.</t>
  </si>
  <si>
    <t>LDVs</t>
  </si>
  <si>
    <t>HDVs</t>
  </si>
  <si>
    <t>aircraft</t>
  </si>
  <si>
    <t>rail</t>
  </si>
  <si>
    <t>ships</t>
  </si>
  <si>
    <t>motorbikes</t>
  </si>
  <si>
    <t>ETS Phase 3; aviation allowances</t>
  </si>
  <si>
    <t>auctioned</t>
  </si>
  <si>
    <t>free allocations</t>
  </si>
  <si>
    <t>reserved for new entrants/fast-growing airlines</t>
  </si>
  <si>
    <t>ETS 1 Price Projections</t>
  </si>
  <si>
    <t>Historical Forecast (Reuters Apr '23)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</si>
  <si>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</si>
  <si>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</si>
  <si>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</si>
  <si>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</si>
  <si>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</si>
  <si>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</si>
  <si>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</si>
  <si>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</si>
  <si>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</si>
  <si>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</si>
  <si>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</si>
  <si>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</si>
  <si>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</si>
  <si>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</si>
  <si>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</si>
  <si>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</si>
  <si>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</si>
  <si>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</si>
  <si>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</si>
  <si>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</si>
  <si>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</si>
  <si>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</si>
  <si>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</si>
  <si>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</si>
  <si>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</si>
  <si>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Short-term Forecast (Reuters Jan '24)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</si>
  <si>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</si>
  <si>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</si>
  <si>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</si>
  <si>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</si>
  <si>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</si>
  <si>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</si>
  <si>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</si>
  <si>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</si>
  <si>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Mid-term forecast (2025-2030)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</si>
  <si>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</si>
  <si>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</si>
  <si>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</si>
  <si>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</si>
  <si>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</si>
  <si>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</si>
  <si>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</si>
  <si>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</si>
  <si>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</si>
  <si>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</si>
  <si>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</si>
  <si>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</si>
  <si>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</si>
  <si>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</si>
  <si>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</si>
  <si>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</si>
  <si>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Currently Forecasted Price under FF55 [real EUR]</t>
  </si>
  <si>
    <t>Price [EUR2019]</t>
  </si>
  <si>
    <t>BCTR [EUR2019]</t>
  </si>
  <si>
    <t>Additional Carbon Tax [EUR2019]</t>
  </si>
  <si>
    <t>FoPITY</t>
  </si>
  <si>
    <t>Time (Year)</t>
  </si>
  <si>
    <t>ETS2 Price [EUR 2019]</t>
  </si>
  <si>
    <t>ETS2 Price [USD 2012]</t>
  </si>
  <si>
    <t>EPS BAU Carbon Tax Rate</t>
  </si>
  <si>
    <t>fuels/BCTR [2019 EUR]</t>
  </si>
  <si>
    <t>EPS: fuels/BCTR [2012 USD]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</si>
  <si>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</si>
  <si>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</si>
  <si>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</si>
  <si>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</si>
  <si>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</si>
  <si>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</si>
  <si>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</si>
  <si>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</si>
  <si>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 2 Price Projections</t>
  </si>
  <si>
    <t>https://europeanclimate.org/wp-content/uploads/2023/04/heat-pumps-full-report-ehpa-ecf.pdf</t>
  </si>
  <si>
    <t>ETS2 Forecast</t>
  </si>
  <si>
    <t>Price [nom EUR]</t>
  </si>
  <si>
    <t>Deflator</t>
  </si>
  <si>
    <t>Price [2019 EUR]</t>
  </si>
  <si>
    <t>*assume 2.5% future infl rate</t>
  </si>
  <si>
    <t xml:space="preserve"> = price pulled from source</t>
  </si>
  <si>
    <t>FF55 Scenario Setup</t>
  </si>
  <si>
    <t>BCTR</t>
  </si>
  <si>
    <t>Max Carbon Tax Rate (ETS1 or ETS2)</t>
  </si>
  <si>
    <t>ETS1 Multiplier</t>
  </si>
  <si>
    <t>ETS2 Multiplier</t>
  </si>
  <si>
    <t>Aviation Free Allowance Share</t>
  </si>
  <si>
    <t>International Carbon Action Partnership</t>
  </si>
  <si>
    <t>https://icapcarbonaction.com/system/files/ets_pdfs/icap-etsmap-factsheet-43.pdf</t>
  </si>
  <si>
    <t>Phase 3-4 share of free allowances</t>
  </si>
  <si>
    <t>In the EU, aviation is covered by ETS1.</t>
  </si>
  <si>
    <t>Road vehicles, covered by ETS2, are not included in the pre-FF55 BAU.</t>
  </si>
  <si>
    <t>ETS1 vs ETS2 Price Projections</t>
  </si>
  <si>
    <t>fuels/FoICStCT</t>
  </si>
  <si>
    <t>ETS Price Projections tab</t>
  </si>
  <si>
    <t>Phase 4; aviation allowances</t>
  </si>
  <si>
    <t>Free allocation reduced and phased out</t>
  </si>
  <si>
    <t>2026-on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</si>
</sst>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%"/>
    <numFmt numFmtId="166" formatCode="[$€-2]\ #,##0.00"/>
    <numFmt numFmtId="167" formatCode="0.0"/>
    <numFmt numFmtId="168" formatCode="[$€-2]\ #,##0.00_);\([$€-2]\ #,##0.00\)"/>
    <numFmt numFmtId="169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Gerstner Programm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  <xf numFmtId="9" fontId="0" fillId="0" borderId="0" xfId="0" applyNumberFormat="1"/>
    <xf numFmtId="0" fontId="0" fillId="2" borderId="0" xfId="0" applyFill="1"/>
    <xf numFmtId="165" fontId="0" fillId="0" borderId="0" xfId="2" applyNumberFormat="1" applyFont="1"/>
    <xf numFmtId="2" fontId="0" fillId="0" borderId="0" xfId="0" applyNumberFormat="1"/>
    <xf numFmtId="0" fontId="1" fillId="2" borderId="0" xfId="0" applyFont="1" applyFill="1"/>
    <xf numFmtId="166" fontId="0" fillId="2" borderId="0" xfId="0" applyNumberFormat="1" applyFill="1"/>
    <xf numFmtId="164" fontId="7" fillId="2" borderId="0" xfId="0" applyNumberFormat="1" applyFont="1" applyFill="1"/>
    <xf numFmtId="2" fontId="0" fillId="2" borderId="0" xfId="0" applyNumberFormat="1" applyFill="1"/>
    <xf numFmtId="0" fontId="6" fillId="0" borderId="0" xfId="4"/>
    <xf numFmtId="0" fontId="6" fillId="0" borderId="1" xfId="4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6" fillId="0" borderId="4" xfId="4" applyBorder="1"/>
    <xf numFmtId="0" fontId="6" fillId="0" borderId="0" xfId="4" applyBorder="1"/>
    <xf numFmtId="165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5" fontId="0" fillId="0" borderId="7" xfId="2" applyNumberFormat="1" applyFont="1" applyBorder="1"/>
    <xf numFmtId="2" fontId="0" fillId="0" borderId="7" xfId="2" applyNumberFormat="1" applyFont="1" applyBorder="1"/>
    <xf numFmtId="0" fontId="7" fillId="0" borderId="0" xfId="0" applyFont="1"/>
    <xf numFmtId="0" fontId="5" fillId="0" borderId="0" xfId="0" applyFont="1"/>
    <xf numFmtId="167" fontId="0" fillId="0" borderId="0" xfId="0" applyNumberFormat="1"/>
    <xf numFmtId="9" fontId="7" fillId="0" borderId="0" xfId="2" applyFont="1"/>
    <xf numFmtId="166" fontId="0" fillId="0" borderId="0" xfId="0" applyNumberFormat="1"/>
    <xf numFmtId="164" fontId="7" fillId="0" borderId="0" xfId="0" applyNumberFormat="1" applyFont="1"/>
    <xf numFmtId="168" fontId="0" fillId="0" borderId="0" xfId="0" applyNumberFormat="1"/>
    <xf numFmtId="169" fontId="0" fillId="0" borderId="0" xfId="3" applyNumberFormat="1" applyFont="1"/>
    <xf numFmtId="168" fontId="0" fillId="0" borderId="0" xfId="3" applyNumberFormat="1" applyFont="1"/>
    <xf numFmtId="0" fontId="0" fillId="3" borderId="0" xfId="0" applyFill="1"/>
    <xf numFmtId="168" fontId="0" fillId="3" borderId="0" xfId="0" applyNumberFormat="1" applyFill="1"/>
    <xf numFmtId="44" fontId="0" fillId="0" borderId="0" xfId="3" applyFont="1"/>
    <xf numFmtId="9" fontId="0" fillId="0" borderId="0" xfId="2" applyFont="1"/>
  </cellXfs>
  <cellStyles count="5">
    <cellStyle name="Currency" xfId="3" builtinId="4"/>
    <cellStyle name="Hyperlink" xfId="4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Projections'!$D$36:$D$45</c:f>
              <c:numCache>
                <c:formatCode>[$€-2]\ #,##0.00</c:formatCode>
                <c:ptCount val="10"/>
                <c:pt idx="0">
                  <c:v>53.499312875163668</c:v>
                </c:pt>
                <c:pt idx="1">
                  <c:v>70.777648219571262</c:v>
                </c:pt>
                <c:pt idx="2">
                  <c:v>73.311213204015658</c:v>
                </c:pt>
                <c:pt idx="3">
                  <c:v>61.573121384209628</c:v>
                </c:pt>
                <c:pt idx="4">
                  <c:v>67.726806142856148</c:v>
                </c:pt>
                <c:pt idx="5">
                  <c:v>79.740717770099934</c:v>
                </c:pt>
                <c:pt idx="6">
                  <c:v>87.618946176126954</c:v>
                </c:pt>
                <c:pt idx="7">
                  <c:v>94.934884535277575</c:v>
                </c:pt>
                <c:pt idx="8">
                  <c:v>102.92194327295809</c:v>
                </c:pt>
                <c:pt idx="9">
                  <c:v>112.83485811806231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7-4BFF-BED4-5F172C339125}"/>
            </c:ext>
          </c:extLst>
        </c:ser>
        <c:ser>
          <c:idx val="2"/>
          <c:order val="1"/>
          <c:tx>
            <c:strRef>
              <c:f>'[5]ETS Calculations'!$F$33</c:f>
              <c:strCache>
                <c:ptCount val="1"/>
                <c:pt idx="0">
                  <c:v>BCTR [EUR2019]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Projections'!$F$36:$F$45</c:f>
              <c:numCache>
                <c:formatCode>0.00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38</c:v>
                </c:pt>
                <c:pt idx="6">
                  <c:v>41</c:v>
                </c:pt>
                <c:pt idx="7">
                  <c:v>44</c:v>
                </c:pt>
                <c:pt idx="8">
                  <c:v>47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97-4BFF-BED4-5F172C339125}"/>
            </c:ext>
          </c:extLst>
        </c:ser>
        <c:ser>
          <c:idx val="1"/>
          <c:order val="2"/>
          <c:tx>
            <c:strRef>
              <c:f>'fuels-FoICStCT Projections'!$G$34</c:f>
              <c:strCache>
                <c:ptCount val="1"/>
                <c:pt idx="0">
                  <c:v>Additional Carbon Tax [EUR2019]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Projections'!$G$36:$G$45</c:f>
              <c:numCache>
                <c:formatCode>[$€-2]\ #,##0.00</c:formatCode>
                <c:ptCount val="10"/>
                <c:pt idx="0">
                  <c:v>18.499312875163668</c:v>
                </c:pt>
                <c:pt idx="1">
                  <c:v>35.777648219571262</c:v>
                </c:pt>
                <c:pt idx="2">
                  <c:v>38.311213204015658</c:v>
                </c:pt>
                <c:pt idx="3">
                  <c:v>26.573121384209628</c:v>
                </c:pt>
                <c:pt idx="4">
                  <c:v>32.726806142856148</c:v>
                </c:pt>
                <c:pt idx="5">
                  <c:v>41.740717770099934</c:v>
                </c:pt>
                <c:pt idx="6">
                  <c:v>46.618946176126954</c:v>
                </c:pt>
                <c:pt idx="7">
                  <c:v>50.934884535277575</c:v>
                </c:pt>
                <c:pt idx="8">
                  <c:v>55.921943272958089</c:v>
                </c:pt>
                <c:pt idx="9">
                  <c:v>62.834858118062314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97-4BFF-BED4-5F172C339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196639"/>
        <c:axId val="11074975"/>
      </c:scatterChart>
      <c:valAx>
        <c:axId val="110819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975"/>
        <c:crosses val="autoZero"/>
        <c:crossBetween val="midCat"/>
      </c:valAx>
      <c:valAx>
        <c:axId val="110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Projections'!$B$111:$AD$111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Projections'!$B$113:$AD$113</c:f>
              <c:numCache>
                <c:formatCode>[$€-2]\ #,##0.00_);\([$€-2]\ #,##0.00\)</c:formatCode>
                <c:ptCount val="29"/>
                <c:pt idx="0">
                  <c:v>70.777648219571262</c:v>
                </c:pt>
                <c:pt idx="1">
                  <c:v>73.311213204015658</c:v>
                </c:pt>
                <c:pt idx="2">
                  <c:v>61.573121384209628</c:v>
                </c:pt>
                <c:pt idx="3">
                  <c:v>67.726806142856148</c:v>
                </c:pt>
                <c:pt idx="4">
                  <c:v>79.740717770099934</c:v>
                </c:pt>
                <c:pt idx="5">
                  <c:v>87.618946176126954</c:v>
                </c:pt>
                <c:pt idx="6">
                  <c:v>94.934884535277575</c:v>
                </c:pt>
                <c:pt idx="7">
                  <c:v>102.92194327295809</c:v>
                </c:pt>
                <c:pt idx="8">
                  <c:v>112.83485811806231</c:v>
                </c:pt>
                <c:pt idx="9">
                  <c:v>114.83485811806231</c:v>
                </c:pt>
                <c:pt idx="10">
                  <c:v>116.83485811806231</c:v>
                </c:pt>
                <c:pt idx="11">
                  <c:v>118.83485811806231</c:v>
                </c:pt>
                <c:pt idx="12">
                  <c:v>120.83485811806231</c:v>
                </c:pt>
                <c:pt idx="13">
                  <c:v>122.83485811806231</c:v>
                </c:pt>
                <c:pt idx="14">
                  <c:v>124.83485811806231</c:v>
                </c:pt>
                <c:pt idx="15">
                  <c:v>126.83485811806231</c:v>
                </c:pt>
                <c:pt idx="16">
                  <c:v>128.8348581180623</c:v>
                </c:pt>
                <c:pt idx="17">
                  <c:v>130.8348581180623</c:v>
                </c:pt>
                <c:pt idx="18">
                  <c:v>132.8348581180623</c:v>
                </c:pt>
                <c:pt idx="19">
                  <c:v>134.8348581180623</c:v>
                </c:pt>
                <c:pt idx="20">
                  <c:v>136.8348581180623</c:v>
                </c:pt>
                <c:pt idx="21">
                  <c:v>138.8348581180623</c:v>
                </c:pt>
                <c:pt idx="22">
                  <c:v>140.8348581180623</c:v>
                </c:pt>
                <c:pt idx="23">
                  <c:v>147.72542009193839</c:v>
                </c:pt>
                <c:pt idx="24">
                  <c:v>149.74742273978109</c:v>
                </c:pt>
                <c:pt idx="25">
                  <c:v>151.76942538762378</c:v>
                </c:pt>
                <c:pt idx="26">
                  <c:v>153.79142803546648</c:v>
                </c:pt>
                <c:pt idx="27">
                  <c:v>155.81343068330918</c:v>
                </c:pt>
                <c:pt idx="28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C-46CB-8D9F-BEDD5ECCA88D}"/>
            </c:ext>
          </c:extLst>
        </c:ser>
        <c:ser>
          <c:idx val="0"/>
          <c:order val="1"/>
          <c:tx>
            <c:v>ETS 1 (BAU)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'fuels-FoICStCT Projections'!$A$54:$AE$54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Projections'!$A$55:$AE$55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3C-46CB-8D9F-BEDD5ECCA88D}"/>
            </c:ext>
          </c:extLst>
        </c:ser>
        <c:ser>
          <c:idx val="1"/>
          <c:order val="2"/>
          <c:tx>
            <c:v>ETS 1 (FF55)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Projections'!$B$47:$AF$47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Projections'!$B$48:$AF$48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53.499312875163668</c:v>
                </c:pt>
                <c:pt idx="2" formatCode="[$€-2]\ #,##0.00_);\([$€-2]\ #,##0.00\)">
                  <c:v>70.777648219571262</c:v>
                </c:pt>
                <c:pt idx="3" formatCode="[$€-2]\ #,##0.00_);\([$€-2]\ #,##0.00\)">
                  <c:v>73.311213204015658</c:v>
                </c:pt>
                <c:pt idx="4" formatCode="[$€-2]\ #,##0.00_);\([$€-2]\ #,##0.00\)">
                  <c:v>61.573121384209628</c:v>
                </c:pt>
                <c:pt idx="5" formatCode="[$€-2]\ #,##0.00_);\([$€-2]\ #,##0.00\)">
                  <c:v>67.726806142856148</c:v>
                </c:pt>
                <c:pt idx="6" formatCode="[$€-2]\ #,##0.00_);\([$€-2]\ #,##0.00\)">
                  <c:v>79.740717770099934</c:v>
                </c:pt>
                <c:pt idx="7" formatCode="[$€-2]\ #,##0.00_);\([$€-2]\ #,##0.00\)">
                  <c:v>87.618946176126954</c:v>
                </c:pt>
                <c:pt idx="8" formatCode="[$€-2]\ #,##0.00_);\([$€-2]\ #,##0.00\)">
                  <c:v>94.934884535277575</c:v>
                </c:pt>
                <c:pt idx="9" formatCode="[$€-2]\ #,##0.00_);\([$€-2]\ #,##0.00\)">
                  <c:v>102.92194327295809</c:v>
                </c:pt>
                <c:pt idx="10" formatCode="[$€-2]\ #,##0.00_);\([$€-2]\ #,##0.00\)">
                  <c:v>112.83485811806231</c:v>
                </c:pt>
                <c:pt idx="11" formatCode="[$€-2]\ #,##0.00_);\([$€-2]\ #,##0.00\)">
                  <c:v>114.83485811806231</c:v>
                </c:pt>
                <c:pt idx="12" formatCode="[$€-2]\ #,##0.00_);\([$€-2]\ #,##0.00\)">
                  <c:v>116.83485811806231</c:v>
                </c:pt>
                <c:pt idx="13" formatCode="[$€-2]\ #,##0.00_);\([$€-2]\ #,##0.00\)">
                  <c:v>118.83485811806231</c:v>
                </c:pt>
                <c:pt idx="14" formatCode="[$€-2]\ #,##0.00_);\([$€-2]\ #,##0.00\)">
                  <c:v>120.83485811806231</c:v>
                </c:pt>
                <c:pt idx="15" formatCode="[$€-2]\ #,##0.00_);\([$€-2]\ #,##0.00\)">
                  <c:v>122.83485811806231</c:v>
                </c:pt>
                <c:pt idx="16" formatCode="[$€-2]\ #,##0.00_);\([$€-2]\ #,##0.00\)">
                  <c:v>124.83485811806231</c:v>
                </c:pt>
                <c:pt idx="17" formatCode="[$€-2]\ #,##0.00_);\([$€-2]\ #,##0.00\)">
                  <c:v>126.83485811806231</c:v>
                </c:pt>
                <c:pt idx="18" formatCode="[$€-2]\ #,##0.00_);\([$€-2]\ #,##0.00\)">
                  <c:v>128.8348581180623</c:v>
                </c:pt>
                <c:pt idx="19" formatCode="[$€-2]\ #,##0.00_);\([$€-2]\ #,##0.00\)">
                  <c:v>130.8348581180623</c:v>
                </c:pt>
                <c:pt idx="20" formatCode="[$€-2]\ #,##0.00_);\([$€-2]\ #,##0.00\)">
                  <c:v>132.8348581180623</c:v>
                </c:pt>
                <c:pt idx="21" formatCode="[$€-2]\ #,##0.00_);\([$€-2]\ #,##0.00\)">
                  <c:v>134.8348581180623</c:v>
                </c:pt>
                <c:pt idx="22" formatCode="[$€-2]\ #,##0.00_);\([$€-2]\ #,##0.00\)">
                  <c:v>136.8348581180623</c:v>
                </c:pt>
                <c:pt idx="23" formatCode="[$€-2]\ #,##0.00_);\([$€-2]\ #,##0.00\)">
                  <c:v>138.8348581180623</c:v>
                </c:pt>
                <c:pt idx="24" formatCode="[$€-2]\ #,##0.00_);\([$€-2]\ #,##0.00\)">
                  <c:v>140.8348581180623</c:v>
                </c:pt>
                <c:pt idx="25" formatCode="[$€-2]\ #,##0.00_);\([$€-2]\ #,##0.00\)">
                  <c:v>142.8348581180623</c:v>
                </c:pt>
                <c:pt idx="26" formatCode="[$€-2]\ #,##0.00_);\([$€-2]\ #,##0.00\)">
                  <c:v>144.8348581180623</c:v>
                </c:pt>
                <c:pt idx="27" formatCode="[$€-2]\ #,##0.00_);\([$€-2]\ #,##0.00\)">
                  <c:v>146.8348581180623</c:v>
                </c:pt>
                <c:pt idx="28" formatCode="[$€-2]\ #,##0.00_);\([$€-2]\ #,##0.00\)">
                  <c:v>148.8348581180623</c:v>
                </c:pt>
                <c:pt idx="29" formatCode="[$€-2]\ #,##0.00_);\([$€-2]\ #,##0.00\)">
                  <c:v>150.8348581180623</c:v>
                </c:pt>
                <c:pt idx="30" formatCode="[$€-2]\ #,##0.00_);\([$€-2]\ #,##0.00\)">
                  <c:v>152.8348581180623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3C-46CB-8D9F-BEDD5ECCA88D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Projections'!$D$47:$AF$47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Projections'!$B$90:$AD$90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€-2]\ #,##0.00_);\([$€-2]\ #,##0.00\)">
                  <c:v>8.5922699814955887</c:v>
                </c:pt>
                <c:pt idx="6" formatCode="[$€-2]\ #,##0.00_);\([$€-2]\ #,##0.00\)">
                  <c:v>8.5922699814955887</c:v>
                </c:pt>
                <c:pt idx="7" formatCode="[$€-2]\ #,##0.00_);\([$€-2]\ #,##0.00\)">
                  <c:v>8.5922699814955887</c:v>
                </c:pt>
                <c:pt idx="8" formatCode="[$€-2]\ #,##0.00_);\([$€-2]\ #,##0.00\)">
                  <c:v>8.5922699814955887</c:v>
                </c:pt>
                <c:pt idx="9" formatCode="[$€-2]\ #,##0.00_);\([$€-2]\ #,##0.00\)">
                  <c:v>18.56911486995098</c:v>
                </c:pt>
                <c:pt idx="10" formatCode="[$€-2]\ #,##0.00_);\([$€-2]\ #,##0.00\)">
                  <c:v>28.545959758406376</c:v>
                </c:pt>
                <c:pt idx="11" formatCode="[$€-2]\ #,##0.00_);\([$€-2]\ #,##0.00\)">
                  <c:v>38.522804646861765</c:v>
                </c:pt>
                <c:pt idx="12" formatCode="[$€-2]\ #,##0.00_);\([$€-2]\ #,##0.00\)">
                  <c:v>48.499649535317161</c:v>
                </c:pt>
                <c:pt idx="13" formatCode="[$€-2]\ #,##0.00_);\([$€-2]\ #,##0.00\)">
                  <c:v>58.476494423772557</c:v>
                </c:pt>
                <c:pt idx="14" formatCode="[$€-2]\ #,##0.00_);\([$€-2]\ #,##0.00\)">
                  <c:v>66.515117829248467</c:v>
                </c:pt>
                <c:pt idx="15" formatCode="[$€-2]\ #,##0.00_);\([$€-2]\ #,##0.00\)">
                  <c:v>74.553741234724384</c:v>
                </c:pt>
                <c:pt idx="16" formatCode="[$€-2]\ #,##0.00_);\([$€-2]\ #,##0.00\)">
                  <c:v>82.592364640200287</c:v>
                </c:pt>
                <c:pt idx="17" formatCode="[$€-2]\ #,##0.00_);\([$€-2]\ #,##0.00\)">
                  <c:v>90.63098804567619</c:v>
                </c:pt>
                <c:pt idx="18" formatCode="[$€-2]\ #,##0.00_);\([$€-2]\ #,##0.00\)">
                  <c:v>98.669611451152107</c:v>
                </c:pt>
                <c:pt idx="19" formatCode="[$€-2]\ #,##0.00_);\([$€-2]\ #,##0.00\)">
                  <c:v>108.48077317930937</c:v>
                </c:pt>
                <c:pt idx="20" formatCode="[$€-2]\ #,##0.00_);\([$€-2]\ #,##0.00\)">
                  <c:v>118.29193490746661</c:v>
                </c:pt>
                <c:pt idx="21" formatCode="[$€-2]\ #,##0.00_);\([$€-2]\ #,##0.00\)">
                  <c:v>128.10309663562387</c:v>
                </c:pt>
                <c:pt idx="22" formatCode="[$€-2]\ #,##0.00_);\([$€-2]\ #,##0.00\)">
                  <c:v>137.91425836378113</c:v>
                </c:pt>
                <c:pt idx="23" formatCode="[$€-2]\ #,##0.00_);\([$€-2]\ #,##0.00\)">
                  <c:v>147.72542009193839</c:v>
                </c:pt>
                <c:pt idx="24" formatCode="[$€-2]\ #,##0.00_);\([$€-2]\ #,##0.00\)">
                  <c:v>149.74742273978109</c:v>
                </c:pt>
                <c:pt idx="25" formatCode="[$€-2]\ #,##0.00_);\([$€-2]\ #,##0.00\)">
                  <c:v>151.76942538762378</c:v>
                </c:pt>
                <c:pt idx="26" formatCode="[$€-2]\ #,##0.00_);\([$€-2]\ #,##0.00\)">
                  <c:v>153.79142803546648</c:v>
                </c:pt>
                <c:pt idx="27" formatCode="[$€-2]\ #,##0.00_);\([$€-2]\ #,##0.00\)">
                  <c:v>155.81343068330918</c:v>
                </c:pt>
                <c:pt idx="28" formatCode="[$€-2]\ #,##0.00_);\([$€-2]\ #,##0.00\)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3C-46CB-8D9F-BEDD5ECC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759571</xdr:colOff>
      <xdr:row>25</xdr:row>
      <xdr:rowOff>9898</xdr:rowOff>
    </xdr:from>
    <xdr:to>
      <xdr:col>15</xdr:col>
      <xdr:colOff>543485</xdr:colOff>
      <xdr:row>40</xdr:row>
      <xdr:rowOff>60513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0D628-B67F-4588-8074-CE06CD458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951191</xdr:colOff>
      <xdr:row>31</xdr:row>
      <xdr:rowOff>40728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6D57E-41E1-4CEE-AFE3-4898195F8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5" y="2381250"/>
          <a:ext cx="5132666" cy="329827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70</xdr:row>
      <xdr:rowOff>86470</xdr:rowOff>
    </xdr:from>
    <xdr:to>
      <xdr:col>2</xdr:col>
      <xdr:colOff>761048</xdr:colOff>
      <xdr:row>87</xdr:row>
      <xdr:rowOff>27268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B0F5D5-810C-48E9-B27E-060B41975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207" y="12780120"/>
          <a:ext cx="4493916" cy="3020548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92</xdr:row>
      <xdr:rowOff>129988</xdr:rowOff>
    </xdr:from>
    <xdr:to>
      <xdr:col>5</xdr:col>
      <xdr:colOff>422650</xdr:colOff>
      <xdr:row>108</xdr:row>
      <xdr:rowOff>1307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CC6D7-4507-49FB-B67D-245D19A67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Dropbox%20(Energy%20Innovation)\Desktop\Models\E.U.%20Models\eps-eu\InputData\fuels\FoICStCT\Fraction%20of%20Industry%20Category%20Subject%20to%20Carbon%20Tax.xlsx" TargetMode="External"/><Relationship Id="rId1" Type="http://schemas.openxmlformats.org/officeDocument/2006/relationships/externalLinkPath" Target="/Users/dobrien/Dropbox%20(Energy%20Innovation)/Desktop/Models/E.U.%20Models/eps-eu/InputData/fuels/FoICStCT/Fraction%20of%20Industry%20Category%20Subject%20to%20Carbon%20Tax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OneDrive%20-%20Energy%20Innovation\Modeling%20and%20Research\4)%20EU%20Green%20Deal\2040%20Scoping\2040_Target_Modeling.xlsx" TargetMode="External"/><Relationship Id="rId1" Type="http://schemas.openxmlformats.org/officeDocument/2006/relationships/externalLinkPath" Target="/Users/dobrien/OneDrive%20-%20Energy%20Innovation/Modeling%20and%20Research/4)%20EU%20Green%20Deal/2040%20Scoping/2040_Target_Mode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Carbon Leakage Risk"/>
      <sheetName val="Allowance Schedule"/>
      <sheetName val="ETS Coverage"/>
      <sheetName val="ETS Price Projections"/>
      <sheetName val="Calcs"/>
      <sheetName val="FoICStCT"/>
    </sheetNames>
    <sheetDataSet>
      <sheetData sheetId="0">
        <row r="50">
          <cell r="B50">
            <v>0.9237749814519286</v>
          </cell>
        </row>
        <row r="51">
          <cell r="B51">
            <v>1.2847999999999999</v>
          </cell>
        </row>
      </sheetData>
      <sheetData sheetId="1"/>
      <sheetData sheetId="2"/>
      <sheetData sheetId="3"/>
      <sheetData sheetId="4">
        <row r="34">
          <cell r="G34" t="str">
            <v>Additional Carbon Tax [EUR2019]</v>
          </cell>
        </row>
        <row r="36">
          <cell r="B36">
            <v>2021</v>
          </cell>
          <cell r="D36">
            <v>53.499312875163668</v>
          </cell>
          <cell r="F36">
            <v>35</v>
          </cell>
          <cell r="G36">
            <v>18.499312875163668</v>
          </cell>
        </row>
        <row r="37">
          <cell r="B37">
            <v>2022</v>
          </cell>
          <cell r="D37">
            <v>70.777648219571262</v>
          </cell>
          <cell r="F37">
            <v>35</v>
          </cell>
          <cell r="G37">
            <v>35.777648219571262</v>
          </cell>
        </row>
        <row r="38">
          <cell r="B38">
            <v>2023</v>
          </cell>
          <cell r="D38">
            <v>73.311213204015658</v>
          </cell>
          <cell r="F38">
            <v>35</v>
          </cell>
          <cell r="G38">
            <v>38.311213204015658</v>
          </cell>
        </row>
        <row r="39">
          <cell r="B39">
            <v>2024</v>
          </cell>
          <cell r="D39">
            <v>61.573121384209628</v>
          </cell>
          <cell r="F39">
            <v>35</v>
          </cell>
          <cell r="G39">
            <v>26.573121384209628</v>
          </cell>
        </row>
        <row r="40">
          <cell r="B40">
            <v>2025</v>
          </cell>
          <cell r="D40">
            <v>67.726806142856148</v>
          </cell>
          <cell r="F40">
            <v>35</v>
          </cell>
          <cell r="G40">
            <v>32.726806142856148</v>
          </cell>
        </row>
        <row r="41">
          <cell r="B41">
            <v>2026</v>
          </cell>
          <cell r="D41">
            <v>79.740717770099934</v>
          </cell>
          <cell r="F41">
            <v>38</v>
          </cell>
          <cell r="G41">
            <v>41.740717770099934</v>
          </cell>
        </row>
        <row r="42">
          <cell r="B42">
            <v>2027</v>
          </cell>
          <cell r="D42">
            <v>87.618946176126954</v>
          </cell>
          <cell r="F42">
            <v>41</v>
          </cell>
          <cell r="G42">
            <v>46.618946176126954</v>
          </cell>
        </row>
        <row r="43">
          <cell r="B43">
            <v>2028</v>
          </cell>
          <cell r="D43">
            <v>94.934884535277575</v>
          </cell>
          <cell r="F43">
            <v>44</v>
          </cell>
          <cell r="G43">
            <v>50.934884535277575</v>
          </cell>
        </row>
        <row r="44">
          <cell r="B44">
            <v>2029</v>
          </cell>
          <cell r="D44">
            <v>102.92194327295809</v>
          </cell>
          <cell r="F44">
            <v>47</v>
          </cell>
          <cell r="G44">
            <v>55.921943272958089</v>
          </cell>
        </row>
        <row r="45">
          <cell r="B45">
            <v>2030</v>
          </cell>
          <cell r="D45">
            <v>112.83485811806231</v>
          </cell>
          <cell r="F45">
            <v>50</v>
          </cell>
          <cell r="G45">
            <v>62.834858118062314</v>
          </cell>
        </row>
        <row r="47">
          <cell r="B47">
            <v>2020</v>
          </cell>
          <cell r="C47">
            <v>2021</v>
          </cell>
          <cell r="D47">
            <v>2022</v>
          </cell>
          <cell r="E47">
            <v>2023</v>
          </cell>
          <cell r="F47">
            <v>2024</v>
          </cell>
          <cell r="G47">
            <v>2025</v>
          </cell>
          <cell r="H47">
            <v>2026</v>
          </cell>
          <cell r="I47">
            <v>2027</v>
          </cell>
          <cell r="J47">
            <v>2028</v>
          </cell>
          <cell r="K47">
            <v>2029</v>
          </cell>
          <cell r="L47">
            <v>2030</v>
          </cell>
          <cell r="M47">
            <v>2031</v>
          </cell>
          <cell r="N47">
            <v>2032</v>
          </cell>
          <cell r="O47">
            <v>2033</v>
          </cell>
          <cell r="P47">
            <v>2034</v>
          </cell>
          <cell r="Q47">
            <v>2035</v>
          </cell>
          <cell r="R47">
            <v>2036</v>
          </cell>
          <cell r="S47">
            <v>2037</v>
          </cell>
          <cell r="T47">
            <v>2038</v>
          </cell>
          <cell r="U47">
            <v>2039</v>
          </cell>
          <cell r="V47">
            <v>2040</v>
          </cell>
          <cell r="W47">
            <v>2041</v>
          </cell>
          <cell r="X47">
            <v>2042</v>
          </cell>
          <cell r="Y47">
            <v>2043</v>
          </cell>
          <cell r="Z47">
            <v>2044</v>
          </cell>
          <cell r="AA47">
            <v>2045</v>
          </cell>
          <cell r="AB47">
            <v>2046</v>
          </cell>
          <cell r="AC47">
            <v>2047</v>
          </cell>
          <cell r="AD47">
            <v>2048</v>
          </cell>
          <cell r="AE47">
            <v>2049</v>
          </cell>
          <cell r="AF47">
            <v>2050</v>
          </cell>
        </row>
        <row r="48">
          <cell r="B48">
            <v>24.983873327481177</v>
          </cell>
          <cell r="C48">
            <v>53.499312875163668</v>
          </cell>
          <cell r="D48">
            <v>70.777648219571262</v>
          </cell>
          <cell r="E48">
            <v>73.311213204015658</v>
          </cell>
          <cell r="F48">
            <v>61.573121384209628</v>
          </cell>
          <cell r="G48">
            <v>67.726806142856148</v>
          </cell>
          <cell r="H48">
            <v>79.740717770099934</v>
          </cell>
          <cell r="I48">
            <v>87.618946176126954</v>
          </cell>
          <cell r="J48">
            <v>94.934884535277575</v>
          </cell>
          <cell r="K48">
            <v>102.92194327295809</v>
          </cell>
          <cell r="L48">
            <v>112.83485811806231</v>
          </cell>
          <cell r="M48">
            <v>114.83485811806231</v>
          </cell>
          <cell r="N48">
            <v>116.83485811806231</v>
          </cell>
          <cell r="O48">
            <v>118.83485811806231</v>
          </cell>
          <cell r="P48">
            <v>120.83485811806231</v>
          </cell>
          <cell r="Q48">
            <v>122.83485811806231</v>
          </cell>
          <cell r="R48">
            <v>124.83485811806231</v>
          </cell>
          <cell r="S48">
            <v>126.83485811806231</v>
          </cell>
          <cell r="T48">
            <v>128.8348581180623</v>
          </cell>
          <cell r="U48">
            <v>130.8348581180623</v>
          </cell>
          <cell r="V48">
            <v>132.8348581180623</v>
          </cell>
          <cell r="W48">
            <v>134.8348581180623</v>
          </cell>
          <cell r="X48">
            <v>136.8348581180623</v>
          </cell>
          <cell r="Y48">
            <v>138.8348581180623</v>
          </cell>
          <cell r="Z48">
            <v>140.8348581180623</v>
          </cell>
          <cell r="AA48">
            <v>142.8348581180623</v>
          </cell>
          <cell r="AB48">
            <v>144.8348581180623</v>
          </cell>
          <cell r="AC48">
            <v>146.8348581180623</v>
          </cell>
          <cell r="AD48">
            <v>148.8348581180623</v>
          </cell>
          <cell r="AE48">
            <v>150.8348581180623</v>
          </cell>
          <cell r="AF48">
            <v>152.8348581180623</v>
          </cell>
        </row>
        <row r="54">
          <cell r="A54">
            <v>2020</v>
          </cell>
          <cell r="B54">
            <v>2021</v>
          </cell>
          <cell r="C54">
            <v>2022</v>
          </cell>
          <cell r="D54">
            <v>2023</v>
          </cell>
          <cell r="E54">
            <v>2024</v>
          </cell>
          <cell r="F54">
            <v>2025</v>
          </cell>
          <cell r="G54">
            <v>2026</v>
          </cell>
          <cell r="H54">
            <v>2027</v>
          </cell>
          <cell r="I54">
            <v>2028</v>
          </cell>
          <cell r="J54">
            <v>2029</v>
          </cell>
          <cell r="K54">
            <v>2030</v>
          </cell>
          <cell r="L54">
            <v>2031</v>
          </cell>
          <cell r="M54">
            <v>2032</v>
          </cell>
          <cell r="N54">
            <v>2033</v>
          </cell>
          <cell r="O54">
            <v>2034</v>
          </cell>
          <cell r="P54">
            <v>2035</v>
          </cell>
          <cell r="Q54">
            <v>2036</v>
          </cell>
          <cell r="R54">
            <v>2037</v>
          </cell>
          <cell r="S54">
            <v>2038</v>
          </cell>
          <cell r="T54">
            <v>2039</v>
          </cell>
          <cell r="U54">
            <v>2040</v>
          </cell>
          <cell r="V54">
            <v>2041</v>
          </cell>
          <cell r="W54">
            <v>2042</v>
          </cell>
          <cell r="X54">
            <v>2043</v>
          </cell>
          <cell r="Y54">
            <v>2044</v>
          </cell>
          <cell r="Z54">
            <v>2045</v>
          </cell>
          <cell r="AA54">
            <v>2046</v>
          </cell>
          <cell r="AB54">
            <v>2047</v>
          </cell>
          <cell r="AC54">
            <v>2048</v>
          </cell>
          <cell r="AD54">
            <v>2049</v>
          </cell>
          <cell r="AE54">
            <v>2050</v>
          </cell>
        </row>
        <row r="55">
          <cell r="A55">
            <v>24.983873327481177</v>
          </cell>
          <cell r="B55">
            <v>35</v>
          </cell>
          <cell r="C55">
            <v>35</v>
          </cell>
          <cell r="D55">
            <v>35</v>
          </cell>
          <cell r="E55">
            <v>35</v>
          </cell>
          <cell r="F55">
            <v>35</v>
          </cell>
          <cell r="G55">
            <v>38</v>
          </cell>
          <cell r="H55">
            <v>41</v>
          </cell>
          <cell r="I55">
            <v>44</v>
          </cell>
          <cell r="J55">
            <v>47</v>
          </cell>
          <cell r="K55">
            <v>50</v>
          </cell>
          <cell r="L55">
            <v>52</v>
          </cell>
          <cell r="M55">
            <v>54</v>
          </cell>
          <cell r="N55">
            <v>56</v>
          </cell>
          <cell r="O55">
            <v>58</v>
          </cell>
          <cell r="P55">
            <v>60</v>
          </cell>
          <cell r="Q55">
            <v>62</v>
          </cell>
          <cell r="R55">
            <v>64</v>
          </cell>
          <cell r="S55">
            <v>66</v>
          </cell>
          <cell r="T55">
            <v>68</v>
          </cell>
          <cell r="U55">
            <v>70</v>
          </cell>
          <cell r="V55">
            <v>72</v>
          </cell>
          <cell r="W55">
            <v>74</v>
          </cell>
          <cell r="X55">
            <v>76</v>
          </cell>
          <cell r="Y55">
            <v>78</v>
          </cell>
          <cell r="Z55">
            <v>80</v>
          </cell>
          <cell r="AA55">
            <v>82</v>
          </cell>
          <cell r="AB55">
            <v>84</v>
          </cell>
          <cell r="AC55">
            <v>86</v>
          </cell>
          <cell r="AD55">
            <v>88</v>
          </cell>
          <cell r="AE55">
            <v>90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8.5922699814955887</v>
          </cell>
          <cell r="H90">
            <v>8.5922699814955887</v>
          </cell>
          <cell r="I90">
            <v>8.5922699814955887</v>
          </cell>
          <cell r="J90">
            <v>8.5922699814955887</v>
          </cell>
          <cell r="K90">
            <v>18.56911486995098</v>
          </cell>
          <cell r="L90">
            <v>28.545959758406376</v>
          </cell>
          <cell r="M90">
            <v>38.522804646861765</v>
          </cell>
          <cell r="N90">
            <v>48.499649535317161</v>
          </cell>
          <cell r="O90">
            <v>58.476494423772557</v>
          </cell>
          <cell r="P90">
            <v>66.515117829248467</v>
          </cell>
          <cell r="Q90">
            <v>74.553741234724384</v>
          </cell>
          <cell r="R90">
            <v>82.592364640200287</v>
          </cell>
          <cell r="S90">
            <v>90.63098804567619</v>
          </cell>
          <cell r="T90">
            <v>98.669611451152107</v>
          </cell>
          <cell r="U90">
            <v>108.48077317930937</v>
          </cell>
          <cell r="V90">
            <v>118.29193490746661</v>
          </cell>
          <cell r="W90">
            <v>128.10309663562387</v>
          </cell>
          <cell r="X90">
            <v>137.91425836378113</v>
          </cell>
          <cell r="Y90">
            <v>147.72542009193839</v>
          </cell>
          <cell r="Z90">
            <v>149.74742273978109</v>
          </cell>
          <cell r="AA90">
            <v>151.76942538762378</v>
          </cell>
          <cell r="AB90">
            <v>153.79142803546648</v>
          </cell>
          <cell r="AC90">
            <v>155.81343068330918</v>
          </cell>
          <cell r="AD90">
            <v>157.83543333115188</v>
          </cell>
        </row>
        <row r="111">
          <cell r="B111">
            <v>2022</v>
          </cell>
          <cell r="C111">
            <v>2023</v>
          </cell>
          <cell r="D111">
            <v>2024</v>
          </cell>
          <cell r="E111">
            <v>2025</v>
          </cell>
          <cell r="F111">
            <v>2026</v>
          </cell>
          <cell r="G111">
            <v>2027</v>
          </cell>
          <cell r="H111">
            <v>2028</v>
          </cell>
          <cell r="I111">
            <v>2029</v>
          </cell>
          <cell r="J111">
            <v>2030</v>
          </cell>
          <cell r="K111">
            <v>2031</v>
          </cell>
          <cell r="L111">
            <v>2032</v>
          </cell>
          <cell r="M111">
            <v>2033</v>
          </cell>
          <cell r="N111">
            <v>2034</v>
          </cell>
          <cell r="O111">
            <v>2035</v>
          </cell>
          <cell r="P111">
            <v>2036</v>
          </cell>
          <cell r="Q111">
            <v>2037</v>
          </cell>
          <cell r="R111">
            <v>2038</v>
          </cell>
          <cell r="S111">
            <v>2039</v>
          </cell>
          <cell r="T111">
            <v>2040</v>
          </cell>
          <cell r="U111">
            <v>2041</v>
          </cell>
          <cell r="V111">
            <v>2042</v>
          </cell>
          <cell r="W111">
            <v>2043</v>
          </cell>
          <cell r="X111">
            <v>2044</v>
          </cell>
          <cell r="Y111">
            <v>2045</v>
          </cell>
          <cell r="Z111">
            <v>2046</v>
          </cell>
          <cell r="AA111">
            <v>2047</v>
          </cell>
          <cell r="AB111">
            <v>2048</v>
          </cell>
          <cell r="AC111">
            <v>2049</v>
          </cell>
          <cell r="AD111">
            <v>2050</v>
          </cell>
        </row>
        <row r="113">
          <cell r="B113">
            <v>70.777648219571262</v>
          </cell>
          <cell r="C113">
            <v>73.311213204015658</v>
          </cell>
          <cell r="D113">
            <v>61.573121384209628</v>
          </cell>
          <cell r="E113">
            <v>67.726806142856148</v>
          </cell>
          <cell r="F113">
            <v>79.740717770099934</v>
          </cell>
          <cell r="G113">
            <v>87.618946176126954</v>
          </cell>
          <cell r="H113">
            <v>94.934884535277575</v>
          </cell>
          <cell r="I113">
            <v>102.92194327295809</v>
          </cell>
          <cell r="J113">
            <v>112.83485811806231</v>
          </cell>
          <cell r="K113">
            <v>114.83485811806231</v>
          </cell>
          <cell r="L113">
            <v>116.83485811806231</v>
          </cell>
          <cell r="M113">
            <v>118.83485811806231</v>
          </cell>
          <cell r="N113">
            <v>120.83485811806231</v>
          </cell>
          <cell r="O113">
            <v>122.83485811806231</v>
          </cell>
          <cell r="P113">
            <v>124.83485811806231</v>
          </cell>
          <cell r="Q113">
            <v>126.83485811806231</v>
          </cell>
          <cell r="R113">
            <v>128.8348581180623</v>
          </cell>
          <cell r="S113">
            <v>130.8348581180623</v>
          </cell>
          <cell r="T113">
            <v>132.8348581180623</v>
          </cell>
          <cell r="U113">
            <v>134.8348581180623</v>
          </cell>
          <cell r="V113">
            <v>136.8348581180623</v>
          </cell>
          <cell r="W113">
            <v>138.8348581180623</v>
          </cell>
          <cell r="X113">
            <v>140.8348581180623</v>
          </cell>
          <cell r="Y113">
            <v>147.72542009193839</v>
          </cell>
          <cell r="Z113">
            <v>149.74742273978109</v>
          </cell>
          <cell r="AA113">
            <v>151.76942538762378</v>
          </cell>
          <cell r="AB113">
            <v>153.79142803546648</v>
          </cell>
          <cell r="AC113">
            <v>155.81343068330918</v>
          </cell>
          <cell r="AD113">
            <v>157.83543333115188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TS Auction Prices"/>
      <sheetName val="EPS 3.4.5 (2023) Modeling --&gt;"/>
      <sheetName val="Top-Down Targets"/>
      <sheetName val="Fit for 55 (2022)"/>
      <sheetName val="FIt for 55 (2023)"/>
      <sheetName val="Bottom-Up EUGD EPS Inputs"/>
      <sheetName val="Bottom-Up EUGD Policies"/>
      <sheetName val="Efficiency Target"/>
      <sheetName val="ETS Calculations"/>
      <sheetName val="Buildings RES Target"/>
      <sheetName val="Industry RES Target"/>
      <sheetName val="LCFS EPS Settings"/>
      <sheetName val="Crosswalk"/>
      <sheetName val="Output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3">
          <cell r="F33" t="str">
            <v>BCTR [EUR2019]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F16"/>
  <sheetViews>
    <sheetView workbookViewId="0">
      <selection activeCell="A11" sqref="A11"/>
    </sheetView>
  </sheetViews>
  <sheetFormatPr defaultRowHeight="14.5" x14ac:dyDescent="0.35"/>
  <sheetData>
    <row r="1" spans="1:6" x14ac:dyDescent="0.35">
      <c r="A1" s="1" t="s">
        <v>3</v>
      </c>
    </row>
    <row r="3" spans="1:6" x14ac:dyDescent="0.35">
      <c r="A3" s="1" t="s">
        <v>1</v>
      </c>
      <c r="B3" s="10" t="s">
        <v>100</v>
      </c>
      <c r="C3" s="7"/>
      <c r="D3" s="7"/>
      <c r="E3" s="7"/>
      <c r="F3" s="7"/>
    </row>
    <row r="4" spans="1:6" x14ac:dyDescent="0.35">
      <c r="A4" s="1"/>
      <c r="B4" t="s">
        <v>101</v>
      </c>
    </row>
    <row r="5" spans="1:6" x14ac:dyDescent="0.35">
      <c r="A5" s="1"/>
      <c r="B5" t="s">
        <v>102</v>
      </c>
    </row>
    <row r="6" spans="1:6" x14ac:dyDescent="0.35">
      <c r="A6" s="1"/>
      <c r="B6" t="s">
        <v>103</v>
      </c>
    </row>
    <row r="8" spans="1:6" x14ac:dyDescent="0.35">
      <c r="B8" s="10" t="s">
        <v>106</v>
      </c>
      <c r="C8" s="7"/>
      <c r="D8" s="7"/>
      <c r="E8" s="7"/>
      <c r="F8" s="7"/>
    </row>
    <row r="9" spans="1:6" x14ac:dyDescent="0.35">
      <c r="B9" t="s">
        <v>107</v>
      </c>
    </row>
    <row r="10" spans="1:6" x14ac:dyDescent="0.35">
      <c r="B10" t="s">
        <v>108</v>
      </c>
    </row>
    <row r="12" spans="1:6" x14ac:dyDescent="0.35">
      <c r="A12" s="1" t="s">
        <v>2</v>
      </c>
    </row>
    <row r="13" spans="1:6" x14ac:dyDescent="0.35">
      <c r="A13" t="s">
        <v>4</v>
      </c>
    </row>
    <row r="14" spans="1:6" x14ac:dyDescent="0.35">
      <c r="A14" t="s">
        <v>104</v>
      </c>
    </row>
    <row r="16" spans="1:6" x14ac:dyDescent="0.35">
      <c r="A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470D-7F91-4C07-AA99-4487395F5322}">
  <dimension ref="A1:B10"/>
  <sheetViews>
    <sheetView workbookViewId="0">
      <selection activeCell="F14" sqref="F14"/>
    </sheetView>
  </sheetViews>
  <sheetFormatPr defaultRowHeight="14.5" x14ac:dyDescent="0.35"/>
  <cols>
    <col min="1" max="1" width="9.81640625" bestFit="1" customWidth="1"/>
  </cols>
  <sheetData>
    <row r="1" spans="1:2" s="7" customFormat="1" x14ac:dyDescent="0.35">
      <c r="A1" s="7" t="s">
        <v>11</v>
      </c>
    </row>
    <row r="2" spans="1:2" x14ac:dyDescent="0.35">
      <c r="A2" s="6">
        <v>0.15</v>
      </c>
      <c r="B2" t="s">
        <v>12</v>
      </c>
    </row>
    <row r="3" spans="1:2" x14ac:dyDescent="0.35">
      <c r="A3" s="6">
        <v>0.82</v>
      </c>
      <c r="B3" t="s">
        <v>13</v>
      </c>
    </row>
    <row r="4" spans="1:2" x14ac:dyDescent="0.35">
      <c r="A4" s="6">
        <v>0.03</v>
      </c>
      <c r="B4" t="s">
        <v>14</v>
      </c>
    </row>
    <row r="6" spans="1:2" s="7" customFormat="1" x14ac:dyDescent="0.35">
      <c r="A6" s="7" t="s">
        <v>109</v>
      </c>
    </row>
    <row r="7" spans="1:2" x14ac:dyDescent="0.35">
      <c r="A7" s="8" t="s">
        <v>110</v>
      </c>
    </row>
    <row r="8" spans="1:2" x14ac:dyDescent="0.35">
      <c r="A8" s="45">
        <v>0.75</v>
      </c>
      <c r="B8">
        <v>2024</v>
      </c>
    </row>
    <row r="9" spans="1:2" x14ac:dyDescent="0.35">
      <c r="A9" s="45">
        <v>0.5</v>
      </c>
      <c r="B9">
        <v>2025</v>
      </c>
    </row>
    <row r="10" spans="1:2" x14ac:dyDescent="0.35">
      <c r="A10" s="45">
        <v>0</v>
      </c>
      <c r="B1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2C4-FA3F-490E-990F-9DE99A151F61}">
  <dimension ref="A1:AF115"/>
  <sheetViews>
    <sheetView topLeftCell="A88" zoomScale="70" zoomScaleNormal="70" workbookViewId="0">
      <selection activeCell="D119" sqref="D119"/>
    </sheetView>
  </sheetViews>
  <sheetFormatPr defaultRowHeight="14.5" x14ac:dyDescent="0.35"/>
  <cols>
    <col min="1" max="1" width="33.7265625" customWidth="1"/>
    <col min="2" max="2" width="24" customWidth="1"/>
    <col min="3" max="3" width="19.90625" customWidth="1"/>
    <col min="4" max="4" width="15.90625" bestFit="1" customWidth="1"/>
    <col min="5" max="5" width="16.36328125" customWidth="1"/>
    <col min="6" max="6" width="17.7265625" customWidth="1"/>
    <col min="7" max="7" width="13.1796875" customWidth="1"/>
    <col min="8" max="18" width="11.1796875" bestFit="1" customWidth="1"/>
  </cols>
  <sheetData>
    <row r="1" spans="1:29" s="7" customFormat="1" x14ac:dyDescent="0.35">
      <c r="A1" s="10" t="s">
        <v>15</v>
      </c>
      <c r="D1" s="11"/>
      <c r="E1" s="12"/>
      <c r="F1" s="13"/>
      <c r="G1" s="11"/>
      <c r="H1" s="12"/>
    </row>
    <row r="2" spans="1:29" ht="15" thickBot="1" x14ac:dyDescent="0.4"/>
    <row r="3" spans="1:29" x14ac:dyDescent="0.35">
      <c r="B3" s="14" t="s">
        <v>16</v>
      </c>
      <c r="E3" s="15" t="s">
        <v>17</v>
      </c>
      <c r="F3" s="16">
        <v>1.00248</v>
      </c>
      <c r="G3" s="17" t="s">
        <v>18</v>
      </c>
      <c r="I3" s="18" t="s">
        <v>19</v>
      </c>
      <c r="J3" s="19"/>
      <c r="K3" s="19"/>
      <c r="L3" s="19"/>
      <c r="M3" s="19"/>
      <c r="N3" s="17"/>
      <c r="P3" s="18" t="s">
        <v>20</v>
      </c>
      <c r="Q3" s="19"/>
      <c r="R3" s="17"/>
    </row>
    <row r="4" spans="1:29" x14ac:dyDescent="0.35">
      <c r="B4" s="20" t="s">
        <v>21</v>
      </c>
      <c r="E4" s="21" t="s">
        <v>22</v>
      </c>
      <c r="F4" s="9">
        <v>1.02844</v>
      </c>
      <c r="G4" s="22" t="s">
        <v>23</v>
      </c>
      <c r="I4" s="23" t="s">
        <v>24</v>
      </c>
      <c r="N4" s="22"/>
      <c r="P4" s="23" t="s">
        <v>24</v>
      </c>
      <c r="Q4" s="24" t="s">
        <v>24</v>
      </c>
      <c r="R4" s="22"/>
      <c r="AA4" s="14">
        <v>2020</v>
      </c>
      <c r="AB4" t="s">
        <v>25</v>
      </c>
      <c r="AC4">
        <v>23.88</v>
      </c>
    </row>
    <row r="5" spans="1:29" x14ac:dyDescent="0.35">
      <c r="B5" s="20" t="s">
        <v>26</v>
      </c>
      <c r="E5" s="21" t="s">
        <v>22</v>
      </c>
      <c r="F5" s="9">
        <v>1.1149</v>
      </c>
      <c r="G5" s="22" t="s">
        <v>27</v>
      </c>
      <c r="I5" s="21">
        <v>2024</v>
      </c>
      <c r="J5" s="25">
        <v>2.4E-2</v>
      </c>
      <c r="K5" s="25"/>
      <c r="L5" s="25" t="s">
        <v>28</v>
      </c>
      <c r="M5" s="26">
        <f>F6*(1+J5)</f>
        <v>1.2036096000000001</v>
      </c>
      <c r="N5" s="22" t="s">
        <v>29</v>
      </c>
      <c r="P5" s="21" t="s">
        <v>30</v>
      </c>
      <c r="Q5">
        <v>1.1198999999999999</v>
      </c>
      <c r="R5" s="22" t="s">
        <v>31</v>
      </c>
      <c r="AB5" t="s">
        <v>32</v>
      </c>
      <c r="AC5">
        <v>23.61</v>
      </c>
    </row>
    <row r="6" spans="1:29" ht="15" thickBot="1" x14ac:dyDescent="0.4">
      <c r="B6" s="20" t="s">
        <v>33</v>
      </c>
      <c r="E6" s="27" t="s">
        <v>22</v>
      </c>
      <c r="F6" s="28">
        <v>1.1754</v>
      </c>
      <c r="G6" s="29" t="s">
        <v>34</v>
      </c>
      <c r="I6" s="21">
        <v>2025</v>
      </c>
      <c r="J6" s="25">
        <v>2.1999999999999999E-2</v>
      </c>
      <c r="K6" s="25"/>
      <c r="L6" s="25" t="s">
        <v>28</v>
      </c>
      <c r="M6" s="26">
        <f>M5*(1+J6)</f>
        <v>1.2300890112</v>
      </c>
      <c r="N6" s="22" t="s">
        <v>35</v>
      </c>
      <c r="P6" s="27" t="s">
        <v>36</v>
      </c>
      <c r="Q6" s="30">
        <f>1/1.1135</f>
        <v>0.89806915132465204</v>
      </c>
      <c r="R6" s="29" t="s">
        <v>37</v>
      </c>
      <c r="AB6" t="s">
        <v>38</v>
      </c>
      <c r="AC6">
        <v>17.68</v>
      </c>
    </row>
    <row r="7" spans="1:29" ht="15" thickBot="1" x14ac:dyDescent="0.4">
      <c r="I7" s="27" t="s">
        <v>39</v>
      </c>
      <c r="J7" s="31">
        <v>0.02</v>
      </c>
      <c r="K7" s="31"/>
      <c r="L7" s="31" t="s">
        <v>28</v>
      </c>
      <c r="M7" s="32">
        <f>M6*(1+J7)^5</f>
        <v>1.3581176634931897</v>
      </c>
      <c r="N7" s="29" t="s">
        <v>40</v>
      </c>
      <c r="AB7" t="s">
        <v>41</v>
      </c>
      <c r="AC7">
        <v>19.57</v>
      </c>
    </row>
    <row r="8" spans="1:29" x14ac:dyDescent="0.35">
      <c r="B8" s="14" t="s">
        <v>42</v>
      </c>
      <c r="AB8" t="s">
        <v>43</v>
      </c>
      <c r="AC8">
        <v>21.4</v>
      </c>
    </row>
    <row r="9" spans="1:29" x14ac:dyDescent="0.35">
      <c r="B9" s="20" t="s">
        <v>44</v>
      </c>
      <c r="AB9" t="s">
        <v>45</v>
      </c>
      <c r="AC9">
        <v>26.97</v>
      </c>
    </row>
    <row r="10" spans="1:29" x14ac:dyDescent="0.35">
      <c r="B10" s="20" t="s">
        <v>46</v>
      </c>
      <c r="AB10" t="s">
        <v>47</v>
      </c>
      <c r="AC10">
        <v>26.28</v>
      </c>
    </row>
    <row r="11" spans="1:29" x14ac:dyDescent="0.35">
      <c r="B11" s="20" t="s">
        <v>48</v>
      </c>
      <c r="AB11" t="s">
        <v>49</v>
      </c>
      <c r="AC11">
        <v>28.66</v>
      </c>
    </row>
    <row r="12" spans="1:29" x14ac:dyDescent="0.35">
      <c r="AB12" t="s">
        <v>50</v>
      </c>
      <c r="AC12">
        <v>26.93</v>
      </c>
    </row>
    <row r="13" spans="1:29" x14ac:dyDescent="0.35">
      <c r="B13" s="14" t="s">
        <v>51</v>
      </c>
      <c r="AB13" t="s">
        <v>52</v>
      </c>
      <c r="AC13">
        <v>23.71</v>
      </c>
    </row>
    <row r="14" spans="1:29" x14ac:dyDescent="0.35">
      <c r="V14">
        <v>1.182841</v>
      </c>
      <c r="AB14" t="s">
        <v>53</v>
      </c>
      <c r="AC14">
        <v>29.14</v>
      </c>
    </row>
    <row r="15" spans="1:29" x14ac:dyDescent="0.35">
      <c r="G15" s="1" t="s">
        <v>54</v>
      </c>
      <c r="AB15" t="s">
        <v>55</v>
      </c>
      <c r="AC15">
        <v>32.72</v>
      </c>
    </row>
    <row r="16" spans="1:29" x14ac:dyDescent="0.35">
      <c r="G16" t="s">
        <v>56</v>
      </c>
      <c r="I16" t="s">
        <v>57</v>
      </c>
      <c r="K16" t="s">
        <v>58</v>
      </c>
      <c r="M16" t="s">
        <v>59</v>
      </c>
      <c r="O16" t="s">
        <v>60</v>
      </c>
      <c r="Q16" t="s">
        <v>61</v>
      </c>
      <c r="S16" t="s">
        <v>62</v>
      </c>
      <c r="U16" s="33" t="s">
        <v>63</v>
      </c>
      <c r="AA16" s="14">
        <v>2021</v>
      </c>
      <c r="AB16" t="s">
        <v>25</v>
      </c>
      <c r="AC16">
        <v>32.950000000000003</v>
      </c>
    </row>
    <row r="17" spans="4:29" x14ac:dyDescent="0.35">
      <c r="D17" s="34" t="s">
        <v>64</v>
      </c>
      <c r="G17" t="s">
        <v>65</v>
      </c>
      <c r="H17" t="s">
        <v>66</v>
      </c>
      <c r="I17" t="s">
        <v>65</v>
      </c>
      <c r="J17" t="s">
        <v>66</v>
      </c>
      <c r="K17" t="s">
        <v>65</v>
      </c>
      <c r="L17" t="s">
        <v>66</v>
      </c>
      <c r="M17" t="s">
        <v>65</v>
      </c>
      <c r="N17" t="s">
        <v>66</v>
      </c>
      <c r="O17" t="s">
        <v>65</v>
      </c>
      <c r="P17" t="s">
        <v>66</v>
      </c>
      <c r="Q17" t="s">
        <v>65</v>
      </c>
      <c r="R17" t="s">
        <v>66</v>
      </c>
      <c r="S17" t="s">
        <v>65</v>
      </c>
      <c r="T17" t="s">
        <v>66</v>
      </c>
      <c r="U17" s="33"/>
      <c r="AB17" t="s">
        <v>32</v>
      </c>
      <c r="AC17">
        <v>37.28</v>
      </c>
    </row>
    <row r="18" spans="4:29" x14ac:dyDescent="0.35">
      <c r="G18">
        <v>2025</v>
      </c>
      <c r="H18">
        <v>56</v>
      </c>
      <c r="I18">
        <v>2025</v>
      </c>
      <c r="J18">
        <v>76</v>
      </c>
      <c r="K18">
        <v>2025</v>
      </c>
      <c r="L18">
        <v>77.58</v>
      </c>
      <c r="M18">
        <v>2025</v>
      </c>
      <c r="N18">
        <v>85</v>
      </c>
      <c r="O18">
        <v>2025</v>
      </c>
      <c r="P18">
        <v>105.75</v>
      </c>
      <c r="Q18">
        <v>2025</v>
      </c>
      <c r="R18">
        <f>94*V14</f>
        <v>111.187054</v>
      </c>
      <c r="S18">
        <v>2025</v>
      </c>
      <c r="T18">
        <f>AVERAGE(H18,J18,L18,N18,P18,R18)</f>
        <v>85.252842333333334</v>
      </c>
      <c r="U18" s="33"/>
      <c r="V18" s="35"/>
      <c r="AB18" t="s">
        <v>38</v>
      </c>
      <c r="AC18">
        <v>42.55</v>
      </c>
    </row>
    <row r="19" spans="4:29" x14ac:dyDescent="0.35">
      <c r="G19">
        <v>2026</v>
      </c>
      <c r="H19">
        <v>73</v>
      </c>
      <c r="I19">
        <v>2026</v>
      </c>
      <c r="J19">
        <v>84</v>
      </c>
      <c r="K19">
        <v>2026</v>
      </c>
      <c r="L19">
        <v>81.08</v>
      </c>
      <c r="M19">
        <v>2026</v>
      </c>
      <c r="N19">
        <f>N$18+(N$23-N$18)*(M19-M$18)/(M$23-M$18)</f>
        <v>97.8</v>
      </c>
      <c r="O19">
        <v>2026</v>
      </c>
      <c r="P19">
        <v>118.53</v>
      </c>
      <c r="Q19">
        <v>2026</v>
      </c>
      <c r="R19">
        <f>99*V14</f>
        <v>117.101259</v>
      </c>
      <c r="S19">
        <v>2026</v>
      </c>
      <c r="T19">
        <f t="shared" ref="T19:T23" si="0">AVERAGE(H19,J19,L19,N19,P19,R19)</f>
        <v>95.251876499999995</v>
      </c>
      <c r="U19" s="36">
        <f>(T19-T18)/T18</f>
        <v>0.11728681288503034</v>
      </c>
      <c r="V19" s="35"/>
      <c r="AB19" t="s">
        <v>41</v>
      </c>
      <c r="AC19">
        <v>48.84</v>
      </c>
    </row>
    <row r="20" spans="4:29" x14ac:dyDescent="0.35">
      <c r="G20">
        <v>2027</v>
      </c>
      <c r="H20">
        <v>92</v>
      </c>
      <c r="I20">
        <v>2027</v>
      </c>
      <c r="J20">
        <v>96</v>
      </c>
      <c r="K20">
        <v>2027</v>
      </c>
      <c r="L20">
        <v>84.29</v>
      </c>
      <c r="M20">
        <v>2027</v>
      </c>
      <c r="N20">
        <f>N$18+(N$23-N$18)*(M20-M$18)/(M$23-M$18)</f>
        <v>110.6</v>
      </c>
      <c r="O20">
        <v>2027</v>
      </c>
      <c r="P20">
        <v>122.07</v>
      </c>
      <c r="Q20">
        <v>2027</v>
      </c>
      <c r="R20">
        <f>104*V14</f>
        <v>123.01546400000001</v>
      </c>
      <c r="S20">
        <v>2027</v>
      </c>
      <c r="T20">
        <f t="shared" si="0"/>
        <v>104.66257733333333</v>
      </c>
      <c r="U20" s="36">
        <f t="shared" ref="U20:U23" si="1">(T20-T19)/T19</f>
        <v>9.8798062349284399E-2</v>
      </c>
      <c r="V20" s="35"/>
      <c r="AB20" t="s">
        <v>43</v>
      </c>
      <c r="AC20">
        <v>51.7</v>
      </c>
    </row>
    <row r="21" spans="4:29" x14ac:dyDescent="0.35">
      <c r="G21">
        <v>2028</v>
      </c>
      <c r="H21">
        <v>113</v>
      </c>
      <c r="I21">
        <v>2028</v>
      </c>
      <c r="J21">
        <v>106</v>
      </c>
      <c r="K21">
        <v>2028</v>
      </c>
      <c r="L21">
        <v>85.51</v>
      </c>
      <c r="M21">
        <v>2028</v>
      </c>
      <c r="N21">
        <f>N$18+(N$23-N$18)*(M21-M$18)/(M$23-M$18)</f>
        <v>123.4</v>
      </c>
      <c r="O21">
        <v>2028</v>
      </c>
      <c r="P21">
        <v>123.57</v>
      </c>
      <c r="Q21">
        <v>2028</v>
      </c>
      <c r="R21">
        <f>109*V14</f>
        <v>128.92966899999999</v>
      </c>
      <c r="S21">
        <v>2028</v>
      </c>
      <c r="T21">
        <f t="shared" si="0"/>
        <v>113.4016115</v>
      </c>
      <c r="U21" s="36">
        <f t="shared" si="1"/>
        <v>8.3497219248043777E-2</v>
      </c>
      <c r="V21" s="35"/>
      <c r="AB21" t="s">
        <v>45</v>
      </c>
      <c r="AC21">
        <v>56.37</v>
      </c>
    </row>
    <row r="22" spans="4:29" x14ac:dyDescent="0.35">
      <c r="G22">
        <v>2029</v>
      </c>
      <c r="H22">
        <v>136</v>
      </c>
      <c r="I22">
        <v>2029</v>
      </c>
      <c r="J22">
        <v>116</v>
      </c>
      <c r="K22">
        <v>2029</v>
      </c>
      <c r="L22">
        <v>82.93</v>
      </c>
      <c r="M22">
        <v>2029</v>
      </c>
      <c r="N22">
        <f>N$18+(N$23-N$18)*(M22-M$18)/(M$23-M$18)</f>
        <v>136.19999999999999</v>
      </c>
      <c r="O22">
        <v>2029</v>
      </c>
      <c r="P22">
        <v>131.68</v>
      </c>
      <c r="Q22">
        <v>2029</v>
      </c>
      <c r="R22">
        <f>114*V14</f>
        <v>134.843874</v>
      </c>
      <c r="S22">
        <v>2029</v>
      </c>
      <c r="T22">
        <f t="shared" si="0"/>
        <v>122.94231233333333</v>
      </c>
      <c r="U22" s="36">
        <f t="shared" si="1"/>
        <v>8.4131968736029225E-2</v>
      </c>
      <c r="V22" s="35"/>
      <c r="AB22" t="s">
        <v>47</v>
      </c>
      <c r="AC22">
        <v>53.33</v>
      </c>
    </row>
    <row r="23" spans="4:29" x14ac:dyDescent="0.35">
      <c r="G23">
        <v>2030</v>
      </c>
      <c r="H23">
        <v>160</v>
      </c>
      <c r="I23">
        <v>2030</v>
      </c>
      <c r="J23">
        <v>127</v>
      </c>
      <c r="K23">
        <v>2030</v>
      </c>
      <c r="L23">
        <v>83.54</v>
      </c>
      <c r="M23">
        <v>2030</v>
      </c>
      <c r="N23">
        <v>149</v>
      </c>
      <c r="O23">
        <v>2030</v>
      </c>
      <c r="P23">
        <v>147.22</v>
      </c>
      <c r="Q23">
        <v>2030</v>
      </c>
      <c r="R23">
        <f>120*V14</f>
        <v>141.94092000000001</v>
      </c>
      <c r="S23">
        <v>2030</v>
      </c>
      <c r="T23">
        <f t="shared" si="0"/>
        <v>134.78348666666668</v>
      </c>
      <c r="U23" s="36">
        <f t="shared" si="1"/>
        <v>9.6314882228897572E-2</v>
      </c>
      <c r="V23" s="35"/>
      <c r="AB23" t="s">
        <v>49</v>
      </c>
      <c r="AC23">
        <v>60.76</v>
      </c>
    </row>
    <row r="24" spans="4:29" x14ac:dyDescent="0.35">
      <c r="AB24" t="s">
        <v>50</v>
      </c>
      <c r="AC24">
        <v>61.74</v>
      </c>
    </row>
    <row r="25" spans="4:29" x14ac:dyDescent="0.35">
      <c r="AB25" t="s">
        <v>52</v>
      </c>
      <c r="AC25">
        <v>58.71</v>
      </c>
    </row>
    <row r="26" spans="4:29" x14ac:dyDescent="0.35">
      <c r="AB26" t="s">
        <v>53</v>
      </c>
      <c r="AC26">
        <v>75.37</v>
      </c>
    </row>
    <row r="27" spans="4:29" x14ac:dyDescent="0.35">
      <c r="AB27" t="s">
        <v>55</v>
      </c>
      <c r="AC27">
        <v>80.650000000000006</v>
      </c>
    </row>
    <row r="34" spans="1:32" x14ac:dyDescent="0.35">
      <c r="B34" t="s">
        <v>67</v>
      </c>
      <c r="C34" t="s">
        <v>68</v>
      </c>
      <c r="D34" t="s">
        <v>69</v>
      </c>
      <c r="F34" t="s">
        <v>70</v>
      </c>
      <c r="G34" t="s">
        <v>71</v>
      </c>
      <c r="H34" t="s">
        <v>72</v>
      </c>
    </row>
    <row r="35" spans="1:32" x14ac:dyDescent="0.35">
      <c r="B35">
        <v>2020</v>
      </c>
      <c r="C35" s="9">
        <f>AVERAGE(AC4:AC15)</f>
        <v>25.045833333333331</v>
      </c>
      <c r="D35" s="37">
        <f>C35/F3</f>
        <v>24.983873327481177</v>
      </c>
    </row>
    <row r="36" spans="1:32" x14ac:dyDescent="0.35">
      <c r="B36">
        <v>2021</v>
      </c>
      <c r="C36" s="9">
        <f>AVERAGE(AC16:AC27)</f>
        <v>55.020833333333321</v>
      </c>
      <c r="D36" s="37">
        <f>C36/F4</f>
        <v>53.499312875163668</v>
      </c>
      <c r="E36" s="38">
        <f>D36/MAX(D$38:D$45)</f>
        <v>0.47413816765015843</v>
      </c>
      <c r="F36" s="9" cm="1">
        <f t="array" ref="F36:F45">TRANSPOSE(B55:K55)</f>
        <v>35</v>
      </c>
      <c r="G36" s="37">
        <f t="shared" ref="G36:G45" si="2">D36-F36</f>
        <v>18.499312875163668</v>
      </c>
      <c r="H36" s="38">
        <f t="shared" ref="H36:H37" si="3">G36/MAX(G$38:G$45)</f>
        <v>0.29441162802348897</v>
      </c>
    </row>
    <row r="37" spans="1:32" x14ac:dyDescent="0.35">
      <c r="B37">
        <v>2022</v>
      </c>
      <c r="C37" s="14">
        <v>78.91</v>
      </c>
      <c r="D37" s="37">
        <f>C37/F5</f>
        <v>70.777648219571262</v>
      </c>
      <c r="E37" s="38">
        <f t="shared" ref="E37:E45" si="4">D37/MAX(D$38:D$45)</f>
        <v>0.62726757847751802</v>
      </c>
      <c r="F37" s="9">
        <v>35</v>
      </c>
      <c r="G37" s="37">
        <f t="shared" si="2"/>
        <v>35.777648219571262</v>
      </c>
      <c r="H37" s="38">
        <f t="shared" si="3"/>
        <v>0.56939172445249353</v>
      </c>
    </row>
    <row r="38" spans="1:32" x14ac:dyDescent="0.35">
      <c r="B38">
        <v>2023</v>
      </c>
      <c r="C38">
        <v>86.17</v>
      </c>
      <c r="D38" s="37">
        <f>C38/F6</f>
        <v>73.311213204015658</v>
      </c>
      <c r="E38" s="38">
        <f t="shared" si="4"/>
        <v>0.64972132217606071</v>
      </c>
      <c r="F38" s="9">
        <v>35</v>
      </c>
      <c r="G38" s="37">
        <f t="shared" si="2"/>
        <v>38.311213204015658</v>
      </c>
      <c r="H38" s="38">
        <f>G38/MAX(G$38:G$45)</f>
        <v>0.60971273511959811</v>
      </c>
    </row>
    <row r="39" spans="1:32" x14ac:dyDescent="0.35">
      <c r="B39">
        <v>2024</v>
      </c>
      <c r="C39">
        <v>74.11</v>
      </c>
      <c r="D39" s="37">
        <f>C39/M5</f>
        <v>61.573121384209628</v>
      </c>
      <c r="E39" s="38">
        <f t="shared" si="4"/>
        <v>0.5456923721194733</v>
      </c>
      <c r="F39" s="9">
        <v>35</v>
      </c>
      <c r="G39" s="37">
        <f t="shared" si="2"/>
        <v>26.573121384209628</v>
      </c>
      <c r="H39" s="38">
        <f t="shared" ref="H39:H45" si="5">G39/MAX(G$38:G$45)</f>
        <v>0.42290413601763194</v>
      </c>
    </row>
    <row r="40" spans="1:32" x14ac:dyDescent="0.35">
      <c r="B40">
        <v>2025</v>
      </c>
      <c r="C40">
        <v>83.31</v>
      </c>
      <c r="D40" s="37">
        <f>C40/M6</f>
        <v>67.726806142856148</v>
      </c>
      <c r="E40" s="38">
        <f t="shared" si="4"/>
        <v>0.60022946164377389</v>
      </c>
      <c r="F40" s="9">
        <v>35</v>
      </c>
      <c r="G40" s="37">
        <f t="shared" si="2"/>
        <v>32.726806142856148</v>
      </c>
      <c r="H40" s="38">
        <f t="shared" si="5"/>
        <v>0.52083838689290529</v>
      </c>
    </row>
    <row r="41" spans="1:32" x14ac:dyDescent="0.35">
      <c r="B41">
        <v>2026</v>
      </c>
      <c r="C41">
        <v>100.13</v>
      </c>
      <c r="D41" s="37">
        <f>C41/(M6+(M7-M6)/5)</f>
        <v>79.740717770099934</v>
      </c>
      <c r="E41" s="38">
        <f t="shared" si="4"/>
        <v>0.70670286735917154</v>
      </c>
      <c r="F41" s="9">
        <v>38</v>
      </c>
      <c r="G41" s="37">
        <f t="shared" si="2"/>
        <v>41.740717770099934</v>
      </c>
      <c r="H41" s="38">
        <f t="shared" si="5"/>
        <v>0.66429238515462286</v>
      </c>
    </row>
    <row r="42" spans="1:32" x14ac:dyDescent="0.35">
      <c r="B42">
        <v>2027</v>
      </c>
      <c r="D42" s="37">
        <f>D41*(1+U20)</f>
        <v>87.618946176126954</v>
      </c>
      <c r="E42" s="38">
        <f t="shared" si="4"/>
        <v>0.77652374131094104</v>
      </c>
      <c r="F42" s="9">
        <v>41</v>
      </c>
      <c r="G42" s="37">
        <f t="shared" si="2"/>
        <v>46.618946176126954</v>
      </c>
      <c r="H42" s="38">
        <f t="shared" si="5"/>
        <v>0.7419280885226669</v>
      </c>
    </row>
    <row r="43" spans="1:32" x14ac:dyDescent="0.35">
      <c r="B43">
        <v>2028</v>
      </c>
      <c r="D43" s="37">
        <f>D42*(1+U21)</f>
        <v>94.934884535277575</v>
      </c>
      <c r="E43" s="38">
        <f t="shared" si="4"/>
        <v>0.84136131439049189</v>
      </c>
      <c r="F43" s="9">
        <v>44</v>
      </c>
      <c r="G43" s="37">
        <f t="shared" si="2"/>
        <v>50.934884535277575</v>
      </c>
      <c r="H43" s="38">
        <f t="shared" si="5"/>
        <v>0.81061509583700309</v>
      </c>
    </row>
    <row r="44" spans="1:32" x14ac:dyDescent="0.35">
      <c r="B44">
        <v>2029</v>
      </c>
      <c r="D44" s="37">
        <f>D43*(1+U22)</f>
        <v>102.92194327295809</v>
      </c>
      <c r="E44" s="38">
        <f t="shared" si="4"/>
        <v>0.91214669818849725</v>
      </c>
      <c r="F44" s="9">
        <v>47</v>
      </c>
      <c r="G44" s="37">
        <f t="shared" si="2"/>
        <v>55.921943272958089</v>
      </c>
      <c r="H44" s="38">
        <f t="shared" si="5"/>
        <v>0.88998280489286152</v>
      </c>
    </row>
    <row r="45" spans="1:32" x14ac:dyDescent="0.35">
      <c r="B45">
        <v>2030</v>
      </c>
      <c r="D45" s="37">
        <f>D44*(1+U23)</f>
        <v>112.83485811806231</v>
      </c>
      <c r="E45" s="38">
        <f t="shared" si="4"/>
        <v>1</v>
      </c>
      <c r="F45" s="9">
        <v>50</v>
      </c>
      <c r="G45" s="37">
        <f t="shared" si="2"/>
        <v>62.834858118062314</v>
      </c>
      <c r="H45" s="38">
        <f t="shared" si="5"/>
        <v>1</v>
      </c>
    </row>
    <row r="46" spans="1:32" x14ac:dyDescent="0.35">
      <c r="D46" s="37"/>
      <c r="E46" s="38"/>
      <c r="F46" s="9"/>
      <c r="G46" s="37"/>
      <c r="H46" s="38"/>
    </row>
    <row r="47" spans="1:32" x14ac:dyDescent="0.35">
      <c r="A47" t="s">
        <v>73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1:32" x14ac:dyDescent="0.35">
      <c r="A48" t="s">
        <v>74</v>
      </c>
      <c r="B48" s="37">
        <f>D35</f>
        <v>24.983873327481177</v>
      </c>
      <c r="C48" s="37">
        <f>D36</f>
        <v>53.499312875163668</v>
      </c>
      <c r="D48" s="39" cm="1">
        <f t="array" ref="D48:L48">TRANSPOSE(D37:D45)</f>
        <v>70.777648219571262</v>
      </c>
      <c r="E48" s="39">
        <v>73.311213204015658</v>
      </c>
      <c r="F48" s="39">
        <v>61.573121384209628</v>
      </c>
      <c r="G48" s="39">
        <v>67.726806142856148</v>
      </c>
      <c r="H48" s="39">
        <v>79.740717770099934</v>
      </c>
      <c r="I48" s="39">
        <v>87.618946176126954</v>
      </c>
      <c r="J48" s="39">
        <v>94.934884535277575</v>
      </c>
      <c r="K48" s="39">
        <v>102.92194327295809</v>
      </c>
      <c r="L48" s="39">
        <v>112.83485811806231</v>
      </c>
      <c r="M48" s="39">
        <f t="shared" ref="M48:AF48" si="6">L55+$G45</f>
        <v>114.83485811806231</v>
      </c>
      <c r="N48" s="39">
        <f t="shared" si="6"/>
        <v>116.83485811806231</v>
      </c>
      <c r="O48" s="39">
        <f t="shared" si="6"/>
        <v>118.83485811806231</v>
      </c>
      <c r="P48" s="39">
        <f t="shared" si="6"/>
        <v>120.83485811806231</v>
      </c>
      <c r="Q48" s="39">
        <f t="shared" si="6"/>
        <v>122.83485811806231</v>
      </c>
      <c r="R48" s="39">
        <f t="shared" si="6"/>
        <v>124.83485811806231</v>
      </c>
      <c r="S48" s="39">
        <f t="shared" si="6"/>
        <v>126.83485811806231</v>
      </c>
      <c r="T48" s="39">
        <f t="shared" si="6"/>
        <v>128.8348581180623</v>
      </c>
      <c r="U48" s="39">
        <f t="shared" si="6"/>
        <v>130.8348581180623</v>
      </c>
      <c r="V48" s="39">
        <f t="shared" si="6"/>
        <v>132.8348581180623</v>
      </c>
      <c r="W48" s="39">
        <f t="shared" si="6"/>
        <v>134.8348581180623</v>
      </c>
      <c r="X48" s="39">
        <f t="shared" si="6"/>
        <v>136.8348581180623</v>
      </c>
      <c r="Y48" s="39">
        <f t="shared" si="6"/>
        <v>138.8348581180623</v>
      </c>
      <c r="Z48" s="39">
        <f t="shared" si="6"/>
        <v>140.8348581180623</v>
      </c>
      <c r="AA48" s="39">
        <f t="shared" si="6"/>
        <v>142.8348581180623</v>
      </c>
      <c r="AB48" s="39">
        <f t="shared" si="6"/>
        <v>144.8348581180623</v>
      </c>
      <c r="AC48" s="39">
        <f t="shared" si="6"/>
        <v>146.8348581180623</v>
      </c>
      <c r="AD48" s="39">
        <f t="shared" si="6"/>
        <v>148.8348581180623</v>
      </c>
      <c r="AE48" s="39">
        <f t="shared" si="6"/>
        <v>150.8348581180623</v>
      </c>
      <c r="AF48" s="39">
        <f t="shared" si="6"/>
        <v>152.8348581180623</v>
      </c>
    </row>
    <row r="49" spans="1:32" x14ac:dyDescent="0.35">
      <c r="A49" t="s">
        <v>75</v>
      </c>
      <c r="B49" s="40">
        <f>B48*[4]About!$B51*[4]About!$B50</f>
        <v>29.652512203379324</v>
      </c>
      <c r="C49" s="40">
        <f>C48*[4]About!$B51*[4]About!$B50</f>
        <v>63.496520619892848</v>
      </c>
      <c r="D49" s="40">
        <f>D48*[4]About!$B51*[4]About!$B50</f>
        <v>84.003591038416303</v>
      </c>
      <c r="E49" s="40">
        <f>E48*[4]About!$B51*[4]About!$B50</f>
        <v>87.010593420895404</v>
      </c>
      <c r="F49" s="40">
        <f>F48*[4]About!$B51*[4]About!$B50</f>
        <v>73.079050206243807</v>
      </c>
      <c r="G49" s="40">
        <f>G48*[4]About!$B51*[4]About!$B50</f>
        <v>80.382650012795978</v>
      </c>
      <c r="H49" s="40">
        <f>H48*[4]About!$B51*[4]About!$B50</f>
        <v>94.641554405547438</v>
      </c>
      <c r="I49" s="40">
        <f>I48*[4]About!$B51*[4]About!$B50</f>
        <v>103.9919565985399</v>
      </c>
      <c r="J49" s="40">
        <f>J48*[4]About!$B51*[4]About!$B50</f>
        <v>112.67499579868122</v>
      </c>
      <c r="K49" s="40">
        <f>K48*[4]About!$B51*[4]About!$B50</f>
        <v>122.15456502254808</v>
      </c>
      <c r="L49" s="40">
        <f>L48*[4]About!$B51*[4]About!$B50</f>
        <v>133.91986756641703</v>
      </c>
      <c r="M49" s="40">
        <f>M48*[4]About!$B51*[4]About!$B50</f>
        <v>136.2935997587559</v>
      </c>
      <c r="N49" s="40">
        <f>N48*[4]About!$B51*[4]About!$B50</f>
        <v>138.66733195109475</v>
      </c>
      <c r="O49" s="40">
        <f>O48*[4]About!$B51*[4]About!$B50</f>
        <v>141.04106414343363</v>
      </c>
      <c r="P49" s="40">
        <f>P48*[4]About!$B51*[4]About!$B50</f>
        <v>143.41479633577254</v>
      </c>
      <c r="Q49" s="40">
        <f>Q48*[4]About!$B51*[4]About!$B50</f>
        <v>145.78852852811141</v>
      </c>
      <c r="R49" s="40">
        <f>R48*[4]About!$B51*[4]About!$B50</f>
        <v>148.16226072045026</v>
      </c>
      <c r="S49" s="40">
        <f>S48*[4]About!$B51*[4]About!$B50</f>
        <v>150.53599291278914</v>
      </c>
      <c r="T49" s="40">
        <f>T48*[4]About!$B51*[4]About!$B50</f>
        <v>152.90972510512802</v>
      </c>
      <c r="U49" s="40">
        <f>U48*[4]About!$B51*[4]About!$B50</f>
        <v>155.2834572974669</v>
      </c>
      <c r="V49" s="40">
        <f>V48*[4]About!$B51*[4]About!$B50</f>
        <v>157.65718948980575</v>
      </c>
      <c r="W49" s="40">
        <f>W48*[4]About!$B51*[4]About!$B50</f>
        <v>160.03092168214462</v>
      </c>
      <c r="X49" s="40">
        <f>X48*[4]About!$B51*[4]About!$B50</f>
        <v>162.4046538744835</v>
      </c>
      <c r="Y49" s="40">
        <f>Y48*[4]About!$B51*[4]About!$B50</f>
        <v>164.77838606682241</v>
      </c>
      <c r="Z49" s="40">
        <f>Z48*[4]About!$B51*[4]About!$B50</f>
        <v>167.15211825916126</v>
      </c>
      <c r="AA49" s="40">
        <f>AA48*[4]About!$B51*[4]About!$B50</f>
        <v>169.52585045150013</v>
      </c>
      <c r="AB49" s="40">
        <f>AB48*[4]About!$B51*[4]About!$B50</f>
        <v>171.89958264383901</v>
      </c>
      <c r="AC49" s="40">
        <f>AC48*[4]About!$B51*[4]About!$B50</f>
        <v>174.27331483617789</v>
      </c>
      <c r="AD49" s="40">
        <f>AD48*[4]About!$B51*[4]About!$B50</f>
        <v>176.64704702851677</v>
      </c>
      <c r="AE49" s="40">
        <f>AE48*[4]About!$B51*[4]About!$B50</f>
        <v>179.02077922085564</v>
      </c>
      <c r="AF49" s="40">
        <f>AF48*[4]About!$B51*[4]About!$B50</f>
        <v>181.39451141319449</v>
      </c>
    </row>
    <row r="50" spans="1:32" x14ac:dyDescent="0.35">
      <c r="D50" s="37"/>
      <c r="E50" s="38"/>
      <c r="F50" s="9"/>
      <c r="G50" s="37"/>
      <c r="H50" s="38"/>
    </row>
    <row r="51" spans="1:32" s="7" customFormat="1" x14ac:dyDescent="0.35">
      <c r="A51" s="10" t="s">
        <v>76</v>
      </c>
      <c r="D51" s="11"/>
      <c r="E51" s="12"/>
      <c r="F51" s="13"/>
      <c r="G51" s="11"/>
      <c r="H51" s="12"/>
    </row>
    <row r="52" spans="1:32" x14ac:dyDescent="0.35">
      <c r="D52" s="37"/>
      <c r="E52" s="38"/>
      <c r="F52" s="9"/>
      <c r="G52" s="37"/>
      <c r="H52" s="38"/>
    </row>
    <row r="53" spans="1:32" x14ac:dyDescent="0.35">
      <c r="B53" s="1" t="s">
        <v>77</v>
      </c>
      <c r="E53" s="37"/>
      <c r="F53" s="38"/>
      <c r="G53" s="9"/>
      <c r="H53" s="37"/>
      <c r="I53" s="38"/>
    </row>
    <row r="54" spans="1:32" x14ac:dyDescent="0.35">
      <c r="A54">
        <v>2020</v>
      </c>
      <c r="B54">
        <v>2021</v>
      </c>
      <c r="C54">
        <v>2022</v>
      </c>
      <c r="D54">
        <v>2023</v>
      </c>
      <c r="E54">
        <v>2024</v>
      </c>
      <c r="F54">
        <v>2025</v>
      </c>
      <c r="G54">
        <v>2026</v>
      </c>
      <c r="H54">
        <v>2027</v>
      </c>
      <c r="I54">
        <v>2028</v>
      </c>
      <c r="J54">
        <v>2029</v>
      </c>
      <c r="K54">
        <v>2030</v>
      </c>
      <c r="L54">
        <v>2031</v>
      </c>
      <c r="M54">
        <v>2032</v>
      </c>
      <c r="N54">
        <v>2033</v>
      </c>
      <c r="O54">
        <v>2034</v>
      </c>
      <c r="P54">
        <v>2035</v>
      </c>
      <c r="Q54">
        <v>2036</v>
      </c>
      <c r="R54">
        <v>2037</v>
      </c>
      <c r="S54">
        <v>2038</v>
      </c>
      <c r="T54">
        <v>2039</v>
      </c>
      <c r="U54">
        <v>2040</v>
      </c>
      <c r="V54">
        <v>2041</v>
      </c>
      <c r="W54">
        <v>2042</v>
      </c>
      <c r="X54">
        <v>2043</v>
      </c>
      <c r="Y54">
        <v>2044</v>
      </c>
      <c r="Z54">
        <v>2045</v>
      </c>
      <c r="AA54">
        <v>2046</v>
      </c>
      <c r="AB54">
        <v>2047</v>
      </c>
      <c r="AC54">
        <v>2048</v>
      </c>
      <c r="AD54">
        <v>2049</v>
      </c>
      <c r="AE54">
        <v>2050</v>
      </c>
    </row>
    <row r="55" spans="1:32" x14ac:dyDescent="0.35">
      <c r="A55" s="37">
        <f>D35</f>
        <v>24.983873327481177</v>
      </c>
      <c r="B55" s="37">
        <v>35</v>
      </c>
      <c r="C55" s="37">
        <v>35</v>
      </c>
      <c r="D55" s="37">
        <v>35</v>
      </c>
      <c r="E55" s="37">
        <v>35</v>
      </c>
      <c r="F55" s="37">
        <v>35</v>
      </c>
      <c r="G55" s="37">
        <v>38</v>
      </c>
      <c r="H55" s="37">
        <v>41</v>
      </c>
      <c r="I55" s="37">
        <v>44</v>
      </c>
      <c r="J55" s="37">
        <v>47</v>
      </c>
      <c r="K55" s="37">
        <v>50</v>
      </c>
      <c r="L55" s="37">
        <v>52</v>
      </c>
      <c r="M55" s="37">
        <v>54</v>
      </c>
      <c r="N55" s="37">
        <v>56</v>
      </c>
      <c r="O55" s="37">
        <v>58</v>
      </c>
      <c r="P55" s="37">
        <v>60</v>
      </c>
      <c r="Q55" s="37">
        <v>62</v>
      </c>
      <c r="R55" s="37">
        <v>64</v>
      </c>
      <c r="S55" s="37">
        <v>66</v>
      </c>
      <c r="T55" s="37">
        <v>68</v>
      </c>
      <c r="U55" s="37">
        <v>70</v>
      </c>
      <c r="V55" s="37">
        <v>72</v>
      </c>
      <c r="W55" s="37">
        <v>74</v>
      </c>
      <c r="X55" s="37">
        <v>76</v>
      </c>
      <c r="Y55" s="37">
        <v>78</v>
      </c>
      <c r="Z55" s="37">
        <v>80</v>
      </c>
      <c r="AA55" s="37">
        <v>82</v>
      </c>
      <c r="AB55" s="37">
        <v>84</v>
      </c>
      <c r="AC55" s="37">
        <v>86</v>
      </c>
      <c r="AD55" s="37">
        <v>88</v>
      </c>
      <c r="AE55" s="37">
        <v>90</v>
      </c>
    </row>
    <row r="57" spans="1:32" x14ac:dyDescent="0.35">
      <c r="B57" s="1" t="s">
        <v>78</v>
      </c>
    </row>
    <row r="58" spans="1:32" x14ac:dyDescent="0.35">
      <c r="B58" t="s">
        <v>73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  <c r="M58">
        <v>2032</v>
      </c>
      <c r="N58">
        <v>2033</v>
      </c>
      <c r="O58">
        <v>2034</v>
      </c>
      <c r="P58">
        <v>2035</v>
      </c>
      <c r="Q58">
        <v>2036</v>
      </c>
      <c r="R58">
        <v>2037</v>
      </c>
      <c r="S58">
        <v>2038</v>
      </c>
      <c r="T58">
        <v>2039</v>
      </c>
      <c r="U58">
        <v>2040</v>
      </c>
      <c r="V58">
        <v>2041</v>
      </c>
      <c r="W58">
        <v>2042</v>
      </c>
      <c r="X58">
        <v>2043</v>
      </c>
      <c r="Y58">
        <v>2044</v>
      </c>
      <c r="Z58">
        <v>2045</v>
      </c>
      <c r="AA58">
        <v>2046</v>
      </c>
      <c r="AB58">
        <v>2047</v>
      </c>
      <c r="AC58">
        <v>2048</v>
      </c>
      <c r="AD58">
        <v>2049</v>
      </c>
      <c r="AE58">
        <v>2050</v>
      </c>
    </row>
    <row r="59" spans="1:32" x14ac:dyDescent="0.35">
      <c r="B59" t="s">
        <v>79</v>
      </c>
      <c r="C59">
        <v>41.5</v>
      </c>
      <c r="D59">
        <v>41.5</v>
      </c>
      <c r="E59">
        <v>41.5</v>
      </c>
      <c r="F59">
        <v>41.5</v>
      </c>
      <c r="G59">
        <v>45.1</v>
      </c>
      <c r="H59">
        <v>48.7</v>
      </c>
      <c r="I59">
        <v>52.2</v>
      </c>
      <c r="J59">
        <v>55.8</v>
      </c>
      <c r="K59">
        <v>59.3</v>
      </c>
      <c r="L59">
        <v>61.7</v>
      </c>
      <c r="M59">
        <v>64.099999999999994</v>
      </c>
      <c r="N59">
        <v>66.5</v>
      </c>
      <c r="O59">
        <v>68.8</v>
      </c>
      <c r="P59">
        <v>71.2</v>
      </c>
      <c r="Q59">
        <v>73.599999999999994</v>
      </c>
      <c r="R59">
        <v>76</v>
      </c>
      <c r="S59">
        <v>78.3</v>
      </c>
      <c r="T59">
        <v>80.7</v>
      </c>
      <c r="U59">
        <v>83.1</v>
      </c>
      <c r="V59">
        <v>85.5</v>
      </c>
      <c r="W59">
        <v>87.8</v>
      </c>
      <c r="X59">
        <v>90.2</v>
      </c>
      <c r="Y59">
        <v>92.6</v>
      </c>
      <c r="Z59">
        <v>94.9</v>
      </c>
      <c r="AA59">
        <v>97.3</v>
      </c>
      <c r="AB59">
        <v>99.7</v>
      </c>
      <c r="AC59">
        <v>102.1</v>
      </c>
      <c r="AD59">
        <v>104.4</v>
      </c>
      <c r="AE59">
        <v>106.8</v>
      </c>
    </row>
    <row r="60" spans="1:32" x14ac:dyDescent="0.35">
      <c r="B60" t="s">
        <v>80</v>
      </c>
      <c r="C60">
        <v>41.5</v>
      </c>
      <c r="D60">
        <v>41.5</v>
      </c>
      <c r="E60">
        <v>41.5</v>
      </c>
      <c r="F60">
        <v>41.5</v>
      </c>
      <c r="G60">
        <v>45.1</v>
      </c>
      <c r="H60">
        <v>48.7</v>
      </c>
      <c r="I60">
        <v>52.2</v>
      </c>
      <c r="J60">
        <v>55.8</v>
      </c>
      <c r="K60">
        <v>59.3</v>
      </c>
      <c r="L60">
        <v>61.7</v>
      </c>
      <c r="M60">
        <v>64.099999999999994</v>
      </c>
      <c r="N60">
        <v>66.5</v>
      </c>
      <c r="O60">
        <v>68.8</v>
      </c>
      <c r="P60">
        <v>71.2</v>
      </c>
      <c r="Q60">
        <v>73.599999999999994</v>
      </c>
      <c r="R60">
        <v>76</v>
      </c>
      <c r="S60">
        <v>78.3</v>
      </c>
      <c r="T60">
        <v>80.7</v>
      </c>
      <c r="U60">
        <v>83.1</v>
      </c>
      <c r="V60">
        <v>85.5</v>
      </c>
      <c r="W60">
        <v>87.8</v>
      </c>
      <c r="X60">
        <v>90.2</v>
      </c>
      <c r="Y60">
        <v>92.6</v>
      </c>
      <c r="Z60">
        <v>94.9</v>
      </c>
      <c r="AA60">
        <v>97.3</v>
      </c>
      <c r="AB60">
        <v>99.7</v>
      </c>
      <c r="AC60">
        <v>102.1</v>
      </c>
      <c r="AD60">
        <v>104.4</v>
      </c>
      <c r="AE60">
        <v>106.8</v>
      </c>
    </row>
    <row r="61" spans="1:32" x14ac:dyDescent="0.35"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 x14ac:dyDescent="0.35"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 x14ac:dyDescent="0.35">
      <c r="B63" t="s">
        <v>83</v>
      </c>
      <c r="C63">
        <v>41.5</v>
      </c>
      <c r="D63">
        <v>41.5</v>
      </c>
      <c r="E63">
        <v>41.5</v>
      </c>
      <c r="F63">
        <v>41.5</v>
      </c>
      <c r="G63">
        <v>45.1</v>
      </c>
      <c r="H63">
        <v>48.7</v>
      </c>
      <c r="I63">
        <v>52.2</v>
      </c>
      <c r="J63">
        <v>55.8</v>
      </c>
      <c r="K63">
        <v>59.3</v>
      </c>
      <c r="L63">
        <v>61.7</v>
      </c>
      <c r="M63">
        <v>64.099999999999994</v>
      </c>
      <c r="N63">
        <v>66.5</v>
      </c>
      <c r="O63">
        <v>68.8</v>
      </c>
      <c r="P63">
        <v>71.2</v>
      </c>
      <c r="Q63">
        <v>73.599999999999994</v>
      </c>
      <c r="R63">
        <v>76</v>
      </c>
      <c r="S63">
        <v>78.3</v>
      </c>
      <c r="T63">
        <v>80.7</v>
      </c>
      <c r="U63">
        <v>83.1</v>
      </c>
      <c r="V63">
        <v>85.5</v>
      </c>
      <c r="W63">
        <v>87.8</v>
      </c>
      <c r="X63">
        <v>90.2</v>
      </c>
      <c r="Y63">
        <v>92.6</v>
      </c>
      <c r="Z63">
        <v>94.9</v>
      </c>
      <c r="AA63">
        <v>97.3</v>
      </c>
      <c r="AB63">
        <v>99.7</v>
      </c>
      <c r="AC63">
        <v>102.1</v>
      </c>
      <c r="AD63">
        <v>104.4</v>
      </c>
      <c r="AE63">
        <v>106.8</v>
      </c>
    </row>
    <row r="64" spans="1:32" x14ac:dyDescent="0.35"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8" spans="1:31" s="10" customFormat="1" x14ac:dyDescent="0.35">
      <c r="A68" s="10" t="s">
        <v>87</v>
      </c>
    </row>
    <row r="69" spans="1:31" x14ac:dyDescent="0.35">
      <c r="A69" t="s">
        <v>88</v>
      </c>
    </row>
    <row r="71" spans="1:31" x14ac:dyDescent="0.35">
      <c r="D71" t="s">
        <v>89</v>
      </c>
    </row>
    <row r="72" spans="1:31" x14ac:dyDescent="0.35">
      <c r="D72" t="s">
        <v>67</v>
      </c>
      <c r="E72" t="s">
        <v>90</v>
      </c>
      <c r="F72" t="s">
        <v>91</v>
      </c>
      <c r="G72" t="s">
        <v>92</v>
      </c>
    </row>
    <row r="73" spans="1:31" x14ac:dyDescent="0.35">
      <c r="D73">
        <v>2030</v>
      </c>
      <c r="E73" s="41">
        <v>12.0772946859902</v>
      </c>
      <c r="F73">
        <f>1/1.4056</f>
        <v>0.71143995446784292</v>
      </c>
      <c r="G73" s="39">
        <f>E73*F73</f>
        <v>8.5922699814955887</v>
      </c>
    </row>
    <row r="74" spans="1:31" x14ac:dyDescent="0.35">
      <c r="D74">
        <v>2035</v>
      </c>
      <c r="E74" s="41">
        <v>92.9951690821255</v>
      </c>
      <c r="F74">
        <f>1/1.5903</f>
        <v>0.62881217380368482</v>
      </c>
      <c r="G74" s="39">
        <f t="shared" ref="G74:G77" si="7">E74*F74</f>
        <v>58.476494423772557</v>
      </c>
    </row>
    <row r="75" spans="1:31" x14ac:dyDescent="0.35">
      <c r="D75">
        <v>2040</v>
      </c>
      <c r="E75" s="41">
        <v>177.536231884058</v>
      </c>
      <c r="F75">
        <f>1/1.7993</f>
        <v>0.55577168899016283</v>
      </c>
      <c r="G75" s="39">
        <f t="shared" si="7"/>
        <v>98.669611451152107</v>
      </c>
    </row>
    <row r="76" spans="1:31" x14ac:dyDescent="0.35">
      <c r="D76">
        <v>2045</v>
      </c>
      <c r="E76" s="41">
        <v>300.72463768115898</v>
      </c>
      <c r="F76">
        <f>1/2.0357</f>
        <v>0.49123151741415733</v>
      </c>
      <c r="G76" s="39">
        <f t="shared" si="7"/>
        <v>147.72542009193839</v>
      </c>
    </row>
    <row r="77" spans="1:31" x14ac:dyDescent="0.35">
      <c r="D77">
        <v>2050</v>
      </c>
      <c r="E77" s="41">
        <v>363.526570048309</v>
      </c>
      <c r="F77">
        <f>1/2.3032</f>
        <v>0.43417853421326852</v>
      </c>
      <c r="G77" s="39">
        <f t="shared" si="7"/>
        <v>157.83543333115188</v>
      </c>
    </row>
    <row r="78" spans="1:31" x14ac:dyDescent="0.35">
      <c r="F78" s="14" t="s">
        <v>93</v>
      </c>
      <c r="G78" s="39"/>
    </row>
    <row r="87" spans="1:30" x14ac:dyDescent="0.35">
      <c r="H87" s="42"/>
      <c r="I87" t="s">
        <v>94</v>
      </c>
    </row>
    <row r="89" spans="1:30" x14ac:dyDescent="0.35">
      <c r="A89" t="s">
        <v>73</v>
      </c>
      <c r="B89">
        <v>2022</v>
      </c>
      <c r="C89">
        <v>2023</v>
      </c>
      <c r="D89">
        <v>2024</v>
      </c>
      <c r="E89">
        <v>2025</v>
      </c>
      <c r="F89">
        <v>2026</v>
      </c>
      <c r="G89">
        <v>2027</v>
      </c>
      <c r="H89">
        <v>2028</v>
      </c>
      <c r="I89">
        <v>2029</v>
      </c>
      <c r="J89">
        <v>2030</v>
      </c>
      <c r="K89">
        <v>2031</v>
      </c>
      <c r="L89">
        <v>2032</v>
      </c>
      <c r="M89">
        <v>2033</v>
      </c>
      <c r="N89">
        <v>2034</v>
      </c>
      <c r="O89">
        <v>2035</v>
      </c>
      <c r="P89">
        <v>2036</v>
      </c>
      <c r="Q89">
        <v>2037</v>
      </c>
      <c r="R89">
        <v>2038</v>
      </c>
      <c r="S89">
        <v>2039</v>
      </c>
      <c r="T89">
        <v>2040</v>
      </c>
      <c r="U89">
        <v>2041</v>
      </c>
      <c r="V89">
        <v>2042</v>
      </c>
      <c r="W89">
        <v>2043</v>
      </c>
      <c r="X89">
        <v>2044</v>
      </c>
      <c r="Y89">
        <v>2045</v>
      </c>
      <c r="Z89">
        <v>2046</v>
      </c>
      <c r="AA89">
        <v>2047</v>
      </c>
      <c r="AB89">
        <v>2048</v>
      </c>
      <c r="AC89">
        <v>2049</v>
      </c>
      <c r="AD89">
        <v>2050</v>
      </c>
    </row>
    <row r="90" spans="1:30" x14ac:dyDescent="0.35">
      <c r="A90" t="s">
        <v>74</v>
      </c>
      <c r="B90">
        <v>0</v>
      </c>
      <c r="C90">
        <v>0</v>
      </c>
      <c r="D90">
        <v>0</v>
      </c>
      <c r="E90">
        <v>0</v>
      </c>
      <c r="F90">
        <v>0</v>
      </c>
      <c r="G90" s="43">
        <f>$G73</f>
        <v>8.5922699814955887</v>
      </c>
      <c r="H90" s="43">
        <f t="shared" ref="H90:J90" si="8">$G73</f>
        <v>8.5922699814955887</v>
      </c>
      <c r="I90" s="43">
        <f t="shared" si="8"/>
        <v>8.5922699814955887</v>
      </c>
      <c r="J90" s="43">
        <f t="shared" si="8"/>
        <v>8.5922699814955887</v>
      </c>
      <c r="K90" s="39">
        <f>$J90+($O90-$J90)*(K89-$J89)/5</f>
        <v>18.56911486995098</v>
      </c>
      <c r="L90" s="39">
        <f t="shared" ref="L90:N90" si="9">$J90+($O90-$J90)*(L89-$J89)/5</f>
        <v>28.545959758406376</v>
      </c>
      <c r="M90" s="39">
        <f t="shared" si="9"/>
        <v>38.522804646861765</v>
      </c>
      <c r="N90" s="39">
        <f t="shared" si="9"/>
        <v>48.499649535317161</v>
      </c>
      <c r="O90" s="43">
        <f>G74</f>
        <v>58.476494423772557</v>
      </c>
      <c r="P90" s="39">
        <f>$O90+($T90-$O90)*(P89-$O89)/5</f>
        <v>66.515117829248467</v>
      </c>
      <c r="Q90" s="39">
        <f t="shared" ref="Q90:S90" si="10">$O90+($T90-$O90)*(Q89-$O89)/5</f>
        <v>74.553741234724384</v>
      </c>
      <c r="R90" s="39">
        <f t="shared" si="10"/>
        <v>82.592364640200287</v>
      </c>
      <c r="S90" s="39">
        <f t="shared" si="10"/>
        <v>90.63098804567619</v>
      </c>
      <c r="T90" s="43">
        <f>G75</f>
        <v>98.669611451152107</v>
      </c>
      <c r="U90" s="39">
        <f>$T90+($Y90-$T90)*(U89-$T89)/5</f>
        <v>108.48077317930937</v>
      </c>
      <c r="V90" s="39">
        <f t="shared" ref="V90:X90" si="11">$T90+($Y90-$T90)*(V89-$T89)/5</f>
        <v>118.29193490746661</v>
      </c>
      <c r="W90" s="39">
        <f t="shared" si="11"/>
        <v>128.10309663562387</v>
      </c>
      <c r="X90" s="39">
        <f t="shared" si="11"/>
        <v>137.91425836378113</v>
      </c>
      <c r="Y90" s="43">
        <f>G76</f>
        <v>147.72542009193839</v>
      </c>
      <c r="Z90" s="39">
        <f>$Y90+($AD90-$Y90)*(Z89-$Y89)/5</f>
        <v>149.74742273978109</v>
      </c>
      <c r="AA90" s="39">
        <f t="shared" ref="AA90:AC90" si="12">$Y90+($AD90-$Y90)*(AA89-$Y89)/5</f>
        <v>151.76942538762378</v>
      </c>
      <c r="AB90" s="39">
        <f t="shared" si="12"/>
        <v>153.79142803546648</v>
      </c>
      <c r="AC90" s="39">
        <f t="shared" si="12"/>
        <v>155.81343068330918</v>
      </c>
      <c r="AD90" s="43">
        <f>G77</f>
        <v>157.83543333115188</v>
      </c>
    </row>
    <row r="91" spans="1:30" x14ac:dyDescent="0.35">
      <c r="A91" t="s">
        <v>75</v>
      </c>
      <c r="B91">
        <f>B90*[4]About!$B51*[4]About!$B50</f>
        <v>0</v>
      </c>
      <c r="C91">
        <f>C90*[4]About!$B51*[4]About!$B50</f>
        <v>0</v>
      </c>
      <c r="D91">
        <f>D90*[4]About!$B51*[4]About!$B50</f>
        <v>0</v>
      </c>
      <c r="E91">
        <f>E90*[4]About!$B51*[4]About!$B50</f>
        <v>0</v>
      </c>
      <c r="F91">
        <f>F90*[4]About!$B51*[4]About!$B50</f>
        <v>0</v>
      </c>
      <c r="G91" s="44">
        <f>G90*[4]About!$B51*[4]About!$B50</f>
        <v>10.197873930171518</v>
      </c>
      <c r="H91" s="44">
        <f>H90*[4]About!$B51*[4]About!$B50</f>
        <v>10.197873930171518</v>
      </c>
      <c r="I91" s="44">
        <f>I90*[4]About!$B51*[4]About!$B50</f>
        <v>10.197873930171518</v>
      </c>
      <c r="J91" s="44">
        <f>J90*[4]About!$B51*[4]About!$B50</f>
        <v>10.197873930171518</v>
      </c>
      <c r="K91" s="44">
        <f>K90*[4]About!$B51*[4]About!$B50</f>
        <v>22.039052875020577</v>
      </c>
      <c r="L91" s="44">
        <f>L90*[4]About!$B51*[4]About!$B50</f>
        <v>33.880231819869643</v>
      </c>
      <c r="M91" s="44">
        <f>M90*[4]About!$B51*[4]About!$B50</f>
        <v>45.721410764718705</v>
      </c>
      <c r="N91" s="44">
        <f>N90*[4]About!$B51*[4]About!$B50</f>
        <v>57.562589709567767</v>
      </c>
      <c r="O91" s="44">
        <f>O90*[4]About!$B51*[4]About!$B50</f>
        <v>69.403768654416837</v>
      </c>
      <c r="P91" s="44">
        <f>P90*[4]About!$B51*[4]About!$B50</f>
        <v>78.944538234250288</v>
      </c>
      <c r="Q91" s="44">
        <f>Q90*[4]About!$B51*[4]About!$B50</f>
        <v>88.485307814083782</v>
      </c>
      <c r="R91" s="44">
        <f>R90*[4]About!$B51*[4]About!$B50</f>
        <v>98.026077393917234</v>
      </c>
      <c r="S91" s="44">
        <f>S90*[4]About!$B51*[4]About!$B50</f>
        <v>107.56684697375069</v>
      </c>
      <c r="T91" s="44">
        <f>T90*[4]About!$B51*[4]About!$B50</f>
        <v>117.10761655358417</v>
      </c>
      <c r="U91" s="44">
        <f>U90*[4]About!$B51*[4]About!$B50</f>
        <v>128.75215177276914</v>
      </c>
      <c r="V91" s="44">
        <f>V90*[4]About!$B51*[4]About!$B50</f>
        <v>140.39668699195414</v>
      </c>
      <c r="W91" s="44">
        <f>W90*[4]About!$B51*[4]About!$B50</f>
        <v>152.04122221113914</v>
      </c>
      <c r="X91" s="44">
        <f>X90*[4]About!$B51*[4]About!$B50</f>
        <v>163.68575743032414</v>
      </c>
      <c r="Y91" s="44">
        <f>Y90*[4]About!$B51*[4]About!$B50</f>
        <v>175.33029264950915</v>
      </c>
      <c r="Z91" s="44">
        <f>Z90*[4]About!$B51*[4]About!$B50</f>
        <v>177.73013903859845</v>
      </c>
      <c r="AA91" s="44">
        <f>AA90*[4]About!$B51*[4]About!$B50</f>
        <v>180.12998542768781</v>
      </c>
      <c r="AB91" s="44">
        <f>AB90*[4]About!$B51*[4]About!$B50</f>
        <v>182.52983181677715</v>
      </c>
      <c r="AC91" s="44">
        <f>AC90*[4]About!$B51*[4]About!$B50</f>
        <v>184.92967820586645</v>
      </c>
      <c r="AD91" s="44">
        <f>AD90*[4]About!$B51*[4]About!$B50</f>
        <v>187.32952459495581</v>
      </c>
    </row>
    <row r="110" spans="1:30" s="10" customFormat="1" x14ac:dyDescent="0.35">
      <c r="A110" s="10" t="s">
        <v>95</v>
      </c>
    </row>
    <row r="111" spans="1:30" x14ac:dyDescent="0.35">
      <c r="A111" t="s">
        <v>73</v>
      </c>
      <c r="B111">
        <v>2022</v>
      </c>
      <c r="C111">
        <v>2023</v>
      </c>
      <c r="D111">
        <v>2024</v>
      </c>
      <c r="E111">
        <v>2025</v>
      </c>
      <c r="F111">
        <v>2026</v>
      </c>
      <c r="G111">
        <v>2027</v>
      </c>
      <c r="H111">
        <v>2028</v>
      </c>
      <c r="I111">
        <v>2029</v>
      </c>
      <c r="J111">
        <v>2030</v>
      </c>
      <c r="K111">
        <v>2031</v>
      </c>
      <c r="L111">
        <v>2032</v>
      </c>
      <c r="M111">
        <v>2033</v>
      </c>
      <c r="N111">
        <v>2034</v>
      </c>
      <c r="O111">
        <v>2035</v>
      </c>
      <c r="P111">
        <v>2036</v>
      </c>
      <c r="Q111">
        <v>2037</v>
      </c>
      <c r="R111">
        <v>2038</v>
      </c>
      <c r="S111">
        <v>2039</v>
      </c>
      <c r="T111">
        <v>2040</v>
      </c>
      <c r="U111">
        <v>2041</v>
      </c>
      <c r="V111">
        <v>2042</v>
      </c>
      <c r="W111">
        <v>2043</v>
      </c>
      <c r="X111">
        <v>2044</v>
      </c>
      <c r="Y111">
        <v>2045</v>
      </c>
      <c r="Z111">
        <v>2046</v>
      </c>
      <c r="AA111">
        <v>2047</v>
      </c>
      <c r="AB111">
        <v>2048</v>
      </c>
      <c r="AC111">
        <v>2049</v>
      </c>
      <c r="AD111">
        <v>2050</v>
      </c>
    </row>
    <row r="112" spans="1:30" x14ac:dyDescent="0.35">
      <c r="A112" t="s">
        <v>96</v>
      </c>
      <c r="B112">
        <v>0</v>
      </c>
      <c r="C112">
        <v>0</v>
      </c>
      <c r="D112">
        <v>0</v>
      </c>
      <c r="E112">
        <v>0</v>
      </c>
      <c r="F112">
        <v>0</v>
      </c>
      <c r="G112" s="43">
        <f>$G95</f>
        <v>0</v>
      </c>
      <c r="H112" s="43">
        <f t="shared" ref="H112:J112" si="13">$G95</f>
        <v>0</v>
      </c>
      <c r="I112" s="43">
        <f t="shared" si="13"/>
        <v>0</v>
      </c>
      <c r="J112" s="43">
        <f t="shared" si="13"/>
        <v>0</v>
      </c>
      <c r="K112" s="39">
        <f>$J112+($O112-$J112)*(K111-$J111)/5</f>
        <v>0</v>
      </c>
      <c r="L112" s="39">
        <f t="shared" ref="L112:N112" si="14">$J112+($O112-$J112)*(L111-$J111)/5</f>
        <v>0</v>
      </c>
      <c r="M112" s="39">
        <f t="shared" si="14"/>
        <v>0</v>
      </c>
      <c r="N112" s="39">
        <f t="shared" si="14"/>
        <v>0</v>
      </c>
      <c r="O112" s="43">
        <f>G96</f>
        <v>0</v>
      </c>
      <c r="P112" s="39">
        <f>$O112+($T112-$O112)*(P111-$O111)/5</f>
        <v>0</v>
      </c>
      <c r="Q112" s="39">
        <f t="shared" ref="Q112:S112" si="15">$O112+($T112-$O112)*(Q111-$O111)/5</f>
        <v>0</v>
      </c>
      <c r="R112" s="39">
        <f t="shared" si="15"/>
        <v>0</v>
      </c>
      <c r="S112" s="39">
        <f t="shared" si="15"/>
        <v>0</v>
      </c>
      <c r="T112" s="43">
        <f>G97</f>
        <v>0</v>
      </c>
      <c r="U112" s="39">
        <f>$T112+($Y112-$T112)*(U111-$T111)/5</f>
        <v>0</v>
      </c>
      <c r="V112" s="39">
        <f t="shared" ref="V112:X112" si="16">$T112+($Y112-$T112)*(V111-$T111)/5</f>
        <v>0</v>
      </c>
      <c r="W112" s="39">
        <f t="shared" si="16"/>
        <v>0</v>
      </c>
      <c r="X112" s="39">
        <f t="shared" si="16"/>
        <v>0</v>
      </c>
      <c r="Y112" s="43">
        <f>G98</f>
        <v>0</v>
      </c>
      <c r="Z112" s="39">
        <f>$Y112+($AD112-$Y112)*(Z111-$Y111)/5</f>
        <v>0</v>
      </c>
      <c r="AA112" s="39">
        <f t="shared" ref="AA112:AC112" si="17">$Y112+($AD112-$Y112)*(AA111-$Y111)/5</f>
        <v>0</v>
      </c>
      <c r="AB112" s="39">
        <f t="shared" si="17"/>
        <v>0</v>
      </c>
      <c r="AC112" s="39">
        <f t="shared" si="17"/>
        <v>0</v>
      </c>
      <c r="AD112" s="43">
        <f>G99</f>
        <v>0</v>
      </c>
    </row>
    <row r="113" spans="1:30" x14ac:dyDescent="0.35">
      <c r="A113" t="s">
        <v>97</v>
      </c>
      <c r="B113" s="39">
        <f>MAX(B90,D48)</f>
        <v>70.777648219571262</v>
      </c>
      <c r="C113" s="39">
        <f t="shared" ref="C113:AD113" si="18">MAX(C90,E48)</f>
        <v>73.311213204015658</v>
      </c>
      <c r="D113" s="39">
        <f t="shared" si="18"/>
        <v>61.573121384209628</v>
      </c>
      <c r="E113" s="39">
        <f t="shared" si="18"/>
        <v>67.726806142856148</v>
      </c>
      <c r="F113" s="39">
        <f t="shared" si="18"/>
        <v>79.740717770099934</v>
      </c>
      <c r="G113" s="39">
        <f t="shared" si="18"/>
        <v>87.618946176126954</v>
      </c>
      <c r="H113" s="39">
        <f t="shared" si="18"/>
        <v>94.934884535277575</v>
      </c>
      <c r="I113" s="39">
        <f t="shared" si="18"/>
        <v>102.92194327295809</v>
      </c>
      <c r="J113" s="39">
        <f t="shared" si="18"/>
        <v>112.83485811806231</v>
      </c>
      <c r="K113" s="39">
        <f t="shared" si="18"/>
        <v>114.83485811806231</v>
      </c>
      <c r="L113" s="39">
        <f t="shared" si="18"/>
        <v>116.83485811806231</v>
      </c>
      <c r="M113" s="39">
        <f t="shared" si="18"/>
        <v>118.83485811806231</v>
      </c>
      <c r="N113" s="39">
        <f t="shared" si="18"/>
        <v>120.83485811806231</v>
      </c>
      <c r="O113" s="39">
        <f t="shared" si="18"/>
        <v>122.83485811806231</v>
      </c>
      <c r="P113" s="39">
        <f t="shared" si="18"/>
        <v>124.83485811806231</v>
      </c>
      <c r="Q113" s="39">
        <f t="shared" si="18"/>
        <v>126.83485811806231</v>
      </c>
      <c r="R113" s="39">
        <f t="shared" si="18"/>
        <v>128.8348581180623</v>
      </c>
      <c r="S113" s="39">
        <f t="shared" si="18"/>
        <v>130.8348581180623</v>
      </c>
      <c r="T113" s="39">
        <f t="shared" si="18"/>
        <v>132.8348581180623</v>
      </c>
      <c r="U113" s="39">
        <f t="shared" si="18"/>
        <v>134.8348581180623</v>
      </c>
      <c r="V113" s="39">
        <f t="shared" si="18"/>
        <v>136.8348581180623</v>
      </c>
      <c r="W113" s="39">
        <f t="shared" si="18"/>
        <v>138.8348581180623</v>
      </c>
      <c r="X113" s="39">
        <f t="shared" si="18"/>
        <v>140.8348581180623</v>
      </c>
      <c r="Y113" s="39">
        <f t="shared" si="18"/>
        <v>147.72542009193839</v>
      </c>
      <c r="Z113" s="39">
        <f t="shared" si="18"/>
        <v>149.74742273978109</v>
      </c>
      <c r="AA113" s="39">
        <f t="shared" si="18"/>
        <v>151.76942538762378</v>
      </c>
      <c r="AB113" s="39">
        <f t="shared" si="18"/>
        <v>153.79142803546648</v>
      </c>
      <c r="AC113" s="39">
        <f t="shared" si="18"/>
        <v>155.81343068330918</v>
      </c>
      <c r="AD113" s="39">
        <f t="shared" si="18"/>
        <v>157.83543333115188</v>
      </c>
    </row>
    <row r="114" spans="1:30" x14ac:dyDescent="0.35">
      <c r="A114" t="s">
        <v>98</v>
      </c>
      <c r="B114">
        <f>D48/B113</f>
        <v>1</v>
      </c>
      <c r="C114">
        <f t="shared" ref="C114:AD114" si="19">E48/C113</f>
        <v>1</v>
      </c>
      <c r="D114">
        <f t="shared" si="19"/>
        <v>1</v>
      </c>
      <c r="E114">
        <f t="shared" si="19"/>
        <v>1</v>
      </c>
      <c r="F114">
        <f t="shared" si="19"/>
        <v>1</v>
      </c>
      <c r="G114">
        <f t="shared" si="19"/>
        <v>1</v>
      </c>
      <c r="H114">
        <f t="shared" si="19"/>
        <v>1</v>
      </c>
      <c r="I114">
        <f t="shared" si="19"/>
        <v>1</v>
      </c>
      <c r="J114">
        <f t="shared" si="19"/>
        <v>1</v>
      </c>
      <c r="K114">
        <f t="shared" si="19"/>
        <v>1</v>
      </c>
      <c r="L114">
        <f t="shared" si="19"/>
        <v>1</v>
      </c>
      <c r="M114">
        <f t="shared" si="19"/>
        <v>1</v>
      </c>
      <c r="N114">
        <f t="shared" si="19"/>
        <v>1</v>
      </c>
      <c r="O114">
        <f t="shared" si="19"/>
        <v>1</v>
      </c>
      <c r="P114">
        <f t="shared" si="19"/>
        <v>1</v>
      </c>
      <c r="Q114">
        <f t="shared" si="19"/>
        <v>1</v>
      </c>
      <c r="R114">
        <f t="shared" si="19"/>
        <v>1</v>
      </c>
      <c r="S114">
        <f t="shared" si="19"/>
        <v>1</v>
      </c>
      <c r="T114">
        <f t="shared" si="19"/>
        <v>1</v>
      </c>
      <c r="U114">
        <f t="shared" si="19"/>
        <v>1</v>
      </c>
      <c r="V114">
        <f t="shared" si="19"/>
        <v>1</v>
      </c>
      <c r="W114">
        <f t="shared" si="19"/>
        <v>1</v>
      </c>
      <c r="X114">
        <f t="shared" si="19"/>
        <v>1</v>
      </c>
      <c r="Y114">
        <f t="shared" si="19"/>
        <v>0.96689424223107712</v>
      </c>
      <c r="Z114">
        <f t="shared" si="19"/>
        <v>0.967194329412564</v>
      </c>
      <c r="AA114">
        <f t="shared" si="19"/>
        <v>0.96748642055566558</v>
      </c>
      <c r="AB114">
        <f t="shared" si="19"/>
        <v>0.9677708310487817</v>
      </c>
      <c r="AC114">
        <f t="shared" si="19"/>
        <v>0.96804785990903552</v>
      </c>
      <c r="AD114">
        <f t="shared" si="19"/>
        <v>0.96831779083092229</v>
      </c>
    </row>
    <row r="115" spans="1:30" x14ac:dyDescent="0.35">
      <c r="A115" t="s">
        <v>99</v>
      </c>
      <c r="B115">
        <f>B90/B113</f>
        <v>0</v>
      </c>
      <c r="C115">
        <f t="shared" ref="C115:AD115" si="20">C90/C113</f>
        <v>0</v>
      </c>
      <c r="D115">
        <f t="shared" si="20"/>
        <v>0</v>
      </c>
      <c r="E115">
        <f t="shared" si="20"/>
        <v>0</v>
      </c>
      <c r="F115">
        <f t="shared" si="20"/>
        <v>0</v>
      </c>
      <c r="G115">
        <f t="shared" si="20"/>
        <v>9.8064064411638369E-2</v>
      </c>
      <c r="H115">
        <f t="shared" si="20"/>
        <v>9.0506983007945005E-2</v>
      </c>
      <c r="I115">
        <f t="shared" si="20"/>
        <v>8.3483363297058327E-2</v>
      </c>
      <c r="J115">
        <f t="shared" si="20"/>
        <v>7.614907418508253E-2</v>
      </c>
      <c r="K115">
        <f t="shared" si="20"/>
        <v>0.16170277191321103</v>
      </c>
      <c r="L115">
        <f t="shared" si="20"/>
        <v>0.2443274226392308</v>
      </c>
      <c r="M115">
        <f t="shared" si="20"/>
        <v>0.32417091463675918</v>
      </c>
      <c r="N115">
        <f t="shared" si="20"/>
        <v>0.40137134507933409</v>
      </c>
      <c r="O115">
        <f t="shared" si="20"/>
        <v>0.47605781713500306</v>
      </c>
      <c r="P115">
        <f t="shared" si="20"/>
        <v>0.53282487625645336</v>
      </c>
      <c r="Q115">
        <f t="shared" si="20"/>
        <v>0.58780166857069494</v>
      </c>
      <c r="R115">
        <f t="shared" si="20"/>
        <v>0.64107156903540741</v>
      </c>
      <c r="S115">
        <f t="shared" si="20"/>
        <v>0.69271285458110032</v>
      </c>
      <c r="T115">
        <f t="shared" si="20"/>
        <v>0.74279908789796378</v>
      </c>
      <c r="U115">
        <f t="shared" si="20"/>
        <v>0.8045454617108202</v>
      </c>
      <c r="V115">
        <f t="shared" si="20"/>
        <v>0.86448684592783587</v>
      </c>
      <c r="W115">
        <f t="shared" si="20"/>
        <v>0.9227012464455262</v>
      </c>
      <c r="X115">
        <f t="shared" si="20"/>
        <v>0.97926223810419988</v>
      </c>
      <c r="Y115">
        <f t="shared" si="20"/>
        <v>1</v>
      </c>
      <c r="Z115">
        <f t="shared" si="20"/>
        <v>1</v>
      </c>
      <c r="AA115">
        <f t="shared" si="20"/>
        <v>1</v>
      </c>
      <c r="AB115">
        <f t="shared" si="20"/>
        <v>1</v>
      </c>
      <c r="AC115">
        <f t="shared" si="20"/>
        <v>1</v>
      </c>
      <c r="AD115">
        <f t="shared" si="20"/>
        <v>1</v>
      </c>
    </row>
  </sheetData>
  <hyperlinks>
    <hyperlink ref="I4" r:id="rId1" xr:uid="{E5FBDBB7-12EA-4131-859C-2E7469EAFA81}"/>
    <hyperlink ref="P4" r:id="rId2" xr:uid="{AF6D4F5C-944C-40D0-B8CC-8EFD7656DB87}"/>
    <hyperlink ref="Q4" r:id="rId3" xr:uid="{FA541049-8E8D-41FE-B45A-EFCDB8292915}"/>
    <hyperlink ref="B3" r:id="rId4" location=":~:text=EU%20Allowances%20(EUAs)%20are%20expected,%25%20to%20104.84%20euros%2Ftonne." display="Per Reuters" xr:uid="{FD0F374B-BE7A-440B-8A00-37AE0D398706}"/>
    <hyperlink ref="B8" r:id="rId5" location=":~:text=EU%20Allowances%20(EUAs)%20are%20expected,%25%20to%20104.84%20euros%2Ftonne." display="Per Reuters" xr:uid="{E459298F-2653-427F-9201-1E1189069B3F}"/>
    <hyperlink ref="C37" r:id="rId6" display="https://icapcarbonaction.com/en/ets/eu-emissions-trading-system-eu-ets" xr:uid="{EC1E1EA6-4256-44B4-B2C6-733B73F177AB}"/>
    <hyperlink ref="AA16" r:id="rId7" display="https://tradingeconomics.com/commodity/carbon" xr:uid="{EC2BEC8E-A5A5-49FD-A1E0-71B28F42DAE8}"/>
    <hyperlink ref="E3" r:id="rId8" display="Historical Inflation Conversions" xr:uid="{9910E6B2-CE58-49FC-B13E-92A96D13DC28}"/>
    <hyperlink ref="AA4" r:id="rId9" display="https://tradingeconomics.com/commodity/carbon" xr:uid="{EA840A42-CB07-4674-A015-6C3EB156828F}"/>
    <hyperlink ref="B13" r:id="rId10" xr:uid="{D431BCA7-1A1A-4334-B950-6C62A8B0DA2A}"/>
    <hyperlink ref="F78" r:id="rId11" xr:uid="{C9987C56-07F9-4FE2-9F49-CD549BC0182E}"/>
  </hyperlinks>
  <pageMargins left="0.7" right="0.7" top="0.75" bottom="0.75" header="0.3" footer="0.3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65F-BA27-452D-9457-6965E4839DAF}">
  <dimension ref="A2:AE29"/>
  <sheetViews>
    <sheetView workbookViewId="0">
      <selection activeCell="I6" sqref="I6"/>
    </sheetView>
  </sheetViews>
  <sheetFormatPr defaultRowHeight="14.5" x14ac:dyDescent="0.35"/>
  <cols>
    <col min="1" max="1" width="21" customWidth="1"/>
    <col min="2" max="2" width="10.26953125" customWidth="1"/>
    <col min="3" max="3" width="10.453125" customWidth="1"/>
  </cols>
  <sheetData>
    <row r="2" spans="1:31" x14ac:dyDescent="0.35">
      <c r="A2" s="2"/>
      <c r="B2" s="5">
        <v>2021</v>
      </c>
      <c r="C2" s="5">
        <v>2022</v>
      </c>
      <c r="D2" s="5">
        <v>2023</v>
      </c>
      <c r="E2" s="5">
        <v>2024</v>
      </c>
      <c r="F2" s="5">
        <v>2025</v>
      </c>
      <c r="G2" s="5">
        <v>2026</v>
      </c>
      <c r="H2" s="5">
        <v>2027</v>
      </c>
      <c r="I2" s="5">
        <v>2028</v>
      </c>
      <c r="J2" s="5">
        <v>2029</v>
      </c>
      <c r="K2" s="5">
        <v>2030</v>
      </c>
      <c r="L2" s="5">
        <v>2031</v>
      </c>
      <c r="M2" s="5">
        <v>2032</v>
      </c>
      <c r="N2" s="5">
        <v>2033</v>
      </c>
      <c r="O2" s="5">
        <v>2034</v>
      </c>
      <c r="P2" s="5">
        <v>2035</v>
      </c>
      <c r="Q2" s="5">
        <v>2036</v>
      </c>
      <c r="R2" s="5">
        <v>2037</v>
      </c>
      <c r="S2" s="5">
        <v>2038</v>
      </c>
      <c r="T2" s="5">
        <v>2039</v>
      </c>
      <c r="U2" s="5">
        <v>2040</v>
      </c>
      <c r="V2" s="5">
        <v>2041</v>
      </c>
      <c r="W2" s="5">
        <v>2042</v>
      </c>
      <c r="X2" s="5">
        <v>2043</v>
      </c>
      <c r="Y2" s="5">
        <v>2044</v>
      </c>
      <c r="Z2" s="5">
        <v>2045</v>
      </c>
      <c r="AA2" s="5">
        <v>2046</v>
      </c>
      <c r="AB2" s="5">
        <v>2047</v>
      </c>
      <c r="AC2" s="5">
        <v>2048</v>
      </c>
      <c r="AD2" s="5">
        <v>2049</v>
      </c>
      <c r="AE2" s="5">
        <v>2050</v>
      </c>
    </row>
    <row r="3" spans="1:31" x14ac:dyDescent="0.35">
      <c r="A3" t="s">
        <v>5</v>
      </c>
      <c r="B3" s="4">
        <v>0</v>
      </c>
      <c r="C3" s="3">
        <f>'fuels-FoICStCT Projections'!B115</f>
        <v>0</v>
      </c>
      <c r="D3" s="3">
        <f>'fuels-FoICStCT Projections'!C115</f>
        <v>0</v>
      </c>
      <c r="E3" s="3">
        <f>'fuels-FoICStCT Projections'!D115</f>
        <v>0</v>
      </c>
      <c r="F3" s="3">
        <f>'fuels-FoICStCT Projections'!E115</f>
        <v>0</v>
      </c>
      <c r="G3" s="3">
        <f>'fuels-FoICStCT Projections'!F115</f>
        <v>0</v>
      </c>
      <c r="H3" s="3">
        <f>'fuels-FoICStCT Projections'!G115</f>
        <v>9.8064064411638369E-2</v>
      </c>
      <c r="I3" s="3">
        <f>'fuels-FoICStCT Projections'!H115</f>
        <v>9.0506983007945005E-2</v>
      </c>
      <c r="J3" s="3">
        <f>'fuels-FoICStCT Projections'!I115</f>
        <v>8.3483363297058327E-2</v>
      </c>
      <c r="K3" s="3">
        <f>'fuels-FoICStCT Projections'!J115</f>
        <v>7.614907418508253E-2</v>
      </c>
      <c r="L3" s="3">
        <f>'fuels-FoICStCT Projections'!K115</f>
        <v>0.16170277191321103</v>
      </c>
      <c r="M3" s="3">
        <f>'fuels-FoICStCT Projections'!L115</f>
        <v>0.2443274226392308</v>
      </c>
      <c r="N3" s="3">
        <f>'fuels-FoICStCT Projections'!M115</f>
        <v>0.32417091463675918</v>
      </c>
      <c r="O3" s="3">
        <f>'fuels-FoICStCT Projections'!N115</f>
        <v>0.40137134507933409</v>
      </c>
      <c r="P3" s="3">
        <f>'fuels-FoICStCT Projections'!O115</f>
        <v>0.47605781713500306</v>
      </c>
      <c r="Q3" s="3">
        <f>'fuels-FoICStCT Projections'!P115</f>
        <v>0.53282487625645336</v>
      </c>
      <c r="R3" s="3">
        <f>'fuels-FoICStCT Projections'!Q115</f>
        <v>0.58780166857069494</v>
      </c>
      <c r="S3" s="3">
        <f>'fuels-FoICStCT Projections'!R115</f>
        <v>0.64107156903540741</v>
      </c>
      <c r="T3" s="3">
        <f>'fuels-FoICStCT Projections'!S115</f>
        <v>0.69271285458110032</v>
      </c>
      <c r="U3" s="3">
        <f>'fuels-FoICStCT Projections'!T115</f>
        <v>0.74279908789796378</v>
      </c>
      <c r="V3" s="3">
        <f>'fuels-FoICStCT Projections'!U115</f>
        <v>0.8045454617108202</v>
      </c>
      <c r="W3" s="3">
        <f>'fuels-FoICStCT Projections'!V115</f>
        <v>0.86448684592783587</v>
      </c>
      <c r="X3" s="3">
        <f>'fuels-FoICStCT Projections'!W115</f>
        <v>0.9227012464455262</v>
      </c>
      <c r="Y3" s="3">
        <f>'fuels-FoICStCT Projections'!X115</f>
        <v>0.97926223810419988</v>
      </c>
      <c r="Z3" s="3">
        <f>'fuels-FoICStCT Projections'!Y115</f>
        <v>1</v>
      </c>
      <c r="AA3" s="3">
        <f>'fuels-FoICStCT Projections'!Z115</f>
        <v>1</v>
      </c>
      <c r="AB3" s="3">
        <f>'fuels-FoICStCT Projections'!AA115</f>
        <v>1</v>
      </c>
      <c r="AC3" s="3">
        <f>'fuels-FoICStCT Projections'!AB115</f>
        <v>1</v>
      </c>
      <c r="AD3" s="3">
        <f>'fuels-FoICStCT Projections'!AC115</f>
        <v>1</v>
      </c>
      <c r="AE3" s="3">
        <f>'fuels-FoICStCT Projections'!AD115</f>
        <v>1</v>
      </c>
    </row>
    <row r="4" spans="1:31" x14ac:dyDescent="0.35">
      <c r="A4" t="s">
        <v>6</v>
      </c>
      <c r="B4" s="4">
        <v>0</v>
      </c>
      <c r="C4" s="3">
        <f>C3</f>
        <v>0</v>
      </c>
      <c r="D4" s="3">
        <f t="shared" ref="D4:AE4" si="0">D3</f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9.8064064411638369E-2</v>
      </c>
      <c r="I4" s="3">
        <f t="shared" si="0"/>
        <v>9.0506983007945005E-2</v>
      </c>
      <c r="J4" s="3">
        <f t="shared" si="0"/>
        <v>8.3483363297058327E-2</v>
      </c>
      <c r="K4" s="3">
        <f t="shared" si="0"/>
        <v>7.614907418508253E-2</v>
      </c>
      <c r="L4" s="3">
        <f t="shared" si="0"/>
        <v>0.16170277191321103</v>
      </c>
      <c r="M4" s="3">
        <f t="shared" si="0"/>
        <v>0.2443274226392308</v>
      </c>
      <c r="N4" s="3">
        <f t="shared" si="0"/>
        <v>0.32417091463675918</v>
      </c>
      <c r="O4" s="3">
        <f t="shared" si="0"/>
        <v>0.40137134507933409</v>
      </c>
      <c r="P4" s="3">
        <f t="shared" si="0"/>
        <v>0.47605781713500306</v>
      </c>
      <c r="Q4" s="3">
        <f t="shared" si="0"/>
        <v>0.53282487625645336</v>
      </c>
      <c r="R4" s="3">
        <f t="shared" si="0"/>
        <v>0.58780166857069494</v>
      </c>
      <c r="S4" s="3">
        <f t="shared" si="0"/>
        <v>0.64107156903540741</v>
      </c>
      <c r="T4" s="3">
        <f t="shared" si="0"/>
        <v>0.69271285458110032</v>
      </c>
      <c r="U4" s="3">
        <f t="shared" si="0"/>
        <v>0.74279908789796378</v>
      </c>
      <c r="V4" s="3">
        <f t="shared" si="0"/>
        <v>0.8045454617108202</v>
      </c>
      <c r="W4" s="3">
        <f t="shared" si="0"/>
        <v>0.86448684592783587</v>
      </c>
      <c r="X4" s="3">
        <f t="shared" si="0"/>
        <v>0.9227012464455262</v>
      </c>
      <c r="Y4" s="3">
        <f t="shared" si="0"/>
        <v>0.97926223810419988</v>
      </c>
      <c r="Z4" s="3">
        <f t="shared" si="0"/>
        <v>1</v>
      </c>
      <c r="AA4" s="3">
        <f t="shared" si="0"/>
        <v>1</v>
      </c>
      <c r="AB4" s="3">
        <f t="shared" si="0"/>
        <v>1</v>
      </c>
      <c r="AC4" s="3">
        <f t="shared" si="0"/>
        <v>1</v>
      </c>
      <c r="AD4" s="3">
        <f t="shared" si="0"/>
        <v>1</v>
      </c>
      <c r="AE4" s="3">
        <f t="shared" si="0"/>
        <v>1</v>
      </c>
    </row>
    <row r="5" spans="1:31" x14ac:dyDescent="0.35">
      <c r="A5" t="s">
        <v>7</v>
      </c>
      <c r="B5" s="9">
        <f>1-Data!$A3</f>
        <v>0.18000000000000005</v>
      </c>
      <c r="C5" s="9">
        <f>(1-Data!$A3)*'fuels-FoICStCT Projections'!B114</f>
        <v>0.18000000000000005</v>
      </c>
      <c r="D5" s="9">
        <f>(1-Data!$A3)*'fuels-FoICStCT Projections'!C114</f>
        <v>0.18000000000000005</v>
      </c>
      <c r="E5" s="9">
        <f>(1-Data!A8)*'fuels-FoICStCT Projections'!D114</f>
        <v>0.25</v>
      </c>
      <c r="F5" s="9">
        <f>(1-Data!A9)*'fuels-FoICStCT Projections'!E114</f>
        <v>0.5</v>
      </c>
      <c r="G5" s="9">
        <f>(1-Data!$A10)*'fuels-FoICStCT Projections'!F114</f>
        <v>1</v>
      </c>
      <c r="H5" s="9">
        <f>(1-Data!$A10)*'fuels-FoICStCT Projections'!G114</f>
        <v>1</v>
      </c>
      <c r="I5" s="9">
        <f>(1-Data!$A10)*'fuels-FoICStCT Projections'!H114</f>
        <v>1</v>
      </c>
      <c r="J5" s="9">
        <f>(1-Data!$A10)*'fuels-FoICStCT Projections'!I114</f>
        <v>1</v>
      </c>
      <c r="K5" s="9">
        <f>(1-Data!$A10)*'fuels-FoICStCT Projections'!J114</f>
        <v>1</v>
      </c>
      <c r="L5" s="9">
        <f>(1-Data!$A10)*'fuels-FoICStCT Projections'!K114</f>
        <v>1</v>
      </c>
      <c r="M5" s="9">
        <f>(1-Data!$A10)*'fuels-FoICStCT Projections'!L114</f>
        <v>1</v>
      </c>
      <c r="N5" s="9">
        <f>(1-Data!$A10)*'fuels-FoICStCT Projections'!M114</f>
        <v>1</v>
      </c>
      <c r="O5" s="9">
        <f>(1-Data!$A10)*'fuels-FoICStCT Projections'!N114</f>
        <v>1</v>
      </c>
      <c r="P5" s="9">
        <f>(1-Data!$A10)*'fuels-FoICStCT Projections'!O114</f>
        <v>1</v>
      </c>
      <c r="Q5" s="9">
        <f>(1-Data!$A10)*'fuels-FoICStCT Projections'!P114</f>
        <v>1</v>
      </c>
      <c r="R5" s="9">
        <f>(1-Data!$A10)*'fuels-FoICStCT Projections'!Q114</f>
        <v>1</v>
      </c>
      <c r="S5" s="9">
        <f>(1-Data!$A10)*'fuels-FoICStCT Projections'!R114</f>
        <v>1</v>
      </c>
      <c r="T5" s="9">
        <f>(1-Data!$A10)*'fuels-FoICStCT Projections'!S114</f>
        <v>1</v>
      </c>
      <c r="U5" s="9">
        <f>(1-Data!$A10)*'fuels-FoICStCT Projections'!T114</f>
        <v>1</v>
      </c>
      <c r="V5" s="9">
        <f>(1-Data!$A10)*'fuels-FoICStCT Projections'!U114</f>
        <v>1</v>
      </c>
      <c r="W5" s="9">
        <f>(1-Data!$A10)*'fuels-FoICStCT Projections'!V114</f>
        <v>1</v>
      </c>
      <c r="X5" s="9">
        <f>(1-Data!$A10)*'fuels-FoICStCT Projections'!W114</f>
        <v>1</v>
      </c>
      <c r="Y5" s="9">
        <f>(1-Data!$A10)*'fuels-FoICStCT Projections'!X114</f>
        <v>1</v>
      </c>
      <c r="Z5" s="9">
        <f>(1-Data!$A10)*'fuels-FoICStCT Projections'!Y114</f>
        <v>0.96689424223107712</v>
      </c>
      <c r="AA5" s="9">
        <f>(1-Data!$A10)*'fuels-FoICStCT Projections'!Z114</f>
        <v>0.967194329412564</v>
      </c>
      <c r="AB5" s="9">
        <f>(1-Data!$A10)*'fuels-FoICStCT Projections'!AA114</f>
        <v>0.96748642055566558</v>
      </c>
      <c r="AC5" s="9">
        <f>(1-Data!$A10)*'fuels-FoICStCT Projections'!AB114</f>
        <v>0.9677708310487817</v>
      </c>
      <c r="AD5" s="9">
        <f>(1-Data!$A10)*'fuels-FoICStCT Projections'!AC114</f>
        <v>0.96804785990903552</v>
      </c>
      <c r="AE5" s="9">
        <f>(1-Data!$A10)*'fuels-FoICStCT Projections'!AD114</f>
        <v>0.96831779083092229</v>
      </c>
    </row>
    <row r="6" spans="1:31" x14ac:dyDescent="0.35">
      <c r="A6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35">
      <c r="A7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35">
      <c r="A8" t="s">
        <v>10</v>
      </c>
      <c r="B8" s="4">
        <f>B3</f>
        <v>0</v>
      </c>
      <c r="C8" s="3">
        <f t="shared" ref="C8:AE8" si="1">C3</f>
        <v>0</v>
      </c>
      <c r="D8" s="3">
        <f t="shared" si="1"/>
        <v>0</v>
      </c>
      <c r="E8" s="3">
        <f t="shared" si="1"/>
        <v>0</v>
      </c>
      <c r="F8" s="3">
        <f t="shared" si="1"/>
        <v>0</v>
      </c>
      <c r="G8" s="3">
        <f t="shared" si="1"/>
        <v>0</v>
      </c>
      <c r="H8" s="3">
        <f t="shared" si="1"/>
        <v>9.8064064411638369E-2</v>
      </c>
      <c r="I8" s="3">
        <f t="shared" si="1"/>
        <v>9.0506983007945005E-2</v>
      </c>
      <c r="J8" s="3">
        <f t="shared" si="1"/>
        <v>8.3483363297058327E-2</v>
      </c>
      <c r="K8" s="3">
        <f t="shared" si="1"/>
        <v>7.614907418508253E-2</v>
      </c>
      <c r="L8" s="3">
        <f t="shared" si="1"/>
        <v>0.16170277191321103</v>
      </c>
      <c r="M8" s="3">
        <f t="shared" si="1"/>
        <v>0.2443274226392308</v>
      </c>
      <c r="N8" s="3">
        <f t="shared" si="1"/>
        <v>0.32417091463675918</v>
      </c>
      <c r="O8" s="3">
        <f t="shared" si="1"/>
        <v>0.40137134507933409</v>
      </c>
      <c r="P8" s="3">
        <f t="shared" si="1"/>
        <v>0.47605781713500306</v>
      </c>
      <c r="Q8" s="3">
        <f t="shared" si="1"/>
        <v>0.53282487625645336</v>
      </c>
      <c r="R8" s="3">
        <f t="shared" si="1"/>
        <v>0.58780166857069494</v>
      </c>
      <c r="S8" s="3">
        <f t="shared" si="1"/>
        <v>0.64107156903540741</v>
      </c>
      <c r="T8" s="3">
        <f t="shared" si="1"/>
        <v>0.69271285458110032</v>
      </c>
      <c r="U8" s="3">
        <f t="shared" si="1"/>
        <v>0.74279908789796378</v>
      </c>
      <c r="V8" s="3">
        <f t="shared" si="1"/>
        <v>0.8045454617108202</v>
      </c>
      <c r="W8" s="3">
        <f t="shared" si="1"/>
        <v>0.86448684592783587</v>
      </c>
      <c r="X8" s="3">
        <f t="shared" si="1"/>
        <v>0.9227012464455262</v>
      </c>
      <c r="Y8" s="3">
        <f t="shared" si="1"/>
        <v>0.97926223810419988</v>
      </c>
      <c r="Z8" s="3">
        <f t="shared" si="1"/>
        <v>1</v>
      </c>
      <c r="AA8" s="3">
        <f t="shared" si="1"/>
        <v>1</v>
      </c>
      <c r="AB8" s="3">
        <f t="shared" si="1"/>
        <v>1</v>
      </c>
      <c r="AC8" s="3">
        <f t="shared" si="1"/>
        <v>1</v>
      </c>
      <c r="AD8" s="3">
        <f t="shared" si="1"/>
        <v>1</v>
      </c>
      <c r="AE8" s="3">
        <f t="shared" si="1"/>
        <v>1</v>
      </c>
    </row>
    <row r="9" spans="1:3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2:31" x14ac:dyDescent="0.35"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7" sqref="B7"/>
    </sheetView>
  </sheetViews>
  <sheetFormatPr defaultRowHeight="14.5" x14ac:dyDescent="0.35"/>
  <cols>
    <col min="1" max="1" width="46.26953125" customWidth="1"/>
    <col min="2" max="2" width="10.26953125" customWidth="1"/>
    <col min="3" max="3" width="10.453125" customWidth="1"/>
  </cols>
  <sheetData>
    <row r="1" spans="1:31" x14ac:dyDescent="0.35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35">
      <c r="A2" t="s">
        <v>5</v>
      </c>
      <c r="B2" s="3">
        <f>calcs!B3</f>
        <v>0</v>
      </c>
      <c r="C2" s="3">
        <f>calcs!C3</f>
        <v>0</v>
      </c>
      <c r="D2" s="3">
        <f>calcs!D3</f>
        <v>0</v>
      </c>
      <c r="E2" s="3">
        <f>calcs!E3</f>
        <v>0</v>
      </c>
      <c r="F2" s="3">
        <f>calcs!F3</f>
        <v>0</v>
      </c>
      <c r="G2" s="3">
        <f>calcs!G3</f>
        <v>0</v>
      </c>
      <c r="H2" s="3">
        <f>calcs!H3</f>
        <v>9.8064064411638369E-2</v>
      </c>
      <c r="I2" s="3">
        <f>calcs!I3</f>
        <v>9.0506983007945005E-2</v>
      </c>
      <c r="J2" s="3">
        <f>calcs!J3</f>
        <v>8.3483363297058327E-2</v>
      </c>
      <c r="K2" s="3">
        <f>calcs!K3</f>
        <v>7.614907418508253E-2</v>
      </c>
      <c r="L2" s="3">
        <f>calcs!L3</f>
        <v>0.16170277191321103</v>
      </c>
      <c r="M2" s="3">
        <f>calcs!M3</f>
        <v>0.2443274226392308</v>
      </c>
      <c r="N2" s="3">
        <f>calcs!N3</f>
        <v>0.32417091463675918</v>
      </c>
      <c r="O2" s="3">
        <f>calcs!O3</f>
        <v>0.40137134507933409</v>
      </c>
      <c r="P2" s="3">
        <f>calcs!P3</f>
        <v>0.47605781713500306</v>
      </c>
      <c r="Q2" s="3">
        <f>calcs!Q3</f>
        <v>0.53282487625645336</v>
      </c>
      <c r="R2" s="3">
        <f>calcs!R3</f>
        <v>0.58780166857069494</v>
      </c>
      <c r="S2" s="3">
        <f>calcs!S3</f>
        <v>0.64107156903540741</v>
      </c>
      <c r="T2" s="3">
        <f>calcs!T3</f>
        <v>0.69271285458110032</v>
      </c>
      <c r="U2" s="3">
        <f>calcs!U3</f>
        <v>0.74279908789796378</v>
      </c>
      <c r="V2" s="3">
        <f>calcs!V3</f>
        <v>0.8045454617108202</v>
      </c>
      <c r="W2" s="3">
        <f>calcs!W3</f>
        <v>0.86448684592783587</v>
      </c>
      <c r="X2" s="3">
        <f>calcs!X3</f>
        <v>0.9227012464455262</v>
      </c>
      <c r="Y2" s="3">
        <f>calcs!Y3</f>
        <v>0.97926223810419988</v>
      </c>
      <c r="Z2" s="3">
        <f>calcs!Z3</f>
        <v>1</v>
      </c>
      <c r="AA2" s="3">
        <f>calcs!AA3</f>
        <v>1</v>
      </c>
      <c r="AB2" s="3">
        <f>calcs!AB3</f>
        <v>1</v>
      </c>
      <c r="AC2" s="3">
        <f>calcs!AC3</f>
        <v>1</v>
      </c>
      <c r="AD2" s="3">
        <f>calcs!AD3</f>
        <v>1</v>
      </c>
      <c r="AE2" s="3">
        <f>calcs!AE3</f>
        <v>1</v>
      </c>
    </row>
    <row r="3" spans="1:31" x14ac:dyDescent="0.35">
      <c r="A3" t="s">
        <v>6</v>
      </c>
      <c r="B3" s="3">
        <f>calcs!B4</f>
        <v>0</v>
      </c>
      <c r="C3" s="3">
        <f>calcs!C4</f>
        <v>0</v>
      </c>
      <c r="D3" s="3">
        <f>calcs!D4</f>
        <v>0</v>
      </c>
      <c r="E3" s="3">
        <f>calcs!E4</f>
        <v>0</v>
      </c>
      <c r="F3" s="3">
        <f>calcs!F4</f>
        <v>0</v>
      </c>
      <c r="G3" s="3">
        <f>calcs!G4</f>
        <v>0</v>
      </c>
      <c r="H3" s="3">
        <f>calcs!H4</f>
        <v>9.8064064411638369E-2</v>
      </c>
      <c r="I3" s="3">
        <f>calcs!I4</f>
        <v>9.0506983007945005E-2</v>
      </c>
      <c r="J3" s="3">
        <f>calcs!J4</f>
        <v>8.3483363297058327E-2</v>
      </c>
      <c r="K3" s="3">
        <f>calcs!K4</f>
        <v>7.614907418508253E-2</v>
      </c>
      <c r="L3" s="3">
        <f>calcs!L4</f>
        <v>0.16170277191321103</v>
      </c>
      <c r="M3" s="3">
        <f>calcs!M4</f>
        <v>0.2443274226392308</v>
      </c>
      <c r="N3" s="3">
        <f>calcs!N4</f>
        <v>0.32417091463675918</v>
      </c>
      <c r="O3" s="3">
        <f>calcs!O4</f>
        <v>0.40137134507933409</v>
      </c>
      <c r="P3" s="3">
        <f>calcs!P4</f>
        <v>0.47605781713500306</v>
      </c>
      <c r="Q3" s="3">
        <f>calcs!Q4</f>
        <v>0.53282487625645336</v>
      </c>
      <c r="R3" s="3">
        <f>calcs!R4</f>
        <v>0.58780166857069494</v>
      </c>
      <c r="S3" s="3">
        <f>calcs!S4</f>
        <v>0.64107156903540741</v>
      </c>
      <c r="T3" s="3">
        <f>calcs!T4</f>
        <v>0.69271285458110032</v>
      </c>
      <c r="U3" s="3">
        <f>calcs!U4</f>
        <v>0.74279908789796378</v>
      </c>
      <c r="V3" s="3">
        <f>calcs!V4</f>
        <v>0.8045454617108202</v>
      </c>
      <c r="W3" s="3">
        <f>calcs!W4</f>
        <v>0.86448684592783587</v>
      </c>
      <c r="X3" s="3">
        <f>calcs!X4</f>
        <v>0.9227012464455262</v>
      </c>
      <c r="Y3" s="3">
        <f>calcs!Y4</f>
        <v>0.97926223810419988</v>
      </c>
      <c r="Z3" s="3">
        <f>calcs!Z4</f>
        <v>1</v>
      </c>
      <c r="AA3" s="3">
        <f>calcs!AA4</f>
        <v>1</v>
      </c>
      <c r="AB3" s="3">
        <f>calcs!AB4</f>
        <v>1</v>
      </c>
      <c r="AC3" s="3">
        <f>calcs!AC4</f>
        <v>1</v>
      </c>
      <c r="AD3" s="3">
        <f>calcs!AD4</f>
        <v>1</v>
      </c>
      <c r="AE3" s="3">
        <f>calcs!AE4</f>
        <v>1</v>
      </c>
    </row>
    <row r="4" spans="1:31" x14ac:dyDescent="0.35">
      <c r="A4" t="s">
        <v>7</v>
      </c>
      <c r="B4" s="3">
        <f>calcs!B5</f>
        <v>0.18000000000000005</v>
      </c>
      <c r="C4" s="3">
        <f>calcs!C5</f>
        <v>0.18000000000000005</v>
      </c>
      <c r="D4" s="3">
        <f>calcs!D5</f>
        <v>0.18000000000000005</v>
      </c>
      <c r="E4" s="3">
        <f>calcs!E5</f>
        <v>0.25</v>
      </c>
      <c r="F4" s="3">
        <f>calcs!F5</f>
        <v>0.5</v>
      </c>
      <c r="G4" s="3">
        <f>calcs!G5</f>
        <v>1</v>
      </c>
      <c r="H4" s="3">
        <f>calcs!H5</f>
        <v>1</v>
      </c>
      <c r="I4" s="3">
        <f>calcs!I5</f>
        <v>1</v>
      </c>
      <c r="J4" s="3">
        <f>calcs!J5</f>
        <v>1</v>
      </c>
      <c r="K4" s="3">
        <f>calcs!K5</f>
        <v>1</v>
      </c>
      <c r="L4" s="3">
        <f>calcs!L5</f>
        <v>1</v>
      </c>
      <c r="M4" s="3">
        <f>calcs!M5</f>
        <v>1</v>
      </c>
      <c r="N4" s="3">
        <f>calcs!N5</f>
        <v>1</v>
      </c>
      <c r="O4" s="3">
        <f>calcs!O5</f>
        <v>1</v>
      </c>
      <c r="P4" s="3">
        <f>calcs!P5</f>
        <v>1</v>
      </c>
      <c r="Q4" s="3">
        <f>calcs!Q5</f>
        <v>1</v>
      </c>
      <c r="R4" s="3">
        <f>calcs!R5</f>
        <v>1</v>
      </c>
      <c r="S4" s="3">
        <f>calcs!S5</f>
        <v>1</v>
      </c>
      <c r="T4" s="3">
        <f>calcs!T5</f>
        <v>1</v>
      </c>
      <c r="U4" s="3">
        <f>calcs!U5</f>
        <v>1</v>
      </c>
      <c r="V4" s="3">
        <f>calcs!V5</f>
        <v>1</v>
      </c>
      <c r="W4" s="3">
        <f>calcs!W5</f>
        <v>1</v>
      </c>
      <c r="X4" s="3">
        <f>calcs!X5</f>
        <v>1</v>
      </c>
      <c r="Y4" s="3">
        <f>calcs!Y5</f>
        <v>1</v>
      </c>
      <c r="Z4" s="3">
        <f>calcs!Z5</f>
        <v>0.96689424223107712</v>
      </c>
      <c r="AA4" s="3">
        <f>calcs!AA5</f>
        <v>0.967194329412564</v>
      </c>
      <c r="AB4" s="3">
        <f>calcs!AB5</f>
        <v>0.96748642055566558</v>
      </c>
      <c r="AC4" s="3">
        <f>calcs!AC5</f>
        <v>0.9677708310487817</v>
      </c>
      <c r="AD4" s="3">
        <f>calcs!AD5</f>
        <v>0.96804785990903552</v>
      </c>
      <c r="AE4" s="3">
        <f>calcs!AE5</f>
        <v>0.96831779083092229</v>
      </c>
    </row>
    <row r="5" spans="1:31" x14ac:dyDescent="0.35">
      <c r="A5" t="s">
        <v>8</v>
      </c>
      <c r="B5" s="3">
        <f>calcs!B6</f>
        <v>0</v>
      </c>
      <c r="C5" s="3">
        <f>calcs!C6</f>
        <v>0</v>
      </c>
      <c r="D5" s="3">
        <f>calcs!D6</f>
        <v>0</v>
      </c>
      <c r="E5" s="3">
        <f>calcs!E6</f>
        <v>0</v>
      </c>
      <c r="F5" s="3">
        <f>calcs!F6</f>
        <v>0</v>
      </c>
      <c r="G5" s="3">
        <f>calcs!G6</f>
        <v>0</v>
      </c>
      <c r="H5" s="3">
        <f>calcs!H6</f>
        <v>0</v>
      </c>
      <c r="I5" s="3">
        <f>calcs!I6</f>
        <v>0</v>
      </c>
      <c r="J5" s="3">
        <f>calcs!J6</f>
        <v>0</v>
      </c>
      <c r="K5" s="3">
        <f>calcs!K6</f>
        <v>0</v>
      </c>
      <c r="L5" s="3">
        <f>calcs!L6</f>
        <v>0</v>
      </c>
      <c r="M5" s="3">
        <f>calcs!M6</f>
        <v>0</v>
      </c>
      <c r="N5" s="3">
        <f>calcs!N6</f>
        <v>0</v>
      </c>
      <c r="O5" s="3">
        <f>calcs!O6</f>
        <v>0</v>
      </c>
      <c r="P5" s="3">
        <f>calcs!P6</f>
        <v>0</v>
      </c>
      <c r="Q5" s="3">
        <f>calcs!Q6</f>
        <v>0</v>
      </c>
      <c r="R5" s="3">
        <f>calcs!R6</f>
        <v>0</v>
      </c>
      <c r="S5" s="3">
        <f>calcs!S6</f>
        <v>0</v>
      </c>
      <c r="T5" s="3">
        <f>calcs!T6</f>
        <v>0</v>
      </c>
      <c r="U5" s="3">
        <f>calcs!U6</f>
        <v>0</v>
      </c>
      <c r="V5" s="3">
        <f>calcs!V6</f>
        <v>0</v>
      </c>
      <c r="W5" s="3">
        <f>calcs!W6</f>
        <v>0</v>
      </c>
      <c r="X5" s="3">
        <f>calcs!X6</f>
        <v>0</v>
      </c>
      <c r="Y5" s="3">
        <f>calcs!Y6</f>
        <v>0</v>
      </c>
      <c r="Z5" s="3">
        <f>calcs!Z6</f>
        <v>0</v>
      </c>
      <c r="AA5" s="3">
        <f>calcs!AA6</f>
        <v>0</v>
      </c>
      <c r="AB5" s="3">
        <f>calcs!AB6</f>
        <v>0</v>
      </c>
      <c r="AC5" s="3">
        <f>calcs!AC6</f>
        <v>0</v>
      </c>
      <c r="AD5" s="3">
        <f>calcs!AD6</f>
        <v>0</v>
      </c>
      <c r="AE5" s="3">
        <f>calcs!AE6</f>
        <v>0</v>
      </c>
    </row>
    <row r="6" spans="1:31" x14ac:dyDescent="0.35">
      <c r="A6" t="s">
        <v>9</v>
      </c>
      <c r="B6" s="3">
        <f>calcs!B7</f>
        <v>0</v>
      </c>
      <c r="C6" s="3">
        <f>calcs!C7</f>
        <v>0</v>
      </c>
      <c r="D6" s="3">
        <f>calcs!D7</f>
        <v>0</v>
      </c>
      <c r="E6" s="3">
        <f>calcs!E7</f>
        <v>0</v>
      </c>
      <c r="F6" s="3">
        <f>calcs!F7</f>
        <v>0</v>
      </c>
      <c r="G6" s="3">
        <f>calcs!G7</f>
        <v>0</v>
      </c>
      <c r="H6" s="3">
        <f>calcs!H7</f>
        <v>0</v>
      </c>
      <c r="I6" s="3">
        <f>calcs!I7</f>
        <v>0</v>
      </c>
      <c r="J6" s="3">
        <f>calcs!J7</f>
        <v>0</v>
      </c>
      <c r="K6" s="3">
        <f>calcs!K7</f>
        <v>0</v>
      </c>
      <c r="L6" s="3">
        <f>calcs!L7</f>
        <v>0</v>
      </c>
      <c r="M6" s="3">
        <f>calcs!M7</f>
        <v>0</v>
      </c>
      <c r="N6" s="3">
        <f>calcs!N7</f>
        <v>0</v>
      </c>
      <c r="O6" s="3">
        <f>calcs!O7</f>
        <v>0</v>
      </c>
      <c r="P6" s="3">
        <f>calcs!P7</f>
        <v>0</v>
      </c>
      <c r="Q6" s="3">
        <f>calcs!Q7</f>
        <v>0</v>
      </c>
      <c r="R6" s="3">
        <f>calcs!R7</f>
        <v>0</v>
      </c>
      <c r="S6" s="3">
        <f>calcs!S7</f>
        <v>0</v>
      </c>
      <c r="T6" s="3">
        <f>calcs!T7</f>
        <v>0</v>
      </c>
      <c r="U6" s="3">
        <f>calcs!U7</f>
        <v>0</v>
      </c>
      <c r="V6" s="3">
        <f>calcs!V7</f>
        <v>0</v>
      </c>
      <c r="W6" s="3">
        <f>calcs!W7</f>
        <v>0</v>
      </c>
      <c r="X6" s="3">
        <f>calcs!X7</f>
        <v>0</v>
      </c>
      <c r="Y6" s="3">
        <f>calcs!Y7</f>
        <v>0</v>
      </c>
      <c r="Z6" s="3">
        <f>calcs!Z7</f>
        <v>0</v>
      </c>
      <c r="AA6" s="3">
        <f>calcs!AA7</f>
        <v>0</v>
      </c>
      <c r="AB6" s="3">
        <f>calcs!AB7</f>
        <v>0</v>
      </c>
      <c r="AC6" s="3">
        <f>calcs!AC7</f>
        <v>0</v>
      </c>
      <c r="AD6" s="3">
        <f>calcs!AD7</f>
        <v>0</v>
      </c>
      <c r="AE6" s="3">
        <f>calcs!AE7</f>
        <v>0</v>
      </c>
    </row>
    <row r="7" spans="1:31" x14ac:dyDescent="0.35">
      <c r="A7" t="s">
        <v>10</v>
      </c>
      <c r="B7" s="3">
        <f>calcs!B8</f>
        <v>0</v>
      </c>
      <c r="C7" s="3">
        <f>calcs!C8</f>
        <v>0</v>
      </c>
      <c r="D7" s="3">
        <f>calcs!D8</f>
        <v>0</v>
      </c>
      <c r="E7" s="3">
        <f>calcs!E8</f>
        <v>0</v>
      </c>
      <c r="F7" s="3">
        <f>calcs!F8</f>
        <v>0</v>
      </c>
      <c r="G7" s="3">
        <f>calcs!G8</f>
        <v>0</v>
      </c>
      <c r="H7" s="3">
        <f>calcs!H8</f>
        <v>9.8064064411638369E-2</v>
      </c>
      <c r="I7" s="3">
        <f>calcs!I8</f>
        <v>9.0506983007945005E-2</v>
      </c>
      <c r="J7" s="3">
        <f>calcs!J8</f>
        <v>8.3483363297058327E-2</v>
      </c>
      <c r="K7" s="3">
        <f>calcs!K8</f>
        <v>7.614907418508253E-2</v>
      </c>
      <c r="L7" s="3">
        <f>calcs!L8</f>
        <v>0.16170277191321103</v>
      </c>
      <c r="M7" s="3">
        <f>calcs!M8</f>
        <v>0.2443274226392308</v>
      </c>
      <c r="N7" s="3">
        <f>calcs!N8</f>
        <v>0.32417091463675918</v>
      </c>
      <c r="O7" s="3">
        <f>calcs!O8</f>
        <v>0.40137134507933409</v>
      </c>
      <c r="P7" s="3">
        <f>calcs!P8</f>
        <v>0.47605781713500306</v>
      </c>
      <c r="Q7" s="3">
        <f>calcs!Q8</f>
        <v>0.53282487625645336</v>
      </c>
      <c r="R7" s="3">
        <f>calcs!R8</f>
        <v>0.58780166857069494</v>
      </c>
      <c r="S7" s="3">
        <f>calcs!S8</f>
        <v>0.64107156903540741</v>
      </c>
      <c r="T7" s="3">
        <f>calcs!T8</f>
        <v>0.69271285458110032</v>
      </c>
      <c r="U7" s="3">
        <f>calcs!U8</f>
        <v>0.74279908789796378</v>
      </c>
      <c r="V7" s="3">
        <f>calcs!V8</f>
        <v>0.8045454617108202</v>
      </c>
      <c r="W7" s="3">
        <f>calcs!W8</f>
        <v>0.86448684592783587</v>
      </c>
      <c r="X7" s="3">
        <f>calcs!X8</f>
        <v>0.9227012464455262</v>
      </c>
      <c r="Y7" s="3">
        <f>calcs!Y8</f>
        <v>0.97926223810419988</v>
      </c>
      <c r="Z7" s="3">
        <f>calcs!Z8</f>
        <v>1</v>
      </c>
      <c r="AA7" s="3">
        <f>calcs!AA8</f>
        <v>1</v>
      </c>
      <c r="AB7" s="3">
        <f>calcs!AB8</f>
        <v>1</v>
      </c>
      <c r="AC7" s="3">
        <f>calcs!AC8</f>
        <v>1</v>
      </c>
      <c r="AD7" s="3">
        <f>calcs!AD8</f>
        <v>1</v>
      </c>
      <c r="AE7" s="3">
        <f>calcs!AE8</f>
        <v>1</v>
      </c>
    </row>
    <row r="8" spans="1:31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fuels-FoICStCT Projections</vt:lpstr>
      <vt:lpstr>calcs</vt:lpstr>
      <vt:lpstr>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2024-03-29T15:17:44Z</dcterms:modified>
</cp:coreProperties>
</file>